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1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'Položky'!$A$1:$G$181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<sst xmlns="http://schemas.openxmlformats.org/spreadsheetml/2006/main" count="505" uniqueCount="348">
  <si>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</si>
  <si>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</si>
  <si>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</si>
  <si>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</si>
  <si>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</si>
  <si>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</si>
  <si>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</si>
  <si>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</si>
  <si>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</si>
  <si>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</si>
  <si>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</si>
  <si>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</si>
  <si>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</si>
  <si>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</si>
  <si>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</si>
  <si>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</si>
  <si>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</si>
  <si>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</si>
  <si>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</si>
  <si>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</si>
  <si>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</si>
  <si>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</si>
  <si>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</si>
  <si>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</si>
  <si>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</si>
  <si>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</si>
  <si>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</si>
  <si>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</si>
  <si>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</si>
  <si>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</si>
  <si>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</si>
  <si>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</si>
  <si>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</si>
  <si>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</si>
  <si>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</si>
  <si>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</si>
  <si>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</si>
  <si>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</si>
  <si>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</si>
  <si>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</si>
  <si>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</si>
  <si>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</si>
  <si>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</si>
  <si>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</si>
  <si>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</si>
  <si>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</si>
  <si>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</si>
  <si>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</si>
  <si>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</si>
  <si>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</si>
  <si>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</si>
  <si>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</si>
  <si>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</si>
  <si>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</si>
  <si>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</si>
  <si>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</si>
  <si>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</si>
  <si>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</si>
  <si>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</si>
  <si>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</si>
  <si>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</si>
  <si>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</si>
  <si>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</si>
  <si>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</si>
  <si>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</si>
  <si>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</si>
  <si>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</si>
  <si>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</si>
  <si>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</si>
  <si>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</si>
  <si>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</si>
  <si>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</si>
  <si>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</si>
  <si>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</si>
  <si>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</si>
  <si>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</si>
  <si>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</si>
  <si>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3</t>
  </si>
  <si>
    <t>Svislé a kompletní konstrukce</t>
  </si>
  <si>
    <t>319201311R00</t>
  </si>
  <si>
    <t xml:space="preserve">Vyrovnání povrchu zdiva maltou tl.do 3 cm </t>
  </si>
  <si>
    <t>m2</t>
  </si>
  <si>
    <t>61</t>
  </si>
  <si>
    <t>Upravy povrchů vnitřní</t>
  </si>
  <si>
    <t>612421231RT2</t>
  </si>
  <si>
    <t>Oprava vápen.omítek stěn do 10 % pl. - štukových s použitím suché maltové směsi</t>
  </si>
  <si>
    <t>62</t>
  </si>
  <si>
    <t>Úpravy povrchů vnější</t>
  </si>
  <si>
    <t>622481211RT2</t>
  </si>
  <si>
    <t>Montáž výztužné sítě do stěrkového tmelu včetně výztužné sítě a stěrkového tmelu</t>
  </si>
  <si>
    <t>96</t>
  </si>
  <si>
    <t>Bourání konstrukcí</t>
  </si>
  <si>
    <t>962032231R00</t>
  </si>
  <si>
    <t xml:space="preserve">Bourání zdiva z cihel pálených na MVC </t>
  </si>
  <si>
    <t>m3</t>
  </si>
  <si>
    <t>25,5*0,3*0,8</t>
  </si>
  <si>
    <t>967031732R00</t>
  </si>
  <si>
    <t xml:space="preserve">Přisekání ploš zdiva cihelného na MVC tl. do 10 cm </t>
  </si>
  <si>
    <t>99</t>
  </si>
  <si>
    <t>Staveništní přesun hmot</t>
  </si>
  <si>
    <t>999281111R00</t>
  </si>
  <si>
    <t xml:space="preserve">Přesun hmot pro opravy a údržbu do výšky 25 m </t>
  </si>
  <si>
    <t>t</t>
  </si>
  <si>
    <t>762</t>
  </si>
  <si>
    <t>Konstrukce tesařské</t>
  </si>
  <si>
    <t>762341811R00</t>
  </si>
  <si>
    <t xml:space="preserve">Demontáž bednění zaatikového žlabu </t>
  </si>
  <si>
    <t>25,5*0,5</t>
  </si>
  <si>
    <t>762342204RT2</t>
  </si>
  <si>
    <t>762342811R00</t>
  </si>
  <si>
    <t xml:space="preserve">Demontáž laťování střech, rozteč latí do 22 cm </t>
  </si>
  <si>
    <t>762342812R00</t>
  </si>
  <si>
    <t>Demontáž deskového aťování střech, rozteč latí do 90 cm</t>
  </si>
  <si>
    <t>762395000R00</t>
  </si>
  <si>
    <t xml:space="preserve">Spojovací a ochranné prostředky pro střechy </t>
  </si>
  <si>
    <t>762712120R00</t>
  </si>
  <si>
    <t xml:space="preserve">Montáž vázaných konstrukcí hraněných do 224 cm2 </t>
  </si>
  <si>
    <t>m</t>
  </si>
  <si>
    <t>fošny:3*0,04*8*2</t>
  </si>
  <si>
    <t>doplněná dřev. vaznička:25,6</t>
  </si>
  <si>
    <t>762811100RT3</t>
  </si>
  <si>
    <t>Montáž záklopu, vrchní přesahovaný, hrubá prkna včetně dodávky řeziva, prkna tl. 24 mm</t>
  </si>
  <si>
    <t>26*3</t>
  </si>
  <si>
    <t>762811811R00</t>
  </si>
  <si>
    <t xml:space="preserve">Demontáž záklopů z hrubých prken tl. do 3,2 cm </t>
  </si>
  <si>
    <t>7,2*9</t>
  </si>
  <si>
    <t>n.c.</t>
  </si>
  <si>
    <t>fošny:3*0,16*0,04*8*2</t>
  </si>
  <si>
    <t>doplněná dřev. vaznička:0,1*0,16*25,6</t>
  </si>
  <si>
    <t>764</t>
  </si>
  <si>
    <t>Konstrukce klempířské</t>
  </si>
  <si>
    <t>26*2</t>
  </si>
  <si>
    <t>764351811R00</t>
  </si>
  <si>
    <t xml:space="preserve">Demontáž zaatikového žlabu </t>
  </si>
  <si>
    <t>764900001R00</t>
  </si>
  <si>
    <t>25,6*6</t>
  </si>
  <si>
    <t>765</t>
  </si>
  <si>
    <t>Krytiny tvrdé</t>
  </si>
  <si>
    <t>765313186R00</t>
  </si>
  <si>
    <t xml:space="preserve">Mřížka ochranná větrací 100 cm univerzální </t>
  </si>
  <si>
    <t>765313188R00</t>
  </si>
  <si>
    <t xml:space="preserve">Pás větrací okapní ochranný 500/10 cm </t>
  </si>
  <si>
    <t>765332860R00</t>
  </si>
  <si>
    <t xml:space="preserve">Demontáž betonové krytiny, zvětr. malta, do suti </t>
  </si>
  <si>
    <t>7,5*2*25,6</t>
  </si>
  <si>
    <t>998765202R00</t>
  </si>
  <si>
    <t xml:space="preserve">Přesun hmot pro krytiny tvrdé, výšky do 12 m </t>
  </si>
  <si>
    <t>781</t>
  </si>
  <si>
    <t>Obklady keramické</t>
  </si>
  <si>
    <t>781731113U00</t>
  </si>
  <si>
    <t xml:space="preserve">Mtž obklad cihel páskem malt-105 </t>
  </si>
  <si>
    <t>998781202R00</t>
  </si>
  <si>
    <t xml:space="preserve">Přesun hmot pro obklady keramické, výšky do 12 m </t>
  </si>
  <si>
    <t>783</t>
  </si>
  <si>
    <t>Nátěry</t>
  </si>
  <si>
    <t>783621133U00</t>
  </si>
  <si>
    <t xml:space="preserve">Nátěr synt truh DÜFA 3x lazura lak </t>
  </si>
  <si>
    <t>25,6*1,3</t>
  </si>
  <si>
    <t>783782205R00</t>
  </si>
  <si>
    <t xml:space="preserve">Nátěr tesařských konstrukcí Bochemitem QB 2x </t>
  </si>
  <si>
    <t>784</t>
  </si>
  <si>
    <t>Malby</t>
  </si>
  <si>
    <t>784161401R00</t>
  </si>
  <si>
    <t xml:space="preserve">Penetrace podkladu nátěrem HET, Klasik, 1 x </t>
  </si>
  <si>
    <t>(25,5*2+9+16+8,95*10+4,7*4+2,05*2+6)*3,7</t>
  </si>
  <si>
    <t>-3*3*3-2,4*3*4-3,14*0,9*0,9*7-1,8*10</t>
  </si>
  <si>
    <t>784165212R00</t>
  </si>
  <si>
    <t xml:space="preserve">Malba tekutá HET Super malba, bílá, bez penetr. 2x </t>
  </si>
  <si>
    <t>D96</t>
  </si>
  <si>
    <t>Přesuny suti a vybouraných hmot</t>
  </si>
  <si>
    <t>199000000R00</t>
  </si>
  <si>
    <t xml:space="preserve">Poplatek za skladku suti 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</si>
  <si>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</si>
  <si>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</si>
  <si>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</si>
  <si>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</si>
  <si>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</si>
  <si>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</si>
  <si>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</si>
  <si>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</si>
  <si>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</si>
  <si>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979082111R00</t>
  </si>
  <si>
    <t xml:space="preserve">Vnitrostaveništní doprava suti do 10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</si>
  <si>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</si>
  <si>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</si>
  <si>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</si>
  <si>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</si>
  <si>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</si>
  <si>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</si>
  <si>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</si>
  <si>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</si>
  <si>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atika 25,5*0,3*0,8</t>
  </si>
  <si>
    <t>25,6*14+8*6</t>
  </si>
  <si>
    <t>25,6*0,55</t>
  </si>
  <si>
    <t>zpět montáž stáv vazničky 100/160</t>
  </si>
  <si>
    <t>doplněná dřev vaznička 60/160</t>
  </si>
  <si>
    <t>vrchol lať 25/100</t>
  </si>
  <si>
    <t>lať na stojato 25/150</t>
  </si>
  <si>
    <t>bednění střechy 25,6*1,85</t>
  </si>
  <si>
    <t>bednění střechy + opravy stropů 7,2*9</t>
  </si>
  <si>
    <t>bednění stropu 3,6*2*2,5</t>
  </si>
  <si>
    <t>Montáž laťování střech, svislé, vzdálenost 50 cm, latě 4/6 cm</t>
  </si>
  <si>
    <t>Montáž laťování střech, svislé, vzdálenost 100 cm, kontralatě 4/6 cm</t>
  </si>
  <si>
    <t>fošny:160/60 dél 2 m x 14 ks</t>
  </si>
  <si>
    <t>fošny 0,16*0,06*2*16</t>
  </si>
  <si>
    <t>doplněná dřev vaznička 0,1*0,16*25,6</t>
  </si>
  <si>
    <t>vrchol lať 0,025*0,1*25,6</t>
  </si>
  <si>
    <t>lať na stojato 0,025*0,15*14</t>
  </si>
  <si>
    <t>stáv vaznička 3,6*7</t>
  </si>
  <si>
    <t>bednšní z prken 0,025*7,2*9</t>
  </si>
  <si>
    <t>podbití z prken 0,02*(0,45+0,0,35)*7*3,6</t>
  </si>
  <si>
    <t>kontralatě 0,04*0,06*4*7*14</t>
  </si>
  <si>
    <t>latě 0,04*0,06*25,6*(17+15)</t>
  </si>
  <si>
    <t xml:space="preserve">kg </t>
  </si>
  <si>
    <t>bednění stropu 3,6*2*2,5*0,5</t>
  </si>
  <si>
    <t>vrchol lať 25/100 25,6*0,25</t>
  </si>
  <si>
    <t xml:space="preserve">3,5x60 žlutý zinek, zápust hlava bed střechy </t>
  </si>
  <si>
    <t>ks</t>
  </si>
  <si>
    <t>dtto</t>
  </si>
  <si>
    <t xml:space="preserve">6x175 žlutý zinek, zápust hlava bed střechy </t>
  </si>
  <si>
    <t xml:space="preserve">6x145 žlutý zinek, zápust hlava bed střechy </t>
  </si>
  <si>
    <t>soub</t>
  </si>
  <si>
    <t>Žlab okapní r.š. 330, strojně lakovaný plech RAL 3009</t>
  </si>
  <si>
    <t>26,5+7+13+8+4,66</t>
  </si>
  <si>
    <t>764 25-2604.T01</t>
  </si>
  <si>
    <t>strojně lakovaný plech RAL 3009</t>
  </si>
  <si>
    <t>764 53-1650.R00</t>
  </si>
  <si>
    <t xml:space="preserve">Oplechování zdí, RŠ do 600 mm </t>
  </si>
  <si>
    <t>16+14+11</t>
  </si>
  <si>
    <r>
      <t>viz výpis 17,</t>
    </r>
    <r>
      <rPr>
        <sz val="8"/>
        <color indexed="12"/>
        <rFont val="Arial"/>
        <family val="2"/>
      </rPr>
      <t xml:space="preserve"> 26*2</t>
    </r>
  </si>
  <si>
    <t>vč podruž materiálu, viz výpis 6-8</t>
  </si>
  <si>
    <t>764 90-8302.T01</t>
  </si>
  <si>
    <t>Lemování okapu střechy do RŠ 250 mm</t>
  </si>
  <si>
    <t>vč podruž materiálu, viz výpis 11-12</t>
  </si>
  <si>
    <t>56+56</t>
  </si>
  <si>
    <t>Závětrnné lišty do RŠ 250 mm</t>
  </si>
  <si>
    <t>vč podruž materiálu, viz výpis 9-10</t>
  </si>
  <si>
    <t>5+11</t>
  </si>
  <si>
    <t>25,6*4+2*2</t>
  </si>
  <si>
    <t>vč podruž materiálu, viz výpis prvků</t>
  </si>
  <si>
    <t xml:space="preserve">D+M výlezu na střechu, vč těs límce, výpis pol 13 </t>
  </si>
  <si>
    <t>6*7</t>
  </si>
  <si>
    <t>25,6*14*1,1</t>
  </si>
  <si>
    <t>D+M sněhových zachytávačů 2 tr, 2 řady</t>
  </si>
  <si>
    <t>998 76-4202.R00</t>
  </si>
  <si>
    <t xml:space="preserve">Přesun hmot pro klempířské konstr., výšky do 12 m </t>
  </si>
  <si>
    <t>Ing. V. Zatloukal</t>
  </si>
  <si>
    <t xml:space="preserve">Provoz stř Povodí Moravy Malenovice, opr střechy </t>
  </si>
  <si>
    <t>Povodí Moravy, s.p., Dřevařská 923/11 Brno</t>
  </si>
  <si>
    <t>Elektromontáže - ochrana proti blesku</t>
  </si>
  <si>
    <t xml:space="preserve">viz samostaná příloha </t>
  </si>
  <si>
    <t>74</t>
  </si>
  <si>
    <t>74 Elektromontáže - ochrana proti blesku</t>
  </si>
  <si>
    <t>celkový</t>
  </si>
  <si>
    <t>28 01 2020</t>
  </si>
  <si>
    <t>kpl</t>
  </si>
  <si>
    <t>94</t>
  </si>
  <si>
    <t>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</si>
  <si>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</si>
  <si>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</si>
  <si>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</si>
  <si>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</si>
  <si>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</si>
  <si>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</si>
  <si>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941955001RX1</t>
  </si>
  <si>
    <t>Lešení lehké pomocné, výška podlahy do 1,2 m bez materiálu</t>
  </si>
  <si>
    <t>Příplatek k odvozu za každý další 1 km (4 km)</t>
  </si>
  <si>
    <t>(15,5*2+9+16+8,95*2,05*2+6)*3,7</t>
  </si>
  <si>
    <t>978015291R00</t>
  </si>
  <si>
    <t xml:space="preserve">Otlučení om vápenných nebo vápenocementových vnitřních s vyškrábáních spár a očištěním zdiva </t>
  </si>
  <si>
    <t>97</t>
  </si>
  <si>
    <t>Prorážení otvorů a ostatní bourací práce</t>
  </si>
  <si>
    <t>767</t>
  </si>
  <si>
    <t>Konstrukce zámečnické</t>
  </si>
  <si>
    <t>767998105R00</t>
  </si>
  <si>
    <t>kg</t>
  </si>
  <si>
    <t>specifikace</t>
  </si>
  <si>
    <t xml:space="preserve">dodávka ocelových svařenců - úhelníků </t>
  </si>
  <si>
    <t>767 Konstrukce zámečnické</t>
  </si>
  <si>
    <t>97 Prorážení otvorů a ostatní bourací práce</t>
  </si>
  <si>
    <t xml:space="preserve"> svorníky M16, matice podl</t>
  </si>
  <si>
    <t>fošny:160/60 dél 2 m x 14 ks = 32 bm</t>
  </si>
  <si>
    <t>doplněná dřev vaznička 60/160 = 25,6bm</t>
  </si>
  <si>
    <t>zpět mont stáv vaznička 100/160 = 25,6bm</t>
  </si>
  <si>
    <t>lať na stojato 25/150 = 14bm</t>
  </si>
  <si>
    <t>vrchol lať 25/100 =25,6bm</t>
  </si>
  <si>
    <t>762331812R00</t>
  </si>
  <si>
    <t>Demontáž konstrukcí krovů z hranolů do 224 cm2</t>
  </si>
  <si>
    <t>762311811R00</t>
  </si>
  <si>
    <t xml:space="preserve">Demontáž kotevních želez do 5 kg </t>
  </si>
  <si>
    <t>762313112R00</t>
  </si>
  <si>
    <t>Demontáž svorníků a šroubů 300mm</t>
  </si>
  <si>
    <t>762342204R00</t>
  </si>
  <si>
    <t>Řezivo hraněné</t>
  </si>
  <si>
    <t xml:space="preserve">Hřebíky </t>
  </si>
  <si>
    <t xml:space="preserve">Vruty </t>
  </si>
  <si>
    <t>998762102R00</t>
  </si>
  <si>
    <t>Přesun hmot pro konstr tesař v obj. v. do 12m vodor do 50m</t>
  </si>
  <si>
    <t>obklad cihel pásek 240/71/9, 48/ m2</t>
  </si>
  <si>
    <t xml:space="preserve">oprava po oplech atik </t>
  </si>
  <si>
    <t>622421131R00</t>
  </si>
  <si>
    <t>Omítky vnější stěn váp nebo vápenocem hladké, sl. 1-2</t>
  </si>
  <si>
    <t xml:space="preserve">keram obklad stěn - vnější </t>
  </si>
  <si>
    <t>781779704R00</t>
  </si>
  <si>
    <t xml:space="preserve">Obkl vnější spár cementovou maltou </t>
  </si>
  <si>
    <t>765799310R00</t>
  </si>
  <si>
    <t>764454803R00</t>
  </si>
  <si>
    <t>Demont odpad trub nebo souč trub kruh DN do 150mm</t>
  </si>
  <si>
    <t>764454855R00</t>
  </si>
  <si>
    <t>Demont odpad trub nebo souč kolen výtok DN do 150mm</t>
  </si>
  <si>
    <t>764334840R00</t>
  </si>
  <si>
    <t>Demont ostat prvků střešních- oplech atiky š.15 cm</t>
  </si>
  <si>
    <t>764334870R00</t>
  </si>
  <si>
    <t>Demont oplech zdí s krycím plechem nadezdívky</t>
  </si>
  <si>
    <t>764351836R00</t>
  </si>
  <si>
    <t>Demont žalbových háků</t>
  </si>
  <si>
    <t>764352820R00</t>
  </si>
  <si>
    <t>Demont žlabů podokapních RŠ do do 400mm</t>
  </si>
  <si>
    <t>764359810R00</t>
  </si>
  <si>
    <t xml:space="preserve">Demont žlabů kotlíku kónického </t>
  </si>
  <si>
    <t>764391840R00</t>
  </si>
  <si>
    <t xml:space="preserve">Demont ostat prvků střešních- závětr lišty </t>
  </si>
  <si>
    <t>7+13+8+4,66</t>
  </si>
  <si>
    <t>Paropropustná fólie typu Satjamfol WI 135g/m2 vč pásky</t>
  </si>
  <si>
    <t>764905901RU1</t>
  </si>
  <si>
    <t>764905302RS2</t>
  </si>
  <si>
    <t xml:space="preserve">D+M hřebenáč hladký, pozink + polyester RAL 3009, viz výpis pol 2-2a  </t>
  </si>
  <si>
    <t>Montáž fólie na krokve přibitím podstřešní difúzní fólie Satjamfol WI 135g/m2 vč pásky, výpis klemp pol 1a</t>
  </si>
  <si>
    <t xml:space="preserve">D+M trapéz šablony Satjam T35, strojně lakovaný plech RAL 3009, tl. min 0,5 mm, spod a hor těsnění, větr pásu,spoj materiálu, viz výpis pol 1  </t>
  </si>
  <si>
    <t>764901204RT1</t>
  </si>
  <si>
    <t>D+M hladká plech. krytina, dvojitá drážka strojně lakovaný plech RAL 3009, výpis pol 3</t>
  </si>
  <si>
    <t xml:space="preserve">D+M hřebenáč hladký, pozink + polyester RAL 3009, viz výpis pol 4  </t>
  </si>
  <si>
    <t>D+M ostat prvků - oplech atiky š 150, oplech zdí, lišty výpis pol 5 - 8</t>
  </si>
  <si>
    <t>764908109RT2</t>
  </si>
  <si>
    <t>Odpad svod kruhový, DN 125 mm, pol 18 vč uchycení, Ko 40st, strojně lakovaný plech RAL 3009, viz výpis 18</t>
  </si>
  <si>
    <t>764815812R0X</t>
  </si>
  <si>
    <t>Kotlík žlabový z lak pl 330/150mm</t>
  </si>
  <si>
    <t>553523115RX</t>
  </si>
  <si>
    <t>553523116RX</t>
  </si>
  <si>
    <t>Koleno výtokovéDN do 150, pz-lak, 72st</t>
  </si>
  <si>
    <t xml:space="preserve">Koleno svodu do DN 150, pz-lak </t>
  </si>
  <si>
    <t>764351837R00</t>
  </si>
  <si>
    <t>D+M žlabových háků</t>
  </si>
  <si>
    <t>podbití z prken tl. 20 mm</t>
  </si>
  <si>
    <t xml:space="preserve">Demontáž, zpět montáž a montáž nových kov konstr </t>
  </si>
  <si>
    <t>atypických hmotnosti do 5 kg zákl nátěr</t>
  </si>
  <si>
    <t>1,805*(8,5+4,5+3+5,6) vnitř om rozvodny a kójí</t>
  </si>
  <si>
    <t>3,6*(8,5+4,5+3+5,6)*2 vnitř om rozvodny a kójí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</si>
</sst>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12"/>
      <name val="Tahoma"/>
      <family val="2"/>
    </font>
    <font>
      <sz val="8"/>
      <color indexed="12"/>
      <name val="Arial CE"/>
      <family val="0"/>
    </font>
    <font>
      <sz val="8"/>
      <color indexed="9"/>
      <name val="Arial CE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 CE"/>
      <family val="0"/>
    </font>
    <font>
      <i/>
      <sz val="10"/>
      <color indexed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0000FF"/>
      <name val="Arial CE"/>
      <family val="2"/>
    </font>
    <font>
      <i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Continuous"/>
    </xf>
    <xf numFmtId="0" fontId="6" fillId="32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2" borderId="16" xfId="0" applyNumberFormat="1" applyFont="1" applyFill="1" applyBorder="1" applyAlignment="1">
      <alignment/>
    </xf>
    <xf numFmtId="49" fontId="3" fillId="32" borderId="17" xfId="0" applyNumberFormat="1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2" borderId="21" xfId="0" applyNumberFormat="1" applyFont="1" applyFill="1" applyBorder="1" applyAlignment="1">
      <alignment/>
    </xf>
    <xf numFmtId="49" fontId="3" fillId="32" borderId="22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2" borderId="29" xfId="0" applyFont="1" applyFill="1" applyBorder="1" applyAlignment="1">
      <alignment horizontal="left"/>
    </xf>
    <xf numFmtId="0" fontId="3" fillId="32" borderId="30" xfId="0" applyFont="1" applyFill="1" applyBorder="1" applyAlignment="1">
      <alignment horizontal="left"/>
    </xf>
    <xf numFmtId="0" fontId="3" fillId="32" borderId="31" xfId="0" applyFont="1" applyFill="1" applyBorder="1" applyAlignment="1">
      <alignment horizontal="centerContinuous"/>
    </xf>
    <xf numFmtId="0" fontId="4" fillId="32" borderId="30" xfId="0" applyFont="1" applyFill="1" applyBorder="1" applyAlignment="1">
      <alignment horizontal="centerContinuous"/>
    </xf>
    <xf numFmtId="0" fontId="3" fillId="32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0" fontId="4" fillId="32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2" borderId="37" xfId="0" applyFont="1" applyFill="1" applyBorder="1" applyAlignment="1">
      <alignment/>
    </xf>
    <xf numFmtId="0" fontId="7" fillId="32" borderId="38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2" borderId="29" xfId="0" applyNumberFormat="1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2" borderId="29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3" fontId="4" fillId="32" borderId="31" xfId="0" applyNumberFormat="1" applyFont="1" applyFill="1" applyBorder="1" applyAlignment="1">
      <alignment/>
    </xf>
    <xf numFmtId="3" fontId="4" fillId="32" borderId="53" xfId="0" applyNumberFormat="1" applyFont="1" applyFill="1" applyBorder="1" applyAlignment="1">
      <alignment/>
    </xf>
    <xf numFmtId="3" fontId="4" fillId="32" borderId="54" xfId="0" applyNumberFormat="1" applyFont="1" applyFill="1" applyBorder="1" applyAlignment="1">
      <alignment/>
    </xf>
    <xf numFmtId="3" fontId="4" fillId="32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2" borderId="41" xfId="0" applyFont="1" applyFill="1" applyBorder="1" applyAlignment="1">
      <alignment/>
    </xf>
    <xf numFmtId="0" fontId="4" fillId="32" borderId="56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/>
    </xf>
    <xf numFmtId="4" fontId="6" fillId="32" borderId="13" xfId="0" applyNumberFormat="1" applyFont="1" applyFill="1" applyBorder="1" applyAlignment="1">
      <alignment horizontal="right"/>
    </xf>
    <xf numFmtId="4" fontId="6" fillId="32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2" borderId="37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4" fontId="3" fillId="32" borderId="57" xfId="0" applyNumberFormat="1" applyFont="1" applyFill="1" applyBorder="1" applyAlignment="1">
      <alignment/>
    </xf>
    <xf numFmtId="4" fontId="3" fillId="32" borderId="37" xfId="0" applyNumberFormat="1" applyFont="1" applyFill="1" applyBorder="1" applyAlignment="1">
      <alignment/>
    </xf>
    <xf numFmtId="4" fontId="3" fillId="32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0" fontId="5" fillId="32" borderId="19" xfId="46" applyFont="1" applyFill="1" applyBorder="1" applyAlignment="1">
      <alignment horizontal="center"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3" fillId="32" borderId="19" xfId="46" applyFont="1" applyFill="1" applyBorder="1" applyAlignment="1">
      <alignment horizontal="center"/>
      <protection/>
    </xf>
    <xf numFmtId="49" fontId="20" fillId="32" borderId="19" xfId="46" applyNumberFormat="1" applyFont="1" applyFill="1" applyBorder="1" applyAlignment="1">
      <alignment horizontal="left"/>
      <protection/>
    </xf>
    <xf numFmtId="4" fontId="4" fillId="32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15" fillId="0" borderId="0" xfId="46" applyFont="1" applyFill="1">
      <alignment/>
      <protection/>
    </xf>
    <xf numFmtId="0" fontId="15" fillId="0" borderId="0" xfId="46" applyFont="1" applyFill="1">
      <alignment/>
      <protection/>
    </xf>
    <xf numFmtId="0" fontId="17" fillId="0" borderId="0" xfId="46" applyFont="1" applyFill="1" applyAlignment="1">
      <alignment wrapText="1"/>
      <protection/>
    </xf>
    <xf numFmtId="0" fontId="0" fillId="0" borderId="19" xfId="46" applyBorder="1">
      <alignment/>
      <protection/>
    </xf>
    <xf numFmtId="0" fontId="23" fillId="0" borderId="19" xfId="46" applyFont="1" applyBorder="1">
      <alignment/>
      <protection/>
    </xf>
    <xf numFmtId="0" fontId="0" fillId="0" borderId="19" xfId="46" applyBorder="1" applyAlignment="1">
      <alignment horizontal="right"/>
      <protection/>
    </xf>
    <xf numFmtId="0" fontId="16" fillId="0" borderId="19" xfId="46" applyFont="1" applyFill="1" applyBorder="1" applyAlignment="1">
      <alignment horizontal="center" vertical="top"/>
      <protection/>
    </xf>
    <xf numFmtId="49" fontId="16" fillId="0" borderId="19" xfId="46" applyNumberFormat="1" applyFont="1" applyFill="1" applyBorder="1" applyAlignment="1">
      <alignment horizontal="left" vertical="top"/>
      <protection/>
    </xf>
    <xf numFmtId="0" fontId="18" fillId="0" borderId="19" xfId="46" applyFont="1" applyFill="1" applyBorder="1" applyAlignment="1">
      <alignment vertical="top" wrapText="1"/>
      <protection/>
    </xf>
    <xf numFmtId="49" fontId="16" fillId="0" borderId="19" xfId="46" applyNumberFormat="1" applyFont="1" applyFill="1" applyBorder="1" applyAlignment="1">
      <alignment horizontal="center" shrinkToFit="1"/>
      <protection/>
    </xf>
    <xf numFmtId="4" fontId="16" fillId="0" borderId="19" xfId="46" applyNumberFormat="1" applyFont="1" applyFill="1" applyBorder="1" applyAlignment="1">
      <alignment horizontal="right"/>
      <protection/>
    </xf>
    <xf numFmtId="4" fontId="16" fillId="0" borderId="19" xfId="46" applyNumberFormat="1" applyFont="1" applyFill="1" applyBorder="1">
      <alignment/>
      <protection/>
    </xf>
    <xf numFmtId="0" fontId="0" fillId="0" borderId="0" xfId="46" applyFont="1" applyFill="1">
      <alignment/>
      <protection/>
    </xf>
    <xf numFmtId="49" fontId="18" fillId="0" borderId="19" xfId="46" applyNumberFormat="1" applyFont="1" applyFill="1" applyBorder="1" applyAlignment="1">
      <alignment horizontal="left" wrapText="1"/>
      <protection/>
    </xf>
    <xf numFmtId="49" fontId="19" fillId="0" borderId="19" xfId="0" applyNumberFormat="1" applyFont="1" applyFill="1" applyBorder="1" applyAlignment="1">
      <alignment horizontal="left" wrapText="1"/>
    </xf>
    <xf numFmtId="0" fontId="9" fillId="0" borderId="19" xfId="46" applyFont="1" applyFill="1" applyBorder="1" applyAlignment="1">
      <alignment horizontal="right"/>
      <protection/>
    </xf>
    <xf numFmtId="49" fontId="16" fillId="0" borderId="19" xfId="46" applyNumberFormat="1" applyFont="1" applyFill="1" applyBorder="1" applyAlignment="1">
      <alignment horizontal="left" wrapText="1"/>
      <protection/>
    </xf>
    <xf numFmtId="49" fontId="16" fillId="0" borderId="19" xfId="0" applyNumberFormat="1" applyFont="1" applyFill="1" applyBorder="1" applyAlignment="1">
      <alignment horizontal="center" wrapText="1"/>
    </xf>
    <xf numFmtId="0" fontId="18" fillId="0" borderId="19" xfId="46" applyFont="1" applyFill="1" applyBorder="1" applyAlignment="1">
      <alignment horizontal="center"/>
      <protection/>
    </xf>
    <xf numFmtId="49" fontId="18" fillId="0" borderId="19" xfId="46" applyNumberFormat="1" applyFont="1" applyFill="1" applyBorder="1" applyAlignment="1">
      <alignment horizontal="right"/>
      <protection/>
    </xf>
    <xf numFmtId="49" fontId="18" fillId="0" borderId="19" xfId="0" applyNumberFormat="1" applyFont="1" applyFill="1" applyBorder="1" applyAlignment="1">
      <alignment horizontal="left" wrapText="1"/>
    </xf>
    <xf numFmtId="4" fontId="18" fillId="0" borderId="19" xfId="46" applyNumberFormat="1" applyFont="1" applyFill="1" applyBorder="1" applyAlignment="1">
      <alignment horizontal="right" wrapText="1"/>
      <protection/>
    </xf>
    <xf numFmtId="0" fontId="18" fillId="0" borderId="19" xfId="46" applyFont="1" applyFill="1" applyBorder="1" applyAlignment="1">
      <alignment horizontal="left" wrapText="1"/>
      <protection/>
    </xf>
    <xf numFmtId="0" fontId="18" fillId="0" borderId="19" xfId="0" applyFont="1" applyFill="1" applyBorder="1" applyAlignment="1">
      <alignment horizontal="right"/>
    </xf>
    <xf numFmtId="0" fontId="18" fillId="0" borderId="19" xfId="46" applyFont="1" applyFill="1" applyBorder="1">
      <alignment/>
      <protection/>
    </xf>
    <xf numFmtId="0" fontId="18" fillId="0" borderId="19" xfId="46" applyFont="1" applyFill="1" applyBorder="1" applyAlignment="1">
      <alignment horizontal="right"/>
      <protection/>
    </xf>
    <xf numFmtId="49" fontId="28" fillId="0" borderId="19" xfId="46" applyNumberFormat="1" applyFont="1" applyFill="1" applyBorder="1" applyAlignment="1">
      <alignment horizontal="left" wrapText="1"/>
      <protection/>
    </xf>
    <xf numFmtId="49" fontId="28" fillId="0" borderId="19" xfId="0" applyNumberFormat="1" applyFont="1" applyFill="1" applyBorder="1" applyAlignment="1">
      <alignment horizontal="left" wrapText="1"/>
    </xf>
    <xf numFmtId="0" fontId="24" fillId="0" borderId="19" xfId="46" applyFont="1" applyFill="1" applyBorder="1">
      <alignment/>
      <protection/>
    </xf>
    <xf numFmtId="4" fontId="26" fillId="0" borderId="19" xfId="46" applyNumberFormat="1" applyFont="1" applyFill="1" applyBorder="1">
      <alignment/>
      <protection/>
    </xf>
    <xf numFmtId="0" fontId="16" fillId="0" borderId="19" xfId="46" applyFont="1" applyFill="1" applyBorder="1" applyAlignment="1">
      <alignment vertical="top" wrapText="1"/>
      <protection/>
    </xf>
    <xf numFmtId="0" fontId="5" fillId="0" borderId="19" xfId="46" applyFont="1" applyFill="1" applyBorder="1" applyAlignment="1">
      <alignment horizontal="center"/>
      <protection/>
    </xf>
    <xf numFmtId="49" fontId="5" fillId="0" borderId="19" xfId="46" applyNumberFormat="1" applyFont="1" applyFill="1" applyBorder="1" applyAlignment="1">
      <alignment horizontal="right"/>
      <protection/>
    </xf>
    <xf numFmtId="0" fontId="0" fillId="0" borderId="19" xfId="46" applyFill="1" applyBorder="1">
      <alignment/>
      <protection/>
    </xf>
    <xf numFmtId="0" fontId="24" fillId="0" borderId="19" xfId="0" applyFont="1" applyFill="1" applyBorder="1" applyAlignment="1">
      <alignment/>
    </xf>
    <xf numFmtId="0" fontId="18" fillId="0" borderId="0" xfId="46" applyFont="1" applyFill="1">
      <alignment/>
      <protection/>
    </xf>
    <xf numFmtId="0" fontId="18" fillId="0" borderId="0" xfId="46" applyFont="1" applyFill="1" applyAlignment="1">
      <alignment wrapText="1"/>
      <protection/>
    </xf>
    <xf numFmtId="0" fontId="26" fillId="0" borderId="19" xfId="46" applyFont="1" applyFill="1" applyBorder="1" applyAlignment="1">
      <alignment horizontal="center" vertical="top"/>
      <protection/>
    </xf>
    <xf numFmtId="49" fontId="26" fillId="0" borderId="19" xfId="46" applyNumberFormat="1" applyFont="1" applyFill="1" applyBorder="1" applyAlignment="1">
      <alignment horizontal="left" vertical="top"/>
      <protection/>
    </xf>
    <xf numFmtId="0" fontId="26" fillId="0" borderId="19" xfId="46" applyFont="1" applyFill="1" applyBorder="1" applyAlignment="1">
      <alignment vertical="top" wrapText="1"/>
      <protection/>
    </xf>
    <xf numFmtId="49" fontId="26" fillId="0" borderId="19" xfId="46" applyNumberFormat="1" applyFont="1" applyFill="1" applyBorder="1" applyAlignment="1">
      <alignment horizontal="center" shrinkToFit="1"/>
      <protection/>
    </xf>
    <xf numFmtId="4" fontId="26" fillId="0" borderId="19" xfId="46" applyNumberFormat="1" applyFont="1" applyFill="1" applyBorder="1" applyAlignment="1">
      <alignment horizontal="right"/>
      <protection/>
    </xf>
    <xf numFmtId="0" fontId="27" fillId="0" borderId="19" xfId="46" applyFont="1" applyFill="1" applyBorder="1" applyAlignment="1">
      <alignment horizontal="center"/>
      <protection/>
    </xf>
    <xf numFmtId="0" fontId="28" fillId="0" borderId="19" xfId="46" applyFont="1" applyFill="1" applyBorder="1" applyAlignment="1">
      <alignment horizontal="left" wrapText="1"/>
      <protection/>
    </xf>
    <xf numFmtId="0" fontId="28" fillId="0" borderId="19" xfId="0" applyFont="1" applyFill="1" applyBorder="1" applyAlignment="1">
      <alignment horizontal="right"/>
    </xf>
    <xf numFmtId="4" fontId="28" fillId="0" borderId="19" xfId="46" applyNumberFormat="1" applyFont="1" applyFill="1" applyBorder="1" applyAlignment="1">
      <alignment horizontal="right" wrapText="1"/>
      <protection/>
    </xf>
    <xf numFmtId="0" fontId="26" fillId="0" borderId="19" xfId="46" applyFont="1" applyFill="1" applyBorder="1" applyAlignment="1">
      <alignment horizontal="center"/>
      <protection/>
    </xf>
    <xf numFmtId="49" fontId="26" fillId="0" borderId="19" xfId="46" applyNumberFormat="1" applyFont="1" applyFill="1" applyBorder="1" applyAlignment="1">
      <alignment horizontal="right"/>
      <protection/>
    </xf>
    <xf numFmtId="0" fontId="9" fillId="0" borderId="0" xfId="46" applyFont="1" applyFill="1">
      <alignment/>
      <protection/>
    </xf>
    <xf numFmtId="0" fontId="25" fillId="0" borderId="0" xfId="46" applyFont="1" applyFill="1">
      <alignment/>
      <protection/>
    </xf>
    <xf numFmtId="0" fontId="24" fillId="0" borderId="0" xfId="46" applyFont="1" applyFill="1">
      <alignment/>
      <protection/>
    </xf>
    <xf numFmtId="0" fontId="0" fillId="0" borderId="0" xfId="46" applyNumberFormat="1" applyFill="1">
      <alignment/>
      <protection/>
    </xf>
    <xf numFmtId="0" fontId="3" fillId="0" borderId="19" xfId="46" applyFont="1" applyFill="1" applyBorder="1" applyAlignment="1">
      <alignment horizontal="center"/>
      <protection/>
    </xf>
    <xf numFmtId="49" fontId="20" fillId="0" borderId="19" xfId="46" applyNumberFormat="1" applyFont="1" applyFill="1" applyBorder="1" applyAlignment="1">
      <alignment horizontal="left"/>
      <protection/>
    </xf>
    <xf numFmtId="4" fontId="4" fillId="0" borderId="19" xfId="46" applyNumberFormat="1" applyFont="1" applyFill="1" applyBorder="1">
      <alignment/>
      <protection/>
    </xf>
    <xf numFmtId="3" fontId="0" fillId="0" borderId="0" xfId="46" applyNumberFormat="1" applyFill="1">
      <alignment/>
      <protection/>
    </xf>
    <xf numFmtId="49" fontId="9" fillId="0" borderId="19" xfId="46" applyNumberFormat="1" applyFont="1" applyFill="1" applyBorder="1" applyAlignment="1">
      <alignment horizontal="left"/>
      <protection/>
    </xf>
    <xf numFmtId="0" fontId="9" fillId="0" borderId="19" xfId="46" applyFont="1" applyFill="1" applyBorder="1" applyAlignment="1">
      <alignment wrapText="1"/>
      <protection/>
    </xf>
    <xf numFmtId="0" fontId="0" fillId="0" borderId="0" xfId="46" applyFill="1" applyAlignment="1">
      <alignment horizontal="left"/>
      <protection/>
    </xf>
    <xf numFmtId="4" fontId="16" fillId="0" borderId="19" xfId="46" applyNumberFormat="1" applyFont="1" applyFill="1" applyBorder="1" applyAlignment="1">
      <alignment horizontal="right" wrapText="1"/>
      <protection/>
    </xf>
    <xf numFmtId="0" fontId="16" fillId="0" borderId="19" xfId="46" applyFont="1" applyFill="1" applyBorder="1" applyAlignment="1">
      <alignment horizontal="right" wrapText="1"/>
      <protection/>
    </xf>
    <xf numFmtId="4" fontId="18" fillId="0" borderId="19" xfId="46" applyNumberFormat="1" applyFont="1" applyFill="1" applyBorder="1" applyAlignment="1">
      <alignment horizontal="right"/>
      <protection/>
    </xf>
    <xf numFmtId="0" fontId="9" fillId="0" borderId="19" xfId="46" applyFont="1" applyBorder="1">
      <alignment/>
      <protection/>
    </xf>
    <xf numFmtId="0" fontId="9" fillId="0" borderId="19" xfId="46" applyFont="1" applyBorder="1" applyAlignment="1">
      <alignment horizontal="right"/>
      <protection/>
    </xf>
    <xf numFmtId="0" fontId="24" fillId="0" borderId="19" xfId="46" applyFont="1" applyBorder="1" applyAlignment="1">
      <alignment horizontal="right"/>
      <protection/>
    </xf>
    <xf numFmtId="4" fontId="9" fillId="0" borderId="19" xfId="46" applyNumberFormat="1" applyFont="1" applyFill="1" applyBorder="1" applyAlignment="1">
      <alignment horizontal="right"/>
      <protection/>
    </xf>
    <xf numFmtId="0" fontId="9" fillId="0" borderId="19" xfId="46" applyFont="1" applyBorder="1" applyAlignment="1">
      <alignment horizontal="center"/>
      <protection/>
    </xf>
    <xf numFmtId="0" fontId="9" fillId="0" borderId="19" xfId="46" applyFont="1" applyFill="1" applyBorder="1">
      <alignment/>
      <protection/>
    </xf>
    <xf numFmtId="0" fontId="0" fillId="0" borderId="19" xfId="46" applyFill="1" applyBorder="1" applyAlignment="1">
      <alignment horizontal="center"/>
      <protection/>
    </xf>
    <xf numFmtId="4" fontId="3" fillId="0" borderId="19" xfId="46" applyNumberFormat="1" applyFont="1" applyFill="1" applyBorder="1" applyAlignment="1">
      <alignment horizontal="right"/>
      <protection/>
    </xf>
    <xf numFmtId="0" fontId="20" fillId="32" borderId="19" xfId="46" applyFont="1" applyFill="1" applyBorder="1">
      <alignment/>
      <protection/>
    </xf>
    <xf numFmtId="4" fontId="3" fillId="32" borderId="19" xfId="46" applyNumberFormat="1" applyFont="1" applyFill="1" applyBorder="1" applyAlignment="1">
      <alignment horizontal="right"/>
      <protection/>
    </xf>
    <xf numFmtId="0" fontId="20" fillId="0" borderId="19" xfId="46" applyFont="1" applyFill="1" applyBorder="1">
      <alignment/>
      <protection/>
    </xf>
    <xf numFmtId="49" fontId="16" fillId="0" borderId="19" xfId="46" applyNumberFormat="1" applyFont="1" applyFill="1" applyBorder="1" applyAlignment="1">
      <alignment horizontal="left"/>
      <protection/>
    </xf>
    <xf numFmtId="0" fontId="16" fillId="0" borderId="19" xfId="46" applyFont="1" applyFill="1" applyBorder="1" applyAlignment="1">
      <alignment horizontal="center"/>
      <protection/>
    </xf>
    <xf numFmtId="0" fontId="26" fillId="0" borderId="19" xfId="46" applyFont="1" applyFill="1" applyBorder="1">
      <alignment/>
      <protection/>
    </xf>
    <xf numFmtId="49" fontId="26" fillId="0" borderId="19" xfId="46" applyNumberFormat="1" applyFont="1" applyFill="1" applyBorder="1" applyAlignment="1">
      <alignment horizontal="left"/>
      <protection/>
    </xf>
    <xf numFmtId="49" fontId="4" fillId="0" borderId="19" xfId="46" applyNumberFormat="1" applyFont="1" applyBorder="1" applyAlignment="1">
      <alignment horizontal="left"/>
      <protection/>
    </xf>
    <xf numFmtId="0" fontId="4" fillId="0" borderId="19" xfId="46" applyFont="1" applyBorder="1">
      <alignment/>
      <protection/>
    </xf>
    <xf numFmtId="0" fontId="3" fillId="0" borderId="19" xfId="46" applyFont="1" applyBorder="1" applyAlignment="1">
      <alignment horizontal="center"/>
      <protection/>
    </xf>
    <xf numFmtId="0" fontId="3" fillId="0" borderId="19" xfId="46" applyNumberFormat="1" applyFont="1" applyBorder="1" applyAlignment="1">
      <alignment horizontal="right"/>
      <protection/>
    </xf>
    <xf numFmtId="0" fontId="3" fillId="0" borderId="19" xfId="46" applyNumberFormat="1" applyFont="1" applyBorder="1">
      <alignment/>
      <protection/>
    </xf>
    <xf numFmtId="0" fontId="5" fillId="32" borderId="19" xfId="46" applyNumberFormat="1" applyFont="1" applyFill="1" applyBorder="1" applyAlignment="1">
      <alignment horizontal="center"/>
      <protection/>
    </xf>
    <xf numFmtId="49" fontId="16" fillId="0" borderId="19" xfId="0" applyNumberFormat="1" applyFont="1" applyFill="1" applyBorder="1" applyAlignment="1">
      <alignment horizontal="left" wrapText="1"/>
    </xf>
    <xf numFmtId="0" fontId="4" fillId="0" borderId="19" xfId="46" applyFont="1" applyFill="1" applyBorder="1" applyAlignment="1">
      <alignment horizontal="center"/>
      <protection/>
    </xf>
    <xf numFmtId="49" fontId="4" fillId="0" borderId="19" xfId="46" applyNumberFormat="1" applyFont="1" applyFill="1" applyBorder="1" applyAlignment="1">
      <alignment horizontal="left"/>
      <protection/>
    </xf>
    <xf numFmtId="0" fontId="4" fillId="0" borderId="19" xfId="46" applyFont="1" applyFill="1" applyBorder="1">
      <alignment/>
      <protection/>
    </xf>
    <xf numFmtId="0" fontId="3" fillId="0" borderId="19" xfId="46" applyNumberFormat="1" applyFont="1" applyFill="1" applyBorder="1" applyAlignment="1">
      <alignment horizontal="right"/>
      <protection/>
    </xf>
    <xf numFmtId="0" fontId="3" fillId="0" borderId="19" xfId="46" applyNumberFormat="1" applyFont="1" applyFill="1" applyBorder="1">
      <alignment/>
      <protection/>
    </xf>
    <xf numFmtId="49" fontId="16" fillId="0" borderId="19" xfId="46" applyNumberFormat="1" applyFont="1" applyBorder="1" applyAlignment="1">
      <alignment horizontal="left" vertical="top"/>
      <protection/>
    </xf>
    <xf numFmtId="0" fontId="16" fillId="0" borderId="19" xfId="46" applyFont="1" applyBorder="1" applyAlignment="1">
      <alignment vertical="top" wrapText="1"/>
      <protection/>
    </xf>
    <xf numFmtId="49" fontId="16" fillId="0" borderId="19" xfId="46" applyNumberFormat="1" applyFont="1" applyBorder="1" applyAlignment="1">
      <alignment horizontal="center" shrinkToFit="1"/>
      <protection/>
    </xf>
    <xf numFmtId="4" fontId="16" fillId="0" borderId="19" xfId="46" applyNumberFormat="1" applyFont="1" applyBorder="1" applyAlignment="1">
      <alignment horizontal="right"/>
      <protection/>
    </xf>
    <xf numFmtId="4" fontId="16" fillId="0" borderId="19" xfId="46" applyNumberFormat="1" applyFont="1" applyBorder="1">
      <alignment/>
      <protection/>
    </xf>
    <xf numFmtId="0" fontId="0" fillId="32" borderId="19" xfId="46" applyFill="1" applyBorder="1">
      <alignment/>
      <protection/>
    </xf>
    <xf numFmtId="0" fontId="0" fillId="32" borderId="19" xfId="46" applyFill="1" applyBorder="1" applyAlignment="1">
      <alignment horizontal="right"/>
      <protection/>
    </xf>
    <xf numFmtId="0" fontId="24" fillId="0" borderId="19" xfId="46" applyFont="1" applyFill="1" applyBorder="1" applyAlignment="1">
      <alignment horizontal="right"/>
      <protection/>
    </xf>
    <xf numFmtId="4" fontId="26" fillId="0" borderId="19" xfId="46" applyNumberFormat="1" applyFont="1" applyFill="1" applyBorder="1" applyAlignment="1">
      <alignment horizontal="right" wrapText="1"/>
      <protection/>
    </xf>
    <xf numFmtId="3" fontId="9" fillId="0" borderId="19" xfId="46" applyNumberFormat="1" applyFont="1" applyFill="1" applyBorder="1" applyAlignment="1">
      <alignment horizontal="right"/>
      <protection/>
    </xf>
    <xf numFmtId="0" fontId="9" fillId="0" borderId="19" xfId="46" applyFont="1" applyFill="1" applyBorder="1" applyAlignment="1">
      <alignment horizontal="center"/>
      <protection/>
    </xf>
    <xf numFmtId="0" fontId="21" fillId="0" borderId="19" xfId="46" applyFont="1" applyFill="1" applyBorder="1">
      <alignment/>
      <protection/>
    </xf>
    <xf numFmtId="49" fontId="26" fillId="0" borderId="19" xfId="46" applyNumberFormat="1" applyFont="1" applyFill="1" applyBorder="1" applyAlignment="1">
      <alignment vertical="top"/>
      <protection/>
    </xf>
    <xf numFmtId="49" fontId="26" fillId="0" borderId="19" xfId="46" applyNumberFormat="1" applyFont="1" applyFill="1" applyBorder="1" applyAlignment="1">
      <alignment/>
      <protection/>
    </xf>
    <xf numFmtId="0" fontId="30" fillId="0" borderId="0" xfId="46" applyFont="1" applyFill="1">
      <alignment/>
      <protection/>
    </xf>
    <xf numFmtId="0" fontId="31" fillId="0" borderId="0" xfId="46" applyFont="1" applyFill="1">
      <alignment/>
      <protection/>
    </xf>
    <xf numFmtId="0" fontId="31" fillId="0" borderId="0" xfId="46" applyFont="1" applyFill="1">
      <alignment/>
      <protection/>
    </xf>
    <xf numFmtId="4" fontId="0" fillId="0" borderId="0" xfId="46" applyNumberFormat="1" applyFill="1">
      <alignment/>
      <protection/>
    </xf>
    <xf numFmtId="4" fontId="9" fillId="0" borderId="19" xfId="46" applyNumberFormat="1" applyFont="1" applyFill="1" applyBorder="1">
      <alignment/>
      <protection/>
    </xf>
    <xf numFmtId="2" fontId="16" fillId="0" borderId="19" xfId="46" applyNumberFormat="1" applyFont="1" applyFill="1" applyBorder="1" applyAlignment="1">
      <alignment horizontal="right" wrapText="1"/>
      <protection/>
    </xf>
    <xf numFmtId="0" fontId="9" fillId="0" borderId="19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19" xfId="46" applyFont="1" applyFill="1" applyBorder="1">
      <alignment/>
      <protection/>
    </xf>
    <xf numFmtId="3" fontId="9" fillId="0" borderId="0" xfId="46" applyNumberFormat="1" applyFont="1" applyFill="1">
      <alignment/>
      <protection/>
    </xf>
    <xf numFmtId="4" fontId="18" fillId="0" borderId="19" xfId="46" applyNumberFormat="1" applyFont="1" applyFill="1" applyBorder="1" applyAlignment="1">
      <alignment horizontal="left"/>
      <protection/>
    </xf>
    <xf numFmtId="2" fontId="9" fillId="0" borderId="19" xfId="46" applyNumberFormat="1" applyFont="1" applyFill="1" applyBorder="1">
      <alignment/>
      <protection/>
    </xf>
    <xf numFmtId="0" fontId="3" fillId="0" borderId="0" xfId="46" applyFont="1" applyFill="1">
      <alignment/>
      <protection/>
    </xf>
    <xf numFmtId="0" fontId="5" fillId="0" borderId="0" xfId="46" applyFont="1" applyFill="1">
      <alignment/>
      <protection/>
    </xf>
    <xf numFmtId="49" fontId="5" fillId="0" borderId="19" xfId="46" applyNumberFormat="1" applyFont="1" applyFill="1" applyBorder="1">
      <alignment/>
      <protection/>
    </xf>
    <xf numFmtId="0" fontId="0" fillId="0" borderId="0" xfId="46" applyFill="1" applyBorder="1">
      <alignment/>
      <protection/>
    </xf>
    <xf numFmtId="0" fontId="21" fillId="0" borderId="0" xfId="46" applyFont="1" applyFill="1" applyAlignment="1">
      <alignment/>
      <protection/>
    </xf>
    <xf numFmtId="0" fontId="21" fillId="0" borderId="0" xfId="46" applyFont="1" applyFill="1" applyBorder="1" applyAlignment="1">
      <alignment/>
      <protection/>
    </xf>
    <xf numFmtId="0" fontId="66" fillId="0" borderId="19" xfId="0" applyFont="1" applyFill="1" applyBorder="1" applyAlignment="1">
      <alignment/>
    </xf>
    <xf numFmtId="4" fontId="67" fillId="0" borderId="19" xfId="46" applyNumberFormat="1" applyFont="1" applyFill="1" applyBorder="1" applyAlignment="1">
      <alignment horizontal="right" wrapText="1"/>
      <protection/>
    </xf>
    <xf numFmtId="166" fontId="3" fillId="0" borderId="60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166" fontId="7" fillId="32" borderId="61" xfId="0" applyNumberFormat="1" applyFont="1" applyFill="1" applyBorder="1" applyAlignment="1">
      <alignment horizontal="right" indent="2"/>
    </xf>
    <xf numFmtId="166" fontId="7" fillId="32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62" xfId="46" applyFont="1" applyBorder="1" applyAlignment="1">
      <alignment horizontal="center"/>
      <protection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7" xfId="46" applyFont="1" applyBorder="1" applyAlignment="1">
      <alignment horizontal="left"/>
      <protection/>
    </xf>
    <xf numFmtId="3" fontId="4" fillId="32" borderId="38" xfId="0" applyNumberFormat="1" applyFont="1" applyFill="1" applyBorder="1" applyAlignment="1">
      <alignment horizontal="right"/>
    </xf>
    <xf numFmtId="3" fontId="4" fillId="32" borderId="57" xfId="0" applyNumberFormat="1" applyFont="1" applyFill="1" applyBorder="1" applyAlignment="1">
      <alignment horizontal="right"/>
    </xf>
    <xf numFmtId="49" fontId="18" fillId="0" borderId="19" xfId="46" applyNumberFormat="1" applyFont="1" applyFill="1" applyBorder="1" applyAlignment="1">
      <alignment horizontal="left" wrapText="1"/>
      <protection/>
    </xf>
    <xf numFmtId="49" fontId="19" fillId="0" borderId="19" xfId="0" applyNumberFormat="1" applyFont="1" applyFill="1" applyBorder="1" applyAlignment="1">
      <alignment horizontal="left" wrapText="1"/>
    </xf>
    <xf numFmtId="49" fontId="28" fillId="0" borderId="19" xfId="46" applyNumberFormat="1" applyFont="1" applyFill="1" applyBorder="1" applyAlignment="1">
      <alignment horizontal="left" wrapText="1"/>
      <protection/>
    </xf>
    <xf numFmtId="49" fontId="28" fillId="0" borderId="19" xfId="0" applyNumberFormat="1" applyFont="1" applyFill="1" applyBorder="1" applyAlignment="1">
      <alignment horizontal="left" wrapText="1"/>
    </xf>
    <xf numFmtId="49" fontId="16" fillId="0" borderId="19" xfId="46" applyNumberFormat="1" applyFont="1" applyFill="1" applyBorder="1" applyAlignment="1">
      <alignment horizontal="left" wrapText="1"/>
      <protection/>
    </xf>
    <xf numFmtId="49" fontId="18" fillId="0" borderId="19" xfId="0" applyNumberFormat="1" applyFont="1" applyFill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4" xfId="46" applyNumberFormat="1" applyFont="1" applyBorder="1" applyAlignment="1">
      <alignment horizontal="center"/>
      <protection/>
    </xf>
    <xf numFmtId="0" fontId="3" fillId="0" borderId="66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7" xfId="46" applyFont="1" applyBorder="1" applyAlignment="1">
      <alignment horizontal="center" shrinkToFit="1"/>
      <protection/>
    </xf>
    <xf numFmtId="49" fontId="29" fillId="0" borderId="19" xfId="0" applyNumberFormat="1" applyFont="1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celkový</v>
      </c>
      <c r="D2" s="5">
        <f>Rekapitulace!G2</f>
        <v>1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75</v>
      </c>
      <c r="B5" s="16"/>
      <c r="C5" s="17">
        <v>1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247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310" t="s">
        <v>246</v>
      </c>
      <c r="D8" s="310"/>
      <c r="E8" s="311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310" t="str">
        <f>Projektant</f>
        <v>Ing. V. Zatloukal</v>
      </c>
      <c r="D9" s="310"/>
      <c r="E9" s="311"/>
      <c r="F9" s="11"/>
      <c r="G9" s="33"/>
      <c r="H9" s="34"/>
    </row>
    <row r="10" spans="1:8" ht="12.75">
      <c r="A10" s="28" t="s">
        <v>15</v>
      </c>
      <c r="B10" s="11"/>
      <c r="C10" s="310" t="s">
        <v>248</v>
      </c>
      <c r="D10" s="310"/>
      <c r="E10" s="310"/>
      <c r="F10" s="35"/>
      <c r="G10" s="36"/>
      <c r="H10" s="37"/>
    </row>
    <row r="11" spans="1:57" ht="13.5" customHeight="1">
      <c r="A11" s="28" t="s">
        <v>16</v>
      </c>
      <c r="B11" s="11"/>
      <c r="C11" s="310"/>
      <c r="D11" s="310"/>
      <c r="E11" s="310"/>
      <c r="F11" s="38" t="s">
        <v>17</v>
      </c>
      <c r="G11" s="39" t="s">
        <v>254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307" t="s">
        <v>246</v>
      </c>
      <c r="D12" s="307"/>
      <c r="E12" s="307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Rekapitulace!A26</f>
        <v>Ztížené výrobní podmínky</v>
      </c>
      <c r="E15" s="57"/>
      <c r="F15" s="58"/>
      <c r="G15" s="55">
        <f>Rekapitulace!I26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Rekapitulace!A27</f>
        <v>Oborová přirážka</v>
      </c>
      <c r="E16" s="59"/>
      <c r="F16" s="60"/>
      <c r="G16" s="55">
        <f>Rekapitulace!I27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Rekapitulace!A28</f>
        <v>Přesun stavebních kapacit</v>
      </c>
      <c r="E17" s="59"/>
      <c r="F17" s="60"/>
      <c r="G17" s="55">
        <f>Rekapitulace!I28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Rekapitulace!A29</f>
        <v>Mimostaveništní doprava</v>
      </c>
      <c r="E18" s="59"/>
      <c r="F18" s="60"/>
      <c r="G18" s="55">
        <f>Rekapitulace!I29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Rekapitulace!A30</f>
        <v>Zařízení staveniště</v>
      </c>
      <c r="E19" s="59"/>
      <c r="F19" s="60"/>
      <c r="G19" s="55">
        <f>Rekapitulace!I30</f>
        <v>0</v>
      </c>
    </row>
    <row r="20" spans="1:7" ht="15.75" customHeight="1">
      <c r="A20" s="63"/>
      <c r="B20" s="54"/>
      <c r="C20" s="55"/>
      <c r="D20" s="8" t="str">
        <f>Rekapitulace!A31</f>
        <v>Provoz investora</v>
      </c>
      <c r="E20" s="59"/>
      <c r="F20" s="60"/>
      <c r="G20" s="55">
        <f>Rekapitulace!I31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Rekapitulace!A32</f>
        <v>Kompletační činnost (IČD)</v>
      </c>
      <c r="E21" s="59"/>
      <c r="F21" s="60"/>
      <c r="G21" s="55">
        <f>Rekapitulace!I32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308" t="s">
        <v>34</v>
      </c>
      <c r="B23" s="309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305">
        <f>ROUND(C23-F32,0)</f>
        <v>0</v>
      </c>
      <c r="G30" s="306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305">
        <f>ROUND(PRODUCT(F30,C31/100),1)</f>
        <v>0</v>
      </c>
      <c r="G31" s="306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305">
        <v>0</v>
      </c>
      <c r="G32" s="306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305">
        <f>ROUND(PRODUCT(F32,C33/100),1)</f>
        <v>0</v>
      </c>
      <c r="G33" s="306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312">
        <f>CEILING(SUM(F30:F33),IF(SUM(F30:F33)&gt;=0,1,-1))</f>
        <v>0</v>
      </c>
      <c r="G34" s="313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315"/>
      <c r="C37" s="315"/>
      <c r="D37" s="315"/>
      <c r="E37" s="315"/>
      <c r="F37" s="315"/>
      <c r="G37" s="315"/>
      <c r="H37" t="s">
        <v>6</v>
      </c>
    </row>
    <row r="38" spans="1:8" ht="12.75" customHeight="1">
      <c r="A38" s="95"/>
      <c r="B38" s="315"/>
      <c r="C38" s="315"/>
      <c r="D38" s="315"/>
      <c r="E38" s="315"/>
      <c r="F38" s="315"/>
      <c r="G38" s="315"/>
      <c r="H38" t="s">
        <v>6</v>
      </c>
    </row>
    <row r="39" spans="1:8" ht="12.75">
      <c r="A39" s="95"/>
      <c r="B39" s="315"/>
      <c r="C39" s="315"/>
      <c r="D39" s="315"/>
      <c r="E39" s="315"/>
      <c r="F39" s="315"/>
      <c r="G39" s="315"/>
      <c r="H39" t="s">
        <v>6</v>
      </c>
    </row>
    <row r="40" spans="1:8" ht="12.75">
      <c r="A40" s="95"/>
      <c r="B40" s="315"/>
      <c r="C40" s="315"/>
      <c r="D40" s="315"/>
      <c r="E40" s="315"/>
      <c r="F40" s="315"/>
      <c r="G40" s="315"/>
      <c r="H40" t="s">
        <v>6</v>
      </c>
    </row>
    <row r="41" spans="1:8" ht="12.75">
      <c r="A41" s="95"/>
      <c r="B41" s="315"/>
      <c r="C41" s="315"/>
      <c r="D41" s="315"/>
      <c r="E41" s="315"/>
      <c r="F41" s="315"/>
      <c r="G41" s="315"/>
      <c r="H41" t="s">
        <v>6</v>
      </c>
    </row>
    <row r="42" spans="1:8" ht="12.75">
      <c r="A42" s="95"/>
      <c r="B42" s="315"/>
      <c r="C42" s="315"/>
      <c r="D42" s="315"/>
      <c r="E42" s="315"/>
      <c r="F42" s="315"/>
      <c r="G42" s="315"/>
      <c r="H42" t="s">
        <v>6</v>
      </c>
    </row>
    <row r="43" spans="1:8" ht="12.75">
      <c r="A43" s="95"/>
      <c r="B43" s="315"/>
      <c r="C43" s="315"/>
      <c r="D43" s="315"/>
      <c r="E43" s="315"/>
      <c r="F43" s="315"/>
      <c r="G43" s="315"/>
      <c r="H43" t="s">
        <v>6</v>
      </c>
    </row>
    <row r="44" spans="1:8" ht="12.75">
      <c r="A44" s="95"/>
      <c r="B44" s="315"/>
      <c r="C44" s="315"/>
      <c r="D44" s="315"/>
      <c r="E44" s="315"/>
      <c r="F44" s="315"/>
      <c r="G44" s="315"/>
      <c r="H44" t="s">
        <v>6</v>
      </c>
    </row>
    <row r="45" spans="1:8" ht="0.75" customHeight="1">
      <c r="A45" s="95"/>
      <c r="B45" s="315"/>
      <c r="C45" s="315"/>
      <c r="D45" s="315"/>
      <c r="E45" s="315"/>
      <c r="F45" s="315"/>
      <c r="G45" s="315"/>
      <c r="H45" t="s">
        <v>6</v>
      </c>
    </row>
    <row r="46" spans="2:7" ht="12.75">
      <c r="B46" s="314"/>
      <c r="C46" s="314"/>
      <c r="D46" s="314"/>
      <c r="E46" s="314"/>
      <c r="F46" s="314"/>
      <c r="G46" s="314"/>
    </row>
    <row r="47" spans="2:7" ht="12.75">
      <c r="B47" s="314"/>
      <c r="C47" s="314"/>
      <c r="D47" s="314"/>
      <c r="E47" s="314"/>
      <c r="F47" s="314"/>
      <c r="G47" s="314"/>
    </row>
    <row r="48" spans="2:7" ht="12.75">
      <c r="B48" s="314"/>
      <c r="C48" s="314"/>
      <c r="D48" s="314"/>
      <c r="E48" s="314"/>
      <c r="F48" s="314"/>
      <c r="G48" s="314"/>
    </row>
    <row r="49" spans="2:7" ht="12.75">
      <c r="B49" s="314"/>
      <c r="C49" s="314"/>
      <c r="D49" s="314"/>
      <c r="E49" s="314"/>
      <c r="F49" s="314"/>
      <c r="G49" s="314"/>
    </row>
    <row r="50" spans="2:7" ht="12.75">
      <c r="B50" s="314"/>
      <c r="C50" s="314"/>
      <c r="D50" s="314"/>
      <c r="E50" s="314"/>
      <c r="F50" s="314"/>
      <c r="G50" s="314"/>
    </row>
    <row r="51" spans="2:7" ht="12.75">
      <c r="B51" s="314"/>
      <c r="C51" s="314"/>
      <c r="D51" s="314"/>
      <c r="E51" s="314"/>
      <c r="F51" s="314"/>
      <c r="G51" s="314"/>
    </row>
    <row r="52" spans="2:7" ht="12.75">
      <c r="B52" s="314"/>
      <c r="C52" s="314"/>
      <c r="D52" s="314"/>
      <c r="E52" s="314"/>
      <c r="F52" s="314"/>
      <c r="G52" s="314"/>
    </row>
    <row r="53" spans="2:7" ht="12.75">
      <c r="B53" s="314"/>
      <c r="C53" s="314"/>
      <c r="D53" s="314"/>
      <c r="E53" s="314"/>
      <c r="F53" s="314"/>
      <c r="G53" s="314"/>
    </row>
    <row r="54" spans="2:7" ht="12.75">
      <c r="B54" s="314"/>
      <c r="C54" s="314"/>
      <c r="D54" s="314"/>
      <c r="E54" s="314"/>
      <c r="F54" s="314"/>
      <c r="G54" s="314"/>
    </row>
    <row r="55" spans="2:7" ht="12.75">
      <c r="B55" s="314"/>
      <c r="C55" s="314"/>
      <c r="D55" s="314"/>
      <c r="E55" s="314"/>
      <c r="F55" s="314"/>
      <c r="G55" s="314"/>
    </row>
  </sheetData>
  <sheetProtection/>
  <mergeCells count="22">
    <mergeCell ref="B55:G55"/>
    <mergeCell ref="B46:G46"/>
    <mergeCell ref="B47:G47"/>
    <mergeCell ref="B48:G48"/>
    <mergeCell ref="B49:G49"/>
    <mergeCell ref="B50:G50"/>
    <mergeCell ref="B51:G51"/>
    <mergeCell ref="F33:G33"/>
    <mergeCell ref="F34:G34"/>
    <mergeCell ref="B52:G52"/>
    <mergeCell ref="B53:G53"/>
    <mergeCell ref="B37:G45"/>
    <mergeCell ref="B54:G54"/>
    <mergeCell ref="F32:G32"/>
    <mergeCell ref="C12:E12"/>
    <mergeCell ref="A23:B23"/>
    <mergeCell ref="F30:G30"/>
    <mergeCell ref="F31:G31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316" t="s">
        <v>49</v>
      </c>
      <c r="B1" s="317"/>
      <c r="C1" s="96" t="str">
        <f>CONCATENATE(cislostavby," ",nazevstavby)</f>
        <v> Provoz stř Povodí Moravy Malenovice, opr střechy </v>
      </c>
      <c r="D1" s="97"/>
      <c r="E1" s="98"/>
      <c r="F1" s="97"/>
      <c r="G1" s="99" t="s">
        <v>50</v>
      </c>
      <c r="H1" s="100" t="s">
        <v>253</v>
      </c>
      <c r="I1" s="101"/>
    </row>
    <row r="2" spans="1:9" ht="13.5" thickBot="1">
      <c r="A2" s="318" t="s">
        <v>51</v>
      </c>
      <c r="B2" s="319"/>
      <c r="C2" s="102" t="str">
        <f>CONCATENATE(cisloobjektu," ",nazevobjektu)</f>
        <v>1 1</v>
      </c>
      <c r="D2" s="103"/>
      <c r="E2" s="104"/>
      <c r="F2" s="103"/>
      <c r="G2" s="320">
        <v>1</v>
      </c>
      <c r="H2" s="321"/>
      <c r="I2" s="3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70" t="str">
        <f>Položky!B7</f>
        <v>3</v>
      </c>
      <c r="B7" s="114" t="str">
        <f>Položky!C7</f>
        <v>Svislé a kompletní konstrukce</v>
      </c>
      <c r="C7" s="65"/>
      <c r="D7" s="115"/>
      <c r="E7" s="171">
        <f>Položky!G10</f>
        <v>0</v>
      </c>
      <c r="F7" s="172">
        <f>Položky!BB10</f>
        <v>0</v>
      </c>
      <c r="G7" s="172">
        <f>Položky!BC10</f>
        <v>0</v>
      </c>
      <c r="H7" s="172">
        <f>Položky!BD10</f>
        <v>0</v>
      </c>
      <c r="I7" s="173">
        <f>Položky!BE10</f>
        <v>0</v>
      </c>
    </row>
    <row r="8" spans="1:9" s="34" customFormat="1" ht="12.75">
      <c r="A8" s="170" t="str">
        <f>Položky!B11</f>
        <v>61</v>
      </c>
      <c r="B8" s="114" t="str">
        <f>Položky!C11</f>
        <v>Upravy povrchů vnitřní</v>
      </c>
      <c r="C8" s="65"/>
      <c r="D8" s="115"/>
      <c r="E8" s="171">
        <f>Položky!G14</f>
        <v>0</v>
      </c>
      <c r="F8" s="172">
        <f>Položky!BB14</f>
        <v>0</v>
      </c>
      <c r="G8" s="172">
        <f>Položky!BC14</f>
        <v>0</v>
      </c>
      <c r="H8" s="172">
        <f>Položky!BD14</f>
        <v>0</v>
      </c>
      <c r="I8" s="173">
        <f>Položky!BE14</f>
        <v>0</v>
      </c>
    </row>
    <row r="9" spans="1:9" s="34" customFormat="1" ht="12.75">
      <c r="A9" s="170" t="str">
        <f>Položky!B15</f>
        <v>62</v>
      </c>
      <c r="B9" s="114" t="str">
        <f>Položky!C15</f>
        <v>Úpravy povrchů vnější</v>
      </c>
      <c r="C9" s="65"/>
      <c r="D9" s="115"/>
      <c r="E9" s="171">
        <f>Položky!G24</f>
        <v>0</v>
      </c>
      <c r="F9" s="172">
        <f>Položky!BB19</f>
        <v>0</v>
      </c>
      <c r="G9" s="172">
        <f>Položky!BC19</f>
        <v>0</v>
      </c>
      <c r="H9" s="172">
        <f>Položky!BD19</f>
        <v>0</v>
      </c>
      <c r="I9" s="173">
        <f>Položky!BE19</f>
        <v>0</v>
      </c>
    </row>
    <row r="10" spans="1:9" s="34" customFormat="1" ht="12.75">
      <c r="A10" s="170" t="str">
        <f>Položky!B25</f>
        <v>96</v>
      </c>
      <c r="B10" s="114" t="str">
        <f>Položky!C25</f>
        <v>Bourání konstrukcí</v>
      </c>
      <c r="C10" s="65"/>
      <c r="D10" s="115"/>
      <c r="E10" s="171">
        <f>Položky!G29</f>
        <v>0</v>
      </c>
      <c r="F10" s="172">
        <f>Položky!BB29</f>
        <v>0</v>
      </c>
      <c r="G10" s="172">
        <f>Položky!BC29</f>
        <v>0</v>
      </c>
      <c r="H10" s="172">
        <f>Položky!BD29</f>
        <v>0</v>
      </c>
      <c r="I10" s="173">
        <f>Položky!BE29</f>
        <v>0</v>
      </c>
    </row>
    <row r="11" spans="1:9" s="34" customFormat="1" ht="12.75">
      <c r="A11" s="170" t="str">
        <f>Položky!B34</f>
        <v>99</v>
      </c>
      <c r="B11" s="114" t="str">
        <f>Položky!C34</f>
        <v>Staveništní přesun hmot</v>
      </c>
      <c r="C11" s="65"/>
      <c r="D11" s="115"/>
      <c r="E11" s="171">
        <f>Položky!G36</f>
        <v>0</v>
      </c>
      <c r="F11" s="172">
        <f>Položky!BB36</f>
        <v>0</v>
      </c>
      <c r="G11" s="172">
        <f>Položky!BC36</f>
        <v>0</v>
      </c>
      <c r="H11" s="172">
        <f>Položky!BD36</f>
        <v>0</v>
      </c>
      <c r="I11" s="173">
        <f>Položky!BE36</f>
        <v>0</v>
      </c>
    </row>
    <row r="12" spans="1:9" s="34" customFormat="1" ht="12.75">
      <c r="A12" s="170" t="str">
        <f>Položky!B37</f>
        <v>762</v>
      </c>
      <c r="B12" s="114" t="str">
        <f>Položky!C37</f>
        <v>Konstrukce tesařské</v>
      </c>
      <c r="C12" s="65"/>
      <c r="D12" s="115"/>
      <c r="E12" s="171">
        <f>Položky!BA84</f>
        <v>0</v>
      </c>
      <c r="F12" s="172">
        <f>Položky!G84</f>
        <v>0</v>
      </c>
      <c r="G12" s="172">
        <f>Položky!BC84</f>
        <v>0</v>
      </c>
      <c r="H12" s="172">
        <f>Položky!BD84</f>
        <v>0</v>
      </c>
      <c r="I12" s="173">
        <f>Položky!BE84</f>
        <v>0</v>
      </c>
    </row>
    <row r="13" spans="1:9" s="34" customFormat="1" ht="12.75">
      <c r="A13" s="170" t="str">
        <f>Položky!B85</f>
        <v>764</v>
      </c>
      <c r="B13" s="114" t="str">
        <f>Položky!C85</f>
        <v>Konstrukce klempířské</v>
      </c>
      <c r="C13" s="65"/>
      <c r="D13" s="115"/>
      <c r="E13" s="171">
        <f>Položky!BA130</f>
        <v>0</v>
      </c>
      <c r="F13" s="172">
        <f>Položky!G130</f>
        <v>0</v>
      </c>
      <c r="G13" s="172">
        <f>Položky!BC130</f>
        <v>0</v>
      </c>
      <c r="H13" s="172">
        <f>Položky!BD130</f>
        <v>0</v>
      </c>
      <c r="I13" s="173">
        <f>Položky!BE130</f>
        <v>0</v>
      </c>
    </row>
    <row r="14" spans="1:9" s="34" customFormat="1" ht="12.75">
      <c r="A14" s="170" t="str">
        <f>Položky!B131</f>
        <v>765</v>
      </c>
      <c r="B14" s="114" t="str">
        <f>Položky!C131</f>
        <v>Krytiny tvrdé</v>
      </c>
      <c r="C14" s="65"/>
      <c r="D14" s="115"/>
      <c r="E14" s="171">
        <f>Položky!BA139</f>
        <v>0</v>
      </c>
      <c r="F14" s="172">
        <f>Položky!G139</f>
        <v>0</v>
      </c>
      <c r="G14" s="172">
        <f>Položky!BC139</f>
        <v>0</v>
      </c>
      <c r="H14" s="172">
        <f>Položky!BD139</f>
        <v>0</v>
      </c>
      <c r="I14" s="173">
        <f>Položky!BE139</f>
        <v>0</v>
      </c>
    </row>
    <row r="15" spans="1:9" s="34" customFormat="1" ht="12.75">
      <c r="A15" s="170" t="str">
        <f>Položky!B140</f>
        <v>781</v>
      </c>
      <c r="B15" s="114" t="str">
        <f>Položky!C140</f>
        <v>Obklady keramické</v>
      </c>
      <c r="C15" s="65"/>
      <c r="D15" s="115"/>
      <c r="E15" s="171">
        <f>Položky!BA145</f>
        <v>0</v>
      </c>
      <c r="F15" s="172">
        <f>Položky!G145</f>
        <v>0</v>
      </c>
      <c r="G15" s="172">
        <f>Položky!BC145</f>
        <v>0</v>
      </c>
      <c r="H15" s="172">
        <f>Položky!BD145</f>
        <v>0</v>
      </c>
      <c r="I15" s="173">
        <f>Položky!BE145</f>
        <v>0</v>
      </c>
    </row>
    <row r="16" spans="1:9" s="34" customFormat="1" ht="12.75">
      <c r="A16" s="170" t="str">
        <f>Položky!B146</f>
        <v>783</v>
      </c>
      <c r="B16" s="114" t="str">
        <f>Položky!C146</f>
        <v>Nátěry</v>
      </c>
      <c r="C16" s="65"/>
      <c r="D16" s="115"/>
      <c r="E16" s="171">
        <f>Položky!BA160</f>
        <v>0</v>
      </c>
      <c r="F16" s="172">
        <f>Položky!G160</f>
        <v>0</v>
      </c>
      <c r="G16" s="172">
        <f>Položky!BC160</f>
        <v>0</v>
      </c>
      <c r="H16" s="172">
        <f>Položky!BD160</f>
        <v>0</v>
      </c>
      <c r="I16" s="173">
        <f>Položky!BE160</f>
        <v>0</v>
      </c>
    </row>
    <row r="17" spans="1:9" s="34" customFormat="1" ht="12.75">
      <c r="A17" s="170" t="str">
        <f>Položky!B161</f>
        <v>784</v>
      </c>
      <c r="B17" s="114" t="str">
        <f>Položky!C161</f>
        <v>Malby</v>
      </c>
      <c r="C17" s="65"/>
      <c r="D17" s="115"/>
      <c r="E17" s="171">
        <f>Položky!BA166</f>
        <v>0</v>
      </c>
      <c r="F17" s="172">
        <f>Položky!G166</f>
        <v>0</v>
      </c>
      <c r="G17" s="172">
        <f>Položky!BC166</f>
        <v>0</v>
      </c>
      <c r="H17" s="172">
        <f>Položky!BD166</f>
        <v>0</v>
      </c>
      <c r="I17" s="173">
        <f>Položky!BE166</f>
        <v>0</v>
      </c>
    </row>
    <row r="18" spans="1:9" s="34" customFormat="1" ht="12.75">
      <c r="A18" s="114" t="str">
        <f>Položky!B167</f>
        <v>94</v>
      </c>
      <c r="B18" s="114" t="str">
        <f>Položky!C167</f>
        <v>Lešení a stavební výtahy</v>
      </c>
      <c r="C18" s="65"/>
      <c r="D18" s="115"/>
      <c r="E18" s="171">
        <f>Položky!G172</f>
        <v>0</v>
      </c>
      <c r="F18" s="172">
        <v>0</v>
      </c>
      <c r="G18" s="172">
        <v>0</v>
      </c>
      <c r="H18" s="172">
        <v>0</v>
      </c>
      <c r="I18" s="173">
        <v>0</v>
      </c>
    </row>
    <row r="19" spans="1:9" s="34" customFormat="1" ht="12.75">
      <c r="A19" s="170" t="str">
        <f>Položky!B173</f>
        <v>D96</v>
      </c>
      <c r="B19" s="114" t="str">
        <f>Položky!C173</f>
        <v>Přesuny suti a vybouraných hmot</v>
      </c>
      <c r="C19" s="65"/>
      <c r="D19" s="115"/>
      <c r="E19" s="171">
        <f>Položky!G181</f>
        <v>0</v>
      </c>
      <c r="F19" s="172">
        <f>Položky!BB181</f>
        <v>0</v>
      </c>
      <c r="G19" s="172">
        <f>Položky!BC181</f>
        <v>0</v>
      </c>
      <c r="H19" s="172">
        <f>Položky!BD181</f>
        <v>0</v>
      </c>
      <c r="I19" s="173">
        <f>Položky!BE181</f>
        <v>0</v>
      </c>
    </row>
    <row r="20" spans="1:9" s="292" customFormat="1" ht="13.5" thickBot="1">
      <c r="A20" s="286" t="str">
        <f>Položky!B182</f>
        <v>74</v>
      </c>
      <c r="B20" s="287" t="str">
        <f>Položky!C182</f>
        <v>Elektromontáže - ochrana proti blesku</v>
      </c>
      <c r="C20" s="81"/>
      <c r="D20" s="288"/>
      <c r="E20" s="289">
        <v>0</v>
      </c>
      <c r="F20" s="289">
        <f>Položky!G184</f>
        <v>0</v>
      </c>
      <c r="G20" s="290">
        <v>0</v>
      </c>
      <c r="H20" s="290">
        <v>0</v>
      </c>
      <c r="I20" s="291">
        <v>0</v>
      </c>
    </row>
    <row r="21" spans="1:9" s="122" customFormat="1" ht="13.5" thickBot="1">
      <c r="A21" s="116"/>
      <c r="B21" s="117" t="s">
        <v>58</v>
      </c>
      <c r="C21" s="117"/>
      <c r="D21" s="118"/>
      <c r="E21" s="119">
        <f>SUM(E7:E20)</f>
        <v>0</v>
      </c>
      <c r="F21" s="120">
        <f>SUM(F7:F20)</f>
        <v>0</v>
      </c>
      <c r="G21" s="120">
        <f>SUM(G7:G20)</f>
        <v>0</v>
      </c>
      <c r="H21" s="120">
        <f>SUM(H7:H20)</f>
        <v>0</v>
      </c>
      <c r="I21" s="121">
        <f>SUM(I7:I20)</f>
        <v>0</v>
      </c>
    </row>
    <row r="22" spans="1:9" ht="12.75">
      <c r="A22" s="65"/>
      <c r="B22" s="65"/>
      <c r="C22" s="65"/>
      <c r="D22" s="65"/>
      <c r="E22" s="65"/>
      <c r="F22" s="65"/>
      <c r="G22" s="65"/>
      <c r="H22" s="65"/>
      <c r="I22" s="65"/>
    </row>
    <row r="23" spans="1:57" ht="19.5" customHeight="1">
      <c r="A23" s="106" t="s">
        <v>59</v>
      </c>
      <c r="B23" s="106"/>
      <c r="C23" s="106"/>
      <c r="D23" s="106"/>
      <c r="E23" s="106"/>
      <c r="F23" s="106"/>
      <c r="G23" s="123"/>
      <c r="H23" s="106"/>
      <c r="I23" s="106"/>
      <c r="BA23" s="40"/>
      <c r="BB23" s="40"/>
      <c r="BC23" s="40"/>
      <c r="BD23" s="40"/>
      <c r="BE23" s="40"/>
    </row>
    <row r="24" spans="1:9" ht="13.5" thickBo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ht="12.75">
      <c r="A25" s="70" t="s">
        <v>60</v>
      </c>
      <c r="B25" s="71"/>
      <c r="C25" s="71"/>
      <c r="D25" s="124"/>
      <c r="E25" s="125" t="s">
        <v>61</v>
      </c>
      <c r="F25" s="126" t="s">
        <v>62</v>
      </c>
      <c r="G25" s="127" t="s">
        <v>63</v>
      </c>
      <c r="H25" s="128"/>
      <c r="I25" s="129" t="s">
        <v>61</v>
      </c>
    </row>
    <row r="26" spans="1:53" ht="12.75">
      <c r="A26" s="63" t="s">
        <v>183</v>
      </c>
      <c r="B26" s="54"/>
      <c r="C26" s="54"/>
      <c r="D26" s="130"/>
      <c r="E26" s="131">
        <v>0</v>
      </c>
      <c r="F26" s="132">
        <v>0</v>
      </c>
      <c r="G26" s="133">
        <f aca="true" t="shared" si="0" ref="G26:G33">CHOOSE(BA26+1,HSV+PSV,HSV+PSV+Mont,HSV+PSV+Dodavka+Mont,HSV,PSV,Mont,Dodavka,Mont+Dodavka,0)</f>
        <v>0</v>
      </c>
      <c r="H26" s="134"/>
      <c r="I26" s="135">
        <f aca="true" t="shared" si="1" ref="I26:I33">E26+F26*G26/100</f>
        <v>0</v>
      </c>
      <c r="BA26">
        <v>0</v>
      </c>
    </row>
    <row r="27" spans="1:53" ht="12.75">
      <c r="A27" s="63" t="s">
        <v>184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0</v>
      </c>
    </row>
    <row r="28" spans="1:53" ht="12.75">
      <c r="A28" s="63" t="s">
        <v>185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0</v>
      </c>
    </row>
    <row r="29" spans="1:53" ht="12.75">
      <c r="A29" s="63" t="s">
        <v>186</v>
      </c>
      <c r="B29" s="54"/>
      <c r="C29" s="54"/>
      <c r="D29" s="130"/>
      <c r="E29" s="131">
        <v>0</v>
      </c>
      <c r="F29" s="132">
        <v>0</v>
      </c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187</v>
      </c>
      <c r="B30" s="54"/>
      <c r="C30" s="54"/>
      <c r="D30" s="130"/>
      <c r="E30" s="131">
        <v>0</v>
      </c>
      <c r="F30" s="132">
        <v>3</v>
      </c>
      <c r="G30" s="133">
        <f t="shared" si="0"/>
        <v>0</v>
      </c>
      <c r="H30" s="134"/>
      <c r="I30" s="135">
        <f t="shared" si="1"/>
        <v>0</v>
      </c>
      <c r="BA30">
        <v>1</v>
      </c>
    </row>
    <row r="31" spans="1:53" ht="12.75">
      <c r="A31" s="63" t="s">
        <v>188</v>
      </c>
      <c r="B31" s="54"/>
      <c r="C31" s="54"/>
      <c r="D31" s="130"/>
      <c r="E31" s="131">
        <v>0</v>
      </c>
      <c r="F31" s="132">
        <v>0</v>
      </c>
      <c r="G31" s="133">
        <f t="shared" si="0"/>
        <v>0</v>
      </c>
      <c r="H31" s="134"/>
      <c r="I31" s="135">
        <f t="shared" si="1"/>
        <v>0</v>
      </c>
      <c r="BA31">
        <v>1</v>
      </c>
    </row>
    <row r="32" spans="1:53" ht="12.75">
      <c r="A32" s="63" t="s">
        <v>189</v>
      </c>
      <c r="B32" s="54"/>
      <c r="C32" s="54"/>
      <c r="D32" s="130"/>
      <c r="E32" s="131">
        <v>0</v>
      </c>
      <c r="F32" s="132">
        <v>0</v>
      </c>
      <c r="G32" s="133">
        <f t="shared" si="0"/>
        <v>0</v>
      </c>
      <c r="H32" s="134"/>
      <c r="I32" s="135">
        <f t="shared" si="1"/>
        <v>0</v>
      </c>
      <c r="BA32">
        <v>2</v>
      </c>
    </row>
    <row r="33" spans="1:53" ht="12.75">
      <c r="A33" s="63" t="s">
        <v>190</v>
      </c>
      <c r="B33" s="54"/>
      <c r="C33" s="54"/>
      <c r="D33" s="130"/>
      <c r="E33" s="131">
        <v>0</v>
      </c>
      <c r="F33" s="132">
        <v>0</v>
      </c>
      <c r="G33" s="133">
        <f t="shared" si="0"/>
        <v>0</v>
      </c>
      <c r="H33" s="134"/>
      <c r="I33" s="135">
        <f t="shared" si="1"/>
        <v>0</v>
      </c>
      <c r="BA33">
        <v>2</v>
      </c>
    </row>
    <row r="34" spans="1:9" ht="13.5" thickBot="1">
      <c r="A34" s="136"/>
      <c r="B34" s="137" t="s">
        <v>64</v>
      </c>
      <c r="C34" s="138"/>
      <c r="D34" s="139"/>
      <c r="E34" s="140"/>
      <c r="F34" s="141"/>
      <c r="G34" s="141"/>
      <c r="H34" s="323">
        <f>SUM(I26:I33)</f>
        <v>0</v>
      </c>
      <c r="I34" s="324"/>
    </row>
    <row r="36" spans="2:9" ht="12.75">
      <c r="B36" s="122"/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</sheetData>
  <sheetProtection/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47"/>
  <sheetViews>
    <sheetView showGridLines="0" showZeros="0" tabSelected="1" zoomScalePageLayoutView="0" workbookViewId="0" topLeftCell="A43">
      <selection activeCell="F67" sqref="F67"/>
    </sheetView>
  </sheetViews>
  <sheetFormatPr defaultColWidth="9.125" defaultRowHeight="12.75"/>
  <cols>
    <col min="1" max="1" width="4.50390625" style="175" customWidth="1"/>
    <col min="2" max="2" width="11.50390625" style="145" customWidth="1"/>
    <col min="3" max="3" width="40.50390625" style="145" customWidth="1"/>
    <col min="4" max="4" width="5.50390625" style="145" customWidth="1"/>
    <col min="5" max="5" width="8.50390625" style="164" customWidth="1"/>
    <col min="6" max="6" width="9.875" style="145" customWidth="1"/>
    <col min="7" max="7" width="13.875" style="145" customWidth="1"/>
    <col min="8" max="11" width="9.125" style="145" customWidth="1"/>
    <col min="12" max="12" width="75.50390625" style="145" customWidth="1"/>
    <col min="13" max="13" width="45.375" style="145" customWidth="1"/>
    <col min="14" max="16384" width="9.125" style="145" customWidth="1"/>
  </cols>
  <sheetData>
    <row r="1" spans="1:7" ht="15">
      <c r="A1" s="331" t="s">
        <v>65</v>
      </c>
      <c r="B1" s="331"/>
      <c r="C1" s="331"/>
      <c r="D1" s="331"/>
      <c r="E1" s="331"/>
      <c r="F1" s="331"/>
      <c r="G1" s="331"/>
    </row>
    <row r="2" spans="1:7" ht="14.25" customHeight="1" thickBot="1">
      <c r="A2" s="297"/>
      <c r="B2" s="147"/>
      <c r="C2" s="148"/>
      <c r="D2" s="148"/>
      <c r="E2" s="149"/>
      <c r="F2" s="148"/>
      <c r="G2" s="148"/>
    </row>
    <row r="3" spans="1:7" ht="13.5" thickTop="1">
      <c r="A3" s="316" t="s">
        <v>49</v>
      </c>
      <c r="B3" s="317"/>
      <c r="C3" s="96" t="str">
        <f>CONCATENATE(cislostavby," ",nazevstavby)</f>
        <v> Provoz stř Povodí Moravy Malenovice, opr střechy </v>
      </c>
      <c r="D3" s="97"/>
      <c r="E3" s="150" t="s">
        <v>66</v>
      </c>
      <c r="F3" s="151" t="s">
        <v>253</v>
      </c>
      <c r="G3" s="152"/>
    </row>
    <row r="4" spans="1:7" ht="13.5" thickBot="1">
      <c r="A4" s="332" t="s">
        <v>51</v>
      </c>
      <c r="B4" s="319"/>
      <c r="C4" s="102" t="str">
        <f>CONCATENATE(cisloobjektu," ",nazevobjektu)</f>
        <v>1 1</v>
      </c>
      <c r="D4" s="103"/>
      <c r="E4" s="333">
        <f>Rekapitulace!G2</f>
        <v>1</v>
      </c>
      <c r="F4" s="334"/>
      <c r="G4" s="335"/>
    </row>
    <row r="5" spans="1:7" ht="13.5" thickTop="1">
      <c r="A5" s="298"/>
      <c r="B5" s="146"/>
      <c r="C5" s="146"/>
      <c r="D5" s="146"/>
      <c r="E5" s="153"/>
      <c r="F5" s="146"/>
      <c r="G5" s="154"/>
    </row>
    <row r="6" spans="1:7" ht="12.75">
      <c r="A6" s="299" t="s">
        <v>67</v>
      </c>
      <c r="B6" s="155" t="s">
        <v>68</v>
      </c>
      <c r="C6" s="155" t="s">
        <v>69</v>
      </c>
      <c r="D6" s="155" t="s">
        <v>70</v>
      </c>
      <c r="E6" s="258" t="s">
        <v>71</v>
      </c>
      <c r="F6" s="155" t="s">
        <v>72</v>
      </c>
      <c r="G6" s="155" t="s">
        <v>73</v>
      </c>
    </row>
    <row r="7" spans="1:15" ht="12.75">
      <c r="A7" s="260" t="s">
        <v>74</v>
      </c>
      <c r="B7" s="253" t="s">
        <v>77</v>
      </c>
      <c r="C7" s="254" t="s">
        <v>78</v>
      </c>
      <c r="D7" s="255"/>
      <c r="E7" s="256"/>
      <c r="F7" s="256"/>
      <c r="G7" s="257"/>
      <c r="H7" s="156"/>
      <c r="I7" s="156"/>
      <c r="O7" s="157">
        <v>1</v>
      </c>
    </row>
    <row r="8" spans="1:104" s="175" customFormat="1" ht="12.75">
      <c r="A8" s="182">
        <v>1</v>
      </c>
      <c r="B8" s="183" t="s">
        <v>79</v>
      </c>
      <c r="C8" s="206" t="s">
        <v>80</v>
      </c>
      <c r="D8" s="185" t="s">
        <v>81</v>
      </c>
      <c r="E8" s="186">
        <v>25</v>
      </c>
      <c r="F8" s="186"/>
      <c r="G8" s="187">
        <f>E8*F8</f>
        <v>0</v>
      </c>
      <c r="H8" s="174"/>
      <c r="O8" s="176">
        <v>2</v>
      </c>
      <c r="AA8" s="175">
        <v>1</v>
      </c>
      <c r="AB8" s="175">
        <v>1</v>
      </c>
      <c r="AC8" s="175">
        <v>1</v>
      </c>
      <c r="AZ8" s="175">
        <v>1</v>
      </c>
      <c r="BA8" s="175">
        <f>IF(AZ8=1,G8,0)</f>
        <v>0</v>
      </c>
      <c r="BB8" s="175">
        <f>IF(AZ8=2,G8,0)</f>
        <v>0</v>
      </c>
      <c r="BC8" s="175">
        <f>IF(AZ8=3,G8,0)</f>
        <v>0</v>
      </c>
      <c r="BD8" s="175">
        <f>IF(AZ8=4,G8,0)</f>
        <v>0</v>
      </c>
      <c r="BE8" s="175">
        <f>IF(AZ8=5,G8,0)</f>
        <v>0</v>
      </c>
      <c r="CA8" s="177">
        <v>1</v>
      </c>
      <c r="CB8" s="177">
        <v>1</v>
      </c>
      <c r="CZ8" s="175">
        <v>0.0376699999999914</v>
      </c>
    </row>
    <row r="9" spans="1:80" s="175" customFormat="1" ht="12.75">
      <c r="A9" s="182"/>
      <c r="B9" s="183"/>
      <c r="C9" s="184" t="s">
        <v>302</v>
      </c>
      <c r="D9" s="185"/>
      <c r="E9" s="186"/>
      <c r="F9" s="186"/>
      <c r="G9" s="187"/>
      <c r="H9" s="174"/>
      <c r="O9" s="176"/>
      <c r="CA9" s="177"/>
      <c r="CB9" s="177"/>
    </row>
    <row r="10" spans="1:57" ht="12.75">
      <c r="A10" s="228"/>
      <c r="B10" s="159" t="s">
        <v>76</v>
      </c>
      <c r="C10" s="246" t="str">
        <f>CONCATENATE(B7," ",C7)</f>
        <v>3 Svislé a kompletní konstrukce</v>
      </c>
      <c r="D10" s="158"/>
      <c r="E10" s="247"/>
      <c r="F10" s="247"/>
      <c r="G10" s="160">
        <f>SUM(G7:G9)</f>
        <v>0</v>
      </c>
      <c r="O10" s="157">
        <v>4</v>
      </c>
      <c r="BA10" s="161">
        <f>SUM(BA7:BA8)</f>
        <v>0</v>
      </c>
      <c r="BB10" s="161">
        <f>SUM(BB7:BB8)</f>
        <v>0</v>
      </c>
      <c r="BC10" s="161">
        <f>SUM(BC7:BC8)</f>
        <v>0</v>
      </c>
      <c r="BD10" s="161">
        <f>SUM(BD7:BD8)</f>
        <v>0</v>
      </c>
      <c r="BE10" s="161">
        <f>SUM(BE7:BE8)</f>
        <v>0</v>
      </c>
    </row>
    <row r="11" spans="1:15" ht="12.75">
      <c r="A11" s="260" t="s">
        <v>74</v>
      </c>
      <c r="B11" s="253" t="s">
        <v>82</v>
      </c>
      <c r="C11" s="254" t="s">
        <v>83</v>
      </c>
      <c r="D11" s="255"/>
      <c r="E11" s="256"/>
      <c r="F11" s="256"/>
      <c r="G11" s="257"/>
      <c r="H11" s="156"/>
      <c r="I11" s="156"/>
      <c r="O11" s="157">
        <v>1</v>
      </c>
    </row>
    <row r="12" spans="1:104" s="175" customFormat="1" ht="20.25">
      <c r="A12" s="182">
        <v>2</v>
      </c>
      <c r="B12" s="183" t="s">
        <v>84</v>
      </c>
      <c r="C12" s="206" t="s">
        <v>85</v>
      </c>
      <c r="D12" s="185" t="s">
        <v>81</v>
      </c>
      <c r="E12" s="186">
        <f>SUM(E13:E13)</f>
        <v>155.52</v>
      </c>
      <c r="F12" s="186"/>
      <c r="G12" s="187">
        <f>E12*F12</f>
        <v>0</v>
      </c>
      <c r="O12" s="176">
        <v>2</v>
      </c>
      <c r="AA12" s="175">
        <v>1</v>
      </c>
      <c r="AB12" s="175">
        <v>1</v>
      </c>
      <c r="AC12" s="175">
        <v>1</v>
      </c>
      <c r="AZ12" s="175">
        <v>1</v>
      </c>
      <c r="BA12" s="175">
        <f>IF(AZ12=1,G12,0)</f>
        <v>0</v>
      </c>
      <c r="BB12" s="175">
        <f>IF(AZ12=2,G12,0)</f>
        <v>0</v>
      </c>
      <c r="BC12" s="175">
        <f>IF(AZ12=3,G12,0)</f>
        <v>0</v>
      </c>
      <c r="BD12" s="175">
        <f>IF(AZ12=4,G12,0)</f>
        <v>0</v>
      </c>
      <c r="BE12" s="175">
        <f>IF(AZ12=5,G12,0)</f>
        <v>0</v>
      </c>
      <c r="CA12" s="177">
        <v>1</v>
      </c>
      <c r="CB12" s="177">
        <v>1</v>
      </c>
      <c r="CZ12" s="175">
        <v>0.00197999999999965</v>
      </c>
    </row>
    <row r="13" spans="1:80" s="175" customFormat="1" ht="12.75">
      <c r="A13" s="182"/>
      <c r="B13" s="183"/>
      <c r="C13" s="184" t="s">
        <v>347</v>
      </c>
      <c r="D13" s="185"/>
      <c r="E13" s="237">
        <f>3.6*(8.5+4.5+3+5.6)*2</f>
        <v>155.52</v>
      </c>
      <c r="F13" s="186"/>
      <c r="G13" s="187"/>
      <c r="I13" s="282"/>
      <c r="O13" s="176"/>
      <c r="CA13" s="177"/>
      <c r="CB13" s="177"/>
    </row>
    <row r="14" spans="1:57" ht="12.75">
      <c r="A14" s="228"/>
      <c r="B14" s="159" t="s">
        <v>76</v>
      </c>
      <c r="C14" s="246" t="str">
        <f>CONCATENATE(B11," ",C11)</f>
        <v>61 Upravy povrchů vnitřní</v>
      </c>
      <c r="D14" s="158"/>
      <c r="E14" s="247"/>
      <c r="F14" s="247"/>
      <c r="G14" s="160">
        <f>SUM(G11:G13)</f>
        <v>0</v>
      </c>
      <c r="O14" s="157">
        <v>4</v>
      </c>
      <c r="BA14" s="161">
        <f>SUM(BA11:BA12)</f>
        <v>0</v>
      </c>
      <c r="BB14" s="161">
        <f>SUM(BB11:BB12)</f>
        <v>0</v>
      </c>
      <c r="BC14" s="161">
        <f>SUM(BC11:BC12)</f>
        <v>0</v>
      </c>
      <c r="BD14" s="161">
        <f>SUM(BD11:BD12)</f>
        <v>0</v>
      </c>
      <c r="BE14" s="161">
        <f>SUM(BE11:BE12)</f>
        <v>0</v>
      </c>
    </row>
    <row r="15" spans="1:15" ht="12.75">
      <c r="A15" s="260" t="s">
        <v>74</v>
      </c>
      <c r="B15" s="253" t="s">
        <v>86</v>
      </c>
      <c r="C15" s="254" t="s">
        <v>87</v>
      </c>
      <c r="D15" s="255"/>
      <c r="E15" s="256"/>
      <c r="F15" s="256"/>
      <c r="G15" s="257"/>
      <c r="H15" s="156"/>
      <c r="I15" s="156"/>
      <c r="O15" s="157">
        <v>1</v>
      </c>
    </row>
    <row r="16" spans="1:104" s="175" customFormat="1" ht="20.25">
      <c r="A16" s="182">
        <v>3</v>
      </c>
      <c r="B16" s="183" t="s">
        <v>88</v>
      </c>
      <c r="C16" s="206" t="s">
        <v>89</v>
      </c>
      <c r="D16" s="185" t="s">
        <v>81</v>
      </c>
      <c r="E16" s="283">
        <f>E8</f>
        <v>25</v>
      </c>
      <c r="F16" s="186"/>
      <c r="G16" s="187">
        <f>E16*F16</f>
        <v>0</v>
      </c>
      <c r="O16" s="176">
        <v>2</v>
      </c>
      <c r="AA16" s="175">
        <v>1</v>
      </c>
      <c r="AB16" s="175">
        <v>1</v>
      </c>
      <c r="AC16" s="175">
        <v>1</v>
      </c>
      <c r="AZ16" s="175">
        <v>1</v>
      </c>
      <c r="BA16" s="175">
        <f>IF(AZ16=1,G16,0)</f>
        <v>0</v>
      </c>
      <c r="BB16" s="175">
        <f>IF(AZ16=2,G16,0)</f>
        <v>0</v>
      </c>
      <c r="BC16" s="175">
        <f>IF(AZ16=3,G16,0)</f>
        <v>0</v>
      </c>
      <c r="BD16" s="175">
        <f>IF(AZ16=4,G16,0)</f>
        <v>0</v>
      </c>
      <c r="BE16" s="175">
        <f>IF(AZ16=5,G16,0)</f>
        <v>0</v>
      </c>
      <c r="CA16" s="177">
        <v>1</v>
      </c>
      <c r="CB16" s="177">
        <v>1</v>
      </c>
      <c r="CZ16" s="175">
        <v>0.00366999999999962</v>
      </c>
    </row>
    <row r="17" spans="1:80" s="175" customFormat="1" ht="12.75">
      <c r="A17" s="182">
        <v>4</v>
      </c>
      <c r="B17" s="183" t="s">
        <v>300</v>
      </c>
      <c r="C17" s="206" t="s">
        <v>301</v>
      </c>
      <c r="D17" s="185" t="s">
        <v>81</v>
      </c>
      <c r="E17" s="243">
        <f>SUM(E18:E18)</f>
        <v>12.100000000000001</v>
      </c>
      <c r="F17" s="186"/>
      <c r="G17" s="187">
        <f>E17*F17</f>
        <v>0</v>
      </c>
      <c r="I17" s="174"/>
      <c r="O17" s="176"/>
      <c r="CA17" s="177"/>
      <c r="CB17" s="177"/>
    </row>
    <row r="18" spans="1:7" ht="12.75">
      <c r="A18" s="209"/>
      <c r="B18" s="238"/>
      <c r="C18" s="180" t="s">
        <v>299</v>
      </c>
      <c r="D18" s="238"/>
      <c r="E18" s="240">
        <f>(14+8)*0.55</f>
        <v>12.100000000000001</v>
      </c>
      <c r="F18" s="238"/>
      <c r="G18" s="238"/>
    </row>
    <row r="19" spans="1:57" ht="12.75">
      <c r="A19" s="228"/>
      <c r="B19" s="159" t="s">
        <v>76</v>
      </c>
      <c r="C19" s="246" t="str">
        <f>CONCATENATE(B15," ",C15)</f>
        <v>62 Úpravy povrchů vnější</v>
      </c>
      <c r="D19" s="158"/>
      <c r="E19" s="247"/>
      <c r="F19" s="247"/>
      <c r="G19" s="160">
        <f>SUM(G15:G18)</f>
        <v>0</v>
      </c>
      <c r="O19" s="157">
        <v>4</v>
      </c>
      <c r="BA19" s="161">
        <f>SUM(BA15:BA16)</f>
        <v>0</v>
      </c>
      <c r="BB19" s="161">
        <f>SUM(BB15:BB16)</f>
        <v>0</v>
      </c>
      <c r="BC19" s="161">
        <f>SUM(BC15:BC16)</f>
        <v>0</v>
      </c>
      <c r="BD19" s="161">
        <f>SUM(BD15:BD16)</f>
        <v>0</v>
      </c>
      <c r="BE19" s="161">
        <f>SUM(BE15:BE16)</f>
        <v>0</v>
      </c>
    </row>
    <row r="20" spans="1:57" ht="12.75">
      <c r="A20" s="260" t="s">
        <v>74</v>
      </c>
      <c r="B20" s="229" t="s">
        <v>272</v>
      </c>
      <c r="C20" s="248" t="s">
        <v>273</v>
      </c>
      <c r="D20" s="228"/>
      <c r="E20" s="245"/>
      <c r="F20" s="245"/>
      <c r="G20" s="230"/>
      <c r="O20" s="157"/>
      <c r="BA20" s="161"/>
      <c r="BB20" s="161"/>
      <c r="BC20" s="161"/>
      <c r="BD20" s="161"/>
      <c r="BE20" s="161"/>
    </row>
    <row r="21" spans="1:57" ht="12.75">
      <c r="A21" s="250">
        <v>5</v>
      </c>
      <c r="B21" s="249" t="s">
        <v>274</v>
      </c>
      <c r="C21" s="293" t="s">
        <v>344</v>
      </c>
      <c r="D21" s="250" t="s">
        <v>275</v>
      </c>
      <c r="E21" s="186">
        <f>14*6*2.5</f>
        <v>210</v>
      </c>
      <c r="F21" s="186"/>
      <c r="G21" s="187">
        <f>E21*F21</f>
        <v>0</v>
      </c>
      <c r="I21" s="174"/>
      <c r="O21" s="157"/>
      <c r="BA21" s="161"/>
      <c r="BB21" s="161"/>
      <c r="BC21" s="161"/>
      <c r="BD21" s="161"/>
      <c r="BE21" s="161"/>
    </row>
    <row r="22" spans="1:57" ht="12.75">
      <c r="A22" s="250"/>
      <c r="B22" s="249"/>
      <c r="C22" s="293" t="s">
        <v>345</v>
      </c>
      <c r="D22" s="250"/>
      <c r="E22" s="186"/>
      <c r="F22" s="186"/>
      <c r="G22" s="187"/>
      <c r="I22" s="174"/>
      <c r="O22" s="157"/>
      <c r="BA22" s="161"/>
      <c r="BB22" s="161"/>
      <c r="BC22" s="161"/>
      <c r="BD22" s="161"/>
      <c r="BE22" s="161"/>
    </row>
    <row r="23" spans="1:57" ht="12.75">
      <c r="A23" s="250">
        <v>6</v>
      </c>
      <c r="B23" s="252" t="s">
        <v>276</v>
      </c>
      <c r="C23" s="251" t="s">
        <v>277</v>
      </c>
      <c r="D23" s="222" t="s">
        <v>275</v>
      </c>
      <c r="E23" s="217">
        <f>14*2*2.5</f>
        <v>70</v>
      </c>
      <c r="F23" s="217"/>
      <c r="G23" s="205">
        <f>E23*F23</f>
        <v>0</v>
      </c>
      <c r="O23" s="157"/>
      <c r="BA23" s="161"/>
      <c r="BB23" s="161"/>
      <c r="BC23" s="161"/>
      <c r="BD23" s="161"/>
      <c r="BE23" s="161"/>
    </row>
    <row r="24" spans="1:57" ht="12.75">
      <c r="A24" s="228"/>
      <c r="B24" s="159" t="s">
        <v>76</v>
      </c>
      <c r="C24" s="246" t="s">
        <v>278</v>
      </c>
      <c r="D24" s="158"/>
      <c r="E24" s="247"/>
      <c r="F24" s="247"/>
      <c r="G24" s="160">
        <f>SUM(G20:G23)</f>
        <v>0</v>
      </c>
      <c r="O24" s="157"/>
      <c r="BA24" s="161"/>
      <c r="BB24" s="161"/>
      <c r="BC24" s="161"/>
      <c r="BD24" s="161"/>
      <c r="BE24" s="161"/>
    </row>
    <row r="25" spans="1:15" ht="12.75">
      <c r="A25" s="260" t="s">
        <v>74</v>
      </c>
      <c r="B25" s="253" t="s">
        <v>90</v>
      </c>
      <c r="C25" s="254" t="s">
        <v>91</v>
      </c>
      <c r="D25" s="255"/>
      <c r="E25" s="256"/>
      <c r="F25" s="256"/>
      <c r="G25" s="257"/>
      <c r="H25" s="156"/>
      <c r="I25" s="156"/>
      <c r="O25" s="157">
        <v>1</v>
      </c>
    </row>
    <row r="26" spans="1:104" s="175" customFormat="1" ht="12.75">
      <c r="A26" s="182">
        <v>7</v>
      </c>
      <c r="B26" s="183" t="s">
        <v>92</v>
      </c>
      <c r="C26" s="206" t="s">
        <v>93</v>
      </c>
      <c r="D26" s="185" t="s">
        <v>94</v>
      </c>
      <c r="E26" s="243">
        <f>SUM(E27:E27)</f>
        <v>6.12</v>
      </c>
      <c r="F26" s="186"/>
      <c r="G26" s="187">
        <f>E26*F26</f>
        <v>0</v>
      </c>
      <c r="O26" s="176">
        <v>2</v>
      </c>
      <c r="AA26" s="175">
        <v>1</v>
      </c>
      <c r="AB26" s="175">
        <v>1</v>
      </c>
      <c r="AC26" s="175">
        <v>1</v>
      </c>
      <c r="AZ26" s="175">
        <v>1</v>
      </c>
      <c r="BA26" s="175">
        <f>IF(AZ26=1,G26,0)</f>
        <v>0</v>
      </c>
      <c r="BB26" s="175">
        <f>IF(AZ26=2,G26,0)</f>
        <v>0</v>
      </c>
      <c r="BC26" s="175">
        <f>IF(AZ26=3,G26,0)</f>
        <v>0</v>
      </c>
      <c r="BD26" s="175">
        <f>IF(AZ26=4,G26,0)</f>
        <v>0</v>
      </c>
      <c r="BE26" s="175">
        <f>IF(AZ26=5,G26,0)</f>
        <v>0</v>
      </c>
      <c r="CA26" s="177">
        <v>1</v>
      </c>
      <c r="CB26" s="177">
        <v>1</v>
      </c>
      <c r="CZ26" s="175">
        <v>0.0012799999999995</v>
      </c>
    </row>
    <row r="27" spans="1:15" s="175" customFormat="1" ht="12.75">
      <c r="A27" s="207"/>
      <c r="B27" s="208"/>
      <c r="C27" s="325" t="s">
        <v>191</v>
      </c>
      <c r="D27" s="326"/>
      <c r="E27" s="197">
        <v>6.12</v>
      </c>
      <c r="F27" s="198"/>
      <c r="G27" s="199"/>
      <c r="M27" s="178" t="s">
        <v>95</v>
      </c>
      <c r="O27" s="176"/>
    </row>
    <row r="28" spans="1:104" s="175" customFormat="1" ht="12" customHeight="1">
      <c r="A28" s="182">
        <v>8</v>
      </c>
      <c r="B28" s="183" t="s">
        <v>96</v>
      </c>
      <c r="C28" s="206" t="s">
        <v>97</v>
      </c>
      <c r="D28" s="185" t="s">
        <v>81</v>
      </c>
      <c r="E28" s="186">
        <v>25</v>
      </c>
      <c r="F28" s="186"/>
      <c r="G28" s="187">
        <f>E28*F28</f>
        <v>0</v>
      </c>
      <c r="O28" s="176">
        <v>2</v>
      </c>
      <c r="AA28" s="175">
        <v>1</v>
      </c>
      <c r="AB28" s="175">
        <v>1</v>
      </c>
      <c r="AC28" s="175">
        <v>1</v>
      </c>
      <c r="AZ28" s="175">
        <v>1</v>
      </c>
      <c r="BA28" s="175">
        <f>IF(AZ28=1,G28,0)</f>
        <v>0</v>
      </c>
      <c r="BB28" s="175">
        <f>IF(AZ28=2,G28,0)</f>
        <v>0</v>
      </c>
      <c r="BC28" s="175">
        <f>IF(AZ28=3,G28,0)</f>
        <v>0</v>
      </c>
      <c r="BD28" s="175">
        <f>IF(AZ28=4,G28,0)</f>
        <v>0</v>
      </c>
      <c r="BE28" s="175">
        <f>IF(AZ28=5,G28,0)</f>
        <v>0</v>
      </c>
      <c r="CA28" s="177">
        <v>1</v>
      </c>
      <c r="CB28" s="177">
        <v>1</v>
      </c>
      <c r="CZ28" s="175">
        <v>0.000340000000000007</v>
      </c>
    </row>
    <row r="29" spans="1:57" ht="12.75">
      <c r="A29" s="228"/>
      <c r="B29" s="159" t="s">
        <v>76</v>
      </c>
      <c r="C29" s="246" t="str">
        <f>CONCATENATE(B25," ",C25)</f>
        <v>96 Bourání konstrukcí</v>
      </c>
      <c r="D29" s="158"/>
      <c r="E29" s="247"/>
      <c r="F29" s="247"/>
      <c r="G29" s="160">
        <f>SUM(G25:G28)</f>
        <v>0</v>
      </c>
      <c r="O29" s="157">
        <v>4</v>
      </c>
      <c r="BA29" s="161">
        <f>SUM(BA25:BA28)</f>
        <v>0</v>
      </c>
      <c r="BB29" s="161">
        <f>SUM(BB25:BB28)</f>
        <v>0</v>
      </c>
      <c r="BC29" s="161">
        <f>SUM(BC25:BC28)</f>
        <v>0</v>
      </c>
      <c r="BD29" s="161">
        <f>SUM(BD25:BD28)</f>
        <v>0</v>
      </c>
      <c r="BE29" s="161">
        <f>SUM(BE25:BE28)</f>
        <v>0</v>
      </c>
    </row>
    <row r="30" spans="1:80" s="175" customFormat="1" ht="12.75">
      <c r="A30" s="260" t="s">
        <v>74</v>
      </c>
      <c r="B30" s="253" t="s">
        <v>270</v>
      </c>
      <c r="C30" s="254" t="s">
        <v>271</v>
      </c>
      <c r="D30" s="209"/>
      <c r="E30" s="209"/>
      <c r="F30" s="209"/>
      <c r="G30" s="209"/>
      <c r="O30" s="176"/>
      <c r="CA30" s="177"/>
      <c r="CB30" s="177"/>
    </row>
    <row r="31" spans="1:57" ht="20.25">
      <c r="A31" s="182">
        <v>9</v>
      </c>
      <c r="B31" s="183" t="s">
        <v>268</v>
      </c>
      <c r="C31" s="206" t="s">
        <v>269</v>
      </c>
      <c r="D31" s="185" t="s">
        <v>81</v>
      </c>
      <c r="E31" s="296">
        <f>SUM(E32:E32)</f>
        <v>38.988</v>
      </c>
      <c r="F31" s="186"/>
      <c r="G31" s="187">
        <f>E31*F31</f>
        <v>0</v>
      </c>
      <c r="I31" s="174"/>
      <c r="O31" s="157"/>
      <c r="BA31" s="161"/>
      <c r="BB31" s="161"/>
      <c r="BC31" s="161"/>
      <c r="BD31" s="161"/>
      <c r="BE31" s="161"/>
    </row>
    <row r="32" spans="1:57" s="224" customFormat="1" ht="9.75">
      <c r="A32" s="250"/>
      <c r="B32" s="249"/>
      <c r="C32" s="295" t="s">
        <v>346</v>
      </c>
      <c r="D32" s="185"/>
      <c r="E32" s="237">
        <f>1.805*(8.5+4.5+3+5.6)</f>
        <v>38.988</v>
      </c>
      <c r="F32" s="186"/>
      <c r="G32" s="187"/>
      <c r="O32" s="225"/>
      <c r="BA32" s="294"/>
      <c r="BB32" s="294"/>
      <c r="BC32" s="294"/>
      <c r="BD32" s="294"/>
      <c r="BE32" s="294"/>
    </row>
    <row r="33" spans="1:57" ht="12.75">
      <c r="A33" s="228"/>
      <c r="B33" s="159" t="s">
        <v>76</v>
      </c>
      <c r="C33" s="246" t="s">
        <v>279</v>
      </c>
      <c r="D33" s="158"/>
      <c r="E33" s="247"/>
      <c r="F33" s="247"/>
      <c r="G33" s="160">
        <f>SUM(G30:G32)</f>
        <v>0</v>
      </c>
      <c r="O33" s="157">
        <v>4</v>
      </c>
      <c r="BA33" s="161">
        <f>SUM(BA29:BA32)</f>
        <v>0</v>
      </c>
      <c r="BB33" s="161">
        <f>SUM(BB29:BB32)</f>
        <v>0</v>
      </c>
      <c r="BC33" s="161">
        <f>SUM(BC29:BC32)</f>
        <v>0</v>
      </c>
      <c r="BD33" s="161">
        <f>SUM(BD29:BD32)</f>
        <v>0</v>
      </c>
      <c r="BE33" s="161">
        <f>SUM(BE29:BE32)</f>
        <v>0</v>
      </c>
    </row>
    <row r="34" spans="1:15" ht="12.75">
      <c r="A34" s="260"/>
      <c r="B34" s="253" t="s">
        <v>98</v>
      </c>
      <c r="C34" s="254" t="s">
        <v>99</v>
      </c>
      <c r="D34" s="255"/>
      <c r="E34" s="256"/>
      <c r="F34" s="256"/>
      <c r="G34" s="257"/>
      <c r="H34" s="156"/>
      <c r="I34" s="156"/>
      <c r="O34" s="157">
        <v>1</v>
      </c>
    </row>
    <row r="35" spans="1:104" s="175" customFormat="1" ht="12.75">
      <c r="A35" s="182">
        <v>10</v>
      </c>
      <c r="B35" s="183" t="s">
        <v>100</v>
      </c>
      <c r="C35" s="206" t="s">
        <v>101</v>
      </c>
      <c r="D35" s="185" t="s">
        <v>102</v>
      </c>
      <c r="E35" s="186">
        <v>2.29267959999955</v>
      </c>
      <c r="F35" s="186"/>
      <c r="G35" s="187">
        <f>E35*F35</f>
        <v>0</v>
      </c>
      <c r="O35" s="176">
        <v>2</v>
      </c>
      <c r="AA35" s="175">
        <v>7</v>
      </c>
      <c r="AB35" s="175">
        <v>1</v>
      </c>
      <c r="AC35" s="175">
        <v>2</v>
      </c>
      <c r="AZ35" s="175">
        <v>1</v>
      </c>
      <c r="BA35" s="175">
        <f>IF(AZ35=1,G35,0)</f>
        <v>0</v>
      </c>
      <c r="BB35" s="175">
        <f>IF(AZ35=2,G35,0)</f>
        <v>0</v>
      </c>
      <c r="BC35" s="175">
        <f>IF(AZ35=3,G35,0)</f>
        <v>0</v>
      </c>
      <c r="BD35" s="175">
        <f>IF(AZ35=4,G35,0)</f>
        <v>0</v>
      </c>
      <c r="BE35" s="175">
        <f>IF(AZ35=5,G35,0)</f>
        <v>0</v>
      </c>
      <c r="CA35" s="177">
        <v>7</v>
      </c>
      <c r="CB35" s="177">
        <v>1</v>
      </c>
      <c r="CZ35" s="175">
        <v>0</v>
      </c>
    </row>
    <row r="36" spans="1:57" ht="12.75">
      <c r="A36" s="228"/>
      <c r="B36" s="159" t="s">
        <v>76</v>
      </c>
      <c r="C36" s="246" t="str">
        <f>CONCATENATE(B34," ",C34)</f>
        <v>99 Staveništní přesun hmot</v>
      </c>
      <c r="D36" s="158"/>
      <c r="E36" s="247"/>
      <c r="F36" s="247"/>
      <c r="G36" s="160">
        <f>SUM(G34:G35)</f>
        <v>0</v>
      </c>
      <c r="O36" s="157">
        <v>4</v>
      </c>
      <c r="BA36" s="161">
        <f>SUM(BA34:BA35)</f>
        <v>0</v>
      </c>
      <c r="BB36" s="161">
        <f>SUM(BB34:BB35)</f>
        <v>0</v>
      </c>
      <c r="BC36" s="161">
        <f>SUM(BC34:BC35)</f>
        <v>0</v>
      </c>
      <c r="BD36" s="161">
        <f>SUM(BD34:BD35)</f>
        <v>0</v>
      </c>
      <c r="BE36" s="161">
        <f>SUM(BE34:BE35)</f>
        <v>0</v>
      </c>
    </row>
    <row r="37" spans="1:15" ht="12.75">
      <c r="A37" s="260" t="s">
        <v>74</v>
      </c>
      <c r="B37" s="253" t="s">
        <v>103</v>
      </c>
      <c r="C37" s="254" t="s">
        <v>104</v>
      </c>
      <c r="D37" s="255"/>
      <c r="E37" s="256"/>
      <c r="F37" s="256"/>
      <c r="G37" s="257"/>
      <c r="H37" s="156"/>
      <c r="I37" s="156"/>
      <c r="O37" s="157">
        <v>1</v>
      </c>
    </row>
    <row r="38" spans="1:104" s="175" customFormat="1" ht="12.75">
      <c r="A38" s="182">
        <v>11</v>
      </c>
      <c r="B38" s="183" t="s">
        <v>105</v>
      </c>
      <c r="C38" s="206" t="s">
        <v>106</v>
      </c>
      <c r="D38" s="185" t="s">
        <v>81</v>
      </c>
      <c r="E38" s="186">
        <f>SUM(E39:E39)</f>
        <v>14.080000000000002</v>
      </c>
      <c r="F38" s="186"/>
      <c r="G38" s="187">
        <f>E38*F38</f>
        <v>0</v>
      </c>
      <c r="H38" s="174"/>
      <c r="O38" s="176">
        <v>2</v>
      </c>
      <c r="AA38" s="175">
        <v>1</v>
      </c>
      <c r="AB38" s="175">
        <v>7</v>
      </c>
      <c r="AC38" s="175">
        <v>7</v>
      </c>
      <c r="AZ38" s="175">
        <v>2</v>
      </c>
      <c r="BA38" s="175">
        <f>IF(AZ38=1,G38,0)</f>
        <v>0</v>
      </c>
      <c r="BB38" s="175">
        <f>IF(AZ38=2,G38,0)</f>
        <v>0</v>
      </c>
      <c r="BC38" s="175">
        <f>IF(AZ38=3,G38,0)</f>
        <v>0</v>
      </c>
      <c r="BD38" s="175">
        <f>IF(AZ38=4,G38,0)</f>
        <v>0</v>
      </c>
      <c r="BE38" s="175">
        <f>IF(AZ38=5,G38,0)</f>
        <v>0</v>
      </c>
      <c r="CA38" s="177">
        <v>1</v>
      </c>
      <c r="CB38" s="177">
        <v>7</v>
      </c>
      <c r="CZ38" s="175">
        <v>0</v>
      </c>
    </row>
    <row r="39" spans="1:15" s="175" customFormat="1" ht="12.75">
      <c r="A39" s="207"/>
      <c r="B39" s="208"/>
      <c r="C39" s="325" t="s">
        <v>193</v>
      </c>
      <c r="D39" s="326"/>
      <c r="E39" s="197">
        <f>25.6*0.55</f>
        <v>14.080000000000002</v>
      </c>
      <c r="F39" s="198"/>
      <c r="G39" s="199"/>
      <c r="M39" s="178" t="s">
        <v>107</v>
      </c>
      <c r="O39" s="176"/>
    </row>
    <row r="40" spans="1:104" s="175" customFormat="1" ht="12.75">
      <c r="A40" s="182">
        <v>12</v>
      </c>
      <c r="B40" s="183" t="s">
        <v>109</v>
      </c>
      <c r="C40" s="206" t="s">
        <v>110</v>
      </c>
      <c r="D40" s="185" t="s">
        <v>81</v>
      </c>
      <c r="E40" s="186">
        <f>SUM(E41:E41)</f>
        <v>406.40000000000003</v>
      </c>
      <c r="F40" s="186"/>
      <c r="G40" s="187">
        <f>E40*F40</f>
        <v>0</v>
      </c>
      <c r="O40" s="176">
        <v>2</v>
      </c>
      <c r="AA40" s="175">
        <v>1</v>
      </c>
      <c r="AB40" s="175">
        <v>7</v>
      </c>
      <c r="AC40" s="175">
        <v>7</v>
      </c>
      <c r="AZ40" s="175">
        <v>2</v>
      </c>
      <c r="BA40" s="175">
        <f>IF(AZ40=1,G40,0)</f>
        <v>0</v>
      </c>
      <c r="BB40" s="175">
        <f>IF(AZ40=2,G40,0)</f>
        <v>0</v>
      </c>
      <c r="BC40" s="175">
        <f>IF(AZ40=3,G40,0)</f>
        <v>0</v>
      </c>
      <c r="BD40" s="175">
        <f>IF(AZ40=4,G40,0)</f>
        <v>0</v>
      </c>
      <c r="BE40" s="175">
        <f>IF(AZ40=5,G40,0)</f>
        <v>0</v>
      </c>
      <c r="CA40" s="177">
        <v>1</v>
      </c>
      <c r="CB40" s="177">
        <v>7</v>
      </c>
      <c r="CZ40" s="175">
        <v>0</v>
      </c>
    </row>
    <row r="41" spans="1:7" s="175" customFormat="1" ht="12.75">
      <c r="A41" s="209"/>
      <c r="B41" s="209"/>
      <c r="C41" s="189" t="s">
        <v>192</v>
      </c>
      <c r="D41" s="190"/>
      <c r="E41" s="191">
        <f>25.6*14+8*6</f>
        <v>406.40000000000003</v>
      </c>
      <c r="F41" s="209"/>
      <c r="G41" s="209"/>
    </row>
    <row r="42" spans="1:104" s="175" customFormat="1" ht="12.75">
      <c r="A42" s="182">
        <v>13</v>
      </c>
      <c r="B42" s="183" t="s">
        <v>111</v>
      </c>
      <c r="C42" s="206" t="s">
        <v>112</v>
      </c>
      <c r="D42" s="185" t="s">
        <v>81</v>
      </c>
      <c r="E42" s="186">
        <f>SUM(E43:E43)</f>
        <v>406.40000000000003</v>
      </c>
      <c r="F42" s="186"/>
      <c r="G42" s="187">
        <f>E42*F42</f>
        <v>0</v>
      </c>
      <c r="O42" s="176">
        <v>2</v>
      </c>
      <c r="AA42" s="175">
        <v>1</v>
      </c>
      <c r="AB42" s="175">
        <v>7</v>
      </c>
      <c r="AC42" s="175">
        <v>7</v>
      </c>
      <c r="AZ42" s="175">
        <v>2</v>
      </c>
      <c r="BA42" s="175">
        <f>IF(AZ42=1,G42,0)</f>
        <v>0</v>
      </c>
      <c r="BB42" s="175">
        <f>IF(AZ42=2,G42,0)</f>
        <v>0</v>
      </c>
      <c r="BC42" s="175">
        <f>IF(AZ42=3,G42,0)</f>
        <v>0</v>
      </c>
      <c r="BD42" s="175">
        <f>IF(AZ42=4,G42,0)</f>
        <v>0</v>
      </c>
      <c r="BE42" s="175">
        <f>IF(AZ42=5,G42,0)</f>
        <v>0</v>
      </c>
      <c r="CA42" s="177">
        <v>1</v>
      </c>
      <c r="CB42" s="177">
        <v>7</v>
      </c>
      <c r="CZ42" s="175">
        <v>0</v>
      </c>
    </row>
    <row r="43" spans="1:80" s="175" customFormat="1" ht="12.75">
      <c r="A43" s="182"/>
      <c r="B43" s="183"/>
      <c r="C43" s="325" t="s">
        <v>192</v>
      </c>
      <c r="D43" s="326"/>
      <c r="E43" s="191">
        <f>25.6*14+8*6</f>
        <v>406.40000000000003</v>
      </c>
      <c r="F43" s="186"/>
      <c r="G43" s="187"/>
      <c r="O43" s="176"/>
      <c r="CA43" s="177"/>
      <c r="CB43" s="177"/>
    </row>
    <row r="44" spans="1:80" s="175" customFormat="1" ht="12.75">
      <c r="A44" s="182">
        <v>14</v>
      </c>
      <c r="B44" s="183" t="s">
        <v>288</v>
      </c>
      <c r="C44" s="192" t="s">
        <v>289</v>
      </c>
      <c r="D44" s="193" t="s">
        <v>217</v>
      </c>
      <c r="E44" s="191">
        <f>14*2</f>
        <v>28</v>
      </c>
      <c r="F44" s="186"/>
      <c r="G44" s="187">
        <f>E44*F44</f>
        <v>0</v>
      </c>
      <c r="O44" s="176"/>
      <c r="CA44" s="177"/>
      <c r="CB44" s="177"/>
    </row>
    <row r="45" spans="1:80" s="175" customFormat="1" ht="12.75">
      <c r="A45" s="182">
        <v>15</v>
      </c>
      <c r="B45" s="183" t="s">
        <v>290</v>
      </c>
      <c r="C45" s="192" t="s">
        <v>291</v>
      </c>
      <c r="D45" s="193" t="s">
        <v>217</v>
      </c>
      <c r="E45" s="191">
        <f>14*3</f>
        <v>42</v>
      </c>
      <c r="F45" s="186"/>
      <c r="G45" s="187">
        <f>E45*F45</f>
        <v>0</v>
      </c>
      <c r="O45" s="176"/>
      <c r="CA45" s="177"/>
      <c r="CB45" s="177"/>
    </row>
    <row r="46" spans="1:15" s="174" customFormat="1" ht="12.75">
      <c r="A46" s="182">
        <v>16</v>
      </c>
      <c r="B46" s="183" t="s">
        <v>286</v>
      </c>
      <c r="C46" s="192" t="s">
        <v>287</v>
      </c>
      <c r="D46" s="193" t="s">
        <v>117</v>
      </c>
      <c r="E46" s="186">
        <f>SUM(E47:E47)</f>
        <v>25.2</v>
      </c>
      <c r="F46" s="186"/>
      <c r="G46" s="187">
        <f>E46*F46</f>
        <v>0</v>
      </c>
      <c r="O46" s="188"/>
    </row>
    <row r="47" spans="1:80" s="175" customFormat="1" ht="12.75">
      <c r="A47" s="182"/>
      <c r="B47" s="183"/>
      <c r="C47" s="189" t="s">
        <v>208</v>
      </c>
      <c r="D47" s="190"/>
      <c r="E47" s="210">
        <f>3.6*7</f>
        <v>25.2</v>
      </c>
      <c r="F47" s="186"/>
      <c r="G47" s="187"/>
      <c r="O47" s="176"/>
      <c r="CA47" s="177"/>
      <c r="CB47" s="177"/>
    </row>
    <row r="48" spans="1:104" s="175" customFormat="1" ht="12.75" customHeight="1">
      <c r="A48" s="182">
        <v>17</v>
      </c>
      <c r="B48" s="183" t="s">
        <v>123</v>
      </c>
      <c r="C48" s="206" t="s">
        <v>124</v>
      </c>
      <c r="D48" s="185" t="s">
        <v>81</v>
      </c>
      <c r="E48" s="186">
        <f>SUM(E49:E49)</f>
        <v>64.8</v>
      </c>
      <c r="F48" s="186"/>
      <c r="G48" s="187">
        <f>E48*F48</f>
        <v>0</v>
      </c>
      <c r="H48" s="174"/>
      <c r="O48" s="176">
        <v>2</v>
      </c>
      <c r="AA48" s="175">
        <v>1</v>
      </c>
      <c r="AB48" s="175">
        <v>7</v>
      </c>
      <c r="AC48" s="175">
        <v>7</v>
      </c>
      <c r="AZ48" s="175">
        <v>2</v>
      </c>
      <c r="BA48" s="175">
        <f>IF(AZ48=1,G48,0)</f>
        <v>0</v>
      </c>
      <c r="BB48" s="175">
        <f>IF(AZ48=2,G48,0)</f>
        <v>0</v>
      </c>
      <c r="BC48" s="175">
        <f>IF(AZ48=3,G48,0)</f>
        <v>0</v>
      </c>
      <c r="BD48" s="175">
        <f>IF(AZ48=4,G48,0)</f>
        <v>0</v>
      </c>
      <c r="BE48" s="175">
        <f>IF(AZ48=5,G48,0)</f>
        <v>0</v>
      </c>
      <c r="CA48" s="177">
        <v>1</v>
      </c>
      <c r="CB48" s="177">
        <v>7</v>
      </c>
      <c r="CZ48" s="175">
        <v>0</v>
      </c>
    </row>
    <row r="49" spans="1:15" s="175" customFormat="1" ht="12.75">
      <c r="A49" s="207"/>
      <c r="B49" s="208"/>
      <c r="C49" s="325" t="s">
        <v>199</v>
      </c>
      <c r="D49" s="326"/>
      <c r="E49" s="197">
        <f>7.2*9</f>
        <v>64.8</v>
      </c>
      <c r="F49" s="198"/>
      <c r="G49" s="199"/>
      <c r="M49" s="178" t="s">
        <v>125</v>
      </c>
      <c r="O49" s="176"/>
    </row>
    <row r="50" spans="1:104" s="175" customFormat="1" ht="12.75">
      <c r="A50" s="182">
        <v>18</v>
      </c>
      <c r="B50" s="183" t="s">
        <v>115</v>
      </c>
      <c r="C50" s="206" t="s">
        <v>116</v>
      </c>
      <c r="D50" s="185" t="s">
        <v>117</v>
      </c>
      <c r="E50" s="186">
        <f>SUM(E51:E55)</f>
        <v>122.80000000000001</v>
      </c>
      <c r="F50" s="186"/>
      <c r="G50" s="187">
        <f>E50*F50</f>
        <v>0</v>
      </c>
      <c r="O50" s="176">
        <v>2</v>
      </c>
      <c r="AA50" s="175">
        <v>1</v>
      </c>
      <c r="AB50" s="175">
        <v>7</v>
      </c>
      <c r="AC50" s="175">
        <v>7</v>
      </c>
      <c r="AZ50" s="175">
        <v>2</v>
      </c>
      <c r="BA50" s="175">
        <f>IF(AZ50=1,G50,0)</f>
        <v>0</v>
      </c>
      <c r="BB50" s="175">
        <f>IF(AZ50=2,G50,0)</f>
        <v>0</v>
      </c>
      <c r="BC50" s="175">
        <f>IF(AZ50=3,G50,0)</f>
        <v>0</v>
      </c>
      <c r="BD50" s="175">
        <f>IF(AZ50=4,G50,0)</f>
        <v>0</v>
      </c>
      <c r="BE50" s="175">
        <f>IF(AZ50=5,G50,0)</f>
        <v>0</v>
      </c>
      <c r="CA50" s="177">
        <v>1</v>
      </c>
      <c r="CB50" s="177">
        <v>7</v>
      </c>
      <c r="CZ50" s="175">
        <v>0.00254999999999939</v>
      </c>
    </row>
    <row r="51" spans="1:13" s="211" customFormat="1" ht="9.75">
      <c r="A51" s="194"/>
      <c r="B51" s="195"/>
      <c r="C51" s="325" t="s">
        <v>203</v>
      </c>
      <c r="D51" s="330"/>
      <c r="E51" s="197">
        <f>2*7*2+2*2</f>
        <v>32</v>
      </c>
      <c r="F51" s="198"/>
      <c r="G51" s="199"/>
      <c r="M51" s="212" t="s">
        <v>118</v>
      </c>
    </row>
    <row r="52" spans="1:13" s="211" customFormat="1" ht="9.75">
      <c r="A52" s="194"/>
      <c r="B52" s="195"/>
      <c r="C52" s="189" t="s">
        <v>195</v>
      </c>
      <c r="D52" s="196"/>
      <c r="E52" s="197">
        <v>25.6</v>
      </c>
      <c r="F52" s="198"/>
      <c r="G52" s="199"/>
      <c r="M52" s="212" t="s">
        <v>119</v>
      </c>
    </row>
    <row r="53" spans="1:7" s="211" customFormat="1" ht="9.75">
      <c r="A53" s="200"/>
      <c r="B53" s="200"/>
      <c r="C53" s="189" t="s">
        <v>194</v>
      </c>
      <c r="D53" s="196"/>
      <c r="E53" s="197">
        <v>25.6</v>
      </c>
      <c r="F53" s="200"/>
      <c r="G53" s="200"/>
    </row>
    <row r="54" spans="1:7" s="211" customFormat="1" ht="9.75">
      <c r="A54" s="200"/>
      <c r="B54" s="200"/>
      <c r="C54" s="200" t="s">
        <v>196</v>
      </c>
      <c r="D54" s="200"/>
      <c r="E54" s="201">
        <v>25.6</v>
      </c>
      <c r="F54" s="200"/>
      <c r="G54" s="200"/>
    </row>
    <row r="55" spans="1:7" s="211" customFormat="1" ht="9.75">
      <c r="A55" s="200"/>
      <c r="B55" s="200"/>
      <c r="C55" s="200" t="s">
        <v>197</v>
      </c>
      <c r="D55" s="200"/>
      <c r="E55" s="201">
        <v>14</v>
      </c>
      <c r="F55" s="200"/>
      <c r="G55" s="200"/>
    </row>
    <row r="56" spans="1:104" s="175" customFormat="1" ht="20.25">
      <c r="A56" s="182">
        <v>19</v>
      </c>
      <c r="B56" s="183" t="s">
        <v>120</v>
      </c>
      <c r="C56" s="206" t="s">
        <v>121</v>
      </c>
      <c r="D56" s="185" t="s">
        <v>81</v>
      </c>
      <c r="E56" s="186">
        <f>SUM(E57:E59)</f>
        <v>85.52000000000001</v>
      </c>
      <c r="F56" s="186"/>
      <c r="G56" s="187">
        <f>E56*F56</f>
        <v>0</v>
      </c>
      <c r="O56" s="176">
        <v>2</v>
      </c>
      <c r="AA56" s="175">
        <v>1</v>
      </c>
      <c r="AB56" s="175">
        <v>7</v>
      </c>
      <c r="AC56" s="175">
        <v>7</v>
      </c>
      <c r="AZ56" s="175">
        <v>2</v>
      </c>
      <c r="BA56" s="175">
        <f>IF(AZ56=1,G56,0)</f>
        <v>0</v>
      </c>
      <c r="BB56" s="175">
        <f>IF(AZ56=2,G56,0)</f>
        <v>0</v>
      </c>
      <c r="BC56" s="175">
        <f>IF(AZ56=3,G56,0)</f>
        <v>0</v>
      </c>
      <c r="BD56" s="175">
        <f>IF(AZ56=4,G56,0)</f>
        <v>0</v>
      </c>
      <c r="BE56" s="175">
        <f>IF(AZ56=5,G56,0)</f>
        <v>0</v>
      </c>
      <c r="CA56" s="177">
        <v>1</v>
      </c>
      <c r="CB56" s="177">
        <v>7</v>
      </c>
      <c r="CZ56" s="175">
        <v>0.0164000000000044</v>
      </c>
    </row>
    <row r="57" spans="1:15" s="175" customFormat="1" ht="12.75">
      <c r="A57" s="207"/>
      <c r="B57" s="208"/>
      <c r="C57" s="325" t="s">
        <v>198</v>
      </c>
      <c r="D57" s="326"/>
      <c r="E57" s="197">
        <f>25.6*1.85</f>
        <v>47.36000000000001</v>
      </c>
      <c r="F57" s="198"/>
      <c r="G57" s="199"/>
      <c r="M57" s="178" t="s">
        <v>122</v>
      </c>
      <c r="O57" s="176"/>
    </row>
    <row r="58" spans="1:7" s="175" customFormat="1" ht="12.75">
      <c r="A58" s="209"/>
      <c r="B58" s="209"/>
      <c r="C58" s="325" t="s">
        <v>200</v>
      </c>
      <c r="D58" s="326"/>
      <c r="E58" s="272">
        <f>3.6*2*2.5</f>
        <v>18</v>
      </c>
      <c r="F58" s="209"/>
      <c r="G58" s="209"/>
    </row>
    <row r="59" spans="1:7" s="175" customFormat="1" ht="12.75">
      <c r="A59" s="209"/>
      <c r="B59" s="209"/>
      <c r="C59" s="325" t="s">
        <v>343</v>
      </c>
      <c r="D59" s="326"/>
      <c r="E59" s="272">
        <f>(0.45+0.35)*7*3.6</f>
        <v>20.160000000000004</v>
      </c>
      <c r="F59" s="209"/>
      <c r="G59" s="209"/>
    </row>
    <row r="60" spans="1:104" s="175" customFormat="1" ht="20.25">
      <c r="A60" s="182">
        <v>20</v>
      </c>
      <c r="B60" s="183" t="s">
        <v>108</v>
      </c>
      <c r="C60" s="206" t="s">
        <v>202</v>
      </c>
      <c r="D60" s="185" t="s">
        <v>81</v>
      </c>
      <c r="E60" s="186">
        <f>SUM(E61:E61)</f>
        <v>406.40000000000003</v>
      </c>
      <c r="F60" s="186"/>
      <c r="G60" s="187">
        <f>E60*F60</f>
        <v>0</v>
      </c>
      <c r="H60" s="174"/>
      <c r="O60" s="176">
        <v>2</v>
      </c>
      <c r="AA60" s="175">
        <v>1</v>
      </c>
      <c r="AB60" s="175">
        <v>7</v>
      </c>
      <c r="AC60" s="175">
        <v>7</v>
      </c>
      <c r="AZ60" s="175">
        <v>2</v>
      </c>
      <c r="BA60" s="175">
        <f>IF(AZ60=1,G60,0)</f>
        <v>0</v>
      </c>
      <c r="BB60" s="175">
        <f>IF(AZ60=2,G60,0)</f>
        <v>0</v>
      </c>
      <c r="BC60" s="175">
        <f>IF(AZ60=3,G60,0)</f>
        <v>0</v>
      </c>
      <c r="BD60" s="175">
        <f>IF(AZ60=4,G60,0)</f>
        <v>0</v>
      </c>
      <c r="BE60" s="175">
        <f>IF(AZ60=5,G60,0)</f>
        <v>0</v>
      </c>
      <c r="CA60" s="177">
        <v>1</v>
      </c>
      <c r="CB60" s="177">
        <v>7</v>
      </c>
      <c r="CZ60" s="175">
        <v>0.000910000000000188</v>
      </c>
    </row>
    <row r="61" spans="1:7" s="175" customFormat="1" ht="12.75">
      <c r="A61" s="209"/>
      <c r="B61" s="209"/>
      <c r="C61" s="204" t="s">
        <v>192</v>
      </c>
      <c r="D61" s="209"/>
      <c r="E61" s="191">
        <f>25.6*14+8*6</f>
        <v>406.40000000000003</v>
      </c>
      <c r="F61" s="209"/>
      <c r="G61" s="209"/>
    </row>
    <row r="62" spans="1:104" s="175" customFormat="1" ht="20.25">
      <c r="A62" s="182">
        <v>21</v>
      </c>
      <c r="B62" s="183" t="s">
        <v>292</v>
      </c>
      <c r="C62" s="206" t="s">
        <v>201</v>
      </c>
      <c r="D62" s="185" t="s">
        <v>81</v>
      </c>
      <c r="E62" s="186">
        <f>SUM(E63:E63)</f>
        <v>406.40000000000003</v>
      </c>
      <c r="F62" s="186"/>
      <c r="G62" s="187">
        <f>E62*F62</f>
        <v>0</v>
      </c>
      <c r="H62" s="174"/>
      <c r="O62" s="176">
        <v>2</v>
      </c>
      <c r="AA62" s="175">
        <v>1</v>
      </c>
      <c r="AB62" s="175">
        <v>7</v>
      </c>
      <c r="AC62" s="175">
        <v>7</v>
      </c>
      <c r="AZ62" s="175">
        <v>2</v>
      </c>
      <c r="BA62" s="175">
        <f>IF(AZ62=1,G62,0)</f>
        <v>0</v>
      </c>
      <c r="BB62" s="175">
        <f>IF(AZ62=2,G62,0)</f>
        <v>0</v>
      </c>
      <c r="BC62" s="175">
        <f>IF(AZ62=3,G62,0)</f>
        <v>0</v>
      </c>
      <c r="BD62" s="175">
        <f>IF(AZ62=4,G62,0)</f>
        <v>0</v>
      </c>
      <c r="BE62" s="175">
        <f>IF(AZ62=5,G62,0)</f>
        <v>0</v>
      </c>
      <c r="CA62" s="177">
        <v>1</v>
      </c>
      <c r="CB62" s="177">
        <v>7</v>
      </c>
      <c r="CZ62" s="175">
        <v>0.000910000000000188</v>
      </c>
    </row>
    <row r="63" spans="1:7" s="175" customFormat="1" ht="12.75">
      <c r="A63" s="209"/>
      <c r="B63" s="209"/>
      <c r="C63" s="204" t="s">
        <v>192</v>
      </c>
      <c r="D63" s="209"/>
      <c r="E63" s="191">
        <f>25.6*14+8*6</f>
        <v>406.40000000000003</v>
      </c>
      <c r="F63" s="209"/>
      <c r="G63" s="209"/>
    </row>
    <row r="64" spans="1:104" s="175" customFormat="1" ht="12.75">
      <c r="A64" s="213">
        <v>22</v>
      </c>
      <c r="B64" s="277"/>
      <c r="C64" s="215" t="s">
        <v>293</v>
      </c>
      <c r="D64" s="216" t="s">
        <v>94</v>
      </c>
      <c r="E64" s="217">
        <v>5.7572</v>
      </c>
      <c r="F64" s="217"/>
      <c r="G64" s="205"/>
      <c r="O64" s="176">
        <v>2</v>
      </c>
      <c r="AA64" s="175">
        <v>3</v>
      </c>
      <c r="AB64" s="175">
        <v>7</v>
      </c>
      <c r="AC64" s="175">
        <v>60512601</v>
      </c>
      <c r="AZ64" s="175">
        <v>2</v>
      </c>
      <c r="BA64" s="175">
        <f>IF(AZ64=1,G64,0)</f>
        <v>0</v>
      </c>
      <c r="BB64" s="175">
        <f>IF(AZ64=2,G64,0)</f>
        <v>0</v>
      </c>
      <c r="BC64" s="175">
        <f>IF(AZ64=3,G64,0)</f>
        <v>0</v>
      </c>
      <c r="BD64" s="175">
        <f>IF(AZ64=4,G64,0)</f>
        <v>0</v>
      </c>
      <c r="BE64" s="175">
        <f>IF(AZ64=5,G64,0)</f>
        <v>0</v>
      </c>
      <c r="CA64" s="177">
        <v>3</v>
      </c>
      <c r="CB64" s="177">
        <v>7</v>
      </c>
      <c r="CZ64" s="175">
        <v>0.550000000000182</v>
      </c>
    </row>
    <row r="65" spans="1:15" s="175" customFormat="1" ht="12.75">
      <c r="A65" s="218"/>
      <c r="B65" s="278" t="s">
        <v>276</v>
      </c>
      <c r="C65" s="327" t="s">
        <v>204</v>
      </c>
      <c r="D65" s="328"/>
      <c r="E65" s="303">
        <f>0.16*0.06*2*16</f>
        <v>0.3072</v>
      </c>
      <c r="F65" s="273"/>
      <c r="G65" s="205">
        <f aca="true" t="shared" si="0" ref="G65:G73">E65*F65</f>
        <v>0</v>
      </c>
      <c r="M65" s="178" t="s">
        <v>127</v>
      </c>
      <c r="O65" s="176"/>
    </row>
    <row r="66" spans="1:15" s="175" customFormat="1" ht="12.75">
      <c r="A66" s="218"/>
      <c r="B66" s="278" t="s">
        <v>276</v>
      </c>
      <c r="C66" s="327" t="s">
        <v>205</v>
      </c>
      <c r="D66" s="336"/>
      <c r="E66" s="304">
        <f>0.1*0.16*25.6</f>
        <v>0.4096</v>
      </c>
      <c r="F66" s="273"/>
      <c r="G66" s="205">
        <f t="shared" si="0"/>
        <v>0</v>
      </c>
      <c r="M66" s="178" t="s">
        <v>128</v>
      </c>
      <c r="O66" s="176"/>
    </row>
    <row r="67" spans="1:15" s="224" customFormat="1" ht="9.75">
      <c r="A67" s="222"/>
      <c r="B67" s="278" t="s">
        <v>276</v>
      </c>
      <c r="C67" s="327" t="s">
        <v>206</v>
      </c>
      <c r="D67" s="328"/>
      <c r="E67" s="304">
        <f>0.025*0.1*25.6</f>
        <v>0.06400000000000002</v>
      </c>
      <c r="F67" s="273"/>
      <c r="G67" s="205">
        <f t="shared" si="0"/>
        <v>0</v>
      </c>
      <c r="M67" s="178"/>
      <c r="O67" s="225"/>
    </row>
    <row r="68" spans="1:15" s="224" customFormat="1" ht="9.75">
      <c r="A68" s="222"/>
      <c r="B68" s="278" t="s">
        <v>276</v>
      </c>
      <c r="C68" s="327" t="s">
        <v>207</v>
      </c>
      <c r="D68" s="328"/>
      <c r="E68" s="304">
        <f>0.025*0.15*14</f>
        <v>0.0525</v>
      </c>
      <c r="F68" s="273"/>
      <c r="G68" s="205">
        <f t="shared" si="0"/>
        <v>0</v>
      </c>
      <c r="M68" s="178"/>
      <c r="O68" s="225"/>
    </row>
    <row r="69" spans="1:15" s="224" customFormat="1" ht="9.75">
      <c r="A69" s="222"/>
      <c r="B69" s="278" t="s">
        <v>276</v>
      </c>
      <c r="C69" s="202" t="s">
        <v>209</v>
      </c>
      <c r="D69" s="203"/>
      <c r="E69" s="304">
        <f>0.025*7.2*9</f>
        <v>1.62</v>
      </c>
      <c r="F69" s="273"/>
      <c r="G69" s="205">
        <f t="shared" si="0"/>
        <v>0</v>
      </c>
      <c r="M69" s="178"/>
      <c r="O69" s="225"/>
    </row>
    <row r="70" spans="1:15" s="224" customFormat="1" ht="9.75">
      <c r="A70" s="222"/>
      <c r="B70" s="278" t="s">
        <v>276</v>
      </c>
      <c r="C70" s="202" t="s">
        <v>210</v>
      </c>
      <c r="D70" s="203"/>
      <c r="E70" s="304">
        <f>0.02*(0.45+0.35)*7*3.6</f>
        <v>0.4032</v>
      </c>
      <c r="F70" s="273"/>
      <c r="G70" s="205">
        <f t="shared" si="0"/>
        <v>0</v>
      </c>
      <c r="M70" s="178"/>
      <c r="O70" s="225"/>
    </row>
    <row r="71" spans="1:15" s="224" customFormat="1" ht="9.75">
      <c r="A71" s="222"/>
      <c r="B71" s="278" t="s">
        <v>276</v>
      </c>
      <c r="C71" s="202" t="s">
        <v>211</v>
      </c>
      <c r="D71" s="203"/>
      <c r="E71" s="304">
        <f>0.04*0.06*4*7*14</f>
        <v>0.9408</v>
      </c>
      <c r="F71" s="273"/>
      <c r="G71" s="205">
        <f t="shared" si="0"/>
        <v>0</v>
      </c>
      <c r="M71" s="178"/>
      <c r="O71" s="225"/>
    </row>
    <row r="72" spans="1:15" s="224" customFormat="1" ht="9.75">
      <c r="A72" s="222"/>
      <c r="B72" s="278" t="s">
        <v>276</v>
      </c>
      <c r="C72" s="202" t="s">
        <v>212</v>
      </c>
      <c r="D72" s="203"/>
      <c r="E72" s="304">
        <f>0.04*0.06*25.6*(17+15)</f>
        <v>1.9660799999999998</v>
      </c>
      <c r="F72" s="273"/>
      <c r="G72" s="205">
        <f t="shared" si="0"/>
        <v>0</v>
      </c>
      <c r="M72" s="178"/>
      <c r="O72" s="225"/>
    </row>
    <row r="73" spans="1:7" s="175" customFormat="1" ht="12.75">
      <c r="A73" s="213">
        <v>23</v>
      </c>
      <c r="B73" s="214" t="s">
        <v>276</v>
      </c>
      <c r="C73" s="215" t="s">
        <v>294</v>
      </c>
      <c r="D73" s="216" t="s">
        <v>213</v>
      </c>
      <c r="E73" s="217">
        <f>SUM(E74:E75)</f>
        <v>15.4</v>
      </c>
      <c r="F73" s="217"/>
      <c r="G73" s="205">
        <f t="shared" si="0"/>
        <v>0</v>
      </c>
    </row>
    <row r="74" spans="1:7" s="175" customFormat="1" ht="12.75">
      <c r="A74" s="222"/>
      <c r="B74" s="223"/>
      <c r="C74" s="325" t="s">
        <v>214</v>
      </c>
      <c r="D74" s="326"/>
      <c r="E74" s="221">
        <f>3.6*2*2.5*0.5</f>
        <v>9</v>
      </c>
      <c r="F74" s="219"/>
      <c r="G74" s="220"/>
    </row>
    <row r="75" spans="1:104" s="175" customFormat="1" ht="12.75">
      <c r="A75" s="222"/>
      <c r="B75" s="223"/>
      <c r="C75" s="200" t="s">
        <v>215</v>
      </c>
      <c r="D75" s="203"/>
      <c r="E75" s="221">
        <f>25.6*0.25</f>
        <v>6.4</v>
      </c>
      <c r="F75" s="219"/>
      <c r="G75" s="220"/>
      <c r="O75" s="176">
        <v>2</v>
      </c>
      <c r="AA75" s="175">
        <v>7</v>
      </c>
      <c r="AB75" s="175">
        <v>1002</v>
      </c>
      <c r="AC75" s="175">
        <v>5</v>
      </c>
      <c r="AZ75" s="175">
        <v>2</v>
      </c>
      <c r="BA75" s="175">
        <f>IF(AZ75=1,G75,0)</f>
        <v>0</v>
      </c>
      <c r="BB75" s="175">
        <f>IF(AZ75=2,G75,0)</f>
        <v>0</v>
      </c>
      <c r="BC75" s="175">
        <f>IF(AZ75=3,G75,0)</f>
        <v>0</v>
      </c>
      <c r="BD75" s="175">
        <f>IF(AZ75=4,G75,0)</f>
        <v>0</v>
      </c>
      <c r="BE75" s="175">
        <f>IF(AZ75=5,G75,0)</f>
        <v>0</v>
      </c>
      <c r="CA75" s="177">
        <v>7</v>
      </c>
      <c r="CB75" s="177">
        <v>1002</v>
      </c>
      <c r="CZ75" s="175">
        <v>0</v>
      </c>
    </row>
    <row r="76" spans="1:7" s="175" customFormat="1" ht="12.75">
      <c r="A76" s="213">
        <v>24</v>
      </c>
      <c r="C76" s="215" t="s">
        <v>295</v>
      </c>
      <c r="D76" s="216"/>
      <c r="E76" s="217"/>
      <c r="F76" s="217"/>
      <c r="G76" s="205"/>
    </row>
    <row r="77" spans="1:7" s="226" customFormat="1" ht="9.75">
      <c r="A77" s="275">
        <v>25</v>
      </c>
      <c r="B77" s="214" t="s">
        <v>276</v>
      </c>
      <c r="C77" s="243" t="s">
        <v>216</v>
      </c>
      <c r="D77" s="275" t="s">
        <v>217</v>
      </c>
      <c r="E77" s="274">
        <v>2300</v>
      </c>
      <c r="F77" s="243"/>
      <c r="G77" s="205">
        <f>E77*F77</f>
        <v>0</v>
      </c>
    </row>
    <row r="78" spans="1:7" s="226" customFormat="1" ht="9.75">
      <c r="A78" s="275">
        <v>26</v>
      </c>
      <c r="B78" s="276" t="s">
        <v>276</v>
      </c>
      <c r="C78" s="243" t="s">
        <v>218</v>
      </c>
      <c r="D78" s="275" t="s">
        <v>217</v>
      </c>
      <c r="E78" s="274">
        <v>32</v>
      </c>
      <c r="F78" s="243"/>
      <c r="G78" s="205">
        <f>E78*F78</f>
        <v>0</v>
      </c>
    </row>
    <row r="79" spans="1:7" s="226" customFormat="1" ht="9.75">
      <c r="A79" s="275">
        <v>27</v>
      </c>
      <c r="B79" s="276" t="s">
        <v>276</v>
      </c>
      <c r="C79" s="243" t="s">
        <v>219</v>
      </c>
      <c r="D79" s="275" t="s">
        <v>217</v>
      </c>
      <c r="E79" s="274">
        <v>420</v>
      </c>
      <c r="F79" s="243"/>
      <c r="G79" s="205">
        <f>E79*F79</f>
        <v>0</v>
      </c>
    </row>
    <row r="80" spans="1:7" s="226" customFormat="1" ht="9.75">
      <c r="A80" s="275">
        <v>28</v>
      </c>
      <c r="B80" s="276" t="s">
        <v>276</v>
      </c>
      <c r="C80" s="243" t="s">
        <v>220</v>
      </c>
      <c r="D80" s="275" t="s">
        <v>217</v>
      </c>
      <c r="E80" s="274">
        <v>420</v>
      </c>
      <c r="F80" s="243"/>
      <c r="G80" s="205">
        <f>E80*F80</f>
        <v>0</v>
      </c>
    </row>
    <row r="81" spans="1:104" s="279" customFormat="1" ht="12.75">
      <c r="A81" s="213">
        <v>29</v>
      </c>
      <c r="B81" s="214" t="s">
        <v>113</v>
      </c>
      <c r="C81" s="215" t="s">
        <v>114</v>
      </c>
      <c r="D81" s="216" t="s">
        <v>221</v>
      </c>
      <c r="E81" s="217">
        <v>1</v>
      </c>
      <c r="F81" s="217"/>
      <c r="G81" s="205">
        <f>E81*F81</f>
        <v>0</v>
      </c>
      <c r="O81" s="280">
        <v>2</v>
      </c>
      <c r="AA81" s="279">
        <v>1</v>
      </c>
      <c r="AB81" s="279">
        <v>7</v>
      </c>
      <c r="AC81" s="279">
        <v>7</v>
      </c>
      <c r="AZ81" s="279">
        <v>2</v>
      </c>
      <c r="BA81" s="279">
        <f>IF(AZ81=1,G81,0)</f>
        <v>0</v>
      </c>
      <c r="BB81" s="279">
        <f>IF(AZ81=2,G81,0)</f>
        <v>0</v>
      </c>
      <c r="BC81" s="279">
        <f>IF(AZ81=3,G81,0)</f>
        <v>0</v>
      </c>
      <c r="BD81" s="279">
        <f>IF(AZ81=4,G81,0)</f>
        <v>0</v>
      </c>
      <c r="BE81" s="279">
        <f>IF(AZ81=5,G81,0)</f>
        <v>0</v>
      </c>
      <c r="CA81" s="281">
        <v>1</v>
      </c>
      <c r="CB81" s="281">
        <v>7</v>
      </c>
      <c r="CZ81" s="279">
        <v>0.0235700000000065</v>
      </c>
    </row>
    <row r="82" spans="1:80" s="175" customFormat="1" ht="12.75">
      <c r="A82" s="182"/>
      <c r="B82" s="183"/>
      <c r="C82" s="184" t="s">
        <v>280</v>
      </c>
      <c r="D82" s="185"/>
      <c r="E82" s="186"/>
      <c r="F82" s="186"/>
      <c r="G82" s="187"/>
      <c r="O82" s="176"/>
      <c r="CA82" s="177"/>
      <c r="CB82" s="177"/>
    </row>
    <row r="83" spans="1:80" s="175" customFormat="1" ht="12.75">
      <c r="A83" s="182">
        <v>30</v>
      </c>
      <c r="B83" s="183" t="s">
        <v>296</v>
      </c>
      <c r="C83" s="206" t="s">
        <v>297</v>
      </c>
      <c r="D83" s="185" t="s">
        <v>102</v>
      </c>
      <c r="E83" s="186">
        <f>SUM(E65:E72)*0.78*1.08</f>
        <v>4.855071312000001</v>
      </c>
      <c r="F83" s="186"/>
      <c r="G83" s="187">
        <f>E83*F83</f>
        <v>0</v>
      </c>
      <c r="O83" s="176"/>
      <c r="CA83" s="177"/>
      <c r="CB83" s="177"/>
    </row>
    <row r="84" spans="1:57" ht="12.75">
      <c r="A84" s="228"/>
      <c r="B84" s="159" t="s">
        <v>76</v>
      </c>
      <c r="C84" s="246" t="str">
        <f>CONCATENATE(B37," ",C37)</f>
        <v>762 Konstrukce tesařské</v>
      </c>
      <c r="D84" s="158"/>
      <c r="E84" s="247"/>
      <c r="F84" s="247"/>
      <c r="G84" s="160">
        <f>SUM(G37:G83)</f>
        <v>0</v>
      </c>
      <c r="O84" s="157">
        <v>4</v>
      </c>
      <c r="BA84" s="161">
        <f>SUM(BA37:BA75)</f>
        <v>0</v>
      </c>
      <c r="BB84" s="161">
        <f>SUM(BB37:BB75)</f>
        <v>0</v>
      </c>
      <c r="BC84" s="161">
        <f>SUM(BC37:BC75)</f>
        <v>0</v>
      </c>
      <c r="BD84" s="161">
        <f>SUM(BD37:BD75)</f>
        <v>0</v>
      </c>
      <c r="BE84" s="161">
        <f>SUM(BE37:BE75)</f>
        <v>0</v>
      </c>
    </row>
    <row r="85" spans="1:15" ht="12.75">
      <c r="A85" s="260" t="s">
        <v>74</v>
      </c>
      <c r="B85" s="253" t="s">
        <v>129</v>
      </c>
      <c r="C85" s="254" t="s">
        <v>130</v>
      </c>
      <c r="D85" s="255"/>
      <c r="E85" s="256"/>
      <c r="F85" s="256"/>
      <c r="G85" s="257"/>
      <c r="H85" s="156"/>
      <c r="I85" s="156"/>
      <c r="O85" s="157">
        <v>1</v>
      </c>
    </row>
    <row r="86" spans="1:15" s="175" customFormat="1" ht="12.75">
      <c r="A86" s="207">
        <v>31</v>
      </c>
      <c r="B86" s="232" t="s">
        <v>306</v>
      </c>
      <c r="C86" s="233" t="s">
        <v>307</v>
      </c>
      <c r="D86" s="193" t="s">
        <v>117</v>
      </c>
      <c r="E86" s="235">
        <f>4*3.5</f>
        <v>14</v>
      </c>
      <c r="F86" s="236"/>
      <c r="G86" s="187">
        <f>E86*F86</f>
        <v>0</v>
      </c>
      <c r="H86" s="234"/>
      <c r="M86" s="178"/>
      <c r="O86" s="176"/>
    </row>
    <row r="87" spans="1:15" s="175" customFormat="1" ht="12.75">
      <c r="A87" s="207">
        <v>32</v>
      </c>
      <c r="B87" s="232" t="s">
        <v>308</v>
      </c>
      <c r="C87" s="233" t="s">
        <v>309</v>
      </c>
      <c r="D87" s="193" t="s">
        <v>217</v>
      </c>
      <c r="E87" s="235">
        <f>4*3</f>
        <v>12</v>
      </c>
      <c r="F87" s="284"/>
      <c r="G87" s="187">
        <f>E87*F87</f>
        <v>0</v>
      </c>
      <c r="H87" s="234"/>
      <c r="M87" s="178"/>
      <c r="O87" s="176"/>
    </row>
    <row r="88" spans="1:104" s="175" customFormat="1" ht="15" customHeight="1">
      <c r="A88" s="182">
        <v>33</v>
      </c>
      <c r="B88" s="183" t="s">
        <v>132</v>
      </c>
      <c r="C88" s="206" t="s">
        <v>133</v>
      </c>
      <c r="D88" s="185" t="s">
        <v>117</v>
      </c>
      <c r="E88" s="186">
        <v>26</v>
      </c>
      <c r="F88" s="186"/>
      <c r="G88" s="187">
        <f>E88*F88</f>
        <v>0</v>
      </c>
      <c r="O88" s="176">
        <v>2</v>
      </c>
      <c r="AA88" s="175">
        <v>1</v>
      </c>
      <c r="AB88" s="175">
        <v>7</v>
      </c>
      <c r="AC88" s="175">
        <v>7</v>
      </c>
      <c r="AZ88" s="175">
        <v>2</v>
      </c>
      <c r="BA88" s="175">
        <f>IF(AZ88=1,G88,0)</f>
        <v>0</v>
      </c>
      <c r="BB88" s="175">
        <f>IF(AZ88=2,G88,0)</f>
        <v>0</v>
      </c>
      <c r="BC88" s="175">
        <f>IF(AZ88=3,G88,0)</f>
        <v>0</v>
      </c>
      <c r="BD88" s="175">
        <f>IF(AZ88=4,G88,0)</f>
        <v>0</v>
      </c>
      <c r="BE88" s="175">
        <f>IF(AZ88=5,G88,0)</f>
        <v>0</v>
      </c>
      <c r="CA88" s="177">
        <v>1</v>
      </c>
      <c r="CB88" s="177">
        <v>7</v>
      </c>
      <c r="CZ88" s="175">
        <v>0</v>
      </c>
    </row>
    <row r="89" spans="1:80" s="175" customFormat="1" ht="12.75">
      <c r="A89" s="182">
        <v>34</v>
      </c>
      <c r="B89" s="183" t="s">
        <v>310</v>
      </c>
      <c r="C89" s="206" t="s">
        <v>311</v>
      </c>
      <c r="D89" s="185" t="s">
        <v>117</v>
      </c>
      <c r="E89" s="186">
        <f>SUM(E90:E90)</f>
        <v>59.16</v>
      </c>
      <c r="F89" s="186"/>
      <c r="G89" s="187">
        <f>E89*F89</f>
        <v>0</v>
      </c>
      <c r="O89" s="176"/>
      <c r="CA89" s="177"/>
      <c r="CB89" s="177"/>
    </row>
    <row r="90" spans="1:80" s="175" customFormat="1" ht="12.75">
      <c r="A90" s="182"/>
      <c r="B90" s="183"/>
      <c r="C90" s="184" t="s">
        <v>223</v>
      </c>
      <c r="D90" s="244"/>
      <c r="E90" s="237">
        <f>26.5+7+13+8+4.66</f>
        <v>59.16</v>
      </c>
      <c r="F90" s="209"/>
      <c r="G90" s="209"/>
      <c r="O90" s="176"/>
      <c r="CA90" s="177"/>
      <c r="CB90" s="177"/>
    </row>
    <row r="91" spans="1:80" s="175" customFormat="1" ht="12.75">
      <c r="A91" s="182">
        <v>35</v>
      </c>
      <c r="B91" s="183" t="s">
        <v>312</v>
      </c>
      <c r="C91" s="206" t="s">
        <v>313</v>
      </c>
      <c r="D91" s="185" t="s">
        <v>117</v>
      </c>
      <c r="E91" s="186">
        <f>SUM(E92:E92)</f>
        <v>59.16</v>
      </c>
      <c r="F91" s="186"/>
      <c r="G91" s="187">
        <f>E91*F91</f>
        <v>0</v>
      </c>
      <c r="O91" s="176"/>
      <c r="CA91" s="177"/>
      <c r="CB91" s="177"/>
    </row>
    <row r="92" spans="1:80" s="175" customFormat="1" ht="12.75">
      <c r="A92" s="182"/>
      <c r="B92" s="183"/>
      <c r="C92" s="184" t="s">
        <v>223</v>
      </c>
      <c r="D92" s="244"/>
      <c r="E92" s="237">
        <f>26.5+7+13+8+4.66</f>
        <v>59.16</v>
      </c>
      <c r="F92" s="209"/>
      <c r="G92" s="209"/>
      <c r="O92" s="176"/>
      <c r="CA92" s="177"/>
      <c r="CB92" s="177"/>
    </row>
    <row r="93" spans="1:80" s="175" customFormat="1" ht="12.75">
      <c r="A93" s="182">
        <v>36</v>
      </c>
      <c r="B93" s="183" t="s">
        <v>314</v>
      </c>
      <c r="C93" s="206" t="s">
        <v>315</v>
      </c>
      <c r="D93" s="275" t="s">
        <v>217</v>
      </c>
      <c r="E93" s="186">
        <v>26</v>
      </c>
      <c r="F93" s="243"/>
      <c r="G93" s="187">
        <f>E93*F93</f>
        <v>0</v>
      </c>
      <c r="O93" s="176"/>
      <c r="CA93" s="177"/>
      <c r="CB93" s="177"/>
    </row>
    <row r="94" spans="1:80" s="175" customFormat="1" ht="12.75">
      <c r="A94" s="182">
        <v>37</v>
      </c>
      <c r="B94" s="183" t="s">
        <v>316</v>
      </c>
      <c r="C94" s="206" t="s">
        <v>317</v>
      </c>
      <c r="D94" s="275" t="s">
        <v>117</v>
      </c>
      <c r="E94" s="186">
        <v>25.6</v>
      </c>
      <c r="F94" s="243"/>
      <c r="G94" s="187">
        <f>E94*F94</f>
        <v>0</v>
      </c>
      <c r="O94" s="176"/>
      <c r="CA94" s="177"/>
      <c r="CB94" s="177"/>
    </row>
    <row r="95" spans="1:80" s="175" customFormat="1" ht="12.75">
      <c r="A95" s="182">
        <v>38</v>
      </c>
      <c r="B95" s="183" t="s">
        <v>318</v>
      </c>
      <c r="C95" s="206" t="s">
        <v>319</v>
      </c>
      <c r="D95" s="275" t="s">
        <v>217</v>
      </c>
      <c r="E95" s="186">
        <v>4</v>
      </c>
      <c r="F95" s="243"/>
      <c r="G95" s="187">
        <f>E95*F95</f>
        <v>0</v>
      </c>
      <c r="O95" s="176"/>
      <c r="CA95" s="177"/>
      <c r="CB95" s="177"/>
    </row>
    <row r="96" spans="1:80" s="175" customFormat="1" ht="12.75">
      <c r="A96" s="182">
        <v>39</v>
      </c>
      <c r="B96" s="183" t="s">
        <v>320</v>
      </c>
      <c r="C96" s="206" t="s">
        <v>321</v>
      </c>
      <c r="D96" s="275"/>
      <c r="E96" s="186">
        <f>SUM(E97:E97)</f>
        <v>32.66</v>
      </c>
      <c r="F96" s="186"/>
      <c r="G96" s="187">
        <f>E96*F96</f>
        <v>0</v>
      </c>
      <c r="O96" s="176"/>
      <c r="CA96" s="177"/>
      <c r="CB96" s="177"/>
    </row>
    <row r="97" spans="1:80" s="175" customFormat="1" ht="12.75">
      <c r="A97" s="182"/>
      <c r="B97" s="183"/>
      <c r="C97" s="184" t="s">
        <v>322</v>
      </c>
      <c r="D97" s="275"/>
      <c r="E97" s="237">
        <f>7+13+8+4.66</f>
        <v>32.66</v>
      </c>
      <c r="F97" s="243"/>
      <c r="G97" s="187"/>
      <c r="O97" s="176"/>
      <c r="CA97" s="177"/>
      <c r="CB97" s="177"/>
    </row>
    <row r="98" spans="1:7" ht="12.75">
      <c r="A98" s="275">
        <v>40</v>
      </c>
      <c r="B98" s="232" t="s">
        <v>226</v>
      </c>
      <c r="C98" s="233" t="s">
        <v>227</v>
      </c>
      <c r="D98" s="242" t="s">
        <v>117</v>
      </c>
      <c r="E98" s="186">
        <f>SUM(E99:E101)</f>
        <v>41</v>
      </c>
      <c r="F98" s="241"/>
      <c r="G98" s="187">
        <f>E98*F98</f>
        <v>0</v>
      </c>
    </row>
    <row r="99" spans="1:7" ht="12.75">
      <c r="A99" s="275"/>
      <c r="B99" s="238"/>
      <c r="C99" s="238" t="s">
        <v>225</v>
      </c>
      <c r="D99" s="242"/>
      <c r="E99" s="181"/>
      <c r="F99" s="179"/>
      <c r="G99" s="179"/>
    </row>
    <row r="100" spans="1:7" ht="12.75">
      <c r="A100" s="275"/>
      <c r="B100" s="238"/>
      <c r="C100" s="206" t="s">
        <v>230</v>
      </c>
      <c r="D100" s="242"/>
      <c r="E100" s="179"/>
      <c r="F100" s="238"/>
      <c r="G100" s="238"/>
    </row>
    <row r="101" spans="1:7" ht="12.75">
      <c r="A101" s="275"/>
      <c r="B101" s="238"/>
      <c r="C101" s="184" t="s">
        <v>228</v>
      </c>
      <c r="D101" s="242"/>
      <c r="E101" s="240">
        <f>16+14+11</f>
        <v>41</v>
      </c>
      <c r="F101" s="238"/>
      <c r="G101" s="238"/>
    </row>
    <row r="102" spans="1:7" ht="12.75">
      <c r="A102" s="275">
        <v>41</v>
      </c>
      <c r="B102" s="232" t="s">
        <v>231</v>
      </c>
      <c r="C102" s="233" t="s">
        <v>232</v>
      </c>
      <c r="D102" s="242" t="s">
        <v>117</v>
      </c>
      <c r="E102" s="186">
        <f>SUM(E103:E105)</f>
        <v>112</v>
      </c>
      <c r="F102" s="241"/>
      <c r="G102" s="187">
        <f>E102*F102</f>
        <v>0</v>
      </c>
    </row>
    <row r="103" spans="1:7" ht="12.75">
      <c r="A103" s="275"/>
      <c r="B103" s="238"/>
      <c r="C103" s="238" t="s">
        <v>225</v>
      </c>
      <c r="D103" s="242"/>
      <c r="E103" s="240"/>
      <c r="F103" s="238"/>
      <c r="G103" s="238"/>
    </row>
    <row r="104" spans="1:7" ht="12.75">
      <c r="A104" s="275"/>
      <c r="B104" s="238"/>
      <c r="C104" s="206" t="s">
        <v>233</v>
      </c>
      <c r="D104" s="242"/>
      <c r="E104" s="240"/>
      <c r="F104" s="238"/>
      <c r="G104" s="238"/>
    </row>
    <row r="105" spans="1:7" ht="12.75">
      <c r="A105" s="275"/>
      <c r="B105" s="238"/>
      <c r="C105" s="184" t="s">
        <v>234</v>
      </c>
      <c r="D105" s="242"/>
      <c r="E105" s="240">
        <f>56+56</f>
        <v>112</v>
      </c>
      <c r="F105" s="238"/>
      <c r="G105" s="238"/>
    </row>
    <row r="106" spans="1:104" s="175" customFormat="1" ht="30">
      <c r="A106" s="182">
        <v>42</v>
      </c>
      <c r="B106" s="183" t="s">
        <v>325</v>
      </c>
      <c r="C106" s="206" t="s">
        <v>328</v>
      </c>
      <c r="D106" s="185" t="s">
        <v>81</v>
      </c>
      <c r="E106" s="186">
        <f>SUM(E107:E107)</f>
        <v>394.24000000000007</v>
      </c>
      <c r="F106" s="186"/>
      <c r="G106" s="187">
        <f>E106*F106</f>
        <v>0</v>
      </c>
      <c r="O106" s="176">
        <v>2</v>
      </c>
      <c r="AA106" s="175">
        <v>1</v>
      </c>
      <c r="AB106" s="175">
        <v>7</v>
      </c>
      <c r="AC106" s="175">
        <v>7</v>
      </c>
      <c r="AZ106" s="175">
        <v>2</v>
      </c>
      <c r="BA106" s="175">
        <f>IF(AZ106=1,G106,0)</f>
        <v>0</v>
      </c>
      <c r="BB106" s="175">
        <f>IF(AZ106=2,G106,0)</f>
        <v>0</v>
      </c>
      <c r="BC106" s="175">
        <f>IF(AZ106=3,G106,0)</f>
        <v>0</v>
      </c>
      <c r="BD106" s="175">
        <f>IF(AZ106=4,G106,0)</f>
        <v>0</v>
      </c>
      <c r="BE106" s="175">
        <f>IF(AZ106=5,G106,0)</f>
        <v>0</v>
      </c>
      <c r="CA106" s="177">
        <v>1</v>
      </c>
      <c r="CB106" s="177">
        <v>7</v>
      </c>
      <c r="CZ106" s="175">
        <v>0.00558000000000192</v>
      </c>
    </row>
    <row r="107" spans="1:80" s="175" customFormat="1" ht="12.75">
      <c r="A107" s="182"/>
      <c r="B107" s="183"/>
      <c r="C107" s="184" t="s">
        <v>242</v>
      </c>
      <c r="D107" s="185"/>
      <c r="E107" s="237">
        <f>25.6*14*1.1</f>
        <v>394.24000000000007</v>
      </c>
      <c r="F107" s="186"/>
      <c r="G107" s="187"/>
      <c r="O107" s="176"/>
      <c r="CA107" s="177"/>
      <c r="CB107" s="177"/>
    </row>
    <row r="108" spans="1:80" s="175" customFormat="1" ht="20.25">
      <c r="A108" s="182">
        <v>43</v>
      </c>
      <c r="B108" s="183" t="s">
        <v>324</v>
      </c>
      <c r="C108" s="206" t="s">
        <v>326</v>
      </c>
      <c r="D108" s="185" t="s">
        <v>117</v>
      </c>
      <c r="E108" s="186">
        <v>28</v>
      </c>
      <c r="F108" s="186"/>
      <c r="G108" s="187">
        <f>E108*F108</f>
        <v>0</v>
      </c>
      <c r="O108" s="176"/>
      <c r="CA108" s="177"/>
      <c r="CB108" s="177"/>
    </row>
    <row r="109" spans="1:7" ht="20.25">
      <c r="A109" s="285">
        <v>44</v>
      </c>
      <c r="B109" s="183" t="s">
        <v>134</v>
      </c>
      <c r="C109" s="206" t="s">
        <v>330</v>
      </c>
      <c r="D109" s="185" t="s">
        <v>81</v>
      </c>
      <c r="E109" s="186">
        <f>SUM(E110:E110)</f>
        <v>42</v>
      </c>
      <c r="F109" s="186"/>
      <c r="G109" s="187">
        <f>E109*F109</f>
        <v>0</v>
      </c>
    </row>
    <row r="110" spans="1:7" ht="12.75">
      <c r="A110" s="285"/>
      <c r="B110" s="183"/>
      <c r="C110" s="184" t="s">
        <v>241</v>
      </c>
      <c r="D110" s="185"/>
      <c r="E110" s="237">
        <f>6*7</f>
        <v>42</v>
      </c>
      <c r="F110" s="186"/>
      <c r="G110" s="187"/>
    </row>
    <row r="111" spans="1:7" ht="20.25">
      <c r="A111" s="285">
        <v>45</v>
      </c>
      <c r="B111" s="183" t="s">
        <v>324</v>
      </c>
      <c r="C111" s="206" t="s">
        <v>331</v>
      </c>
      <c r="D111" s="185" t="s">
        <v>117</v>
      </c>
      <c r="E111" s="186">
        <f>6*1.1</f>
        <v>6.6000000000000005</v>
      </c>
      <c r="F111" s="186"/>
      <c r="G111" s="187">
        <f>E111*F111</f>
        <v>0</v>
      </c>
    </row>
    <row r="112" spans="1:15" s="175" customFormat="1" ht="12.75">
      <c r="A112" s="250">
        <v>46</v>
      </c>
      <c r="B112" s="249" t="s">
        <v>126</v>
      </c>
      <c r="C112" s="206" t="s">
        <v>240</v>
      </c>
      <c r="D112" s="259" t="s">
        <v>221</v>
      </c>
      <c r="E112" s="235">
        <v>1</v>
      </c>
      <c r="F112" s="241"/>
      <c r="G112" s="187">
        <f>E112*F112</f>
        <v>0</v>
      </c>
      <c r="M112" s="178" t="s">
        <v>135</v>
      </c>
      <c r="O112" s="176"/>
    </row>
    <row r="113" spans="1:7" ht="20.25">
      <c r="A113" s="275">
        <v>47</v>
      </c>
      <c r="B113" s="238" t="s">
        <v>329</v>
      </c>
      <c r="C113" s="206" t="s">
        <v>332</v>
      </c>
      <c r="D113" s="242" t="s">
        <v>117</v>
      </c>
      <c r="E113" s="239">
        <f>24+16+14+11</f>
        <v>65</v>
      </c>
      <c r="F113" s="241"/>
      <c r="G113" s="187">
        <f>E113*F113</f>
        <v>0</v>
      </c>
    </row>
    <row r="114" spans="1:7" ht="12.75">
      <c r="A114" s="275">
        <v>48</v>
      </c>
      <c r="B114" s="238" t="s">
        <v>329</v>
      </c>
      <c r="C114" s="233" t="s">
        <v>235</v>
      </c>
      <c r="D114" s="242" t="s">
        <v>117</v>
      </c>
      <c r="E114" s="186">
        <f>SUM(E115:E117)</f>
        <v>16</v>
      </c>
      <c r="F114" s="241"/>
      <c r="G114" s="187">
        <f>E114*F114</f>
        <v>0</v>
      </c>
    </row>
    <row r="115" spans="1:7" ht="12.75">
      <c r="A115" s="275"/>
      <c r="B115" s="238"/>
      <c r="C115" s="238" t="s">
        <v>225</v>
      </c>
      <c r="D115" s="242"/>
      <c r="E115" s="240"/>
      <c r="F115" s="238"/>
      <c r="G115" s="238"/>
    </row>
    <row r="116" spans="1:7" ht="12.75">
      <c r="A116" s="275"/>
      <c r="B116" s="238"/>
      <c r="C116" s="206" t="s">
        <v>236</v>
      </c>
      <c r="D116" s="242"/>
      <c r="E116" s="240"/>
      <c r="F116" s="238"/>
      <c r="G116" s="238"/>
    </row>
    <row r="117" spans="1:7" ht="12.75">
      <c r="A117" s="275"/>
      <c r="B117" s="238"/>
      <c r="C117" s="184" t="s">
        <v>237</v>
      </c>
      <c r="D117" s="242"/>
      <c r="E117" s="240">
        <f>5+11</f>
        <v>16</v>
      </c>
      <c r="F117" s="238"/>
      <c r="G117" s="238"/>
    </row>
    <row r="118" spans="1:7" ht="12.75">
      <c r="A118" s="182">
        <v>49</v>
      </c>
      <c r="B118" s="183" t="s">
        <v>341</v>
      </c>
      <c r="C118" s="206" t="s">
        <v>342</v>
      </c>
      <c r="D118" s="275" t="s">
        <v>217</v>
      </c>
      <c r="E118" s="186">
        <f>26*2</f>
        <v>52</v>
      </c>
      <c r="F118" s="243"/>
      <c r="G118" s="187">
        <f>E118*F118</f>
        <v>0</v>
      </c>
    </row>
    <row r="119" spans="1:104" s="175" customFormat="1" ht="12.75">
      <c r="A119" s="182">
        <v>50</v>
      </c>
      <c r="B119" s="183" t="s">
        <v>126</v>
      </c>
      <c r="C119" s="206" t="s">
        <v>243</v>
      </c>
      <c r="D119" s="185" t="s">
        <v>117</v>
      </c>
      <c r="E119" s="186">
        <f>SUM(E120:E122)</f>
        <v>106.4</v>
      </c>
      <c r="F119" s="186"/>
      <c r="G119" s="187">
        <f>E119*F119</f>
        <v>0</v>
      </c>
      <c r="I119" s="174"/>
      <c r="O119" s="176">
        <v>2</v>
      </c>
      <c r="AA119" s="175">
        <v>1</v>
      </c>
      <c r="AB119" s="175">
        <v>7</v>
      </c>
      <c r="AC119" s="175">
        <v>7</v>
      </c>
      <c r="AZ119" s="175">
        <v>2</v>
      </c>
      <c r="BA119" s="175">
        <f>IF(AZ119=1,G119,0)</f>
        <v>0</v>
      </c>
      <c r="BB119" s="175">
        <f>IF(AZ119=2,G119,0)</f>
        <v>0</v>
      </c>
      <c r="BC119" s="175">
        <f>IF(AZ119=3,G119,0)</f>
        <v>0</v>
      </c>
      <c r="BD119" s="175">
        <f>IF(AZ119=4,G119,0)</f>
        <v>0</v>
      </c>
      <c r="BE119" s="175">
        <f>IF(AZ119=5,G119,0)</f>
        <v>0</v>
      </c>
      <c r="CA119" s="177">
        <v>1</v>
      </c>
      <c r="CB119" s="177">
        <v>7</v>
      </c>
      <c r="CZ119" s="175">
        <v>0</v>
      </c>
    </row>
    <row r="120" spans="1:80" s="175" customFormat="1" ht="12.75">
      <c r="A120" s="182"/>
      <c r="B120" s="183"/>
      <c r="C120" s="243" t="s">
        <v>225</v>
      </c>
      <c r="D120" s="185"/>
      <c r="E120" s="186"/>
      <c r="F120" s="186"/>
      <c r="G120" s="187"/>
      <c r="O120" s="176"/>
      <c r="CA120" s="177"/>
      <c r="CB120" s="177"/>
    </row>
    <row r="121" spans="1:80" s="175" customFormat="1" ht="12.75" customHeight="1">
      <c r="A121" s="182"/>
      <c r="B121" s="183"/>
      <c r="C121" s="206" t="s">
        <v>239</v>
      </c>
      <c r="D121" s="185"/>
      <c r="E121" s="186"/>
      <c r="F121" s="186"/>
      <c r="G121" s="187"/>
      <c r="O121" s="176"/>
      <c r="CA121" s="177"/>
      <c r="CB121" s="177"/>
    </row>
    <row r="122" spans="1:80" s="175" customFormat="1" ht="12.75">
      <c r="A122" s="182"/>
      <c r="B122" s="183"/>
      <c r="C122" s="189" t="s">
        <v>238</v>
      </c>
      <c r="D122" s="185"/>
      <c r="E122" s="237">
        <f>25.6*4+2*2</f>
        <v>106.4</v>
      </c>
      <c r="F122" s="186"/>
      <c r="G122" s="187"/>
      <c r="O122" s="176"/>
      <c r="CA122" s="177"/>
      <c r="CB122" s="177"/>
    </row>
    <row r="123" spans="1:104" s="175" customFormat="1" ht="12.75">
      <c r="A123" s="182">
        <v>51</v>
      </c>
      <c r="B123" s="232" t="s">
        <v>224</v>
      </c>
      <c r="C123" s="206" t="s">
        <v>222</v>
      </c>
      <c r="D123" s="185" t="s">
        <v>117</v>
      </c>
      <c r="E123" s="186">
        <f>SUM(E124:E124)</f>
        <v>52</v>
      </c>
      <c r="F123" s="186"/>
      <c r="G123" s="187">
        <f>E123*F123</f>
        <v>0</v>
      </c>
      <c r="H123" s="234"/>
      <c r="O123" s="176">
        <v>2</v>
      </c>
      <c r="AA123" s="175">
        <v>1</v>
      </c>
      <c r="AB123" s="175">
        <v>7</v>
      </c>
      <c r="AC123" s="175">
        <v>7</v>
      </c>
      <c r="AZ123" s="175">
        <v>2</v>
      </c>
      <c r="BA123" s="175">
        <f>IF(AZ123=1,G123,0)</f>
        <v>0</v>
      </c>
      <c r="BB123" s="175">
        <f>IF(AZ123=2,G123,0)</f>
        <v>0</v>
      </c>
      <c r="BC123" s="175">
        <f>IF(AZ123=3,G123,0)</f>
        <v>0</v>
      </c>
      <c r="BD123" s="175">
        <f>IF(AZ123=4,G123,0)</f>
        <v>0</v>
      </c>
      <c r="BE123" s="175">
        <f>IF(AZ123=5,G123,0)</f>
        <v>0</v>
      </c>
      <c r="CA123" s="177">
        <v>1</v>
      </c>
      <c r="CB123" s="177">
        <v>7</v>
      </c>
      <c r="CZ123" s="175">
        <v>0.00279000000000096</v>
      </c>
    </row>
    <row r="124" spans="1:15" s="175" customFormat="1" ht="12.75">
      <c r="A124" s="250"/>
      <c r="B124" s="208"/>
      <c r="C124" s="329" t="s">
        <v>229</v>
      </c>
      <c r="D124" s="326"/>
      <c r="E124" s="197">
        <f>26*2</f>
        <v>52</v>
      </c>
      <c r="F124" s="198"/>
      <c r="G124" s="199"/>
      <c r="M124" s="178" t="s">
        <v>131</v>
      </c>
      <c r="O124" s="176"/>
    </row>
    <row r="125" spans="1:15" s="175" customFormat="1" ht="21">
      <c r="A125" s="250">
        <v>52</v>
      </c>
      <c r="B125" s="232" t="s">
        <v>333</v>
      </c>
      <c r="C125" s="233" t="s">
        <v>334</v>
      </c>
      <c r="D125" s="193" t="s">
        <v>117</v>
      </c>
      <c r="E125" s="235">
        <v>16</v>
      </c>
      <c r="F125" s="284"/>
      <c r="G125" s="187">
        <f>E125*F125</f>
        <v>0</v>
      </c>
      <c r="H125" s="234"/>
      <c r="M125" s="178"/>
      <c r="O125" s="176"/>
    </row>
    <row r="126" spans="1:15" s="175" customFormat="1" ht="12.75">
      <c r="A126" s="250">
        <v>53</v>
      </c>
      <c r="B126" s="232" t="s">
        <v>335</v>
      </c>
      <c r="C126" s="233" t="s">
        <v>336</v>
      </c>
      <c r="D126" s="193" t="s">
        <v>217</v>
      </c>
      <c r="E126" s="235">
        <v>4</v>
      </c>
      <c r="F126" s="236"/>
      <c r="G126" s="187">
        <f>E126*F126</f>
        <v>0</v>
      </c>
      <c r="H126" s="234"/>
      <c r="M126" s="178"/>
      <c r="O126" s="176"/>
    </row>
    <row r="127" spans="1:15" s="175" customFormat="1" ht="12.75">
      <c r="A127" s="250">
        <v>54</v>
      </c>
      <c r="B127" s="232" t="s">
        <v>337</v>
      </c>
      <c r="C127" s="233" t="s">
        <v>339</v>
      </c>
      <c r="D127" s="193" t="s">
        <v>217</v>
      </c>
      <c r="E127" s="235">
        <v>2</v>
      </c>
      <c r="F127" s="284"/>
      <c r="G127" s="187">
        <f>E127*F127</f>
        <v>0</v>
      </c>
      <c r="H127" s="234"/>
      <c r="M127" s="178"/>
      <c r="O127" s="176"/>
    </row>
    <row r="128" spans="1:15" s="175" customFormat="1" ht="12.75">
      <c r="A128" s="250">
        <v>55</v>
      </c>
      <c r="B128" s="232" t="s">
        <v>338</v>
      </c>
      <c r="C128" s="233" t="s">
        <v>340</v>
      </c>
      <c r="D128" s="193" t="s">
        <v>217</v>
      </c>
      <c r="E128" s="235">
        <f>4*2</f>
        <v>8</v>
      </c>
      <c r="F128" s="284"/>
      <c r="G128" s="187">
        <f>E128*F128</f>
        <v>0</v>
      </c>
      <c r="H128" s="234"/>
      <c r="M128" s="178"/>
      <c r="O128" s="176"/>
    </row>
    <row r="129" spans="1:7" ht="12.75">
      <c r="A129" s="275">
        <v>56</v>
      </c>
      <c r="B129" s="232" t="s">
        <v>244</v>
      </c>
      <c r="C129" s="233" t="s">
        <v>245</v>
      </c>
      <c r="D129" s="185" t="s">
        <v>62</v>
      </c>
      <c r="E129" s="186">
        <v>1.85</v>
      </c>
      <c r="F129" s="186"/>
      <c r="G129" s="187">
        <f>F129*E129/100</f>
        <v>0</v>
      </c>
    </row>
    <row r="130" spans="1:57" ht="12.75">
      <c r="A130" s="228"/>
      <c r="B130" s="159" t="s">
        <v>76</v>
      </c>
      <c r="C130" s="246" t="str">
        <f>CONCATENATE(B85," ",C85)</f>
        <v>764 Konstrukce klempířské</v>
      </c>
      <c r="D130" s="158"/>
      <c r="E130" s="247"/>
      <c r="F130" s="247"/>
      <c r="G130" s="160">
        <f>SUM(G85:G129)</f>
        <v>0</v>
      </c>
      <c r="O130" s="157">
        <v>4</v>
      </c>
      <c r="BA130" s="161">
        <f>SUM(BA85:BA122)</f>
        <v>0</v>
      </c>
      <c r="BB130" s="161">
        <f>SUM(BB85:BB122)</f>
        <v>0</v>
      </c>
      <c r="BC130" s="161">
        <f>SUM(BC85:BC122)</f>
        <v>0</v>
      </c>
      <c r="BD130" s="161">
        <f>SUM(BD85:BD122)</f>
        <v>0</v>
      </c>
      <c r="BE130" s="161">
        <f>SUM(BE85:BE122)</f>
        <v>0</v>
      </c>
    </row>
    <row r="131" spans="1:15" s="175" customFormat="1" ht="12.75">
      <c r="A131" s="260" t="s">
        <v>74</v>
      </c>
      <c r="B131" s="261" t="s">
        <v>136</v>
      </c>
      <c r="C131" s="262" t="s">
        <v>137</v>
      </c>
      <c r="D131" s="228"/>
      <c r="E131" s="263"/>
      <c r="F131" s="263"/>
      <c r="G131" s="264"/>
      <c r="H131" s="227"/>
      <c r="I131" s="227"/>
      <c r="O131" s="176">
        <v>1</v>
      </c>
    </row>
    <row r="132" spans="1:104" s="175" customFormat="1" ht="12.75">
      <c r="A132" s="182">
        <v>57</v>
      </c>
      <c r="B132" s="183" t="s">
        <v>138</v>
      </c>
      <c r="C132" s="206" t="s">
        <v>139</v>
      </c>
      <c r="D132" s="185" t="s">
        <v>117</v>
      </c>
      <c r="E132" s="186">
        <v>51</v>
      </c>
      <c r="F132" s="186"/>
      <c r="G132" s="187">
        <f>E132*F132</f>
        <v>0</v>
      </c>
      <c r="O132" s="176">
        <v>2</v>
      </c>
      <c r="AA132" s="175">
        <v>1</v>
      </c>
      <c r="AB132" s="175">
        <v>7</v>
      </c>
      <c r="AC132" s="175">
        <v>7</v>
      </c>
      <c r="AZ132" s="175">
        <v>2</v>
      </c>
      <c r="BA132" s="175">
        <f>IF(AZ132=1,G132,0)</f>
        <v>0</v>
      </c>
      <c r="BB132" s="175">
        <f>IF(AZ132=2,G132,0)</f>
        <v>0</v>
      </c>
      <c r="BC132" s="175">
        <f>IF(AZ132=3,G132,0)</f>
        <v>0</v>
      </c>
      <c r="BD132" s="175">
        <f>IF(AZ132=4,G132,0)</f>
        <v>0</v>
      </c>
      <c r="BE132" s="175">
        <f>IF(AZ132=5,G132,0)</f>
        <v>0</v>
      </c>
      <c r="CA132" s="177">
        <v>1</v>
      </c>
      <c r="CB132" s="177">
        <v>7</v>
      </c>
      <c r="CZ132" s="175">
        <v>0.000510000000000232</v>
      </c>
    </row>
    <row r="133" spans="1:104" s="175" customFormat="1" ht="12.75">
      <c r="A133" s="182">
        <v>58</v>
      </c>
      <c r="B133" s="183" t="s">
        <v>140</v>
      </c>
      <c r="C133" s="206" t="s">
        <v>141</v>
      </c>
      <c r="D133" s="185" t="s">
        <v>117</v>
      </c>
      <c r="E133" s="186">
        <v>51</v>
      </c>
      <c r="F133" s="186"/>
      <c r="G133" s="187">
        <f>E133*F133</f>
        <v>0</v>
      </c>
      <c r="O133" s="176">
        <v>2</v>
      </c>
      <c r="AA133" s="175">
        <v>1</v>
      </c>
      <c r="AB133" s="175">
        <v>7</v>
      </c>
      <c r="AC133" s="175">
        <v>7</v>
      </c>
      <c r="AZ133" s="175">
        <v>2</v>
      </c>
      <c r="BA133" s="175">
        <f>IF(AZ133=1,G133,0)</f>
        <v>0</v>
      </c>
      <c r="BB133" s="175">
        <f>IF(AZ133=2,G133,0)</f>
        <v>0</v>
      </c>
      <c r="BC133" s="175">
        <f>IF(AZ133=3,G133,0)</f>
        <v>0</v>
      </c>
      <c r="BD133" s="175">
        <f>IF(AZ133=4,G133,0)</f>
        <v>0</v>
      </c>
      <c r="BE133" s="175">
        <f>IF(AZ133=5,G133,0)</f>
        <v>0</v>
      </c>
      <c r="CA133" s="177">
        <v>1</v>
      </c>
      <c r="CB133" s="177">
        <v>7</v>
      </c>
      <c r="CZ133" s="175">
        <v>9.9999999999989E-05</v>
      </c>
    </row>
    <row r="134" spans="1:104" s="175" customFormat="1" ht="12.75">
      <c r="A134" s="182">
        <v>59</v>
      </c>
      <c r="B134" s="183" t="s">
        <v>142</v>
      </c>
      <c r="C134" s="206" t="s">
        <v>143</v>
      </c>
      <c r="D134" s="185" t="s">
        <v>81</v>
      </c>
      <c r="E134" s="186">
        <v>384</v>
      </c>
      <c r="F134" s="186"/>
      <c r="G134" s="187">
        <f>E134*F134</f>
        <v>0</v>
      </c>
      <c r="O134" s="176">
        <v>2</v>
      </c>
      <c r="AA134" s="175">
        <v>1</v>
      </c>
      <c r="AB134" s="175">
        <v>7</v>
      </c>
      <c r="AC134" s="175">
        <v>7</v>
      </c>
      <c r="AZ134" s="175">
        <v>2</v>
      </c>
      <c r="BA134" s="175">
        <f>IF(AZ134=1,G134,0)</f>
        <v>0</v>
      </c>
      <c r="BB134" s="175">
        <f>IF(AZ134=2,G134,0)</f>
        <v>0</v>
      </c>
      <c r="BC134" s="175">
        <f>IF(AZ134=3,G134,0)</f>
        <v>0</v>
      </c>
      <c r="BD134" s="175">
        <f>IF(AZ134=4,G134,0)</f>
        <v>0</v>
      </c>
      <c r="BE134" s="175">
        <f>IF(AZ134=5,G134,0)</f>
        <v>0</v>
      </c>
      <c r="CA134" s="177">
        <v>1</v>
      </c>
      <c r="CB134" s="177">
        <v>7</v>
      </c>
      <c r="CZ134" s="175">
        <v>0</v>
      </c>
    </row>
    <row r="135" spans="1:15" s="175" customFormat="1" ht="12.75">
      <c r="A135" s="207"/>
      <c r="B135" s="208"/>
      <c r="C135" s="189" t="s">
        <v>144</v>
      </c>
      <c r="D135" s="190"/>
      <c r="E135" s="197">
        <v>384</v>
      </c>
      <c r="F135" s="198"/>
      <c r="G135" s="199"/>
      <c r="M135" s="178" t="s">
        <v>144</v>
      </c>
      <c r="O135" s="176"/>
    </row>
    <row r="136" spans="1:104" s="175" customFormat="1" ht="20.25">
      <c r="A136" s="182">
        <v>60</v>
      </c>
      <c r="B136" s="183" t="s">
        <v>305</v>
      </c>
      <c r="C136" s="206" t="s">
        <v>327</v>
      </c>
      <c r="D136" s="185" t="s">
        <v>81</v>
      </c>
      <c r="E136" s="186">
        <f>E134</f>
        <v>384</v>
      </c>
      <c r="F136" s="186"/>
      <c r="G136" s="187">
        <f>E136*F136</f>
        <v>0</v>
      </c>
      <c r="O136" s="176">
        <v>2</v>
      </c>
      <c r="AA136" s="175">
        <v>1</v>
      </c>
      <c r="AB136" s="175">
        <v>7</v>
      </c>
      <c r="AC136" s="175">
        <v>7</v>
      </c>
      <c r="AZ136" s="175">
        <v>2</v>
      </c>
      <c r="BA136" s="175">
        <f>IF(AZ136=1,G136,0)</f>
        <v>0</v>
      </c>
      <c r="BB136" s="175">
        <f>IF(AZ136=2,G136,0)</f>
        <v>0</v>
      </c>
      <c r="BC136" s="175">
        <f>IF(AZ136=3,G136,0)</f>
        <v>0</v>
      </c>
      <c r="BD136" s="175">
        <f>IF(AZ136=4,G136,0)</f>
        <v>0</v>
      </c>
      <c r="BE136" s="175">
        <f>IF(AZ136=5,G136,0)</f>
        <v>0</v>
      </c>
      <c r="CA136" s="177">
        <v>1</v>
      </c>
      <c r="CB136" s="177">
        <v>7</v>
      </c>
      <c r="CZ136" s="175">
        <v>0.000129999999999963</v>
      </c>
    </row>
    <row r="137" spans="1:80" s="175" customFormat="1" ht="12.75">
      <c r="A137" s="182">
        <v>61</v>
      </c>
      <c r="B137" s="214" t="s">
        <v>276</v>
      </c>
      <c r="C137" s="215" t="s">
        <v>323</v>
      </c>
      <c r="D137" s="185" t="s">
        <v>81</v>
      </c>
      <c r="E137" s="186">
        <f>E136*1.276</f>
        <v>489.98400000000004</v>
      </c>
      <c r="F137" s="186"/>
      <c r="G137" s="187">
        <f>E137*F137</f>
        <v>0</v>
      </c>
      <c r="O137" s="176"/>
      <c r="CA137" s="177"/>
      <c r="CB137" s="177"/>
    </row>
    <row r="138" spans="1:104" s="175" customFormat="1" ht="12.75">
      <c r="A138" s="182">
        <v>62</v>
      </c>
      <c r="B138" s="183" t="s">
        <v>145</v>
      </c>
      <c r="C138" s="206" t="s">
        <v>146</v>
      </c>
      <c r="D138" s="185" t="s">
        <v>62</v>
      </c>
      <c r="E138" s="186">
        <v>611.304</v>
      </c>
      <c r="F138" s="186"/>
      <c r="G138" s="187">
        <f>E138*F138</f>
        <v>0</v>
      </c>
      <c r="O138" s="176">
        <v>2</v>
      </c>
      <c r="AA138" s="175">
        <v>7</v>
      </c>
      <c r="AB138" s="175">
        <v>1002</v>
      </c>
      <c r="AC138" s="175">
        <v>5</v>
      </c>
      <c r="AZ138" s="175">
        <v>2</v>
      </c>
      <c r="BA138" s="175">
        <f>IF(AZ138=1,G138,0)</f>
        <v>0</v>
      </c>
      <c r="BB138" s="175">
        <f>IF(AZ138=2,G138,0)</f>
        <v>0</v>
      </c>
      <c r="BC138" s="175">
        <f>IF(AZ138=3,G138,0)</f>
        <v>0</v>
      </c>
      <c r="BD138" s="175">
        <f>IF(AZ138=4,G138,0)</f>
        <v>0</v>
      </c>
      <c r="BE138" s="175">
        <f>IF(AZ138=5,G138,0)</f>
        <v>0</v>
      </c>
      <c r="CA138" s="177">
        <v>7</v>
      </c>
      <c r="CB138" s="177">
        <v>1002</v>
      </c>
      <c r="CZ138" s="175">
        <v>0</v>
      </c>
    </row>
    <row r="139" spans="1:57" s="175" customFormat="1" ht="12.75">
      <c r="A139" s="228"/>
      <c r="B139" s="159" t="s">
        <v>76</v>
      </c>
      <c r="C139" s="246" t="str">
        <f>CONCATENATE(B131," ",C131)</f>
        <v>765 Krytiny tvrdé</v>
      </c>
      <c r="D139" s="158"/>
      <c r="E139" s="247"/>
      <c r="F139" s="247"/>
      <c r="G139" s="160">
        <f>SUM(G131:G138)</f>
        <v>0</v>
      </c>
      <c r="O139" s="176">
        <v>4</v>
      </c>
      <c r="BA139" s="231">
        <f>SUM(BA131:BA138)</f>
        <v>0</v>
      </c>
      <c r="BB139" s="231">
        <f>SUM(BB131:BB138)</f>
        <v>0</v>
      </c>
      <c r="BC139" s="231">
        <f>SUM(BC131:BC138)</f>
        <v>0</v>
      </c>
      <c r="BD139" s="231">
        <f>SUM(BD131:BD138)</f>
        <v>0</v>
      </c>
      <c r="BE139" s="231">
        <f>SUM(BE131:BE138)</f>
        <v>0</v>
      </c>
    </row>
    <row r="140" spans="1:15" s="175" customFormat="1" ht="12.75">
      <c r="A140" s="260" t="s">
        <v>74</v>
      </c>
      <c r="B140" s="261" t="s">
        <v>147</v>
      </c>
      <c r="C140" s="262" t="s">
        <v>148</v>
      </c>
      <c r="D140" s="228"/>
      <c r="E140" s="263"/>
      <c r="F140" s="263"/>
      <c r="G140" s="264"/>
      <c r="H140" s="227"/>
      <c r="I140" s="227"/>
      <c r="O140" s="176">
        <v>1</v>
      </c>
    </row>
    <row r="141" spans="1:104" s="175" customFormat="1" ht="12.75">
      <c r="A141" s="182">
        <v>63</v>
      </c>
      <c r="B141" s="183" t="s">
        <v>149</v>
      </c>
      <c r="C141" s="206" t="s">
        <v>150</v>
      </c>
      <c r="D141" s="185" t="s">
        <v>81</v>
      </c>
      <c r="E141" s="186">
        <v>25</v>
      </c>
      <c r="F141" s="186"/>
      <c r="G141" s="187">
        <f>E141*F141</f>
        <v>0</v>
      </c>
      <c r="O141" s="176">
        <v>2</v>
      </c>
      <c r="AA141" s="175">
        <v>1</v>
      </c>
      <c r="AB141" s="175">
        <v>7</v>
      </c>
      <c r="AC141" s="175">
        <v>7</v>
      </c>
      <c r="AZ141" s="175">
        <v>2</v>
      </c>
      <c r="BA141" s="175">
        <f>IF(AZ141=1,G141,0)</f>
        <v>0</v>
      </c>
      <c r="BB141" s="175">
        <f>IF(AZ141=2,G141,0)</f>
        <v>0</v>
      </c>
      <c r="BC141" s="175">
        <f>IF(AZ141=3,G141,0)</f>
        <v>0</v>
      </c>
      <c r="BD141" s="175">
        <f>IF(AZ141=4,G141,0)</f>
        <v>0</v>
      </c>
      <c r="BE141" s="175">
        <f>IF(AZ141=5,G141,0)</f>
        <v>0</v>
      </c>
      <c r="CA141" s="177">
        <v>1</v>
      </c>
      <c r="CB141" s="177">
        <v>7</v>
      </c>
      <c r="CZ141" s="175">
        <v>0.0371999999999844</v>
      </c>
    </row>
    <row r="142" spans="1:80" s="175" customFormat="1" ht="12.75">
      <c r="A142" s="182">
        <v>64</v>
      </c>
      <c r="B142" s="214" t="s">
        <v>276</v>
      </c>
      <c r="C142" s="206" t="s">
        <v>298</v>
      </c>
      <c r="D142" s="185" t="s">
        <v>81</v>
      </c>
      <c r="E142" s="186">
        <f>25*1.05</f>
        <v>26.25</v>
      </c>
      <c r="F142" s="186"/>
      <c r="G142" s="187">
        <f>E142*F142</f>
        <v>0</v>
      </c>
      <c r="O142" s="176"/>
      <c r="CA142" s="177"/>
      <c r="CB142" s="177"/>
    </row>
    <row r="143" spans="1:104" s="175" customFormat="1" ht="12.75">
      <c r="A143" s="182">
        <v>65</v>
      </c>
      <c r="B143" s="183" t="s">
        <v>303</v>
      </c>
      <c r="C143" s="206" t="s">
        <v>304</v>
      </c>
      <c r="D143" s="185" t="s">
        <v>81</v>
      </c>
      <c r="E143" s="186">
        <v>25</v>
      </c>
      <c r="F143" s="186"/>
      <c r="G143" s="187">
        <f>E143*F143</f>
        <v>0</v>
      </c>
      <c r="O143" s="176">
        <v>2</v>
      </c>
      <c r="AA143" s="175">
        <v>12</v>
      </c>
      <c r="AB143" s="175">
        <v>0</v>
      </c>
      <c r="AC143" s="175">
        <v>43</v>
      </c>
      <c r="AZ143" s="175">
        <v>2</v>
      </c>
      <c r="BA143" s="175">
        <f>IF(AZ143=1,G143,0)</f>
        <v>0</v>
      </c>
      <c r="BB143" s="175">
        <f>IF(AZ143=2,G143,0)</f>
        <v>0</v>
      </c>
      <c r="BC143" s="175">
        <f>IF(AZ143=3,G143,0)</f>
        <v>0</v>
      </c>
      <c r="BD143" s="175">
        <f>IF(AZ143=4,G143,0)</f>
        <v>0</v>
      </c>
      <c r="BE143" s="175">
        <f>IF(AZ143=5,G143,0)</f>
        <v>0</v>
      </c>
      <c r="CA143" s="177">
        <v>12</v>
      </c>
      <c r="CB143" s="177">
        <v>0</v>
      </c>
      <c r="CZ143" s="175">
        <v>0</v>
      </c>
    </row>
    <row r="144" spans="1:104" s="175" customFormat="1" ht="12.75">
      <c r="A144" s="182">
        <v>66</v>
      </c>
      <c r="B144" s="183" t="s">
        <v>151</v>
      </c>
      <c r="C144" s="206" t="s">
        <v>152</v>
      </c>
      <c r="D144" s="185" t="s">
        <v>62</v>
      </c>
      <c r="E144" s="186">
        <f>SUM(G141:G143)</f>
        <v>0</v>
      </c>
      <c r="F144" s="186"/>
      <c r="G144" s="187">
        <f>E144*F144/100</f>
        <v>0</v>
      </c>
      <c r="O144" s="176">
        <v>2</v>
      </c>
      <c r="AA144" s="175">
        <v>7</v>
      </c>
      <c r="AB144" s="175">
        <v>1002</v>
      </c>
      <c r="AC144" s="175">
        <v>5</v>
      </c>
      <c r="AZ144" s="175">
        <v>2</v>
      </c>
      <c r="BA144" s="175">
        <f>IF(AZ144=1,G144,0)</f>
        <v>0</v>
      </c>
      <c r="BB144" s="175">
        <f>IF(AZ144=2,G144,0)</f>
        <v>0</v>
      </c>
      <c r="BC144" s="175">
        <f>IF(AZ144=3,G144,0)</f>
        <v>0</v>
      </c>
      <c r="BD144" s="175">
        <f>IF(AZ144=4,G144,0)</f>
        <v>0</v>
      </c>
      <c r="BE144" s="175">
        <f>IF(AZ144=5,G144,0)</f>
        <v>0</v>
      </c>
      <c r="CA144" s="177">
        <v>7</v>
      </c>
      <c r="CB144" s="177">
        <v>1002</v>
      </c>
      <c r="CZ144" s="175">
        <v>0</v>
      </c>
    </row>
    <row r="145" spans="1:57" s="175" customFormat="1" ht="12.75">
      <c r="A145" s="228"/>
      <c r="B145" s="159" t="s">
        <v>76</v>
      </c>
      <c r="C145" s="246" t="str">
        <f>CONCATENATE(B140," ",C140)</f>
        <v>781 Obklady keramické</v>
      </c>
      <c r="D145" s="158"/>
      <c r="E145" s="247"/>
      <c r="F145" s="247"/>
      <c r="G145" s="160">
        <f>SUM(G140:G144)</f>
        <v>0</v>
      </c>
      <c r="O145" s="176">
        <v>4</v>
      </c>
      <c r="BA145" s="231">
        <f>SUM(BA140:BA144)</f>
        <v>0</v>
      </c>
      <c r="BB145" s="231">
        <f>SUM(BB140:BB144)</f>
        <v>0</v>
      </c>
      <c r="BC145" s="231">
        <f>SUM(BC140:BC144)</f>
        <v>0</v>
      </c>
      <c r="BD145" s="231">
        <f>SUM(BD140:BD144)</f>
        <v>0</v>
      </c>
      <c r="BE145" s="231">
        <f>SUM(BE140:BE144)</f>
        <v>0</v>
      </c>
    </row>
    <row r="146" spans="1:15" s="175" customFormat="1" ht="12.75">
      <c r="A146" s="260" t="s">
        <v>74</v>
      </c>
      <c r="B146" s="261" t="s">
        <v>153</v>
      </c>
      <c r="C146" s="262" t="s">
        <v>154</v>
      </c>
      <c r="D146" s="228"/>
      <c r="E146" s="263"/>
      <c r="F146" s="263"/>
      <c r="G146" s="264"/>
      <c r="H146" s="227"/>
      <c r="I146" s="227"/>
      <c r="O146" s="176">
        <v>1</v>
      </c>
    </row>
    <row r="147" spans="1:104" s="175" customFormat="1" ht="12.75">
      <c r="A147" s="182">
        <v>67</v>
      </c>
      <c r="B147" s="183" t="s">
        <v>155</v>
      </c>
      <c r="C147" s="206" t="s">
        <v>156</v>
      </c>
      <c r="D147" s="185" t="s">
        <v>81</v>
      </c>
      <c r="E147" s="186">
        <v>33.28</v>
      </c>
      <c r="F147" s="186"/>
      <c r="G147" s="187">
        <f>E147*F147</f>
        <v>0</v>
      </c>
      <c r="O147" s="176">
        <v>2</v>
      </c>
      <c r="AA147" s="175">
        <v>1</v>
      </c>
      <c r="AB147" s="175">
        <v>7</v>
      </c>
      <c r="AC147" s="175">
        <v>7</v>
      </c>
      <c r="AZ147" s="175">
        <v>2</v>
      </c>
      <c r="BA147" s="175">
        <f>IF(AZ147=1,G147,0)</f>
        <v>0</v>
      </c>
      <c r="BB147" s="175">
        <f>IF(AZ147=2,G147,0)</f>
        <v>0</v>
      </c>
      <c r="BC147" s="175">
        <f>IF(AZ147=3,G147,0)</f>
        <v>0</v>
      </c>
      <c r="BD147" s="175">
        <f>IF(AZ147=4,G147,0)</f>
        <v>0</v>
      </c>
      <c r="BE147" s="175">
        <f>IF(AZ147=5,G147,0)</f>
        <v>0</v>
      </c>
      <c r="CA147" s="177">
        <v>1</v>
      </c>
      <c r="CB147" s="177">
        <v>7</v>
      </c>
      <c r="CZ147" s="175">
        <v>0.000589999999999868</v>
      </c>
    </row>
    <row r="148" spans="1:15" s="175" customFormat="1" ht="12.75">
      <c r="A148" s="207"/>
      <c r="B148" s="208"/>
      <c r="C148" s="189" t="s">
        <v>157</v>
      </c>
      <c r="D148" s="190"/>
      <c r="E148" s="197">
        <v>33.28</v>
      </c>
      <c r="F148" s="198"/>
      <c r="G148" s="199"/>
      <c r="M148" s="178" t="s">
        <v>157</v>
      </c>
      <c r="O148" s="176"/>
    </row>
    <row r="149" spans="1:104" s="175" customFormat="1" ht="12.75">
      <c r="A149" s="182">
        <v>68</v>
      </c>
      <c r="B149" s="183" t="s">
        <v>158</v>
      </c>
      <c r="C149" s="206" t="s">
        <v>159</v>
      </c>
      <c r="D149" s="185" t="s">
        <v>81</v>
      </c>
      <c r="E149" s="186">
        <f>SUM(E150:E159)</f>
        <v>488.0360000000001</v>
      </c>
      <c r="F149" s="186"/>
      <c r="G149" s="187">
        <f>E149*F149</f>
        <v>0</v>
      </c>
      <c r="O149" s="176">
        <v>2</v>
      </c>
      <c r="AA149" s="175">
        <v>1</v>
      </c>
      <c r="AB149" s="175">
        <v>7</v>
      </c>
      <c r="AC149" s="175">
        <v>7</v>
      </c>
      <c r="AZ149" s="175">
        <v>2</v>
      </c>
      <c r="BA149" s="175">
        <f>IF(AZ149=1,G149,0)</f>
        <v>0</v>
      </c>
      <c r="BB149" s="175">
        <f>IF(AZ149=2,G149,0)</f>
        <v>0</v>
      </c>
      <c r="BC149" s="175">
        <f>IF(AZ149=3,G149,0)</f>
        <v>0</v>
      </c>
      <c r="BD149" s="175">
        <f>IF(AZ149=4,G149,0)</f>
        <v>0</v>
      </c>
      <c r="BE149" s="175">
        <f>IF(AZ149=5,G149,0)</f>
        <v>0</v>
      </c>
      <c r="CA149" s="177">
        <v>1</v>
      </c>
      <c r="CB149" s="177">
        <v>7</v>
      </c>
      <c r="CZ149" s="175">
        <v>0.000180000000000069</v>
      </c>
    </row>
    <row r="150" spans="1:80" s="175" customFormat="1" ht="12.75">
      <c r="A150" s="182"/>
      <c r="B150" s="183"/>
      <c r="C150" s="325" t="s">
        <v>198</v>
      </c>
      <c r="D150" s="326"/>
      <c r="E150" s="197">
        <f>25.6*1.85*2*1.25</f>
        <v>118.40000000000002</v>
      </c>
      <c r="F150" s="186"/>
      <c r="G150" s="187"/>
      <c r="O150" s="176"/>
      <c r="CA150" s="177"/>
      <c r="CB150" s="177"/>
    </row>
    <row r="151" spans="1:80" s="175" customFormat="1" ht="12.75">
      <c r="A151" s="182"/>
      <c r="B151" s="183"/>
      <c r="C151" s="325" t="s">
        <v>200</v>
      </c>
      <c r="D151" s="326"/>
      <c r="E151" s="272">
        <f>(3.6*2*2.5*2)*1.2</f>
        <v>43.199999999999996</v>
      </c>
      <c r="F151" s="186"/>
      <c r="G151" s="187"/>
      <c r="O151" s="176"/>
      <c r="CA151" s="177"/>
      <c r="CB151" s="177"/>
    </row>
    <row r="152" spans="1:80" s="175" customFormat="1" ht="12.75" customHeight="1">
      <c r="A152" s="182"/>
      <c r="B152" s="183"/>
      <c r="C152" s="325" t="s">
        <v>281</v>
      </c>
      <c r="D152" s="330"/>
      <c r="E152" s="237">
        <f>(0.16+0.06)*2*2*32</f>
        <v>28.16</v>
      </c>
      <c r="F152" s="186"/>
      <c r="G152" s="187"/>
      <c r="O152" s="176"/>
      <c r="CA152" s="177"/>
      <c r="CB152" s="177"/>
    </row>
    <row r="153" spans="1:80" s="175" customFormat="1" ht="12.75">
      <c r="A153" s="182"/>
      <c r="B153" s="183"/>
      <c r="C153" s="189" t="s">
        <v>282</v>
      </c>
      <c r="D153" s="196"/>
      <c r="E153" s="237">
        <f>(0.16+0.06)*2*25.6</f>
        <v>11.264000000000001</v>
      </c>
      <c r="F153" s="186"/>
      <c r="G153" s="187"/>
      <c r="O153" s="176"/>
      <c r="CA153" s="177"/>
      <c r="CB153" s="177"/>
    </row>
    <row r="154" spans="1:80" s="175" customFormat="1" ht="12.75">
      <c r="A154" s="182"/>
      <c r="B154" s="183"/>
      <c r="C154" s="189" t="s">
        <v>283</v>
      </c>
      <c r="D154" s="196"/>
      <c r="E154" s="237">
        <f>(0.16+0.1)*2*25.6</f>
        <v>13.312000000000001</v>
      </c>
      <c r="F154" s="186"/>
      <c r="G154" s="187"/>
      <c r="O154" s="176"/>
      <c r="CA154" s="177"/>
      <c r="CB154" s="177"/>
    </row>
    <row r="155" spans="1:80" s="175" customFormat="1" ht="12.75">
      <c r="A155" s="182"/>
      <c r="B155" s="183"/>
      <c r="C155" s="200" t="s">
        <v>285</v>
      </c>
      <c r="D155" s="196"/>
      <c r="E155" s="237">
        <f>(0.025+0.1)*2*25.6</f>
        <v>6.4</v>
      </c>
      <c r="F155" s="186"/>
      <c r="G155" s="187"/>
      <c r="O155" s="176"/>
      <c r="CA155" s="177"/>
      <c r="CB155" s="177"/>
    </row>
    <row r="156" spans="1:80" s="175" customFormat="1" ht="12.75">
      <c r="A156" s="182"/>
      <c r="B156" s="183"/>
      <c r="C156" s="200" t="s">
        <v>284</v>
      </c>
      <c r="D156" s="185"/>
      <c r="E156" s="237">
        <f>(0.025+0.15)*2*14</f>
        <v>4.8999999999999995</v>
      </c>
      <c r="F156" s="186"/>
      <c r="G156" s="187"/>
      <c r="O156" s="176"/>
      <c r="CA156" s="177"/>
      <c r="CB156" s="177"/>
    </row>
    <row r="157" spans="1:80" s="175" customFormat="1" ht="12.75">
      <c r="A157" s="182"/>
      <c r="B157" s="183"/>
      <c r="C157" s="189" t="s">
        <v>211</v>
      </c>
      <c r="D157" s="196"/>
      <c r="E157" s="237">
        <f>(0.04+0.06)*2*4*7*14</f>
        <v>78.4</v>
      </c>
      <c r="F157" s="186"/>
      <c r="G157" s="187"/>
      <c r="O157" s="176"/>
      <c r="CA157" s="177"/>
      <c r="CB157" s="177"/>
    </row>
    <row r="158" spans="1:80" s="175" customFormat="1" ht="12.75">
      <c r="A158" s="182"/>
      <c r="B158" s="183"/>
      <c r="C158" s="189" t="s">
        <v>212</v>
      </c>
      <c r="D158" s="185"/>
      <c r="E158" s="237">
        <f>(0.04+0.06)*2*25.6*(17+15)</f>
        <v>163.84000000000003</v>
      </c>
      <c r="F158" s="186"/>
      <c r="G158" s="187"/>
      <c r="O158" s="176"/>
      <c r="CA158" s="177"/>
      <c r="CB158" s="177"/>
    </row>
    <row r="159" spans="1:80" s="175" customFormat="1" ht="12.75">
      <c r="A159" s="182"/>
      <c r="B159" s="209"/>
      <c r="C159" s="325" t="s">
        <v>343</v>
      </c>
      <c r="D159" s="326"/>
      <c r="E159" s="272">
        <f>(0.45+0.35)*7*3.6</f>
        <v>20.160000000000004</v>
      </c>
      <c r="F159" s="186"/>
      <c r="G159" s="187"/>
      <c r="O159" s="176"/>
      <c r="CA159" s="177"/>
      <c r="CB159" s="177"/>
    </row>
    <row r="160" spans="1:57" s="175" customFormat="1" ht="12.75">
      <c r="A160" s="228"/>
      <c r="B160" s="159" t="s">
        <v>76</v>
      </c>
      <c r="C160" s="246" t="str">
        <f>CONCATENATE(B146," ",C146)</f>
        <v>783 Nátěry</v>
      </c>
      <c r="D160" s="158"/>
      <c r="E160" s="247"/>
      <c r="F160" s="247"/>
      <c r="G160" s="160">
        <f>SUM(G146:G159)</f>
        <v>0</v>
      </c>
      <c r="O160" s="176">
        <v>4</v>
      </c>
      <c r="BA160" s="231">
        <f>SUM(BA146:BA149)</f>
        <v>0</v>
      </c>
      <c r="BB160" s="231">
        <f>SUM(BB146:BB149)</f>
        <v>0</v>
      </c>
      <c r="BC160" s="231">
        <f>SUM(BC146:BC149)</f>
        <v>0</v>
      </c>
      <c r="BD160" s="231">
        <f>SUM(BD146:BD149)</f>
        <v>0</v>
      </c>
      <c r="BE160" s="231">
        <f>SUM(BE146:BE149)</f>
        <v>0</v>
      </c>
    </row>
    <row r="161" spans="1:15" s="175" customFormat="1" ht="12.75">
      <c r="A161" s="260" t="s">
        <v>74</v>
      </c>
      <c r="B161" s="261" t="s">
        <v>160</v>
      </c>
      <c r="C161" s="262" t="s">
        <v>161</v>
      </c>
      <c r="D161" s="228"/>
      <c r="E161" s="263"/>
      <c r="F161" s="263"/>
      <c r="G161" s="264"/>
      <c r="H161" s="227"/>
      <c r="I161" s="227"/>
      <c r="O161" s="176">
        <v>1</v>
      </c>
    </row>
    <row r="162" spans="1:104" s="175" customFormat="1" ht="12.75">
      <c r="A162" s="182">
        <v>69</v>
      </c>
      <c r="B162" s="183" t="s">
        <v>162</v>
      </c>
      <c r="C162" s="206" t="s">
        <v>163</v>
      </c>
      <c r="D162" s="185" t="s">
        <v>81</v>
      </c>
      <c r="E162" s="186">
        <f>E163+E164</f>
        <v>273.56769999999995</v>
      </c>
      <c r="F162" s="186"/>
      <c r="G162" s="187">
        <f>E162*F162</f>
        <v>0</v>
      </c>
      <c r="O162" s="176">
        <v>2</v>
      </c>
      <c r="AA162" s="175">
        <v>1</v>
      </c>
      <c r="AB162" s="175">
        <v>7</v>
      </c>
      <c r="AC162" s="175">
        <v>7</v>
      </c>
      <c r="AZ162" s="175">
        <v>2</v>
      </c>
      <c r="BA162" s="175">
        <f>IF(AZ162=1,G162,0)</f>
        <v>0</v>
      </c>
      <c r="BB162" s="175">
        <f>IF(AZ162=2,G162,0)</f>
        <v>0</v>
      </c>
      <c r="BC162" s="175">
        <f>IF(AZ162=3,G162,0)</f>
        <v>0</v>
      </c>
      <c r="BD162" s="175">
        <f>IF(AZ162=4,G162,0)</f>
        <v>0</v>
      </c>
      <c r="BE162" s="175">
        <f>IF(AZ162=5,G162,0)</f>
        <v>0</v>
      </c>
      <c r="CA162" s="177">
        <v>1</v>
      </c>
      <c r="CB162" s="177">
        <v>7</v>
      </c>
      <c r="CZ162" s="175">
        <v>0.000170000000000003</v>
      </c>
    </row>
    <row r="163" spans="1:15" s="175" customFormat="1" ht="12.75">
      <c r="A163" s="207"/>
      <c r="B163" s="208"/>
      <c r="C163" s="189" t="s">
        <v>267</v>
      </c>
      <c r="D163" s="190"/>
      <c r="E163" s="197">
        <f>(15.5*2+9+16+8.95*2.05*2+6)*3.7</f>
        <v>365.1715</v>
      </c>
      <c r="F163" s="198"/>
      <c r="G163" s="199"/>
      <c r="I163"/>
      <c r="J163"/>
      <c r="M163" s="178" t="s">
        <v>164</v>
      </c>
      <c r="O163" s="176"/>
    </row>
    <row r="164" spans="1:15" s="175" customFormat="1" ht="12.75">
      <c r="A164" s="207"/>
      <c r="B164" s="208"/>
      <c r="C164" s="189" t="s">
        <v>165</v>
      </c>
      <c r="D164" s="190"/>
      <c r="E164" s="197">
        <v>-91.6038</v>
      </c>
      <c r="F164" s="198"/>
      <c r="G164" s="199"/>
      <c r="M164" s="178" t="s">
        <v>165</v>
      </c>
      <c r="O164" s="176"/>
    </row>
    <row r="165" spans="1:104" s="175" customFormat="1" ht="12.75">
      <c r="A165" s="182">
        <v>70</v>
      </c>
      <c r="B165" s="183" t="s">
        <v>166</v>
      </c>
      <c r="C165" s="206" t="s">
        <v>167</v>
      </c>
      <c r="D165" s="185" t="s">
        <v>81</v>
      </c>
      <c r="E165" s="186">
        <f>E162</f>
        <v>273.56769999999995</v>
      </c>
      <c r="F165" s="186"/>
      <c r="G165" s="187">
        <f>E165*F165</f>
        <v>0</v>
      </c>
      <c r="O165" s="176">
        <v>2</v>
      </c>
      <c r="AA165" s="175">
        <v>1</v>
      </c>
      <c r="AB165" s="175">
        <v>7</v>
      </c>
      <c r="AC165" s="175">
        <v>7</v>
      </c>
      <c r="AZ165" s="175">
        <v>2</v>
      </c>
      <c r="BA165" s="175">
        <f>IF(AZ165=1,G165,0)</f>
        <v>0</v>
      </c>
      <c r="BB165" s="175">
        <f>IF(AZ165=2,G165,0)</f>
        <v>0</v>
      </c>
      <c r="BC165" s="175">
        <f>IF(AZ165=3,G165,0)</f>
        <v>0</v>
      </c>
      <c r="BD165" s="175">
        <f>IF(AZ165=4,G165,0)</f>
        <v>0</v>
      </c>
      <c r="BE165" s="175">
        <f>IF(AZ165=5,G165,0)</f>
        <v>0</v>
      </c>
      <c r="CA165" s="177">
        <v>1</v>
      </c>
      <c r="CB165" s="177">
        <v>7</v>
      </c>
      <c r="CZ165" s="175">
        <v>0.000210000000000043</v>
      </c>
    </row>
    <row r="166" spans="1:57" s="175" customFormat="1" ht="12.75">
      <c r="A166" s="228"/>
      <c r="B166" s="159" t="s">
        <v>76</v>
      </c>
      <c r="C166" s="246" t="str">
        <f>CONCATENATE(B161," ",C161)</f>
        <v>784 Malby</v>
      </c>
      <c r="D166" s="158"/>
      <c r="E166" s="247"/>
      <c r="F166" s="247"/>
      <c r="G166" s="160">
        <f>SUM(G161:G165)</f>
        <v>0</v>
      </c>
      <c r="O166" s="176">
        <v>4</v>
      </c>
      <c r="BA166" s="231">
        <f>SUM(BA161:BA165)</f>
        <v>0</v>
      </c>
      <c r="BB166" s="231">
        <f>SUM(BB161:BB165)</f>
        <v>0</v>
      </c>
      <c r="BC166" s="231">
        <f>SUM(BC161:BC165)</f>
        <v>0</v>
      </c>
      <c r="BD166" s="231">
        <f>SUM(BD161:BD165)</f>
        <v>0</v>
      </c>
      <c r="BE166" s="231">
        <f>SUM(BE161:BE165)</f>
        <v>0</v>
      </c>
    </row>
    <row r="167" spans="1:57" s="175" customFormat="1" ht="12.75">
      <c r="A167" s="260" t="s">
        <v>74</v>
      </c>
      <c r="B167" s="253" t="s">
        <v>256</v>
      </c>
      <c r="C167" s="254" t="s">
        <v>257</v>
      </c>
      <c r="D167" s="228"/>
      <c r="E167" s="245"/>
      <c r="F167" s="245"/>
      <c r="G167" s="230"/>
      <c r="O167" s="176"/>
      <c r="BA167" s="231"/>
      <c r="BB167" s="231"/>
      <c r="BC167" s="231"/>
      <c r="BD167" s="231"/>
      <c r="BE167" s="231"/>
    </row>
    <row r="168" spans="1:57" s="175" customFormat="1" ht="12.75">
      <c r="A168" s="182">
        <v>71</v>
      </c>
      <c r="B168" s="265" t="s">
        <v>258</v>
      </c>
      <c r="C168" s="266" t="s">
        <v>259</v>
      </c>
      <c r="D168" s="267" t="s">
        <v>81</v>
      </c>
      <c r="E168" s="268">
        <f>25.6*3*2+12</f>
        <v>165.60000000000002</v>
      </c>
      <c r="F168" s="268"/>
      <c r="G168" s="269">
        <f>E168*F168</f>
        <v>0</v>
      </c>
      <c r="O168" s="176"/>
      <c r="BA168" s="231"/>
      <c r="BB168" s="231"/>
      <c r="BC168" s="231"/>
      <c r="BD168" s="231"/>
      <c r="BE168" s="231"/>
    </row>
    <row r="169" spans="1:57" s="175" customFormat="1" ht="12.75">
      <c r="A169" s="182">
        <v>72</v>
      </c>
      <c r="B169" s="265" t="s">
        <v>260</v>
      </c>
      <c r="C169" s="266" t="s">
        <v>261</v>
      </c>
      <c r="D169" s="267" t="s">
        <v>81</v>
      </c>
      <c r="E169" s="268">
        <f>E168*2</f>
        <v>331.20000000000005</v>
      </c>
      <c r="F169" s="268"/>
      <c r="G169" s="269">
        <f>E169*F169</f>
        <v>0</v>
      </c>
      <c r="O169" s="176"/>
      <c r="BA169" s="231"/>
      <c r="BB169" s="231"/>
      <c r="BC169" s="231"/>
      <c r="BD169" s="231"/>
      <c r="BE169" s="231"/>
    </row>
    <row r="170" spans="1:57" s="175" customFormat="1" ht="12.75">
      <c r="A170" s="182">
        <v>73</v>
      </c>
      <c r="B170" s="265" t="s">
        <v>262</v>
      </c>
      <c r="C170" s="266" t="s">
        <v>263</v>
      </c>
      <c r="D170" s="267" t="s">
        <v>81</v>
      </c>
      <c r="E170" s="268">
        <f>E168</f>
        <v>165.60000000000002</v>
      </c>
      <c r="F170" s="268"/>
      <c r="G170" s="269">
        <f>E170*F170</f>
        <v>0</v>
      </c>
      <c r="O170" s="176"/>
      <c r="BA170" s="231"/>
      <c r="BB170" s="231"/>
      <c r="BC170" s="231"/>
      <c r="BD170" s="231"/>
      <c r="BE170" s="231"/>
    </row>
    <row r="171" spans="1:57" s="175" customFormat="1" ht="20.25">
      <c r="A171" s="182">
        <v>74</v>
      </c>
      <c r="B171" s="265" t="s">
        <v>264</v>
      </c>
      <c r="C171" s="266" t="s">
        <v>265</v>
      </c>
      <c r="D171" s="267" t="s">
        <v>81</v>
      </c>
      <c r="E171" s="268">
        <v>25</v>
      </c>
      <c r="F171" s="268"/>
      <c r="G171" s="269">
        <f>E171*F171</f>
        <v>0</v>
      </c>
      <c r="O171" s="176"/>
      <c r="BA171" s="231"/>
      <c r="BB171" s="231"/>
      <c r="BC171" s="231"/>
      <c r="BD171" s="231"/>
      <c r="BE171" s="231"/>
    </row>
    <row r="172" spans="1:57" s="175" customFormat="1" ht="12.75">
      <c r="A172" s="228"/>
      <c r="B172" s="159" t="s">
        <v>76</v>
      </c>
      <c r="C172" s="246" t="str">
        <f>CONCATENATE(B167," ",C167)</f>
        <v>94 Lešení a stavební výtahy</v>
      </c>
      <c r="D172" s="158"/>
      <c r="E172" s="247"/>
      <c r="F172" s="247"/>
      <c r="G172" s="160">
        <f>SUM(G167:G171)</f>
        <v>0</v>
      </c>
      <c r="O172" s="176"/>
      <c r="BA172" s="231"/>
      <c r="BB172" s="231"/>
      <c r="BC172" s="231"/>
      <c r="BD172" s="231"/>
      <c r="BE172" s="231"/>
    </row>
    <row r="173" spans="1:15" s="175" customFormat="1" ht="12.75">
      <c r="A173" s="260" t="s">
        <v>74</v>
      </c>
      <c r="B173" s="261" t="s">
        <v>168</v>
      </c>
      <c r="C173" s="262" t="s">
        <v>169</v>
      </c>
      <c r="D173" s="228"/>
      <c r="E173" s="263"/>
      <c r="F173" s="263"/>
      <c r="G173" s="264"/>
      <c r="H173" s="227"/>
      <c r="I173" s="227"/>
      <c r="O173" s="176">
        <v>1</v>
      </c>
    </row>
    <row r="174" spans="1:104" s="175" customFormat="1" ht="12.75">
      <c r="A174" s="182">
        <v>75</v>
      </c>
      <c r="B174" s="183" t="s">
        <v>170</v>
      </c>
      <c r="C174" s="206" t="s">
        <v>171</v>
      </c>
      <c r="D174" s="185" t="s">
        <v>102</v>
      </c>
      <c r="E174" s="186">
        <v>63.6</v>
      </c>
      <c r="F174" s="186"/>
      <c r="G174" s="187">
        <f aca="true" t="shared" si="1" ref="G174:G180">E174*F174</f>
        <v>0</v>
      </c>
      <c r="O174" s="176">
        <v>2</v>
      </c>
      <c r="AA174" s="175">
        <v>1</v>
      </c>
      <c r="AB174" s="175">
        <v>1</v>
      </c>
      <c r="AC174" s="175">
        <v>1</v>
      </c>
      <c r="AZ174" s="175">
        <v>1</v>
      </c>
      <c r="BA174" s="175">
        <f aca="true" t="shared" si="2" ref="BA174:BA180">IF(AZ174=1,G174,0)</f>
        <v>0</v>
      </c>
      <c r="BB174" s="175">
        <f aca="true" t="shared" si="3" ref="BB174:BB180">IF(AZ174=2,G174,0)</f>
        <v>0</v>
      </c>
      <c r="BC174" s="175">
        <f aca="true" t="shared" si="4" ref="BC174:BC180">IF(AZ174=3,G174,0)</f>
        <v>0</v>
      </c>
      <c r="BD174" s="175">
        <f aca="true" t="shared" si="5" ref="BD174:BD180">IF(AZ174=4,G174,0)</f>
        <v>0</v>
      </c>
      <c r="BE174" s="175">
        <f aca="true" t="shared" si="6" ref="BE174:BE180">IF(AZ174=5,G174,0)</f>
        <v>0</v>
      </c>
      <c r="CA174" s="177">
        <v>1</v>
      </c>
      <c r="CB174" s="177">
        <v>1</v>
      </c>
      <c r="CZ174" s="175">
        <v>0</v>
      </c>
    </row>
    <row r="175" spans="1:104" s="175" customFormat="1" ht="12.75">
      <c r="A175" s="182">
        <v>76</v>
      </c>
      <c r="B175" s="183" t="s">
        <v>172</v>
      </c>
      <c r="C175" s="206" t="s">
        <v>173</v>
      </c>
      <c r="D175" s="185" t="s">
        <v>102</v>
      </c>
      <c r="E175" s="186">
        <v>63.6</v>
      </c>
      <c r="F175" s="186"/>
      <c r="G175" s="187">
        <f t="shared" si="1"/>
        <v>0</v>
      </c>
      <c r="O175" s="176">
        <v>2</v>
      </c>
      <c r="AA175" s="175">
        <v>1</v>
      </c>
      <c r="AB175" s="175">
        <v>3</v>
      </c>
      <c r="AC175" s="175">
        <v>3</v>
      </c>
      <c r="AZ175" s="175">
        <v>1</v>
      </c>
      <c r="BA175" s="175">
        <f t="shared" si="2"/>
        <v>0</v>
      </c>
      <c r="BB175" s="175">
        <f t="shared" si="3"/>
        <v>0</v>
      </c>
      <c r="BC175" s="175">
        <f t="shared" si="4"/>
        <v>0</v>
      </c>
      <c r="BD175" s="175">
        <f t="shared" si="5"/>
        <v>0</v>
      </c>
      <c r="BE175" s="175">
        <f t="shared" si="6"/>
        <v>0</v>
      </c>
      <c r="CA175" s="177">
        <v>1</v>
      </c>
      <c r="CB175" s="177">
        <v>3</v>
      </c>
      <c r="CZ175" s="175">
        <v>0</v>
      </c>
    </row>
    <row r="176" spans="1:104" s="175" customFormat="1" ht="12.75">
      <c r="A176" s="182">
        <v>77</v>
      </c>
      <c r="B176" s="183" t="s">
        <v>174</v>
      </c>
      <c r="C176" s="206" t="s">
        <v>175</v>
      </c>
      <c r="D176" s="185" t="s">
        <v>102</v>
      </c>
      <c r="E176" s="186">
        <v>63.6</v>
      </c>
      <c r="F176" s="186"/>
      <c r="G176" s="187">
        <f t="shared" si="1"/>
        <v>0</v>
      </c>
      <c r="O176" s="176">
        <v>2</v>
      </c>
      <c r="AA176" s="175">
        <v>1</v>
      </c>
      <c r="AB176" s="175">
        <v>3</v>
      </c>
      <c r="AC176" s="175">
        <v>3</v>
      </c>
      <c r="AZ176" s="175">
        <v>1</v>
      </c>
      <c r="BA176" s="175">
        <f t="shared" si="2"/>
        <v>0</v>
      </c>
      <c r="BB176" s="175">
        <f t="shared" si="3"/>
        <v>0</v>
      </c>
      <c r="BC176" s="175">
        <f t="shared" si="4"/>
        <v>0</v>
      </c>
      <c r="BD176" s="175">
        <f t="shared" si="5"/>
        <v>0</v>
      </c>
      <c r="BE176" s="175">
        <f t="shared" si="6"/>
        <v>0</v>
      </c>
      <c r="CA176" s="177">
        <v>1</v>
      </c>
      <c r="CB176" s="177">
        <v>3</v>
      </c>
      <c r="CZ176" s="175">
        <v>0</v>
      </c>
    </row>
    <row r="177" spans="1:104" s="175" customFormat="1" ht="12.75">
      <c r="A177" s="182">
        <v>78</v>
      </c>
      <c r="B177" s="183" t="s">
        <v>176</v>
      </c>
      <c r="C177" s="206" t="s">
        <v>266</v>
      </c>
      <c r="D177" s="185" t="s">
        <v>102</v>
      </c>
      <c r="E177" s="186">
        <v>254.4</v>
      </c>
      <c r="F177" s="186"/>
      <c r="G177" s="187">
        <f t="shared" si="1"/>
        <v>0</v>
      </c>
      <c r="O177" s="176">
        <v>2</v>
      </c>
      <c r="AA177" s="175">
        <v>1</v>
      </c>
      <c r="AB177" s="175">
        <v>3</v>
      </c>
      <c r="AC177" s="175">
        <v>3</v>
      </c>
      <c r="AZ177" s="175">
        <v>1</v>
      </c>
      <c r="BA177" s="175">
        <f t="shared" si="2"/>
        <v>0</v>
      </c>
      <c r="BB177" s="175">
        <f t="shared" si="3"/>
        <v>0</v>
      </c>
      <c r="BC177" s="175">
        <f t="shared" si="4"/>
        <v>0</v>
      </c>
      <c r="BD177" s="175">
        <f t="shared" si="5"/>
        <v>0</v>
      </c>
      <c r="BE177" s="175">
        <f t="shared" si="6"/>
        <v>0</v>
      </c>
      <c r="CA177" s="177">
        <v>1</v>
      </c>
      <c r="CB177" s="177">
        <v>3</v>
      </c>
      <c r="CZ177" s="175">
        <v>0</v>
      </c>
    </row>
    <row r="178" spans="1:104" s="175" customFormat="1" ht="12.75">
      <c r="A178" s="182">
        <v>79</v>
      </c>
      <c r="B178" s="183" t="s">
        <v>177</v>
      </c>
      <c r="C178" s="206" t="s">
        <v>178</v>
      </c>
      <c r="D178" s="185" t="s">
        <v>102</v>
      </c>
      <c r="E178" s="186">
        <v>63.6</v>
      </c>
      <c r="F178" s="186"/>
      <c r="G178" s="187">
        <f t="shared" si="1"/>
        <v>0</v>
      </c>
      <c r="O178" s="176">
        <v>2</v>
      </c>
      <c r="AA178" s="175">
        <v>1</v>
      </c>
      <c r="AB178" s="175">
        <v>3</v>
      </c>
      <c r="AC178" s="175">
        <v>3</v>
      </c>
      <c r="AZ178" s="175">
        <v>1</v>
      </c>
      <c r="BA178" s="175">
        <f t="shared" si="2"/>
        <v>0</v>
      </c>
      <c r="BB178" s="175">
        <f t="shared" si="3"/>
        <v>0</v>
      </c>
      <c r="BC178" s="175">
        <f t="shared" si="4"/>
        <v>0</v>
      </c>
      <c r="BD178" s="175">
        <f t="shared" si="5"/>
        <v>0</v>
      </c>
      <c r="BE178" s="175">
        <f t="shared" si="6"/>
        <v>0</v>
      </c>
      <c r="CA178" s="177">
        <v>1</v>
      </c>
      <c r="CB178" s="177">
        <v>3</v>
      </c>
      <c r="CZ178" s="175">
        <v>0</v>
      </c>
    </row>
    <row r="179" spans="1:104" s="175" customFormat="1" ht="12.75">
      <c r="A179" s="182">
        <v>80</v>
      </c>
      <c r="B179" s="183" t="s">
        <v>179</v>
      </c>
      <c r="C179" s="206" t="s">
        <v>180</v>
      </c>
      <c r="D179" s="185" t="s">
        <v>102</v>
      </c>
      <c r="E179" s="186">
        <v>63.6</v>
      </c>
      <c r="F179" s="186"/>
      <c r="G179" s="187">
        <f t="shared" si="1"/>
        <v>0</v>
      </c>
      <c r="O179" s="176">
        <v>2</v>
      </c>
      <c r="AA179" s="175">
        <v>1</v>
      </c>
      <c r="AB179" s="175">
        <v>3</v>
      </c>
      <c r="AC179" s="175">
        <v>3</v>
      </c>
      <c r="AZ179" s="175">
        <v>1</v>
      </c>
      <c r="BA179" s="175">
        <f t="shared" si="2"/>
        <v>0</v>
      </c>
      <c r="BB179" s="175">
        <f t="shared" si="3"/>
        <v>0</v>
      </c>
      <c r="BC179" s="175">
        <f t="shared" si="4"/>
        <v>0</v>
      </c>
      <c r="BD179" s="175">
        <f t="shared" si="5"/>
        <v>0</v>
      </c>
      <c r="BE179" s="175">
        <f t="shared" si="6"/>
        <v>0</v>
      </c>
      <c r="CA179" s="177">
        <v>1</v>
      </c>
      <c r="CB179" s="177">
        <v>3</v>
      </c>
      <c r="CZ179" s="175">
        <v>0</v>
      </c>
    </row>
    <row r="180" spans="1:104" s="175" customFormat="1" ht="12.75">
      <c r="A180" s="182">
        <v>81</v>
      </c>
      <c r="B180" s="183" t="s">
        <v>181</v>
      </c>
      <c r="C180" s="206" t="s">
        <v>182</v>
      </c>
      <c r="D180" s="185" t="s">
        <v>102</v>
      </c>
      <c r="E180" s="186">
        <v>63.6276700000005</v>
      </c>
      <c r="F180" s="186"/>
      <c r="G180" s="187">
        <f t="shared" si="1"/>
        <v>0</v>
      </c>
      <c r="O180" s="176">
        <v>2</v>
      </c>
      <c r="AA180" s="175">
        <v>8</v>
      </c>
      <c r="AB180" s="175">
        <v>0</v>
      </c>
      <c r="AC180" s="175">
        <v>3</v>
      </c>
      <c r="AZ180" s="175">
        <v>1</v>
      </c>
      <c r="BA180" s="175">
        <f t="shared" si="2"/>
        <v>0</v>
      </c>
      <c r="BB180" s="175">
        <f t="shared" si="3"/>
        <v>0</v>
      </c>
      <c r="BC180" s="175">
        <f t="shared" si="4"/>
        <v>0</v>
      </c>
      <c r="BD180" s="175">
        <f t="shared" si="5"/>
        <v>0</v>
      </c>
      <c r="BE180" s="175">
        <f t="shared" si="6"/>
        <v>0</v>
      </c>
      <c r="CA180" s="177">
        <v>8</v>
      </c>
      <c r="CB180" s="177">
        <v>0</v>
      </c>
      <c r="CZ180" s="175">
        <v>0</v>
      </c>
    </row>
    <row r="181" spans="1:57" s="175" customFormat="1" ht="12.75">
      <c r="A181" s="228"/>
      <c r="B181" s="159" t="s">
        <v>76</v>
      </c>
      <c r="C181" s="246" t="str">
        <f>CONCATENATE(B173," ",C173)</f>
        <v>D96 Přesuny suti a vybouraných hmot</v>
      </c>
      <c r="D181" s="158"/>
      <c r="E181" s="247"/>
      <c r="F181" s="247"/>
      <c r="G181" s="160">
        <f>SUM(G173:G180)</f>
        <v>0</v>
      </c>
      <c r="O181" s="176">
        <v>4</v>
      </c>
      <c r="BA181" s="231">
        <f>SUM(BA173:BA180)</f>
        <v>0</v>
      </c>
      <c r="BB181" s="231">
        <f>SUM(BB173:BB180)</f>
        <v>0</v>
      </c>
      <c r="BC181" s="231">
        <f>SUM(BC173:BC180)</f>
        <v>0</v>
      </c>
      <c r="BD181" s="231">
        <f>SUM(BD173:BD180)</f>
        <v>0</v>
      </c>
      <c r="BE181" s="231">
        <f>SUM(BE173:BE180)</f>
        <v>0</v>
      </c>
    </row>
    <row r="182" spans="1:7" ht="12.75">
      <c r="A182" s="260" t="s">
        <v>74</v>
      </c>
      <c r="B182" s="261" t="s">
        <v>251</v>
      </c>
      <c r="C182" s="262" t="s">
        <v>249</v>
      </c>
      <c r="D182" s="179"/>
      <c r="E182" s="181"/>
      <c r="F182" s="179"/>
      <c r="G182" s="179"/>
    </row>
    <row r="183" spans="1:7" s="224" customFormat="1" ht="9.75">
      <c r="A183" s="275">
        <v>82</v>
      </c>
      <c r="B183" s="243"/>
      <c r="C183" s="243" t="s">
        <v>250</v>
      </c>
      <c r="D183" s="185" t="s">
        <v>255</v>
      </c>
      <c r="E183" s="186">
        <v>1</v>
      </c>
      <c r="F183" s="283"/>
      <c r="G183" s="187">
        <f>E183*F183</f>
        <v>0</v>
      </c>
    </row>
    <row r="184" spans="1:7" ht="12.75">
      <c r="A184" s="209"/>
      <c r="B184" s="159" t="s">
        <v>76</v>
      </c>
      <c r="C184" s="246" t="s">
        <v>252</v>
      </c>
      <c r="D184" s="270"/>
      <c r="E184" s="271"/>
      <c r="F184" s="270"/>
      <c r="G184" s="160">
        <f>SUM(G182:G183)</f>
        <v>0</v>
      </c>
    </row>
    <row r="188" s="175" customFormat="1" ht="12.75"/>
    <row r="189" s="175" customFormat="1" ht="12.75"/>
    <row r="190" s="175" customFormat="1" ht="12.75"/>
    <row r="191" s="175" customFormat="1" ht="12.75"/>
    <row r="192" s="175" customFormat="1" ht="12.75"/>
    <row r="193" s="175" customFormat="1" ht="12.75"/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spans="1:7" ht="12.75">
      <c r="A198" s="300"/>
      <c r="B198" s="162"/>
      <c r="C198" s="162"/>
      <c r="D198" s="162"/>
      <c r="E198" s="162"/>
      <c r="F198" s="162"/>
      <c r="G198" s="162"/>
    </row>
    <row r="199" spans="1:7" ht="12.75">
      <c r="A199" s="300"/>
      <c r="B199" s="162"/>
      <c r="C199" s="162"/>
      <c r="D199" s="162"/>
      <c r="E199" s="162"/>
      <c r="F199" s="162"/>
      <c r="G199" s="162"/>
    </row>
    <row r="200" spans="1:7" ht="12.75">
      <c r="A200" s="300"/>
      <c r="B200" s="162"/>
      <c r="C200" s="162"/>
      <c r="D200" s="162"/>
      <c r="E200" s="162"/>
      <c r="F200" s="162"/>
      <c r="G200" s="162"/>
    </row>
    <row r="201" spans="1:7" ht="12.75">
      <c r="A201" s="300"/>
      <c r="B201" s="162"/>
      <c r="C201" s="162"/>
      <c r="D201" s="162"/>
      <c r="E201" s="162"/>
      <c r="F201" s="162"/>
      <c r="G201" s="162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ht="12.75">
      <c r="E220" s="145"/>
    </row>
    <row r="221" ht="12.75">
      <c r="E221" s="145"/>
    </row>
    <row r="222" ht="12.75">
      <c r="E222" s="145"/>
    </row>
    <row r="223" ht="12.75">
      <c r="E223" s="145"/>
    </row>
    <row r="224" ht="12.75">
      <c r="E224" s="145"/>
    </row>
    <row r="225" ht="12.75">
      <c r="E225" s="145"/>
    </row>
    <row r="226" ht="12.75">
      <c r="E226" s="145"/>
    </row>
    <row r="227" ht="12.75">
      <c r="E227" s="145"/>
    </row>
    <row r="228" ht="12.75">
      <c r="E228" s="145"/>
    </row>
    <row r="229" ht="12.75">
      <c r="E229" s="145"/>
    </row>
    <row r="230" ht="12.75">
      <c r="E230" s="145"/>
    </row>
    <row r="231" ht="12.75">
      <c r="E231" s="145"/>
    </row>
    <row r="232" ht="12.75">
      <c r="E232" s="145"/>
    </row>
    <row r="233" spans="1:2" ht="12.75">
      <c r="A233" s="301"/>
      <c r="B233" s="163"/>
    </row>
    <row r="234" spans="1:7" ht="12.75">
      <c r="A234" s="300"/>
      <c r="B234" s="162"/>
      <c r="C234" s="165"/>
      <c r="D234" s="165"/>
      <c r="E234" s="166"/>
      <c r="F234" s="165"/>
      <c r="G234" s="167"/>
    </row>
    <row r="235" spans="1:7" ht="12.75">
      <c r="A235" s="302"/>
      <c r="B235" s="168"/>
      <c r="C235" s="162"/>
      <c r="D235" s="162"/>
      <c r="E235" s="169"/>
      <c r="F235" s="162"/>
      <c r="G235" s="162"/>
    </row>
    <row r="236" spans="1:7" ht="12.75">
      <c r="A236" s="300"/>
      <c r="B236" s="162"/>
      <c r="C236" s="162"/>
      <c r="D236" s="162"/>
      <c r="E236" s="169"/>
      <c r="F236" s="162"/>
      <c r="G236" s="162"/>
    </row>
    <row r="237" spans="1:7" ht="12.75">
      <c r="A237" s="300"/>
      <c r="B237" s="162"/>
      <c r="C237" s="162"/>
      <c r="D237" s="162"/>
      <c r="E237" s="169"/>
      <c r="F237" s="162"/>
      <c r="G237" s="162"/>
    </row>
    <row r="238" spans="1:7" ht="12.75">
      <c r="A238" s="300"/>
      <c r="B238" s="162"/>
      <c r="C238" s="162"/>
      <c r="D238" s="162"/>
      <c r="E238" s="169"/>
      <c r="F238" s="162"/>
      <c r="G238" s="162"/>
    </row>
    <row r="239" spans="1:7" ht="12.75">
      <c r="A239" s="300"/>
      <c r="B239" s="162"/>
      <c r="C239" s="162"/>
      <c r="D239" s="162"/>
      <c r="E239" s="169"/>
      <c r="F239" s="162"/>
      <c r="G239" s="162"/>
    </row>
    <row r="240" spans="1:7" ht="12.75">
      <c r="A240" s="300"/>
      <c r="B240" s="162"/>
      <c r="C240" s="162"/>
      <c r="D240" s="162"/>
      <c r="E240" s="169"/>
      <c r="F240" s="162"/>
      <c r="G240" s="162"/>
    </row>
    <row r="241" spans="1:7" ht="12.75">
      <c r="A241" s="300"/>
      <c r="B241" s="162"/>
      <c r="C241" s="162"/>
      <c r="D241" s="162"/>
      <c r="E241" s="169"/>
      <c r="F241" s="162"/>
      <c r="G241" s="162"/>
    </row>
    <row r="242" spans="1:7" ht="12.75">
      <c r="A242" s="300"/>
      <c r="B242" s="162"/>
      <c r="C242" s="162"/>
      <c r="D242" s="162"/>
      <c r="E242" s="169"/>
      <c r="F242" s="162"/>
      <c r="G242" s="162"/>
    </row>
    <row r="243" spans="1:7" ht="12.75">
      <c r="A243" s="300"/>
      <c r="B243" s="162"/>
      <c r="C243" s="162"/>
      <c r="D243" s="162"/>
      <c r="E243" s="169"/>
      <c r="F243" s="162"/>
      <c r="G243" s="162"/>
    </row>
    <row r="244" spans="1:7" ht="12.75">
      <c r="A244" s="300"/>
      <c r="B244" s="162"/>
      <c r="C244" s="162"/>
      <c r="D244" s="162"/>
      <c r="E244" s="169"/>
      <c r="F244" s="162"/>
      <c r="G244" s="162"/>
    </row>
    <row r="245" spans="1:7" ht="12.75">
      <c r="A245" s="300"/>
      <c r="B245" s="162"/>
      <c r="C245" s="162"/>
      <c r="D245" s="162"/>
      <c r="E245" s="169"/>
      <c r="F245" s="162"/>
      <c r="G245" s="162"/>
    </row>
    <row r="246" spans="1:7" ht="12.75">
      <c r="A246" s="300"/>
      <c r="B246" s="162"/>
      <c r="C246" s="162"/>
      <c r="D246" s="162"/>
      <c r="E246" s="169"/>
      <c r="F246" s="162"/>
      <c r="G246" s="162"/>
    </row>
    <row r="247" spans="1:7" ht="12.75">
      <c r="A247" s="300"/>
      <c r="B247" s="162"/>
      <c r="C247" s="162"/>
      <c r="D247" s="162"/>
      <c r="E247" s="169"/>
      <c r="F247" s="162"/>
      <c r="G247" s="162"/>
    </row>
  </sheetData>
  <sheetProtection/>
  <mergeCells count="22">
    <mergeCell ref="C57:D57"/>
    <mergeCell ref="C65:D65"/>
    <mergeCell ref="C66:D66"/>
    <mergeCell ref="C51:D51"/>
    <mergeCell ref="C43:D43"/>
    <mergeCell ref="C58:D58"/>
    <mergeCell ref="C27:D27"/>
    <mergeCell ref="A1:G1"/>
    <mergeCell ref="A3:B3"/>
    <mergeCell ref="A4:B4"/>
    <mergeCell ref="E4:G4"/>
    <mergeCell ref="C39:D39"/>
    <mergeCell ref="C159:D159"/>
    <mergeCell ref="C67:D67"/>
    <mergeCell ref="C49:D49"/>
    <mergeCell ref="C124:D124"/>
    <mergeCell ref="C68:D68"/>
    <mergeCell ref="C74:D74"/>
    <mergeCell ref="C59:D59"/>
    <mergeCell ref="C152:D152"/>
    <mergeCell ref="C150:D150"/>
    <mergeCell ref="C151:D1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Turanová Dana</cp:lastModifiedBy>
  <cp:lastPrinted>2020-01-20T21:30:00Z</cp:lastPrinted>
  <dcterms:created xsi:type="dcterms:W3CDTF">2019-12-03T17:07:20Z</dcterms:created>
  <dcterms:modified xsi:type="dcterms:W3CDTF">2020-05-20T08:57:10Z</dcterms:modified>
  <cp:category/>
  <cp:version/>
  <cp:contentType/>
  <cp:contentStatus/>
</cp:coreProperties>
</file>