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acka\Prace\Živnost\Projekty\2019\Ministerstvo_zemedelstvi_Ždar_nad_Sazavou_Klimatizace\DPS_MZe_Klimatizace_Zdar_pdf\Rozpočet\"/>
    </mc:Choice>
  </mc:AlternateContent>
  <bookViews>
    <workbookView xWindow="-28920" yWindow="-120" windowWidth="29040" windowHeight="15990" tabRatio="889"/>
  </bookViews>
  <sheets>
    <sheet name="Rekapitulace stavby" sheetId="1" r:id="rId1"/>
    <sheet name="D.1.1 - Architektonicko s..." sheetId="2" r:id="rId2"/>
    <sheet name="Krycí_list_rozpočtu" sheetId="17" r:id="rId3"/>
    <sheet name="Stavební_rozpočet" sheetId="18" r:id="rId4"/>
    <sheet name="D.1.4.1 - Klimatizace" sheetId="3" r:id="rId5"/>
    <sheet name="Rekapitulace_klim." sheetId="11" r:id="rId6"/>
    <sheet name="Rozpočet_klim." sheetId="12" r:id="rId7"/>
    <sheet name="D.1.4.2 - Zařízení silnop..." sheetId="4" r:id="rId8"/>
    <sheet name="Rekapitulace_silnoproud" sheetId="13" r:id="rId9"/>
    <sheet name="Rozpočet_silnoproud" sheetId="14" r:id="rId10"/>
    <sheet name="D.1.4.3 - Zdravotnětechni..." sheetId="5" r:id="rId11"/>
    <sheet name="Rekapitulace_ZTI" sheetId="15" r:id="rId12"/>
    <sheet name="Rozpočet_ZTI" sheetId="16" r:id="rId13"/>
    <sheet name="Pokyny pro vyplnění" sheetId="6" r:id="rId14"/>
  </sheets>
  <externalReferences>
    <externalReference r:id="rId15"/>
  </externalReferences>
  <definedNames>
    <definedName name="_xlnm._FilterDatabase" localSheetId="1" hidden="1">'D.1.1 - Architektonicko s...'!$C$80:$K$84</definedName>
    <definedName name="_xlnm._FilterDatabase" localSheetId="4" hidden="1">'D.1.4.1 - Klimatizace'!$C$80:$K$84</definedName>
    <definedName name="_xlnm._FilterDatabase" localSheetId="7" hidden="1">'D.1.4.2 - Zařízení silnop...'!$C$80:$K$84</definedName>
    <definedName name="_xlnm._FilterDatabase" localSheetId="10" hidden="1">'D.1.4.3 - Zdravotnětechni...'!$C$80:$K$84</definedName>
    <definedName name="_xlnm.Print_Titles" localSheetId="1">'D.1.1 - Architektonicko s...'!$80:$80</definedName>
    <definedName name="_xlnm.Print_Titles" localSheetId="4">'D.1.4.1 - Klimatizace'!$80:$80</definedName>
    <definedName name="_xlnm.Print_Titles" localSheetId="7">'D.1.4.2 - Zařízení silnop...'!$80:$80</definedName>
    <definedName name="_xlnm.Print_Titles" localSheetId="10">'D.1.4.3 - Zdravotnětechni...'!$80:$80</definedName>
    <definedName name="_xlnm.Print_Titles" localSheetId="0">'Rekapitulace stavby'!$52:$52</definedName>
    <definedName name="_xlnm.Print_Area" localSheetId="1">'D.1.1 - Architektonicko s...'!$C$4:$J$39,'D.1.1 - Architektonicko s...'!$C$45:$J$62,'D.1.1 - Architektonicko s...'!$C$68:$K$84</definedName>
    <definedName name="_xlnm.Print_Area" localSheetId="4">'D.1.4.1 - Klimatizace'!$C$4:$J$39,'D.1.4.1 - Klimatizace'!$C$45:$J$62,'D.1.4.1 - Klimatizace'!$C$68:$K$84</definedName>
    <definedName name="_xlnm.Print_Area" localSheetId="7">'D.1.4.2 - Zařízení silnop...'!$C$4:$J$39,'D.1.4.2 - Zařízení silnop...'!$C$45:$J$62,'D.1.4.2 - Zařízení silnop...'!$C$68:$K$84</definedName>
    <definedName name="_xlnm.Print_Area" localSheetId="10">'D.1.4.3 - Zdravotnětechni...'!$C$4:$J$39,'D.1.4.3 - Zdravotnětechni...'!$C$45:$J$62,'D.1.4.3 - Zdravotnětechni...'!$C$68:$K$84</definedName>
    <definedName name="_xlnm.Print_Area" localSheetId="1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8" l="1"/>
  <c r="J13" i="18"/>
  <c r="J12" i="18" s="1"/>
  <c r="L13" i="18"/>
  <c r="Z13" i="18"/>
  <c r="AD13" i="18"/>
  <c r="AE13" i="18"/>
  <c r="AF13" i="18"/>
  <c r="AG13" i="18"/>
  <c r="AH13" i="18"/>
  <c r="AJ13" i="18"/>
  <c r="AS12" i="18" s="1"/>
  <c r="AK13" i="18"/>
  <c r="AT12" i="18" s="1"/>
  <c r="AO13" i="18"/>
  <c r="H13" i="18" s="1"/>
  <c r="H12" i="18" s="1"/>
  <c r="AP13" i="18"/>
  <c r="AW13" i="18"/>
  <c r="BD13" i="18"/>
  <c r="BF13" i="18"/>
  <c r="BH13" i="18"/>
  <c r="AB13" i="18" s="1"/>
  <c r="BJ13" i="18"/>
  <c r="J16" i="18"/>
  <c r="L16" i="18"/>
  <c r="Z16" i="18"/>
  <c r="AD16" i="18"/>
  <c r="AE16" i="18"/>
  <c r="AF16" i="18"/>
  <c r="AG16" i="18"/>
  <c r="AH16" i="18"/>
  <c r="AJ16" i="18"/>
  <c r="AK16" i="18"/>
  <c r="AL16" i="18"/>
  <c r="AO16" i="18"/>
  <c r="BH16" i="18" s="1"/>
  <c r="AB16" i="18" s="1"/>
  <c r="AP16" i="18"/>
  <c r="I16" i="18" s="1"/>
  <c r="AX16" i="18"/>
  <c r="BD16" i="18"/>
  <c r="BI16" i="18"/>
  <c r="AC16" i="18" s="1"/>
  <c r="BJ16" i="18"/>
  <c r="I18" i="18"/>
  <c r="J18" i="18"/>
  <c r="L18" i="18"/>
  <c r="Z18" i="18"/>
  <c r="AD18" i="18"/>
  <c r="AE18" i="18"/>
  <c r="AF18" i="18"/>
  <c r="AG18" i="18"/>
  <c r="AH18" i="18"/>
  <c r="AJ18" i="18"/>
  <c r="AK18" i="18"/>
  <c r="AL18" i="18"/>
  <c r="AO18" i="18"/>
  <c r="H18" i="18" s="1"/>
  <c r="AP18" i="18"/>
  <c r="AX18" i="18"/>
  <c r="BD18" i="18"/>
  <c r="BF18" i="18"/>
  <c r="BI18" i="18"/>
  <c r="AC18" i="18" s="1"/>
  <c r="BJ18" i="18"/>
  <c r="J20" i="18"/>
  <c r="AL20" i="18" s="1"/>
  <c r="L20" i="18"/>
  <c r="BF20" i="18" s="1"/>
  <c r="Z20" i="18"/>
  <c r="AD20" i="18"/>
  <c r="AE20" i="18"/>
  <c r="AF20" i="18"/>
  <c r="AG20" i="18"/>
  <c r="AH20" i="18"/>
  <c r="AJ20" i="18"/>
  <c r="AK20" i="18"/>
  <c r="AO20" i="18"/>
  <c r="AP20" i="18"/>
  <c r="I20" i="18" s="1"/>
  <c r="BD20" i="18"/>
  <c r="BH20" i="18"/>
  <c r="AB20" i="18" s="1"/>
  <c r="BI20" i="18"/>
  <c r="AC20" i="18" s="1"/>
  <c r="BJ20" i="18"/>
  <c r="J22" i="18"/>
  <c r="L22" i="18"/>
  <c r="Z22" i="18"/>
  <c r="AD22" i="18"/>
  <c r="AE22" i="18"/>
  <c r="AF22" i="18"/>
  <c r="AG22" i="18"/>
  <c r="AH22" i="18"/>
  <c r="AJ22" i="18"/>
  <c r="AK22" i="18"/>
  <c r="AL22" i="18"/>
  <c r="AO22" i="18"/>
  <c r="H22" i="18" s="1"/>
  <c r="AP22" i="18"/>
  <c r="AX22" i="18" s="1"/>
  <c r="AW22" i="18"/>
  <c r="AV22" i="18" s="1"/>
  <c r="BD22" i="18"/>
  <c r="BF22" i="18"/>
  <c r="BH22" i="18"/>
  <c r="AB22" i="18" s="1"/>
  <c r="BJ22" i="18"/>
  <c r="L24" i="18"/>
  <c r="J25" i="18"/>
  <c r="J24" i="18" s="1"/>
  <c r="L25" i="18"/>
  <c r="Z25" i="18"/>
  <c r="AD25" i="18"/>
  <c r="AE25" i="18"/>
  <c r="AF25" i="18"/>
  <c r="AG25" i="18"/>
  <c r="AH25" i="18"/>
  <c r="AJ25" i="18"/>
  <c r="AS24" i="18" s="1"/>
  <c r="AK25" i="18"/>
  <c r="AT24" i="18" s="1"/>
  <c r="AL25" i="18"/>
  <c r="AU24" i="18" s="1"/>
  <c r="AO25" i="18"/>
  <c r="AW25" i="18" s="1"/>
  <c r="AP25" i="18"/>
  <c r="BD25" i="18"/>
  <c r="BF25" i="18"/>
  <c r="BH25" i="18"/>
  <c r="AB25" i="18" s="1"/>
  <c r="BJ25" i="18"/>
  <c r="J28" i="18"/>
  <c r="L28" i="18"/>
  <c r="Z28" i="18"/>
  <c r="AB28" i="18"/>
  <c r="AC28" i="18"/>
  <c r="AD28" i="18"/>
  <c r="AF28" i="18"/>
  <c r="AG28" i="18"/>
  <c r="AH28" i="18"/>
  <c r="AJ28" i="18"/>
  <c r="AK28" i="18"/>
  <c r="AL28" i="18"/>
  <c r="AO28" i="18"/>
  <c r="AP28" i="18"/>
  <c r="I28" i="18" s="1"/>
  <c r="AX28" i="18"/>
  <c r="BD28" i="18"/>
  <c r="BH28" i="18"/>
  <c r="BI28" i="18"/>
  <c r="AE28" i="18" s="1"/>
  <c r="BJ28" i="18"/>
  <c r="J32" i="18"/>
  <c r="AL32" i="18" s="1"/>
  <c r="L32" i="18"/>
  <c r="Z32" i="18"/>
  <c r="AB32" i="18"/>
  <c r="AC32" i="18"/>
  <c r="AF32" i="18"/>
  <c r="AG32" i="18"/>
  <c r="AH32" i="18"/>
  <c r="AJ32" i="18"/>
  <c r="AK32" i="18"/>
  <c r="AO32" i="18"/>
  <c r="H32" i="18" s="1"/>
  <c r="AP32" i="18"/>
  <c r="I32" i="18" s="1"/>
  <c r="AW32" i="18"/>
  <c r="BD32" i="18"/>
  <c r="BF32" i="18"/>
  <c r="BH32" i="18"/>
  <c r="AD32" i="18" s="1"/>
  <c r="BJ32" i="18"/>
  <c r="J35" i="18"/>
  <c r="AL35" i="18" s="1"/>
  <c r="L35" i="18"/>
  <c r="BF35" i="18" s="1"/>
  <c r="Z35" i="18"/>
  <c r="AB35" i="18"/>
  <c r="AC35" i="18"/>
  <c r="AD35" i="18"/>
  <c r="AE35" i="18"/>
  <c r="AH35" i="18"/>
  <c r="AJ35" i="18"/>
  <c r="AK35" i="18"/>
  <c r="AO35" i="18"/>
  <c r="AP35" i="18"/>
  <c r="I35" i="18" s="1"/>
  <c r="AX35" i="18"/>
  <c r="BD35" i="18"/>
  <c r="BH35" i="18"/>
  <c r="AF35" i="18" s="1"/>
  <c r="BI35" i="18"/>
  <c r="AG35" i="18" s="1"/>
  <c r="BJ35" i="18"/>
  <c r="AT37" i="18"/>
  <c r="J38" i="18"/>
  <c r="J37" i="18" s="1"/>
  <c r="L38" i="18"/>
  <c r="L37" i="18" s="1"/>
  <c r="Z38" i="18"/>
  <c r="AB38" i="18"/>
  <c r="AC38" i="18"/>
  <c r="AF38" i="18"/>
  <c r="AG38" i="18"/>
  <c r="AH38" i="18"/>
  <c r="AJ38" i="18"/>
  <c r="AS37" i="18" s="1"/>
  <c r="AK38" i="18"/>
  <c r="AO38" i="18"/>
  <c r="H38" i="18" s="1"/>
  <c r="H37" i="18" s="1"/>
  <c r="AP38" i="18"/>
  <c r="I38" i="18" s="1"/>
  <c r="I37" i="18" s="1"/>
  <c r="BD38" i="18"/>
  <c r="BF38" i="18"/>
  <c r="BJ38" i="18"/>
  <c r="H40" i="18"/>
  <c r="J41" i="18"/>
  <c r="J40" i="18" s="1"/>
  <c r="L41" i="18"/>
  <c r="L40" i="18" s="1"/>
  <c r="Z41" i="18"/>
  <c r="AB41" i="18"/>
  <c r="AC41" i="18"/>
  <c r="AF41" i="18"/>
  <c r="AG41" i="18"/>
  <c r="AH41" i="18"/>
  <c r="AJ41" i="18"/>
  <c r="AS40" i="18" s="1"/>
  <c r="AK41" i="18"/>
  <c r="AT40" i="18" s="1"/>
  <c r="AO41" i="18"/>
  <c r="H41" i="18" s="1"/>
  <c r="AP41" i="18"/>
  <c r="I41" i="18" s="1"/>
  <c r="I40" i="18" s="1"/>
  <c r="BD41" i="18"/>
  <c r="BF41" i="18"/>
  <c r="BJ41" i="18"/>
  <c r="L43" i="18"/>
  <c r="J44" i="18"/>
  <c r="L44" i="18"/>
  <c r="Z44" i="18"/>
  <c r="AB44" i="18"/>
  <c r="AC44" i="18"/>
  <c r="AF44" i="18"/>
  <c r="AG44" i="18"/>
  <c r="AH44" i="18"/>
  <c r="AJ44" i="18"/>
  <c r="AK44" i="18"/>
  <c r="AL44" i="18"/>
  <c r="AO44" i="18"/>
  <c r="H44" i="18" s="1"/>
  <c r="AP44" i="18"/>
  <c r="AW44" i="18"/>
  <c r="BD44" i="18"/>
  <c r="BF44" i="18"/>
  <c r="BH44" i="18"/>
  <c r="AD44" i="18" s="1"/>
  <c r="BI44" i="18"/>
  <c r="AE44" i="18" s="1"/>
  <c r="BJ44" i="18"/>
  <c r="J48" i="18"/>
  <c r="AL48" i="18" s="1"/>
  <c r="L48" i="18"/>
  <c r="Z48" i="18"/>
  <c r="AB48" i="18"/>
  <c r="AC48" i="18"/>
  <c r="AF48" i="18"/>
  <c r="AG48" i="18"/>
  <c r="AH48" i="18"/>
  <c r="AJ48" i="18"/>
  <c r="AK48" i="18"/>
  <c r="AO48" i="18"/>
  <c r="H48" i="18" s="1"/>
  <c r="AP48" i="18"/>
  <c r="I48" i="18" s="1"/>
  <c r="BD48" i="18"/>
  <c r="BF48" i="18"/>
  <c r="BJ48" i="18"/>
  <c r="J50" i="18"/>
  <c r="AL50" i="18" s="1"/>
  <c r="L50" i="18"/>
  <c r="Z50" i="18"/>
  <c r="AB50" i="18"/>
  <c r="AC50" i="18"/>
  <c r="AF50" i="18"/>
  <c r="AG50" i="18"/>
  <c r="AH50" i="18"/>
  <c r="AJ50" i="18"/>
  <c r="AK50" i="18"/>
  <c r="AO50" i="18"/>
  <c r="AW50" i="18" s="1"/>
  <c r="AP50" i="18"/>
  <c r="BD50" i="18"/>
  <c r="BF50" i="18"/>
  <c r="BH50" i="18"/>
  <c r="AD50" i="18" s="1"/>
  <c r="BJ50" i="18"/>
  <c r="J55" i="18"/>
  <c r="AL55" i="18" s="1"/>
  <c r="L55" i="18"/>
  <c r="Z55" i="18"/>
  <c r="AB55" i="18"/>
  <c r="AC55" i="18"/>
  <c r="AF55" i="18"/>
  <c r="AG55" i="18"/>
  <c r="AH55" i="18"/>
  <c r="AJ55" i="18"/>
  <c r="AK55" i="18"/>
  <c r="AO55" i="18"/>
  <c r="H55" i="18" s="1"/>
  <c r="AP55" i="18"/>
  <c r="I55" i="18" s="1"/>
  <c r="AW55" i="18"/>
  <c r="AX55" i="18"/>
  <c r="BD55" i="18"/>
  <c r="BF55" i="18"/>
  <c r="BH55" i="18"/>
  <c r="AD55" i="18" s="1"/>
  <c r="BI55" i="18"/>
  <c r="AE55" i="18" s="1"/>
  <c r="BJ55" i="18"/>
  <c r="J58" i="18"/>
  <c r="AL58" i="18" s="1"/>
  <c r="L58" i="18"/>
  <c r="Z58" i="18"/>
  <c r="AB58" i="18"/>
  <c r="AC58" i="18"/>
  <c r="AF58" i="18"/>
  <c r="AG58" i="18"/>
  <c r="AH58" i="18"/>
  <c r="AJ58" i="18"/>
  <c r="AK58" i="18"/>
  <c r="AO58" i="18"/>
  <c r="H58" i="18" s="1"/>
  <c r="AP58" i="18"/>
  <c r="AW58" i="18"/>
  <c r="BD58" i="18"/>
  <c r="BF58" i="18"/>
  <c r="BH58" i="18"/>
  <c r="AD58" i="18" s="1"/>
  <c r="BI58" i="18"/>
  <c r="AE58" i="18" s="1"/>
  <c r="BJ58" i="18"/>
  <c r="J61" i="18"/>
  <c r="AL61" i="18" s="1"/>
  <c r="L61" i="18"/>
  <c r="Z61" i="18"/>
  <c r="AB61" i="18"/>
  <c r="AC61" i="18"/>
  <c r="AF61" i="18"/>
  <c r="AG61" i="18"/>
  <c r="AH61" i="18"/>
  <c r="AJ61" i="18"/>
  <c r="AK61" i="18"/>
  <c r="AO61" i="18"/>
  <c r="H61" i="18" s="1"/>
  <c r="AP61" i="18"/>
  <c r="I61" i="18" s="1"/>
  <c r="BD61" i="18"/>
  <c r="BF61" i="18"/>
  <c r="BJ61" i="18"/>
  <c r="J64" i="18"/>
  <c r="AL64" i="18" s="1"/>
  <c r="L64" i="18"/>
  <c r="Z64" i="18"/>
  <c r="AB64" i="18"/>
  <c r="AC64" i="18"/>
  <c r="AF64" i="18"/>
  <c r="AG64" i="18"/>
  <c r="AH64" i="18"/>
  <c r="AJ64" i="18"/>
  <c r="AK64" i="18"/>
  <c r="AO64" i="18"/>
  <c r="AW64" i="18" s="1"/>
  <c r="AP64" i="18"/>
  <c r="BD64" i="18"/>
  <c r="BF64" i="18"/>
  <c r="BH64" i="18"/>
  <c r="AD64" i="18" s="1"/>
  <c r="BJ64" i="18"/>
  <c r="J67" i="18"/>
  <c r="AL67" i="18" s="1"/>
  <c r="L67" i="18"/>
  <c r="Z67" i="18"/>
  <c r="AB67" i="18"/>
  <c r="AC67" i="18"/>
  <c r="AF67" i="18"/>
  <c r="AG67" i="18"/>
  <c r="AH67" i="18"/>
  <c r="AJ67" i="18"/>
  <c r="AK67" i="18"/>
  <c r="AO67" i="18"/>
  <c r="H67" i="18" s="1"/>
  <c r="AP67" i="18"/>
  <c r="I67" i="18" s="1"/>
  <c r="AW67" i="18"/>
  <c r="AX67" i="18"/>
  <c r="BD67" i="18"/>
  <c r="BF67" i="18"/>
  <c r="BH67" i="18"/>
  <c r="AD67" i="18" s="1"/>
  <c r="BI67" i="18"/>
  <c r="AE67" i="18" s="1"/>
  <c r="BJ67" i="18"/>
  <c r="J70" i="18"/>
  <c r="AL70" i="18" s="1"/>
  <c r="L70" i="18"/>
  <c r="Z70" i="18"/>
  <c r="AB70" i="18"/>
  <c r="AC70" i="18"/>
  <c r="AF70" i="18"/>
  <c r="AG70" i="18"/>
  <c r="AH70" i="18"/>
  <c r="AJ70" i="18"/>
  <c r="AK70" i="18"/>
  <c r="AO70" i="18"/>
  <c r="H70" i="18" s="1"/>
  <c r="AP70" i="18"/>
  <c r="AW70" i="18"/>
  <c r="BD70" i="18"/>
  <c r="BF70" i="18"/>
  <c r="BH70" i="18"/>
  <c r="AD70" i="18" s="1"/>
  <c r="BI70" i="18"/>
  <c r="AE70" i="18" s="1"/>
  <c r="BJ70" i="18"/>
  <c r="J72" i="18"/>
  <c r="AL72" i="18" s="1"/>
  <c r="L72" i="18"/>
  <c r="Z72" i="18"/>
  <c r="AB72" i="18"/>
  <c r="AC72" i="18"/>
  <c r="AF72" i="18"/>
  <c r="AG72" i="18"/>
  <c r="AH72" i="18"/>
  <c r="AJ72" i="18"/>
  <c r="AK72" i="18"/>
  <c r="AO72" i="18"/>
  <c r="H72" i="18" s="1"/>
  <c r="AP72" i="18"/>
  <c r="I72" i="18" s="1"/>
  <c r="AW72" i="18"/>
  <c r="BD72" i="18"/>
  <c r="BF72" i="18"/>
  <c r="BH72" i="18"/>
  <c r="AD72" i="18" s="1"/>
  <c r="BJ72" i="18"/>
  <c r="J74" i="18"/>
  <c r="L74" i="18"/>
  <c r="Z74" i="18"/>
  <c r="AB74" i="18"/>
  <c r="AC74" i="18"/>
  <c r="AF74" i="18"/>
  <c r="AG74" i="18"/>
  <c r="AH74" i="18"/>
  <c r="AJ74" i="18"/>
  <c r="AK74" i="18"/>
  <c r="AL74" i="18"/>
  <c r="AO74" i="18"/>
  <c r="H74" i="18" s="1"/>
  <c r="AP74" i="18"/>
  <c r="AW74" i="18"/>
  <c r="BD74" i="18"/>
  <c r="BF74" i="18"/>
  <c r="BJ74" i="18"/>
  <c r="J76" i="18"/>
  <c r="AL76" i="18" s="1"/>
  <c r="L76" i="18"/>
  <c r="Z76" i="18"/>
  <c r="AB76" i="18"/>
  <c r="AC76" i="18"/>
  <c r="AF76" i="18"/>
  <c r="AG76" i="18"/>
  <c r="AH76" i="18"/>
  <c r="AJ76" i="18"/>
  <c r="AK76" i="18"/>
  <c r="AO76" i="18"/>
  <c r="H76" i="18" s="1"/>
  <c r="AP76" i="18"/>
  <c r="I76" i="18" s="1"/>
  <c r="AX76" i="18"/>
  <c r="BD76" i="18"/>
  <c r="BF76" i="18"/>
  <c r="BI76" i="18"/>
  <c r="AE76" i="18" s="1"/>
  <c r="BJ76" i="18"/>
  <c r="J79" i="18"/>
  <c r="AL79" i="18" s="1"/>
  <c r="L79" i="18"/>
  <c r="Z79" i="18"/>
  <c r="AB79" i="18"/>
  <c r="AC79" i="18"/>
  <c r="AF79" i="18"/>
  <c r="AG79" i="18"/>
  <c r="AH79" i="18"/>
  <c r="AJ79" i="18"/>
  <c r="AK79" i="18"/>
  <c r="AO79" i="18"/>
  <c r="H79" i="18" s="1"/>
  <c r="AP79" i="18"/>
  <c r="BI79" i="18" s="1"/>
  <c r="AE79" i="18" s="1"/>
  <c r="AW79" i="18"/>
  <c r="BD79" i="18"/>
  <c r="BF79" i="18"/>
  <c r="BH79" i="18"/>
  <c r="AD79" i="18" s="1"/>
  <c r="BJ79" i="18"/>
  <c r="J81" i="18"/>
  <c r="AL81" i="18" s="1"/>
  <c r="L81" i="18"/>
  <c r="Z81" i="18"/>
  <c r="AB81" i="18"/>
  <c r="AC81" i="18"/>
  <c r="AF81" i="18"/>
  <c r="AG81" i="18"/>
  <c r="AH81" i="18"/>
  <c r="AJ81" i="18"/>
  <c r="AK81" i="18"/>
  <c r="AO81" i="18"/>
  <c r="H81" i="18" s="1"/>
  <c r="AP81" i="18"/>
  <c r="I81" i="18" s="1"/>
  <c r="BD81" i="18"/>
  <c r="BF81" i="18"/>
  <c r="BJ81" i="18"/>
  <c r="AS83" i="18"/>
  <c r="I84" i="18"/>
  <c r="I83" i="18" s="1"/>
  <c r="J84" i="18"/>
  <c r="J83" i="18" s="1"/>
  <c r="L84" i="18"/>
  <c r="L83" i="18" s="1"/>
  <c r="Z84" i="18"/>
  <c r="AB84" i="18"/>
  <c r="AC84" i="18"/>
  <c r="AF84" i="18"/>
  <c r="AG84" i="18"/>
  <c r="AH84" i="18"/>
  <c r="AJ84" i="18"/>
  <c r="AK84" i="18"/>
  <c r="AT83" i="18" s="1"/>
  <c r="AL84" i="18"/>
  <c r="AU83" i="18" s="1"/>
  <c r="AO84" i="18"/>
  <c r="H84" i="18" s="1"/>
  <c r="H83" i="18" s="1"/>
  <c r="AP84" i="18"/>
  <c r="AX84" i="18"/>
  <c r="BD84" i="18"/>
  <c r="BF84" i="18"/>
  <c r="BI84" i="18"/>
  <c r="AE84" i="18" s="1"/>
  <c r="BJ84" i="18"/>
  <c r="L89" i="18"/>
  <c r="J90" i="18"/>
  <c r="J89" i="18" s="1"/>
  <c r="L90" i="18"/>
  <c r="Z90" i="18"/>
  <c r="AB90" i="18"/>
  <c r="AC90" i="18"/>
  <c r="AF90" i="18"/>
  <c r="AG90" i="18"/>
  <c r="AH90" i="18"/>
  <c r="AJ90" i="18"/>
  <c r="AS89" i="18" s="1"/>
  <c r="AK90" i="18"/>
  <c r="AT89" i="18" s="1"/>
  <c r="AL90" i="18"/>
  <c r="AU89" i="18" s="1"/>
  <c r="AO90" i="18"/>
  <c r="H90" i="18" s="1"/>
  <c r="H89" i="18" s="1"/>
  <c r="AP90" i="18"/>
  <c r="AX90" i="18" s="1"/>
  <c r="AW90" i="18"/>
  <c r="BC90" i="18"/>
  <c r="BD90" i="18"/>
  <c r="BF90" i="18"/>
  <c r="BH90" i="18"/>
  <c r="AD90" i="18" s="1"/>
  <c r="BI90" i="18"/>
  <c r="AE90" i="18" s="1"/>
  <c r="BJ90" i="18"/>
  <c r="J92" i="18"/>
  <c r="J93" i="18"/>
  <c r="L93" i="18"/>
  <c r="BF93" i="18" s="1"/>
  <c r="Z93" i="18"/>
  <c r="AB93" i="18"/>
  <c r="AC93" i="18"/>
  <c r="AF93" i="18"/>
  <c r="AG93" i="18"/>
  <c r="AH93" i="18"/>
  <c r="AJ93" i="18"/>
  <c r="AS92" i="18" s="1"/>
  <c r="AK93" i="18"/>
  <c r="AT92" i="18" s="1"/>
  <c r="AL93" i="18"/>
  <c r="AU92" i="18" s="1"/>
  <c r="AO93" i="18"/>
  <c r="AW93" i="18" s="1"/>
  <c r="AP93" i="18"/>
  <c r="I93" i="18" s="1"/>
  <c r="I92" i="18" s="1"/>
  <c r="BD93" i="18"/>
  <c r="BH93" i="18"/>
  <c r="AD93" i="18" s="1"/>
  <c r="BJ93" i="18"/>
  <c r="L97" i="18"/>
  <c r="J98" i="18"/>
  <c r="AL98" i="18" s="1"/>
  <c r="AU97" i="18" s="1"/>
  <c r="L98" i="18"/>
  <c r="Z98" i="18"/>
  <c r="AD98" i="18"/>
  <c r="AE98" i="18"/>
  <c r="AF98" i="18"/>
  <c r="AG98" i="18"/>
  <c r="AH98" i="18"/>
  <c r="AJ98" i="18"/>
  <c r="AS97" i="18" s="1"/>
  <c r="AK98" i="18"/>
  <c r="AT97" i="18" s="1"/>
  <c r="AO98" i="18"/>
  <c r="H98" i="18" s="1"/>
  <c r="H97" i="18" s="1"/>
  <c r="AP98" i="18"/>
  <c r="I98" i="18" s="1"/>
  <c r="I97" i="18" s="1"/>
  <c r="AW98" i="18"/>
  <c r="BD98" i="18"/>
  <c r="BF98" i="18"/>
  <c r="BH98" i="18"/>
  <c r="AB98" i="18" s="1"/>
  <c r="BJ98" i="18"/>
  <c r="J101" i="18"/>
  <c r="L101" i="18"/>
  <c r="Z101" i="18"/>
  <c r="AD101" i="18"/>
  <c r="AE101" i="18"/>
  <c r="AF101" i="18"/>
  <c r="AG101" i="18"/>
  <c r="AH101" i="18"/>
  <c r="AJ101" i="18"/>
  <c r="AK101" i="18"/>
  <c r="AL101" i="18"/>
  <c r="AO101" i="18"/>
  <c r="H101" i="18" s="1"/>
  <c r="AP101" i="18"/>
  <c r="AX101" i="18" s="1"/>
  <c r="BD101" i="18"/>
  <c r="BH101" i="18"/>
  <c r="AB101" i="18" s="1"/>
  <c r="BJ101" i="18"/>
  <c r="I103" i="18"/>
  <c r="J103" i="18"/>
  <c r="J100" i="18" s="1"/>
  <c r="L103" i="18"/>
  <c r="Z103" i="18"/>
  <c r="AD103" i="18"/>
  <c r="AE103" i="18"/>
  <c r="AF103" i="18"/>
  <c r="AG103" i="18"/>
  <c r="AH103" i="18"/>
  <c r="AJ103" i="18"/>
  <c r="AK103" i="18"/>
  <c r="AL103" i="18"/>
  <c r="AO103" i="18"/>
  <c r="H103" i="18" s="1"/>
  <c r="AP103" i="18"/>
  <c r="AW103" i="18"/>
  <c r="AX103" i="18"/>
  <c r="BD103" i="18"/>
  <c r="BF103" i="18"/>
  <c r="BH103" i="18"/>
  <c r="AB103" i="18" s="1"/>
  <c r="BI103" i="18"/>
  <c r="AC103" i="18" s="1"/>
  <c r="BJ103" i="18"/>
  <c r="J105" i="18"/>
  <c r="L105" i="18"/>
  <c r="BF105" i="18" s="1"/>
  <c r="Z105" i="18"/>
  <c r="AD105" i="18"/>
  <c r="AE105" i="18"/>
  <c r="AF105" i="18"/>
  <c r="AG105" i="18"/>
  <c r="AH105" i="18"/>
  <c r="AJ105" i="18"/>
  <c r="AK105" i="18"/>
  <c r="AL105" i="18"/>
  <c r="AO105" i="18"/>
  <c r="AW105" i="18" s="1"/>
  <c r="AP105" i="18"/>
  <c r="AX105" i="18" s="1"/>
  <c r="BD105" i="18"/>
  <c r="BI105" i="18"/>
  <c r="AC105" i="18" s="1"/>
  <c r="BJ105" i="18"/>
  <c r="I107" i="18"/>
  <c r="J107" i="18"/>
  <c r="L107" i="18"/>
  <c r="AB107" i="18"/>
  <c r="AC107" i="18"/>
  <c r="AD107" i="18"/>
  <c r="AE107" i="18"/>
  <c r="AF107" i="18"/>
  <c r="AG107" i="18"/>
  <c r="AH107" i="18"/>
  <c r="AJ107" i="18"/>
  <c r="AK107" i="18"/>
  <c r="AL107" i="18"/>
  <c r="AO107" i="18"/>
  <c r="H107" i="18" s="1"/>
  <c r="AP107" i="18"/>
  <c r="AW107" i="18"/>
  <c r="AX107" i="18"/>
  <c r="BD107" i="18"/>
  <c r="BF107" i="18"/>
  <c r="BH107" i="18"/>
  <c r="BI107" i="18"/>
  <c r="BJ107" i="18"/>
  <c r="Z107" i="18" s="1"/>
  <c r="H109" i="18"/>
  <c r="I109" i="18"/>
  <c r="J109" i="18"/>
  <c r="L109" i="18"/>
  <c r="Z109" i="18"/>
  <c r="AB109" i="18"/>
  <c r="AD109" i="18"/>
  <c r="AE109" i="18"/>
  <c r="AF109" i="18"/>
  <c r="AG109" i="18"/>
  <c r="AH109" i="18"/>
  <c r="AJ109" i="18"/>
  <c r="AK109" i="18"/>
  <c r="AL109" i="18"/>
  <c r="AO109" i="18"/>
  <c r="AP109" i="18"/>
  <c r="AX109" i="18" s="1"/>
  <c r="AW109" i="18"/>
  <c r="BD109" i="18"/>
  <c r="BF109" i="18"/>
  <c r="BH109" i="18"/>
  <c r="BI109" i="18"/>
  <c r="AC109" i="18" s="1"/>
  <c r="BJ109" i="18"/>
  <c r="J113" i="18"/>
  <c r="AL113" i="18" s="1"/>
  <c r="L113" i="18"/>
  <c r="L108" i="18" s="1"/>
  <c r="Z113" i="18"/>
  <c r="AC113" i="18"/>
  <c r="AD113" i="18"/>
  <c r="AE113" i="18"/>
  <c r="AF113" i="18"/>
  <c r="AG113" i="18"/>
  <c r="AH113" i="18"/>
  <c r="AJ113" i="18"/>
  <c r="AK113" i="18"/>
  <c r="AO113" i="18"/>
  <c r="AW113" i="18" s="1"/>
  <c r="AP113" i="18"/>
  <c r="I113" i="18" s="1"/>
  <c r="AX113" i="18"/>
  <c r="BD113" i="18"/>
  <c r="BH113" i="18"/>
  <c r="AB113" i="18" s="1"/>
  <c r="BI113" i="18"/>
  <c r="BJ113" i="18"/>
  <c r="I115" i="18"/>
  <c r="J115" i="18"/>
  <c r="AL115" i="18" s="1"/>
  <c r="L115" i="18"/>
  <c r="Z115" i="18"/>
  <c r="AD115" i="18"/>
  <c r="AE115" i="18"/>
  <c r="AF115" i="18"/>
  <c r="AG115" i="18"/>
  <c r="AH115" i="18"/>
  <c r="AJ115" i="18"/>
  <c r="AK115" i="18"/>
  <c r="AO115" i="18"/>
  <c r="BH115" i="18" s="1"/>
  <c r="AB115" i="18" s="1"/>
  <c r="AP115" i="18"/>
  <c r="AX115" i="18" s="1"/>
  <c r="BD115" i="18"/>
  <c r="BF115" i="18"/>
  <c r="BI115" i="18"/>
  <c r="AC115" i="18" s="1"/>
  <c r="BJ115" i="18"/>
  <c r="J117" i="18"/>
  <c r="L117" i="18"/>
  <c r="BF117" i="18" s="1"/>
  <c r="Z117" i="18"/>
  <c r="AD117" i="18"/>
  <c r="AE117" i="18"/>
  <c r="AF117" i="18"/>
  <c r="AG117" i="18"/>
  <c r="AH117" i="18"/>
  <c r="AJ117" i="18"/>
  <c r="AK117" i="18"/>
  <c r="AL117" i="18"/>
  <c r="AO117" i="18"/>
  <c r="AW117" i="18" s="1"/>
  <c r="AP117" i="18"/>
  <c r="I117" i="18" s="1"/>
  <c r="BD117" i="18"/>
  <c r="BH117" i="18"/>
  <c r="AB117" i="18" s="1"/>
  <c r="BJ117" i="18"/>
  <c r="I120" i="18"/>
  <c r="J120" i="18"/>
  <c r="L120" i="18"/>
  <c r="L119" i="18" s="1"/>
  <c r="Z120" i="18"/>
  <c r="AB120" i="18"/>
  <c r="AD120" i="18"/>
  <c r="AE120" i="18"/>
  <c r="AF120" i="18"/>
  <c r="AG120" i="18"/>
  <c r="AH120" i="18"/>
  <c r="AJ120" i="18"/>
  <c r="AK120" i="18"/>
  <c r="AL120" i="18"/>
  <c r="AO120" i="18"/>
  <c r="H120" i="18" s="1"/>
  <c r="AP120" i="18"/>
  <c r="AX120" i="18" s="1"/>
  <c r="AW120" i="18"/>
  <c r="BD120" i="18"/>
  <c r="BF120" i="18"/>
  <c r="BH120" i="18"/>
  <c r="BJ120" i="18"/>
  <c r="J123" i="18"/>
  <c r="AL123" i="18" s="1"/>
  <c r="L123" i="18"/>
  <c r="BF123" i="18" s="1"/>
  <c r="Z123" i="18"/>
  <c r="AD123" i="18"/>
  <c r="AE123" i="18"/>
  <c r="AF123" i="18"/>
  <c r="AG123" i="18"/>
  <c r="AH123" i="18"/>
  <c r="AJ123" i="18"/>
  <c r="AS119" i="18" s="1"/>
  <c r="AK123" i="18"/>
  <c r="AO123" i="18"/>
  <c r="AW123" i="18" s="1"/>
  <c r="AP123" i="18"/>
  <c r="AX123" i="18" s="1"/>
  <c r="BD123" i="18"/>
  <c r="BH123" i="18"/>
  <c r="AB123" i="18" s="1"/>
  <c r="BJ123" i="18"/>
  <c r="I127" i="18"/>
  <c r="J127" i="18"/>
  <c r="L127" i="18"/>
  <c r="Z127" i="18"/>
  <c r="AD127" i="18"/>
  <c r="AE127" i="18"/>
  <c r="AF127" i="18"/>
  <c r="AG127" i="18"/>
  <c r="AH127" i="18"/>
  <c r="AJ127" i="18"/>
  <c r="AK127" i="18"/>
  <c r="AL127" i="18"/>
  <c r="AO127" i="18"/>
  <c r="H127" i="18" s="1"/>
  <c r="AP127" i="18"/>
  <c r="AX127" i="18"/>
  <c r="BD127" i="18"/>
  <c r="BF127" i="18"/>
  <c r="BI127" i="18"/>
  <c r="AC127" i="18" s="1"/>
  <c r="BJ127" i="18"/>
  <c r="L130" i="18"/>
  <c r="H131" i="18"/>
  <c r="H130" i="18" s="1"/>
  <c r="J131" i="18"/>
  <c r="J130" i="18" s="1"/>
  <c r="L131" i="18"/>
  <c r="AB131" i="18"/>
  <c r="AC131" i="18"/>
  <c r="AD131" i="18"/>
  <c r="AE131" i="18"/>
  <c r="AF131" i="18"/>
  <c r="AG131" i="18"/>
  <c r="AH131" i="18"/>
  <c r="AJ131" i="18"/>
  <c r="AS130" i="18" s="1"/>
  <c r="AK131" i="18"/>
  <c r="AT130" i="18" s="1"/>
  <c r="AO131" i="18"/>
  <c r="BH131" i="18" s="1"/>
  <c r="AP131" i="18"/>
  <c r="AX131" i="18" s="1"/>
  <c r="AW131" i="18"/>
  <c r="BD131" i="18"/>
  <c r="BF131" i="18"/>
  <c r="BI131" i="18"/>
  <c r="BJ131" i="18"/>
  <c r="Z131" i="18" s="1"/>
  <c r="L133" i="18"/>
  <c r="J134" i="18"/>
  <c r="L134" i="18"/>
  <c r="BF134" i="18" s="1"/>
  <c r="AB134" i="18"/>
  <c r="AC134" i="18"/>
  <c r="AD134" i="18"/>
  <c r="AE134" i="18"/>
  <c r="AF134" i="18"/>
  <c r="AG134" i="18"/>
  <c r="AH134" i="18"/>
  <c r="AJ134" i="18"/>
  <c r="AK134" i="18"/>
  <c r="AT133" i="18" s="1"/>
  <c r="AL134" i="18"/>
  <c r="AO134" i="18"/>
  <c r="AW134" i="18" s="1"/>
  <c r="AP134" i="18"/>
  <c r="AX134" i="18" s="1"/>
  <c r="BD134" i="18"/>
  <c r="BI134" i="18"/>
  <c r="BJ134" i="18"/>
  <c r="Z134" i="18" s="1"/>
  <c r="I136" i="18"/>
  <c r="J136" i="18"/>
  <c r="J133" i="18" s="1"/>
  <c r="L136" i="18"/>
  <c r="AB136" i="18"/>
  <c r="AC136" i="18"/>
  <c r="AD136" i="18"/>
  <c r="AE136" i="18"/>
  <c r="AF136" i="18"/>
  <c r="AG136" i="18"/>
  <c r="AH136" i="18"/>
  <c r="AJ136" i="18"/>
  <c r="AK136" i="18"/>
  <c r="AO136" i="18"/>
  <c r="H136" i="18" s="1"/>
  <c r="AP136" i="18"/>
  <c r="AX136" i="18"/>
  <c r="BD136" i="18"/>
  <c r="BF136" i="18"/>
  <c r="BI136" i="18"/>
  <c r="BJ136" i="18"/>
  <c r="Z136" i="18" s="1"/>
  <c r="J138" i="18"/>
  <c r="L138" i="18"/>
  <c r="BF138" i="18" s="1"/>
  <c r="AB138" i="18"/>
  <c r="AC138" i="18"/>
  <c r="AD138" i="18"/>
  <c r="AE138" i="18"/>
  <c r="AF138" i="18"/>
  <c r="AG138" i="18"/>
  <c r="AH138" i="18"/>
  <c r="AJ138" i="18"/>
  <c r="AK138" i="18"/>
  <c r="AL138" i="18"/>
  <c r="AO138" i="18"/>
  <c r="AW138" i="18" s="1"/>
  <c r="AP138" i="18"/>
  <c r="AX138" i="18" s="1"/>
  <c r="BD138" i="18"/>
  <c r="BI138" i="18"/>
  <c r="BJ138" i="18"/>
  <c r="Z138" i="18" s="1"/>
  <c r="J140" i="18"/>
  <c r="AL140" i="18" s="1"/>
  <c r="L140" i="18"/>
  <c r="AB140" i="18"/>
  <c r="AC140" i="18"/>
  <c r="AD140" i="18"/>
  <c r="AE140" i="18"/>
  <c r="AF140" i="18"/>
  <c r="AG140" i="18"/>
  <c r="AH140" i="18"/>
  <c r="AJ140" i="18"/>
  <c r="AK140" i="18"/>
  <c r="AO140" i="18"/>
  <c r="H140" i="18" s="1"/>
  <c r="AP140" i="18"/>
  <c r="I140" i="18" s="1"/>
  <c r="AX140" i="18"/>
  <c r="BD140" i="18"/>
  <c r="BF140" i="18"/>
  <c r="BI140" i="18"/>
  <c r="BJ140" i="18"/>
  <c r="Z140" i="18" s="1"/>
  <c r="J142" i="18"/>
  <c r="L142" i="18"/>
  <c r="BF142" i="18" s="1"/>
  <c r="Z142" i="18"/>
  <c r="AB142" i="18"/>
  <c r="AC142" i="18"/>
  <c r="AD142" i="18"/>
  <c r="AE142" i="18"/>
  <c r="AF142" i="18"/>
  <c r="AG142" i="18"/>
  <c r="AH142" i="18"/>
  <c r="AJ142" i="18"/>
  <c r="AK142" i="18"/>
  <c r="AL142" i="18"/>
  <c r="AO142" i="18"/>
  <c r="AW142" i="18" s="1"/>
  <c r="AP142" i="18"/>
  <c r="AX142" i="18" s="1"/>
  <c r="BD142" i="18"/>
  <c r="BJ142" i="18"/>
  <c r="J144" i="18"/>
  <c r="AL144" i="18" s="1"/>
  <c r="L144" i="18"/>
  <c r="AB144" i="18"/>
  <c r="AC144" i="18"/>
  <c r="AD144" i="18"/>
  <c r="AE144" i="18"/>
  <c r="AF144" i="18"/>
  <c r="AG144" i="18"/>
  <c r="AH144" i="18"/>
  <c r="AJ144" i="18"/>
  <c r="AK144" i="18"/>
  <c r="AO144" i="18"/>
  <c r="H144" i="18" s="1"/>
  <c r="AP144" i="18"/>
  <c r="I144" i="18" s="1"/>
  <c r="BD144" i="18"/>
  <c r="BF144" i="18"/>
  <c r="BJ144" i="18"/>
  <c r="Z144" i="18" s="1"/>
  <c r="J146" i="18"/>
  <c r="L146" i="18"/>
  <c r="BF146" i="18" s="1"/>
  <c r="AB146" i="18"/>
  <c r="AC146" i="18"/>
  <c r="AD146" i="18"/>
  <c r="AE146" i="18"/>
  <c r="AF146" i="18"/>
  <c r="AG146" i="18"/>
  <c r="AH146" i="18"/>
  <c r="AJ146" i="18"/>
  <c r="AK146" i="18"/>
  <c r="AL146" i="18"/>
  <c r="AO146" i="18"/>
  <c r="AW146" i="18" s="1"/>
  <c r="AP146" i="18"/>
  <c r="AX146" i="18" s="1"/>
  <c r="BD146" i="18"/>
  <c r="BI146" i="18"/>
  <c r="BJ146" i="18"/>
  <c r="Z146" i="18" s="1"/>
  <c r="C2" i="17"/>
  <c r="F2" i="17"/>
  <c r="C4" i="17"/>
  <c r="F4" i="17"/>
  <c r="C6" i="17"/>
  <c r="F6" i="17"/>
  <c r="C8" i="17"/>
  <c r="F8" i="17"/>
  <c r="C10" i="17"/>
  <c r="F10" i="17"/>
  <c r="I10" i="17"/>
  <c r="F22" i="17"/>
  <c r="I22" i="17"/>
  <c r="BH146" i="18" l="1"/>
  <c r="H146" i="18"/>
  <c r="BI144" i="18"/>
  <c r="AX144" i="18"/>
  <c r="BH144" i="18"/>
  <c r="AW144" i="18"/>
  <c r="BC144" i="18" s="1"/>
  <c r="BH142" i="18"/>
  <c r="H142" i="18"/>
  <c r="AS133" i="18"/>
  <c r="BH140" i="18"/>
  <c r="AW140" i="18"/>
  <c r="BC140" i="18" s="1"/>
  <c r="BH138" i="18"/>
  <c r="H138" i="18"/>
  <c r="AL136" i="18"/>
  <c r="AU133" i="18" s="1"/>
  <c r="BH136" i="18"/>
  <c r="AW136" i="18"/>
  <c r="BC136" i="18" s="1"/>
  <c r="BH134" i="18"/>
  <c r="H134" i="18"/>
  <c r="AL131" i="18"/>
  <c r="AU130" i="18" s="1"/>
  <c r="I131" i="18"/>
  <c r="I130" i="18" s="1"/>
  <c r="BH127" i="18"/>
  <c r="AB127" i="18" s="1"/>
  <c r="AW127" i="18"/>
  <c r="BC127" i="18" s="1"/>
  <c r="AT119" i="18"/>
  <c r="J119" i="18"/>
  <c r="BI123" i="18"/>
  <c r="AC123" i="18" s="1"/>
  <c r="H123" i="18"/>
  <c r="H119" i="18" s="1"/>
  <c r="AU119" i="18"/>
  <c r="BC120" i="18"/>
  <c r="BI120" i="18"/>
  <c r="AC120" i="18" s="1"/>
  <c r="BI117" i="18"/>
  <c r="AC117" i="18" s="1"/>
  <c r="AX117" i="18"/>
  <c r="AV117" i="18" s="1"/>
  <c r="I108" i="18"/>
  <c r="AW115" i="18"/>
  <c r="AV115" i="18" s="1"/>
  <c r="H115" i="18"/>
  <c r="J108" i="18"/>
  <c r="AU108" i="18"/>
  <c r="AS108" i="18"/>
  <c r="BC107" i="18"/>
  <c r="AS100" i="18"/>
  <c r="H105" i="18"/>
  <c r="BH105" i="18"/>
  <c r="AB105" i="18" s="1"/>
  <c r="AU100" i="18"/>
  <c r="AT100" i="18"/>
  <c r="BC103" i="18"/>
  <c r="BI101" i="18"/>
  <c r="AC101" i="18" s="1"/>
  <c r="J97" i="18"/>
  <c r="BI98" i="18"/>
  <c r="AC98" i="18" s="1"/>
  <c r="AX98" i="18"/>
  <c r="BC98" i="18" s="1"/>
  <c r="AV90" i="18"/>
  <c r="AW84" i="18"/>
  <c r="BC84" i="18" s="1"/>
  <c r="BH84" i="18"/>
  <c r="AD84" i="18" s="1"/>
  <c r="AX81" i="18"/>
  <c r="BI81" i="18"/>
  <c r="AE81" i="18" s="1"/>
  <c r="BH81" i="18"/>
  <c r="AD81" i="18" s="1"/>
  <c r="AW81" i="18"/>
  <c r="BC81" i="18" s="1"/>
  <c r="BH76" i="18"/>
  <c r="AD76" i="18" s="1"/>
  <c r="AW76" i="18"/>
  <c r="BH74" i="18"/>
  <c r="AD74" i="18" s="1"/>
  <c r="BI72" i="18"/>
  <c r="AE72" i="18" s="1"/>
  <c r="AX72" i="18"/>
  <c r="H64" i="18"/>
  <c r="BI61" i="18"/>
  <c r="AE61" i="18" s="1"/>
  <c r="AX61" i="18"/>
  <c r="BC61" i="18" s="1"/>
  <c r="BH61" i="18"/>
  <c r="AD61" i="18" s="1"/>
  <c r="AW61" i="18"/>
  <c r="H50" i="18"/>
  <c r="BI48" i="18"/>
  <c r="AE48" i="18" s="1"/>
  <c r="AX48" i="18"/>
  <c r="AT43" i="18"/>
  <c r="BH48" i="18"/>
  <c r="AD48" i="18" s="1"/>
  <c r="AW48" i="18"/>
  <c r="BI41" i="18"/>
  <c r="AE41" i="18" s="1"/>
  <c r="AX41" i="18"/>
  <c r="BH41" i="18"/>
  <c r="AD41" i="18" s="1"/>
  <c r="AW41" i="18"/>
  <c r="AL41" i="18"/>
  <c r="AU40" i="18" s="1"/>
  <c r="AX38" i="18"/>
  <c r="BI38" i="18"/>
  <c r="AE38" i="18" s="1"/>
  <c r="BH38" i="18"/>
  <c r="AD38" i="18" s="1"/>
  <c r="AW38" i="18"/>
  <c r="BI32" i="18"/>
  <c r="AE32" i="18" s="1"/>
  <c r="AX32" i="18"/>
  <c r="AU27" i="18"/>
  <c r="J27" i="18"/>
  <c r="BC32" i="18"/>
  <c r="AV32" i="18"/>
  <c r="AS27" i="18"/>
  <c r="H25" i="18"/>
  <c r="H24" i="18" s="1"/>
  <c r="C19" i="17"/>
  <c r="I22" i="18"/>
  <c r="AU15" i="18"/>
  <c r="BC22" i="18"/>
  <c r="BI22" i="18"/>
  <c r="AC22" i="18" s="1"/>
  <c r="J15" i="18"/>
  <c r="AX20" i="18"/>
  <c r="C20" i="17"/>
  <c r="BH18" i="18"/>
  <c r="AB18" i="18" s="1"/>
  <c r="C14" i="17" s="1"/>
  <c r="AW18" i="18"/>
  <c r="AS15" i="18"/>
  <c r="C27" i="17"/>
  <c r="C28" i="17"/>
  <c r="F28" i="17" s="1"/>
  <c r="C18" i="17"/>
  <c r="AL13" i="18"/>
  <c r="AU12" i="18" s="1"/>
  <c r="H133" i="18"/>
  <c r="BC123" i="18"/>
  <c r="AV123" i="18"/>
  <c r="AV113" i="18"/>
  <c r="BC113" i="18"/>
  <c r="C21" i="17"/>
  <c r="H100" i="18"/>
  <c r="BC146" i="18"/>
  <c r="AV146" i="18"/>
  <c r="BC115" i="18"/>
  <c r="BC138" i="18"/>
  <c r="AV138" i="18"/>
  <c r="BC131" i="18"/>
  <c r="AV131" i="18"/>
  <c r="BC142" i="18"/>
  <c r="AV142" i="18"/>
  <c r="BC134" i="18"/>
  <c r="AV134" i="18"/>
  <c r="BC117" i="18"/>
  <c r="BC109" i="18"/>
  <c r="AV109" i="18"/>
  <c r="BC105" i="18"/>
  <c r="AV105" i="18"/>
  <c r="I146" i="18"/>
  <c r="I142" i="18"/>
  <c r="I138" i="18"/>
  <c r="I134" i="18"/>
  <c r="I123" i="18"/>
  <c r="I119" i="18" s="1"/>
  <c r="H117" i="18"/>
  <c r="H113" i="18"/>
  <c r="AT108" i="18"/>
  <c r="I105" i="18"/>
  <c r="I101" i="18"/>
  <c r="I100" i="18" s="1"/>
  <c r="BI93" i="18"/>
  <c r="AE93" i="18" s="1"/>
  <c r="AX93" i="18"/>
  <c r="AV93" i="18" s="1"/>
  <c r="H93" i="18"/>
  <c r="H92" i="18" s="1"/>
  <c r="I74" i="18"/>
  <c r="AX74" i="18"/>
  <c r="I64" i="18"/>
  <c r="AX64" i="18"/>
  <c r="I50" i="18"/>
  <c r="AX50" i="18"/>
  <c r="AU43" i="18"/>
  <c r="H43" i="18"/>
  <c r="BC38" i="18"/>
  <c r="AV38" i="18"/>
  <c r="AT27" i="18"/>
  <c r="I25" i="18"/>
  <c r="I24" i="18" s="1"/>
  <c r="AX25" i="18"/>
  <c r="H16" i="18"/>
  <c r="AW16" i="18"/>
  <c r="BI142" i="18"/>
  <c r="AV81" i="18"/>
  <c r="BC72" i="18"/>
  <c r="AV72" i="18"/>
  <c r="AV61" i="18"/>
  <c r="BC48" i="18"/>
  <c r="AV48" i="18"/>
  <c r="I27" i="18"/>
  <c r="L27" i="18"/>
  <c r="BF28" i="18"/>
  <c r="I13" i="18"/>
  <c r="I12" i="18" s="1"/>
  <c r="AX13" i="18"/>
  <c r="AV144" i="18"/>
  <c r="AV120" i="18"/>
  <c r="BF113" i="18"/>
  <c r="AV107" i="18"/>
  <c r="AV103" i="18"/>
  <c r="L100" i="18"/>
  <c r="AV98" i="18"/>
  <c r="L92" i="18"/>
  <c r="I90" i="18"/>
  <c r="I89" i="18" s="1"/>
  <c r="AV84" i="18"/>
  <c r="I79" i="18"/>
  <c r="AX79" i="18"/>
  <c r="BI74" i="18"/>
  <c r="AE74" i="18" s="1"/>
  <c r="I70" i="18"/>
  <c r="AX70" i="18"/>
  <c r="BI64" i="18"/>
  <c r="AE64" i="18" s="1"/>
  <c r="I58" i="18"/>
  <c r="AX58" i="18"/>
  <c r="BI50" i="18"/>
  <c r="AE50" i="18" s="1"/>
  <c r="I44" i="18"/>
  <c r="AX44" i="18"/>
  <c r="AS43" i="18"/>
  <c r="H35" i="18"/>
  <c r="AW35" i="18"/>
  <c r="H28" i="18"/>
  <c r="AW28" i="18"/>
  <c r="BI25" i="18"/>
  <c r="AC25" i="18" s="1"/>
  <c r="H20" i="18"/>
  <c r="AW20" i="18"/>
  <c r="AT15" i="18"/>
  <c r="L15" i="18"/>
  <c r="BF16" i="18"/>
  <c r="AV140" i="18"/>
  <c r="AV136" i="18"/>
  <c r="BF101" i="18"/>
  <c r="AW101" i="18"/>
  <c r="BC76" i="18"/>
  <c r="AV76" i="18"/>
  <c r="BC67" i="18"/>
  <c r="AV67" i="18"/>
  <c r="BC55" i="18"/>
  <c r="AV55" i="18"/>
  <c r="J43" i="18"/>
  <c r="AL38" i="18"/>
  <c r="I15" i="18"/>
  <c r="BI13" i="18"/>
  <c r="AC13" i="18" s="1"/>
  <c r="I84" i="5"/>
  <c r="H18" i="16"/>
  <c r="I18" i="16"/>
  <c r="J18" i="16"/>
  <c r="K18" i="16"/>
  <c r="H20" i="16"/>
  <c r="I20" i="16"/>
  <c r="J20" i="16"/>
  <c r="K20" i="16"/>
  <c r="H22" i="16"/>
  <c r="K22" i="16" s="1"/>
  <c r="I22" i="16"/>
  <c r="J22" i="16"/>
  <c r="H24" i="16"/>
  <c r="K24" i="16" s="1"/>
  <c r="I24" i="16"/>
  <c r="J24" i="16" s="1"/>
  <c r="H26" i="16"/>
  <c r="I26" i="16"/>
  <c r="J26" i="16"/>
  <c r="K26" i="16" s="1"/>
  <c r="H28" i="16"/>
  <c r="K28" i="16" s="1"/>
  <c r="I28" i="16"/>
  <c r="J28" i="16"/>
  <c r="AV127" i="18" l="1"/>
  <c r="H108" i="18"/>
  <c r="BC93" i="18"/>
  <c r="C17" i="17"/>
  <c r="C16" i="17"/>
  <c r="BC41" i="18"/>
  <c r="AV41" i="18"/>
  <c r="C15" i="17"/>
  <c r="J148" i="18"/>
  <c r="H15" i="18"/>
  <c r="BC18" i="18"/>
  <c r="AV18" i="18"/>
  <c r="AV70" i="18"/>
  <c r="BC70" i="18"/>
  <c r="AV74" i="18"/>
  <c r="BC74" i="18"/>
  <c r="AV13" i="18"/>
  <c r="BC13" i="18"/>
  <c r="AV25" i="18"/>
  <c r="BC25" i="18"/>
  <c r="AV44" i="18"/>
  <c r="BC44" i="18"/>
  <c r="AV50" i="18"/>
  <c r="BC50" i="18"/>
  <c r="BC28" i="18"/>
  <c r="AV28" i="18"/>
  <c r="AV58" i="18"/>
  <c r="BC58" i="18"/>
  <c r="AU37" i="18"/>
  <c r="C29" i="17"/>
  <c r="I84" i="2" s="1"/>
  <c r="BC20" i="18"/>
  <c r="AV20" i="18"/>
  <c r="H27" i="18"/>
  <c r="AV64" i="18"/>
  <c r="BC64" i="18"/>
  <c r="BC101" i="18"/>
  <c r="AV101" i="18"/>
  <c r="BC35" i="18"/>
  <c r="AV35" i="18"/>
  <c r="I43" i="18"/>
  <c r="AV79" i="18"/>
  <c r="BC79" i="18"/>
  <c r="BC16" i="18"/>
  <c r="AV16" i="18"/>
  <c r="I133" i="18"/>
  <c r="H30" i="16"/>
  <c r="H33" i="16" s="1"/>
  <c r="J30" i="16"/>
  <c r="J33" i="16" s="1"/>
  <c r="D17" i="15"/>
  <c r="D22" i="15" s="1"/>
  <c r="D32" i="15" s="1"/>
  <c r="G32" i="15" s="1"/>
  <c r="K30" i="16"/>
  <c r="K33" i="16" s="1"/>
  <c r="F17" i="15"/>
  <c r="F22" i="15" s="1"/>
  <c r="D30" i="15"/>
  <c r="G30" i="15" s="1"/>
  <c r="D24" i="15"/>
  <c r="G24" i="15" s="1"/>
  <c r="C22" i="17" l="1"/>
  <c r="F29" i="17"/>
  <c r="I28" i="17"/>
  <c r="F28" i="15"/>
  <c r="G28" i="15" s="1"/>
  <c r="F34" i="15"/>
  <c r="G34" i="15" s="1"/>
  <c r="F26" i="15"/>
  <c r="G26" i="15" s="1"/>
  <c r="G17" i="15"/>
  <c r="G18" i="15" s="1"/>
  <c r="G22" i="15"/>
  <c r="I29" i="17" l="1"/>
  <c r="G36" i="15"/>
  <c r="B40" i="15" s="1"/>
  <c r="C26" i="13"/>
  <c r="C11" i="13"/>
  <c r="D40" i="15" l="1"/>
  <c r="F40" i="15"/>
  <c r="F3" i="14"/>
  <c r="I3" i="14"/>
  <c r="J3" i="14"/>
  <c r="K3" i="14"/>
  <c r="F4" i="14"/>
  <c r="I4" i="14"/>
  <c r="J4" i="14"/>
  <c r="K4" i="14"/>
  <c r="F5" i="14"/>
  <c r="I5" i="14"/>
  <c r="J5" i="14"/>
  <c r="K5" i="14"/>
  <c r="F6" i="14"/>
  <c r="I6" i="14"/>
  <c r="J6" i="14"/>
  <c r="K6" i="14"/>
  <c r="F7" i="14"/>
  <c r="I7" i="14"/>
  <c r="J7" i="14"/>
  <c r="K7" i="14"/>
  <c r="F8" i="14"/>
  <c r="I8" i="14"/>
  <c r="J8" i="14"/>
  <c r="K8" i="14"/>
  <c r="F9" i="14"/>
  <c r="I9" i="14"/>
  <c r="J9" i="14"/>
  <c r="K9" i="14"/>
  <c r="F10" i="14"/>
  <c r="I10" i="14"/>
  <c r="J10" i="14"/>
  <c r="K10" i="14"/>
  <c r="F11" i="14"/>
  <c r="I11" i="14"/>
  <c r="J11" i="14"/>
  <c r="K11" i="14"/>
  <c r="F12" i="14"/>
  <c r="I12" i="14"/>
  <c r="J12" i="14"/>
  <c r="K12" i="14"/>
  <c r="F14" i="14"/>
  <c r="I14" i="14"/>
  <c r="J14" i="14"/>
  <c r="K14" i="14"/>
  <c r="F16" i="14"/>
  <c r="I16" i="14"/>
  <c r="J16" i="14"/>
  <c r="F18" i="14"/>
  <c r="I18" i="14"/>
  <c r="J18" i="14"/>
  <c r="F21" i="14"/>
  <c r="I21" i="14"/>
  <c r="J21" i="14"/>
  <c r="K21" i="14"/>
  <c r="F22" i="14"/>
  <c r="I22" i="14"/>
  <c r="J22" i="14"/>
  <c r="K22" i="14"/>
  <c r="F23" i="14"/>
  <c r="I23" i="14"/>
  <c r="J23" i="14"/>
  <c r="K23" i="14"/>
  <c r="F27" i="14"/>
  <c r="I27" i="14"/>
  <c r="J27" i="14"/>
  <c r="K27" i="14"/>
  <c r="F28" i="14"/>
  <c r="I28" i="14"/>
  <c r="J28" i="14"/>
  <c r="K28" i="14"/>
  <c r="F29" i="14"/>
  <c r="I29" i="14"/>
  <c r="J29" i="14"/>
  <c r="K29" i="14"/>
  <c r="F30" i="14"/>
  <c r="I30" i="14"/>
  <c r="J30" i="14"/>
  <c r="K30" i="14"/>
  <c r="F31" i="14"/>
  <c r="I31" i="14"/>
  <c r="J31" i="14"/>
  <c r="K31" i="14"/>
  <c r="F32" i="14"/>
  <c r="I32" i="14"/>
  <c r="J32" i="14"/>
  <c r="F34" i="14"/>
  <c r="K34" i="14" s="1"/>
  <c r="I34" i="14"/>
  <c r="J34" i="14"/>
  <c r="F35" i="14"/>
  <c r="I35" i="14"/>
  <c r="K35" i="14" s="1"/>
  <c r="J35" i="14"/>
  <c r="F37" i="14"/>
  <c r="I37" i="14"/>
  <c r="K37" i="14" s="1"/>
  <c r="J37" i="14"/>
  <c r="F38" i="14"/>
  <c r="I38" i="14"/>
  <c r="J38" i="14"/>
  <c r="K38" i="14"/>
  <c r="F39" i="14"/>
  <c r="I39" i="14"/>
  <c r="J39" i="14"/>
  <c r="K39" i="14"/>
  <c r="F40" i="14"/>
  <c r="I40" i="14"/>
  <c r="J40" i="14"/>
  <c r="F43" i="14"/>
  <c r="I43" i="14"/>
  <c r="J43" i="14"/>
  <c r="F44" i="14"/>
  <c r="I44" i="14"/>
  <c r="J44" i="14"/>
  <c r="K44" i="14"/>
  <c r="F45" i="14"/>
  <c r="I45" i="14"/>
  <c r="J45" i="14"/>
  <c r="K45" i="14"/>
  <c r="F46" i="14"/>
  <c r="I46" i="14"/>
  <c r="J46" i="14"/>
  <c r="K46" i="14"/>
  <c r="F47" i="14"/>
  <c r="I47" i="14"/>
  <c r="J47" i="14"/>
  <c r="K47" i="14"/>
  <c r="F48" i="14"/>
  <c r="I48" i="14"/>
  <c r="J48" i="14"/>
  <c r="K48" i="14"/>
  <c r="F49" i="14"/>
  <c r="I49" i="14"/>
  <c r="J49" i="14"/>
  <c r="K49" i="14"/>
  <c r="F51" i="14"/>
  <c r="I51" i="14"/>
  <c r="J51" i="14"/>
  <c r="K51" i="14"/>
  <c r="F53" i="14"/>
  <c r="I53" i="14"/>
  <c r="K53" i="14" s="1"/>
  <c r="J53" i="14"/>
  <c r="F55" i="14"/>
  <c r="I55" i="14"/>
  <c r="K55" i="14" s="1"/>
  <c r="J55" i="14"/>
  <c r="F57" i="14"/>
  <c r="I57" i="14"/>
  <c r="J57" i="14"/>
  <c r="K57" i="14"/>
  <c r="F59" i="14"/>
  <c r="I59" i="14"/>
  <c r="J59" i="14"/>
  <c r="K59" i="14"/>
  <c r="F60" i="14"/>
  <c r="B32" i="13" s="1"/>
  <c r="J61" i="14"/>
  <c r="K61" i="14"/>
  <c r="C5" i="13"/>
  <c r="C9" i="13"/>
  <c r="C10" i="13"/>
  <c r="B26" i="13"/>
  <c r="K43" i="14" l="1"/>
  <c r="K40" i="14"/>
  <c r="I60" i="14"/>
  <c r="C32" i="13" s="1"/>
  <c r="K32" i="14"/>
  <c r="K18" i="14"/>
  <c r="K16" i="14"/>
  <c r="B3" i="13"/>
  <c r="C4" i="13" s="1"/>
  <c r="K60" i="14"/>
  <c r="H18" i="12"/>
  <c r="K18" i="12" s="1"/>
  <c r="J18" i="12"/>
  <c r="H20" i="12"/>
  <c r="J20" i="12"/>
  <c r="H22" i="12"/>
  <c r="K22" i="12" s="1"/>
  <c r="J22" i="12"/>
  <c r="H24" i="12"/>
  <c r="I24" i="12"/>
  <c r="J24" i="12" s="1"/>
  <c r="H26" i="12"/>
  <c r="I26" i="12"/>
  <c r="J26" i="12"/>
  <c r="H28" i="12"/>
  <c r="I28" i="12"/>
  <c r="J28" i="12" s="1"/>
  <c r="H30" i="12"/>
  <c r="I30" i="12"/>
  <c r="J30" i="12"/>
  <c r="H34" i="12"/>
  <c r="K34" i="12" s="1"/>
  <c r="I34" i="12"/>
  <c r="J34" i="12"/>
  <c r="H35" i="12"/>
  <c r="I35" i="12"/>
  <c r="J35" i="12" s="1"/>
  <c r="H36" i="12"/>
  <c r="I36" i="12"/>
  <c r="J36" i="12"/>
  <c r="H37" i="12"/>
  <c r="I37" i="12"/>
  <c r="J37" i="12"/>
  <c r="H38" i="12"/>
  <c r="I38" i="12"/>
  <c r="J38" i="12" s="1"/>
  <c r="H39" i="12"/>
  <c r="I39" i="12"/>
  <c r="J39" i="12"/>
  <c r="H41" i="12"/>
  <c r="K41" i="12" s="1"/>
  <c r="I41" i="12"/>
  <c r="J41" i="12"/>
  <c r="H43" i="12"/>
  <c r="I43" i="12"/>
  <c r="J43" i="12" s="1"/>
  <c r="H45" i="12"/>
  <c r="I45" i="12"/>
  <c r="J45" i="12"/>
  <c r="H47" i="12"/>
  <c r="K47" i="12" s="1"/>
  <c r="I47" i="12"/>
  <c r="J47" i="12"/>
  <c r="H49" i="12"/>
  <c r="K49" i="12" s="1"/>
  <c r="I49" i="12"/>
  <c r="J49" i="12"/>
  <c r="H54" i="12"/>
  <c r="I54" i="12"/>
  <c r="J54" i="12" s="1"/>
  <c r="H56" i="12"/>
  <c r="K56" i="12" s="1"/>
  <c r="I56" i="12"/>
  <c r="J56" i="12"/>
  <c r="H58" i="12"/>
  <c r="K58" i="12" s="1"/>
  <c r="I58" i="12"/>
  <c r="J58" i="12" s="1"/>
  <c r="H60" i="12"/>
  <c r="I60" i="12"/>
  <c r="J60" i="12"/>
  <c r="K60" i="12" s="1"/>
  <c r="H62" i="12"/>
  <c r="K62" i="12" s="1"/>
  <c r="I62" i="12"/>
  <c r="J62" i="12"/>
  <c r="H64" i="12"/>
  <c r="K64" i="12" s="1"/>
  <c r="I64" i="12"/>
  <c r="J64" i="12" s="1"/>
  <c r="H66" i="12"/>
  <c r="H69" i="12"/>
  <c r="I69" i="12"/>
  <c r="J69" i="12" s="1"/>
  <c r="H71" i="12"/>
  <c r="I71" i="12"/>
  <c r="J71" i="12"/>
  <c r="H73" i="12"/>
  <c r="K73" i="12" s="1"/>
  <c r="I73" i="12"/>
  <c r="J73" i="12"/>
  <c r="H75" i="12"/>
  <c r="I75" i="12"/>
  <c r="J75" i="12" s="1"/>
  <c r="H77" i="12"/>
  <c r="K77" i="12" s="1"/>
  <c r="I77" i="12"/>
  <c r="J77" i="12"/>
  <c r="H79" i="12"/>
  <c r="I79" i="12"/>
  <c r="J79" i="12" s="1"/>
  <c r="H84" i="12"/>
  <c r="I84" i="12"/>
  <c r="J84" i="12" s="1"/>
  <c r="J86" i="12" s="1"/>
  <c r="F20" i="11" s="1"/>
  <c r="H86" i="12"/>
  <c r="D20" i="11" s="1"/>
  <c r="H89" i="12"/>
  <c r="H99" i="12" s="1"/>
  <c r="J89" i="12"/>
  <c r="J99" i="12" s="1"/>
  <c r="H91" i="12"/>
  <c r="J91" i="12"/>
  <c r="K91" i="12"/>
  <c r="H93" i="12"/>
  <c r="K93" i="12" s="1"/>
  <c r="J93" i="12"/>
  <c r="H95" i="12"/>
  <c r="K95" i="12" s="1"/>
  <c r="J95" i="12"/>
  <c r="H97" i="12"/>
  <c r="J97" i="12"/>
  <c r="K97" i="12"/>
  <c r="D18" i="11"/>
  <c r="C6" i="13" l="1"/>
  <c r="C8" i="13" s="1"/>
  <c r="C7" i="13"/>
  <c r="B4" i="13"/>
  <c r="B7" i="13" s="1"/>
  <c r="B12" i="13" s="1"/>
  <c r="K20" i="12"/>
  <c r="K89" i="12"/>
  <c r="G20" i="11"/>
  <c r="K84" i="12"/>
  <c r="K86" i="12" s="1"/>
  <c r="K79" i="12"/>
  <c r="H81" i="12"/>
  <c r="D19" i="11" s="1"/>
  <c r="G19" i="11" s="1"/>
  <c r="J81" i="12"/>
  <c r="F19" i="11" s="1"/>
  <c r="K75" i="12"/>
  <c r="K81" i="12" s="1"/>
  <c r="K71" i="12"/>
  <c r="K69" i="12"/>
  <c r="J66" i="12"/>
  <c r="F18" i="11" s="1"/>
  <c r="K54" i="12"/>
  <c r="K66" i="12" s="1"/>
  <c r="K39" i="12"/>
  <c r="K51" i="12" s="1"/>
  <c r="K45" i="12"/>
  <c r="K43" i="12"/>
  <c r="K38" i="12"/>
  <c r="K37" i="12"/>
  <c r="K36" i="12"/>
  <c r="K35" i="12"/>
  <c r="K30" i="12"/>
  <c r="K28" i="12"/>
  <c r="K26" i="12"/>
  <c r="K24" i="12"/>
  <c r="J51" i="12"/>
  <c r="F17" i="11" s="1"/>
  <c r="F21" i="11"/>
  <c r="D21" i="11"/>
  <c r="K99" i="12"/>
  <c r="H51" i="12"/>
  <c r="D17" i="11" s="1"/>
  <c r="G18" i="11"/>
  <c r="C12" i="13" l="1"/>
  <c r="C20" i="13" s="1"/>
  <c r="G17" i="11"/>
  <c r="J102" i="12"/>
  <c r="F26" i="11"/>
  <c r="F38" i="11" s="1"/>
  <c r="G38" i="11" s="1"/>
  <c r="H102" i="12"/>
  <c r="D26" i="11"/>
  <c r="D36" i="11" s="1"/>
  <c r="G36" i="11" s="1"/>
  <c r="K102" i="12"/>
  <c r="G21" i="11"/>
  <c r="G22" i="11" s="1"/>
  <c r="C13" i="13" l="1"/>
  <c r="C14" i="13" s="1"/>
  <c r="C15" i="13" s="1"/>
  <c r="C19" i="13"/>
  <c r="C21" i="13" s="1"/>
  <c r="F30" i="11"/>
  <c r="G30" i="11" s="1"/>
  <c r="F32" i="11"/>
  <c r="G32" i="11" s="1"/>
  <c r="G26" i="11"/>
  <c r="D34" i="11"/>
  <c r="G34" i="11" s="1"/>
  <c r="D28" i="11"/>
  <c r="G28" i="11" s="1"/>
  <c r="C16" i="13" l="1"/>
  <c r="C22" i="13" s="1"/>
  <c r="C24" i="13" s="1"/>
  <c r="I84" i="4" s="1"/>
  <c r="G40" i="11"/>
  <c r="B44" i="11" s="1"/>
  <c r="D44" i="11" l="1"/>
  <c r="F44" i="11" s="1"/>
  <c r="I84" i="3"/>
  <c r="B25" i="13"/>
  <c r="C25" i="13" s="1"/>
  <c r="C27" i="13" s="1"/>
  <c r="C30" i="13"/>
  <c r="C29" i="13"/>
  <c r="J37" i="5"/>
  <c r="J36" i="5"/>
  <c r="AY58" i="1"/>
  <c r="J35" i="5"/>
  <c r="AX58" i="1" s="1"/>
  <c r="BI84" i="5"/>
  <c r="BH84" i="5"/>
  <c r="BG84" i="5"/>
  <c r="F35" i="5" s="1"/>
  <c r="BB58" i="1" s="1"/>
  <c r="BF84" i="5"/>
  <c r="T84" i="5"/>
  <c r="T83" i="5" s="1"/>
  <c r="T82" i="5" s="1"/>
  <c r="T81" i="5" s="1"/>
  <c r="R84" i="5"/>
  <c r="R83" i="5" s="1"/>
  <c r="R82" i="5" s="1"/>
  <c r="R81" i="5" s="1"/>
  <c r="P84" i="5"/>
  <c r="P83" i="5" s="1"/>
  <c r="P82" i="5" s="1"/>
  <c r="P81" i="5" s="1"/>
  <c r="AU58" i="1" s="1"/>
  <c r="J78" i="5"/>
  <c r="J77" i="5"/>
  <c r="F77" i="5"/>
  <c r="F75" i="5"/>
  <c r="E73" i="5"/>
  <c r="J55" i="5"/>
  <c r="J54" i="5"/>
  <c r="F54" i="5"/>
  <c r="F52" i="5"/>
  <c r="E50" i="5"/>
  <c r="J18" i="5"/>
  <c r="E18" i="5"/>
  <c r="F78" i="5" s="1"/>
  <c r="J17" i="5"/>
  <c r="J12" i="5"/>
  <c r="J75" i="5"/>
  <c r="E7" i="5"/>
  <c r="E71" i="5"/>
  <c r="J37" i="4"/>
  <c r="J36" i="4"/>
  <c r="AY57" i="1" s="1"/>
  <c r="J35" i="4"/>
  <c r="AX57" i="1" s="1"/>
  <c r="BI84" i="4"/>
  <c r="F37" i="4" s="1"/>
  <c r="BD57" i="1" s="1"/>
  <c r="BH84" i="4"/>
  <c r="BG84" i="4"/>
  <c r="F35" i="4" s="1"/>
  <c r="BB57" i="1" s="1"/>
  <c r="BF84" i="4"/>
  <c r="J34" i="4" s="1"/>
  <c r="AW57" i="1" s="1"/>
  <c r="T84" i="4"/>
  <c r="T83" i="4" s="1"/>
  <c r="T82" i="4" s="1"/>
  <c r="T81" i="4" s="1"/>
  <c r="R84" i="4"/>
  <c r="R83" i="4" s="1"/>
  <c r="R82" i="4" s="1"/>
  <c r="R81" i="4" s="1"/>
  <c r="P84" i="4"/>
  <c r="P83" i="4" s="1"/>
  <c r="P82" i="4" s="1"/>
  <c r="P81" i="4" s="1"/>
  <c r="AU57" i="1" s="1"/>
  <c r="J78" i="4"/>
  <c r="J77" i="4"/>
  <c r="F77" i="4"/>
  <c r="F75" i="4"/>
  <c r="E73" i="4"/>
  <c r="J55" i="4"/>
  <c r="J54" i="4"/>
  <c r="F54" i="4"/>
  <c r="F52" i="4"/>
  <c r="E50" i="4"/>
  <c r="J18" i="4"/>
  <c r="E18" i="4"/>
  <c r="F78" i="4" s="1"/>
  <c r="J17" i="4"/>
  <c r="J12" i="4"/>
  <c r="J75" i="4"/>
  <c r="E7" i="4"/>
  <c r="E71" i="4"/>
  <c r="J37" i="3"/>
  <c r="J36" i="3"/>
  <c r="AY56" i="1" s="1"/>
  <c r="J35" i="3"/>
  <c r="AX56" i="1" s="1"/>
  <c r="BI84" i="3"/>
  <c r="F37" i="3" s="1"/>
  <c r="BD56" i="1" s="1"/>
  <c r="BH84" i="3"/>
  <c r="F36" i="3" s="1"/>
  <c r="BC56" i="1" s="1"/>
  <c r="BG84" i="3"/>
  <c r="F35" i="3" s="1"/>
  <c r="BB56" i="1" s="1"/>
  <c r="BF84" i="3"/>
  <c r="J34" i="3" s="1"/>
  <c r="AW56" i="1" s="1"/>
  <c r="T84" i="3"/>
  <c r="T83" i="3" s="1"/>
  <c r="T82" i="3" s="1"/>
  <c r="T81" i="3" s="1"/>
  <c r="R84" i="3"/>
  <c r="R83" i="3" s="1"/>
  <c r="R82" i="3" s="1"/>
  <c r="R81" i="3" s="1"/>
  <c r="P84" i="3"/>
  <c r="P83" i="3" s="1"/>
  <c r="P82" i="3" s="1"/>
  <c r="P81" i="3" s="1"/>
  <c r="AU56" i="1" s="1"/>
  <c r="J78" i="3"/>
  <c r="J77" i="3"/>
  <c r="F77" i="3"/>
  <c r="F75" i="3"/>
  <c r="E73" i="3"/>
  <c r="J55" i="3"/>
  <c r="J54" i="3"/>
  <c r="F54" i="3"/>
  <c r="F52" i="3"/>
  <c r="E50" i="3"/>
  <c r="J18" i="3"/>
  <c r="E18" i="3"/>
  <c r="F78" i="3" s="1"/>
  <c r="J17" i="3"/>
  <c r="J12" i="3"/>
  <c r="J75" i="3"/>
  <c r="E7" i="3"/>
  <c r="E48" i="3"/>
  <c r="J37" i="2"/>
  <c r="J36" i="2"/>
  <c r="AY55" i="1" s="1"/>
  <c r="J35" i="2"/>
  <c r="AX55" i="1" s="1"/>
  <c r="BI84" i="2"/>
  <c r="F37" i="2" s="1"/>
  <c r="BD55" i="1" s="1"/>
  <c r="BH84" i="2"/>
  <c r="F36" i="2" s="1"/>
  <c r="BC55" i="1" s="1"/>
  <c r="BG84" i="2"/>
  <c r="F35" i="2" s="1"/>
  <c r="BB55" i="1" s="1"/>
  <c r="BF84" i="2"/>
  <c r="J34" i="2" s="1"/>
  <c r="AW55" i="1" s="1"/>
  <c r="T84" i="2"/>
  <c r="T83" i="2" s="1"/>
  <c r="T82" i="2" s="1"/>
  <c r="T81" i="2" s="1"/>
  <c r="R84" i="2"/>
  <c r="R83" i="2" s="1"/>
  <c r="R82" i="2" s="1"/>
  <c r="R81" i="2" s="1"/>
  <c r="P84" i="2"/>
  <c r="P83" i="2" s="1"/>
  <c r="P82" i="2" s="1"/>
  <c r="P81" i="2" s="1"/>
  <c r="AU55" i="1" s="1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J17" i="2"/>
  <c r="J12" i="2"/>
  <c r="J75" i="2"/>
  <c r="E7" i="2"/>
  <c r="E71" i="2"/>
  <c r="L50" i="1"/>
  <c r="AM50" i="1"/>
  <c r="AM49" i="1"/>
  <c r="L49" i="1"/>
  <c r="AM47" i="1"/>
  <c r="L47" i="1"/>
  <c r="L45" i="1"/>
  <c r="L44" i="1"/>
  <c r="BK84" i="3"/>
  <c r="AS54" i="1"/>
  <c r="F34" i="5"/>
  <c r="BA58" i="1"/>
  <c r="F36" i="4"/>
  <c r="BC57" i="1" s="1"/>
  <c r="BK84" i="4"/>
  <c r="J84" i="2"/>
  <c r="J84" i="3"/>
  <c r="F37" i="5"/>
  <c r="BD58" i="1" s="1"/>
  <c r="J84" i="4"/>
  <c r="BK84" i="5"/>
  <c r="BK84" i="2"/>
  <c r="J84" i="5"/>
  <c r="F36" i="5"/>
  <c r="BC58" i="1" s="1"/>
  <c r="F55" i="3" l="1"/>
  <c r="E71" i="3"/>
  <c r="BE84" i="3"/>
  <c r="F33" i="3" s="1"/>
  <c r="AZ56" i="1" s="1"/>
  <c r="E48" i="2"/>
  <c r="F55" i="2"/>
  <c r="J52" i="3"/>
  <c r="BK83" i="4"/>
  <c r="J83" i="4"/>
  <c r="J61" i="4" s="1"/>
  <c r="BE84" i="5"/>
  <c r="J33" i="5" s="1"/>
  <c r="AV58" i="1" s="1"/>
  <c r="BK83" i="5"/>
  <c r="J83" i="5" s="1"/>
  <c r="J61" i="5" s="1"/>
  <c r="J52" i="2"/>
  <c r="BE84" i="2"/>
  <c r="J33" i="2" s="1"/>
  <c r="AV55" i="1" s="1"/>
  <c r="AT55" i="1" s="1"/>
  <c r="BK83" i="2"/>
  <c r="BK82" i="2" s="1"/>
  <c r="BK81" i="2" s="1"/>
  <c r="J81" i="2" s="1"/>
  <c r="J59" i="2" s="1"/>
  <c r="BK83" i="3"/>
  <c r="J83" i="3"/>
  <c r="J61" i="3" s="1"/>
  <c r="E48" i="4"/>
  <c r="J52" i="4"/>
  <c r="F55" i="4"/>
  <c r="BE84" i="4"/>
  <c r="J33" i="4" s="1"/>
  <c r="AV57" i="1" s="1"/>
  <c r="AT57" i="1" s="1"/>
  <c r="E48" i="5"/>
  <c r="J52" i="5"/>
  <c r="F55" i="5"/>
  <c r="BC54" i="1"/>
  <c r="AY54" i="1" s="1"/>
  <c r="AU54" i="1"/>
  <c r="F34" i="4"/>
  <c r="BA57" i="1" s="1"/>
  <c r="BD54" i="1"/>
  <c r="W33" i="1" s="1"/>
  <c r="J34" i="5"/>
  <c r="AW58" i="1" s="1"/>
  <c r="F34" i="3"/>
  <c r="BA56" i="1" s="1"/>
  <c r="F34" i="2"/>
  <c r="BA55" i="1" s="1"/>
  <c r="BB54" i="1"/>
  <c r="W31" i="1" s="1"/>
  <c r="J82" i="2" l="1"/>
  <c r="J60" i="2" s="1"/>
  <c r="J83" i="2"/>
  <c r="J61" i="2" s="1"/>
  <c r="BK82" i="5"/>
  <c r="J82" i="5"/>
  <c r="J60" i="5"/>
  <c r="BK82" i="3"/>
  <c r="J82" i="3" s="1"/>
  <c r="J60" i="3" s="1"/>
  <c r="BK82" i="4"/>
  <c r="J82" i="4" s="1"/>
  <c r="J60" i="4" s="1"/>
  <c r="AT58" i="1"/>
  <c r="J30" i="2"/>
  <c r="AG55" i="1" s="1"/>
  <c r="AN55" i="1" s="1"/>
  <c r="F33" i="4"/>
  <c r="AZ57" i="1" s="1"/>
  <c r="W32" i="1"/>
  <c r="BA54" i="1"/>
  <c r="AW54" i="1" s="1"/>
  <c r="AK30" i="1" s="1"/>
  <c r="AX54" i="1"/>
  <c r="F33" i="2"/>
  <c r="AZ55" i="1" s="1"/>
  <c r="J33" i="3"/>
  <c r="AV56" i="1" s="1"/>
  <c r="AT56" i="1" s="1"/>
  <c r="F33" i="5"/>
  <c r="AZ58" i="1"/>
  <c r="BK81" i="5" l="1"/>
  <c r="J81" i="5"/>
  <c r="J59" i="5"/>
  <c r="J39" i="2"/>
  <c r="BK81" i="3"/>
  <c r="J81" i="3"/>
  <c r="J59" i="3"/>
  <c r="BK81" i="4"/>
  <c r="J81" i="4" s="1"/>
  <c r="J59" i="4" s="1"/>
  <c r="W30" i="1"/>
  <c r="AZ54" i="1"/>
  <c r="AV54" i="1" s="1"/>
  <c r="AK29" i="1" s="1"/>
  <c r="AT54" i="1" l="1"/>
  <c r="J30" i="3"/>
  <c r="AG56" i="1" s="1"/>
  <c r="AN56" i="1" s="1"/>
  <c r="W29" i="1"/>
  <c r="J30" i="5"/>
  <c r="AG58" i="1" s="1"/>
  <c r="AN58" i="1" s="1"/>
  <c r="J30" i="4"/>
  <c r="AG57" i="1"/>
  <c r="AN57" i="1"/>
  <c r="J39" i="3" l="1"/>
  <c r="J39" i="4"/>
  <c r="J39" i="5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<sst xmlns="http://schemas.openxmlformats.org/spreadsheetml/2006/main" count="2658" uniqueCount="963">
  <si>
    <t>Export Komplet</t>
  </si>
  <si>
    <t>VZ</t>
  </si>
  <si>
    <t>2.0</t>
  </si>
  <si>
    <t>ZAMOK</t>
  </si>
  <si>
    <t>False</t>
  </si>
  <si>
    <t>{da40874b-0fe9-4705-89a8-8d333e9f9b6b}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</si>
  <si>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</si>
  <si>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</si>
  <si>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</si>
  <si>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</si>
  <si>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</si>
  <si>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</si>
  <si>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</si>
  <si>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</si>
  <si>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19-042-150NCI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</si>
  <si>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</si>
  <si>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</si>
  <si>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Komplexní klimatizace v objektu MZe Žďár n.S.</t>
  </si>
  <si>
    <t>KSO:</t>
  </si>
  <si>
    <t/>
  </si>
  <si>
    <t>CC-CZ:</t>
  </si>
  <si>
    <t>Místo:</t>
  </si>
  <si>
    <t>Žďár nad Sázavou</t>
  </si>
  <si>
    <t>Datum:</t>
  </si>
  <si>
    <t>21. 2. 2020</t>
  </si>
  <si>
    <t>Zadavatel:</t>
  </si>
  <si>
    <t>IČ:</t>
  </si>
  <si>
    <t>00020478</t>
  </si>
  <si>
    <t>Česká republika - Ministerstvo zemědělství</t>
  </si>
  <si>
    <t>DIČ:</t>
  </si>
  <si>
    <t>CZ00020478</t>
  </si>
  <si>
    <t>Uchazeč:</t>
  </si>
  <si>
    <t>Vyplň údaj</t>
  </si>
  <si>
    <t>Projektant:</t>
  </si>
  <si>
    <t>28683218</t>
  </si>
  <si>
    <t>NCI.CZ ENGINEERING s.r.o.</t>
  </si>
  <si>
    <t>CZ28683218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</si>
  <si>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</si>
  <si>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</si>
  <si>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</si>
  <si>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</si>
  <si>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</si>
  <si>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</si>
  <si>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</si>
  <si>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</si>
  <si>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</si>
  <si>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</si>
  <si>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</si>
  <si>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</si>
  <si>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</si>
  <si>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</si>
  <si>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</si>
  <si>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</si>
  <si>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</si>
  <si>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</si>
  <si>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</si>
  <si>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</si>
  <si>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</si>
  <si>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</si>
  <si>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</si>
  <si>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</si>
  <si>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</si>
  <si>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</si>
  <si>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</si>
  <si>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</si>
  <si>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</si>
  <si>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</si>
  <si>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</si>
  <si>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</si>
  <si>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</si>
  <si>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</si>
  <si>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</si>
  <si>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</si>
  <si>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</si>
  <si>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</si>
  <si>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</si>
  <si>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</si>
  <si>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</si>
  <si>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</si>
  <si>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</si>
  <si>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</si>
  <si>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stavební řešení</t>
  </si>
  <si>
    <t>STA</t>
  </si>
  <si>
    <t>1</t>
  </si>
  <si>
    <t>{3ac25c5c-afa7-4f70-920d-fe2a6b26edf2}</t>
  </si>
  <si>
    <t>2</t>
  </si>
  <si>
    <t>D.1.4.1</t>
  </si>
  <si>
    <t>Klimatizace</t>
  </si>
  <si>
    <t>{55688dc5-540f-45ad-b66e-a9c55d636314}</t>
  </si>
  <si>
    <t>D.1.4.2</t>
  </si>
  <si>
    <t>Zařízení silnoproudé elektrotechniky</t>
  </si>
  <si>
    <t>{57585384-4c13-4e61-a14a-d1ea2022aa2b}</t>
  </si>
  <si>
    <t>D.1.4.3</t>
  </si>
  <si>
    <t>Zdravotnětechnické instalace</t>
  </si>
  <si>
    <t>{d400d621-0950-43f7-af7f-3cab23cf3cb1}</t>
  </si>
  <si>
    <t>KRYCÍ LIST SOUPISU PRACÍ</t>
  </si>
  <si>
    <t>Objekt:</t>
  </si>
  <si>
    <t>D.1.1 - Architektonicko stavební řešení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</si>
  <si>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</si>
  <si>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</si>
  <si>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</si>
  <si>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</si>
  <si>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</si>
  <si>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</si>
  <si>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</si>
  <si>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</si>
  <si>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</si>
  <si>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</si>
  <si>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</si>
  <si>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</si>
  <si>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</si>
  <si>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</si>
  <si>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</si>
  <si>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</si>
  <si>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</si>
  <si>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</si>
  <si>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</si>
  <si>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</si>
  <si>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</si>
  <si>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</si>
  <si>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</si>
  <si>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</si>
  <si>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</si>
  <si>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</si>
  <si>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Architektonicko stavební část</t>
  </si>
  <si>
    <t>kpl</t>
  </si>
  <si>
    <t>512</t>
  </si>
  <si>
    <t>1504546846</t>
  </si>
  <si>
    <t>D.1.4.1 - Klimatizace</t>
  </si>
  <si>
    <t>1248480747</t>
  </si>
  <si>
    <t>D.1.4.2 - Zařízení silnoproudé elektrotechniky</t>
  </si>
  <si>
    <t>1597707825</t>
  </si>
  <si>
    <t>D.1.4.3 - Zdravotnětechnické instalace</t>
  </si>
  <si>
    <t>1961515272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</si>
  <si>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</si>
  <si>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</si>
  <si>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</si>
  <si>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</si>
  <si>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</si>
  <si>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</si>
  <si>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</si>
  <si>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</si>
  <si>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</si>
  <si>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</si>
  <si>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</si>
  <si>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</si>
  <si>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</si>
  <si>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</si>
  <si>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</si>
  <si>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</si>
  <si>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</si>
  <si>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</si>
  <si>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</si>
  <si>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</si>
  <si>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</si>
  <si>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</si>
  <si>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</si>
  <si>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</si>
  <si>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</si>
  <si>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</si>
  <si>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</si>
  <si>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</si>
  <si>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</si>
  <si>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</si>
  <si>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</si>
  <si>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</si>
  <si>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</si>
  <si>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</si>
  <si>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</si>
  <si>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</si>
  <si>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</si>
  <si>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</si>
  <si>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</si>
  <si>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</si>
  <si>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</si>
  <si>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</si>
  <si>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</si>
  <si>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</si>
  <si>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</si>
  <si>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</si>
  <si>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</si>
  <si>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</si>
  <si>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</si>
  <si>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</si>
  <si>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</si>
  <si>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</si>
  <si>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</si>
  <si>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</si>
  <si>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</si>
  <si>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</si>
  <si>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</si>
  <si>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</si>
  <si>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</si>
  <si>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</si>
  <si>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</si>
  <si>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</si>
  <si>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</si>
  <si>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</si>
  <si>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</si>
  <si>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</si>
  <si>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</si>
  <si>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</si>
  <si>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</si>
  <si>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</si>
  <si>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</si>
  <si>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</si>
  <si>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</si>
  <si>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</si>
  <si>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</si>
  <si>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</si>
  <si>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</si>
  <si>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</si>
  <si>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</si>
  <si>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</si>
  <si>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</si>
  <si>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</si>
  <si>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</si>
  <si>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</si>
  <si>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</si>
  <si>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</si>
  <si>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</si>
  <si>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</si>
  <si>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</si>
  <si>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</si>
  <si>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</si>
  <si>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</si>
  <si>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</si>
  <si>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</si>
  <si>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</si>
  <si>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</si>
  <si>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</si>
  <si>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</si>
  <si>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</si>
  <si>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</si>
  <si>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</si>
  <si>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</si>
  <si>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</si>
  <si>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</si>
  <si>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</si>
  <si>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</si>
  <si>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</si>
  <si>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</si>
  <si>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</si>
  <si>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</si>
  <si>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</si>
  <si>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</si>
  <si>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</si>
  <si>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</si>
  <si>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</si>
  <si>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</si>
  <si>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</si>
  <si>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</si>
  <si>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</si>
  <si>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</si>
  <si>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</si>
  <si>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</si>
  <si>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</si>
  <si>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</si>
  <si>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</si>
  <si>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</si>
  <si>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</si>
  <si>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</si>
  <si>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</si>
  <si>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</si>
  <si>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</si>
  <si>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</si>
  <si>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</si>
  <si>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</si>
  <si>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</si>
  <si>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</si>
  <si>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</si>
  <si>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</si>
  <si>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</si>
  <si>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</si>
  <si>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</si>
  <si>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</si>
  <si>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</si>
  <si>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</si>
  <si>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</si>
  <si>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</si>
  <si>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</si>
  <si>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</si>
  <si>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</si>
  <si>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</si>
  <si>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</si>
  <si>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</si>
  <si>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</si>
  <si>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</si>
  <si>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</si>
  <si>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</si>
  <si>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</si>
  <si>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</si>
  <si>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</si>
  <si>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</si>
  <si>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</si>
  <si>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</si>
  <si>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</si>
  <si>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</si>
  <si>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</si>
  <si>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</si>
  <si>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</si>
  <si>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</si>
  <si>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</si>
  <si>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</si>
  <si>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</si>
  <si>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</si>
  <si>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</si>
  <si>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</si>
  <si>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</si>
  <si>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</si>
  <si>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</si>
  <si>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</si>
  <si>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</si>
  <si>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</si>
  <si>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</si>
  <si>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</si>
  <si>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</si>
  <si>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</si>
  <si>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</si>
  <si>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</si>
  <si>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Krycí list rozpočtu</t>
  </si>
  <si>
    <t>Název stavby:</t>
  </si>
  <si>
    <t>Objednatel:</t>
  </si>
  <si>
    <t>IČ/DIČ:</t>
  </si>
  <si>
    <t>Druh stavby:</t>
  </si>
  <si>
    <t>Lokalita:</t>
  </si>
  <si>
    <t>Zhotovitel:</t>
  </si>
  <si>
    <t>Začátek výstavby:</t>
  </si>
  <si>
    <t>Konec výstavby:</t>
  </si>
  <si>
    <t>Položek:</t>
  </si>
  <si>
    <t>48</t>
  </si>
  <si>
    <t>JKSO:</t>
  </si>
  <si>
    <t>Zpracoval:</t>
  </si>
  <si>
    <t>Rozpočtové náklady v Kč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</si>
  <si>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</si>
  <si>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</si>
  <si>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</si>
  <si>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</si>
  <si>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</si>
  <si>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</si>
  <si>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</si>
  <si>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</si>
  <si>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</si>
  <si>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</si>
  <si>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</si>
  <si>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</si>
  <si>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</si>
  <si>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</si>
  <si>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</si>
  <si>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</si>
  <si>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</si>
  <si>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</si>
  <si>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</si>
  <si>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</si>
  <si>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</si>
  <si>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</si>
  <si>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</si>
  <si>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</si>
  <si>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</si>
  <si>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</si>
  <si>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</si>
  <si>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</si>
  <si>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</si>
  <si>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</si>
  <si>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</si>
  <si>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</si>
  <si>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</si>
  <si>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</si>
  <si>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</si>
  <si>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</si>
  <si>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</si>
  <si>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Stavební rozpočet</t>
  </si>
  <si>
    <t>KOMPLEXNÍ KLIMATIZACE V OBJEKTU MZe</t>
  </si>
  <si>
    <t>Doba výstavby:</t>
  </si>
  <si>
    <t xml:space="preserve"> </t>
  </si>
  <si>
    <t> </t>
  </si>
  <si>
    <t>D.1.1. Architektonicko-stavební řešení</t>
  </si>
  <si>
    <t>Zpracováno dne:</t>
  </si>
  <si>
    <t>02.01.2020</t>
  </si>
  <si>
    <t>Kamila Možná</t>
  </si>
  <si>
    <t>Č</t>
  </si>
  <si>
    <t>Zkrácený popis</t>
  </si>
  <si>
    <t>Cena/MJ</t>
  </si>
  <si>
    <t>Náklady (Kč)</t>
  </si>
  <si>
    <t>Hmotnost (t)</t>
  </si>
  <si>
    <t>Cenová</t>
  </si>
  <si>
    <t>Rozměry</t>
  </si>
  <si>
    <t>(Kč)</t>
  </si>
  <si>
    <t>Dodávka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</si>
  <si>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</si>
  <si>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</si>
  <si>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</si>
  <si>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</si>
  <si>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</si>
  <si>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</si>
  <si>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</si>
  <si>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</si>
  <si>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</si>
  <si>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</si>
  <si>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</si>
  <si>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</si>
  <si>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</si>
  <si>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</si>
  <si>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</si>
  <si>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</si>
  <si>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</si>
  <si>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113108315R00</t>
  </si>
  <si>
    <t>Odstranění asfaltové vrstvy pl. do 50 m2, tl.15 cm</t>
  </si>
  <si>
    <t>m2</t>
  </si>
  <si>
    <t>RTS II / 2019</t>
  </si>
  <si>
    <t>11_</t>
  </si>
  <si>
    <t>1_</t>
  </si>
  <si>
    <t>_</t>
  </si>
  <si>
    <t>5*1,35;venkovní plocha;   </t>
  </si>
  <si>
    <t>27</t>
  </si>
  <si>
    <t>Základy</t>
  </si>
  <si>
    <t>273313621R00</t>
  </si>
  <si>
    <t>Beton základových desek prostý C 20/25</t>
  </si>
  <si>
    <t>m3</t>
  </si>
  <si>
    <t>27_</t>
  </si>
  <si>
    <t>2_</t>
  </si>
  <si>
    <t>5*1,35*0,3;základ pod jednotky;   </t>
  </si>
  <si>
    <t>3</t>
  </si>
  <si>
    <t>273351215R00</t>
  </si>
  <si>
    <t>Bednění stěn základových desek - zřízení</t>
  </si>
  <si>
    <t>5+1,35*0,1;bednění;   </t>
  </si>
  <si>
    <t>273351216R00</t>
  </si>
  <si>
    <t>Bednění stěn základových desek - odstranění</t>
  </si>
  <si>
    <t>5,135;viz bednění;   </t>
  </si>
  <si>
    <t>5</t>
  </si>
  <si>
    <t>273362021R00</t>
  </si>
  <si>
    <t>Výztuž základových desek ze svařovaných sití KARI</t>
  </si>
  <si>
    <t>t</t>
  </si>
  <si>
    <t>5*1,35*6/1000*2;vyztužení desky;   </t>
  </si>
  <si>
    <t>61</t>
  </si>
  <si>
    <t>Úprava povrchů vnitřní</t>
  </si>
  <si>
    <t>6</t>
  </si>
  <si>
    <t>612401191RV2</t>
  </si>
  <si>
    <t>Omítka malých ploch vnitřních stěn do 0,09 m2</t>
  </si>
  <si>
    <t>kus</t>
  </si>
  <si>
    <t>61_</t>
  </si>
  <si>
    <t>6_</t>
  </si>
  <si>
    <t>(20+14+14)*2;viz vrtání;   </t>
  </si>
  <si>
    <t>713</t>
  </si>
  <si>
    <t>Izolace tepelné</t>
  </si>
  <si>
    <t>7</t>
  </si>
  <si>
    <t>713552131R00</t>
  </si>
  <si>
    <t>Protipož. trubní ucpávka, do D 108 mm, stěna</t>
  </si>
  <si>
    <t>713_</t>
  </si>
  <si>
    <t>71_</t>
  </si>
  <si>
    <t>14;1np;   </t>
  </si>
  <si>
    <t>14;2np;   </t>
  </si>
  <si>
    <t>12;3np;   </t>
  </si>
  <si>
    <t>8</t>
  </si>
  <si>
    <t>713552151R00</t>
  </si>
  <si>
    <t>Protipož.trubní ucpávka, do D 108 mm, strop</t>
  </si>
  <si>
    <t>2;1-2np;   </t>
  </si>
  <si>
    <t>2;2-3np;   </t>
  </si>
  <si>
    <t>9</t>
  </si>
  <si>
    <t>210220401RT1</t>
  </si>
  <si>
    <t>Označení požárních ucpávek štítkem včetně dodávky štítku</t>
  </si>
  <si>
    <t>40+4;viz ucpávky;   </t>
  </si>
  <si>
    <t>764</t>
  </si>
  <si>
    <t>Konstrukce klempířské</t>
  </si>
  <si>
    <t>10</t>
  </si>
  <si>
    <t>764715248R00</t>
  </si>
  <si>
    <t>Krytina z lak. Al plechů,trapéz 30/0,8 mm, na ocel</t>
  </si>
  <si>
    <t>764_</t>
  </si>
  <si>
    <t>76_</t>
  </si>
  <si>
    <t>5*2;střecha;   </t>
  </si>
  <si>
    <t>766</t>
  </si>
  <si>
    <t>Konstrukce truhlářské</t>
  </si>
  <si>
    <t>766900020RAB</t>
  </si>
  <si>
    <t>Demontáž obložení podhledů</t>
  </si>
  <si>
    <t>766_</t>
  </si>
  <si>
    <t>27,20;3np;   </t>
  </si>
  <si>
    <t>767</t>
  </si>
  <si>
    <t>Konstrukce doplňkové stavební (zámečnické)</t>
  </si>
  <si>
    <t>12</t>
  </si>
  <si>
    <t>767584153R00</t>
  </si>
  <si>
    <t>Montáž podhledů kazetových, 60x60 nad 20 m2</t>
  </si>
  <si>
    <t>767_</t>
  </si>
  <si>
    <t>60,30;1np;   </t>
  </si>
  <si>
    <t>60,30;2np;   </t>
  </si>
  <si>
    <t>60,30;3np;   </t>
  </si>
  <si>
    <t>13</t>
  </si>
  <si>
    <t>63174021</t>
  </si>
  <si>
    <t>Kazeta 60x60x1,5 cm</t>
  </si>
  <si>
    <t>180,9*1,03;podhled krát ztratné 3%;   </t>
  </si>
  <si>
    <t>14</t>
  </si>
  <si>
    <t>767995100VDVD</t>
  </si>
  <si>
    <t>Montáž kovových konstrukcí</t>
  </si>
  <si>
    <t>kg</t>
  </si>
  <si>
    <t>936,56;HEA 160;   </t>
  </si>
  <si>
    <t>402,53;I 160;   </t>
  </si>
  <si>
    <t>90,64;tr. B70/3,2;   </t>
  </si>
  <si>
    <t>192,97;U 120;   </t>
  </si>
  <si>
    <t>13388140</t>
  </si>
  <si>
    <t>Tyč průřezu HEA160, střední, jakost oceli S235</t>
  </si>
  <si>
    <t>936,56/1000   </t>
  </si>
  <si>
    <t>;HEA 160;   </t>
  </si>
  <si>
    <t>16</t>
  </si>
  <si>
    <t>13380630</t>
  </si>
  <si>
    <t>Tyč průřezu I 160, střední, jakost oceli S235</t>
  </si>
  <si>
    <t>402,35/1000   </t>
  </si>
  <si>
    <t>;I 160;   </t>
  </si>
  <si>
    <t>17</t>
  </si>
  <si>
    <t>14470124</t>
  </si>
  <si>
    <t>Trubka ocelová bezešvá 70x 3,2</t>
  </si>
  <si>
    <t>m</t>
  </si>
  <si>
    <t>90,64   </t>
  </si>
  <si>
    <t>;trubka B70/3,2;   </t>
  </si>
  <si>
    <t>18</t>
  </si>
  <si>
    <t>13384430</t>
  </si>
  <si>
    <t>Tyč průřezu U 120, střední, jakost oceli S235</t>
  </si>
  <si>
    <t>192,97/1000   </t>
  </si>
  <si>
    <t>;U 120;   </t>
  </si>
  <si>
    <t>19</t>
  </si>
  <si>
    <t>767911130R00</t>
  </si>
  <si>
    <t>Montáž oplocení z pletiva v.do 2,0 m,napínací drát</t>
  </si>
  <si>
    <t>1,86+1,12+0,46;pletivo;   </t>
  </si>
  <si>
    <t>0,56;zaokrouhlení;   </t>
  </si>
  <si>
    <t>20</t>
  </si>
  <si>
    <t>31327535</t>
  </si>
  <si>
    <t>Pletivo 4hr. Zn+PVC, v.2000mm</t>
  </si>
  <si>
    <t>4;viz montáž;   </t>
  </si>
  <si>
    <t>767614211R00</t>
  </si>
  <si>
    <t>Montáž sloupku včetně osazovací lišty</t>
  </si>
  <si>
    <t>2;sloupek;   </t>
  </si>
  <si>
    <t>22</t>
  </si>
  <si>
    <t>5534622125</t>
  </si>
  <si>
    <t>Sloupek plotový 38/2300 mm</t>
  </si>
  <si>
    <t>23</t>
  </si>
  <si>
    <t>767995129VD</t>
  </si>
  <si>
    <t>Osazení branek</t>
  </si>
  <si>
    <t>2;branky;   </t>
  </si>
  <si>
    <t>;1 branku upravit na rozměr 910mm;   </t>
  </si>
  <si>
    <t>24</t>
  </si>
  <si>
    <t>55342605</t>
  </si>
  <si>
    <t>Branka ocelová h = 2000 mm š = 1000 mm</t>
  </si>
  <si>
    <t>25</t>
  </si>
  <si>
    <t>549110014VD</t>
  </si>
  <si>
    <t>Kování + zámek</t>
  </si>
  <si>
    <t>2;branka;   </t>
  </si>
  <si>
    <t>783</t>
  </si>
  <si>
    <t>Nátěry</t>
  </si>
  <si>
    <t>26</t>
  </si>
  <si>
    <t>783181121R00</t>
  </si>
  <si>
    <t>Žárové zinkování</t>
  </si>
  <si>
    <t>783_</t>
  </si>
  <si>
    <t>78_</t>
  </si>
  <si>
    <t>0,16*6*30,75;HEA 160;   </t>
  </si>
  <si>
    <t>(0,16*2+0,074*4)*22,49;I 160;   </t>
  </si>
  <si>
    <t>3,14*0,07*0,07/4*17,6;tr. B70/3,2;   </t>
  </si>
  <si>
    <t>(0,12*2+0,065*4)*14,46;U 120;   </t>
  </si>
  <si>
    <t>784</t>
  </si>
  <si>
    <t>Malby</t>
  </si>
  <si>
    <t>784433271R00</t>
  </si>
  <si>
    <t>Malba klih.2x, 1bar.+strop,pačok 2x, míst. do 3,8m</t>
  </si>
  <si>
    <t>784_</t>
  </si>
  <si>
    <t>96*0,5;viz zazdívka;   </t>
  </si>
  <si>
    <t>787</t>
  </si>
  <si>
    <t>Zasklívání</t>
  </si>
  <si>
    <t>28</t>
  </si>
  <si>
    <t>787900010RA0</t>
  </si>
  <si>
    <t>Vysklení a opětné zasklení oken a dveří</t>
  </si>
  <si>
    <t>787_</t>
  </si>
  <si>
    <t>1,95*0,6*4;1np;   </t>
  </si>
  <si>
    <t>1,95*0,6*2;2np;   </t>
  </si>
  <si>
    <t>1,95*0,6*1;3np;   </t>
  </si>
  <si>
    <t>91</t>
  </si>
  <si>
    <t>Doplňující konstrukce a práce na pozemních komunikacích a zpevněných plochách</t>
  </si>
  <si>
    <t>29</t>
  </si>
  <si>
    <t>919735114R00</t>
  </si>
  <si>
    <t>Řezání stávajícího živičného krytu tl. 15 - 20 cm</t>
  </si>
  <si>
    <t>91_</t>
  </si>
  <si>
    <t>9_</t>
  </si>
  <si>
    <t>5+1,35;venkovní plocha;   </t>
  </si>
  <si>
    <t>94</t>
  </si>
  <si>
    <t>Lešení a stavební výtahy</t>
  </si>
  <si>
    <t>30</t>
  </si>
  <si>
    <t>941941031R00</t>
  </si>
  <si>
    <t>Montáž lešení leh.řad.s podlahami,š.do 1 m, H 10 m</t>
  </si>
  <si>
    <t>94_</t>
  </si>
  <si>
    <t>(5+2)*4,5;lešení pro přístřešek;   </t>
  </si>
  <si>
    <t>31</t>
  </si>
  <si>
    <t>941941191R00</t>
  </si>
  <si>
    <t>Příplatek za každý měsíc použití lešení k pol.1031</t>
  </si>
  <si>
    <t>31,5;viz montáž;   </t>
  </si>
  <si>
    <t>32</t>
  </si>
  <si>
    <t>941941831R00</t>
  </si>
  <si>
    <t>Demontáž lešení leh.řad.s podlahami,š.1 m, H 10 m</t>
  </si>
  <si>
    <t>33</t>
  </si>
  <si>
    <t>998009101R00</t>
  </si>
  <si>
    <t>Přesun hmot lešení samostatně budovaného</t>
  </si>
  <si>
    <t>95</t>
  </si>
  <si>
    <t>Různé dokončovací konstrukce a práce na pozemních stavbách</t>
  </si>
  <si>
    <t>34</t>
  </si>
  <si>
    <t>952901111R00</t>
  </si>
  <si>
    <t>Vyčištění budov o výšce podlaží do 4 m</t>
  </si>
  <si>
    <t>95_</t>
  </si>
  <si>
    <t>180,9;viz nový podhled;   </t>
  </si>
  <si>
    <t>14*2;centrální schodiště;   </t>
  </si>
  <si>
    <t>25;venkovníschodiště + vstupní chodba;   </t>
  </si>
  <si>
    <t>35</t>
  </si>
  <si>
    <t>953981103R00</t>
  </si>
  <si>
    <t>Chemické kotvy do betonu, M 12</t>
  </si>
  <si>
    <t>4*3*2;kotvení sloupků;   </t>
  </si>
  <si>
    <t>36</t>
  </si>
  <si>
    <t>953941312R00</t>
  </si>
  <si>
    <t>Osazení požárního hasicího přístroje na stěnu</t>
  </si>
  <si>
    <t>2;viz PBŘ;   </t>
  </si>
  <si>
    <t>37</t>
  </si>
  <si>
    <t>44984124</t>
  </si>
  <si>
    <t>Přístroj hasicí práškový 21A/183B</t>
  </si>
  <si>
    <t>2;viz osazení;   </t>
  </si>
  <si>
    <t>97</t>
  </si>
  <si>
    <t>Prorážení otvorů a ostatní bourací práce</t>
  </si>
  <si>
    <t>38</t>
  </si>
  <si>
    <t>970031020R00</t>
  </si>
  <si>
    <t>Vrtání jádrové do zdiva cihelného d 20 mm</t>
  </si>
  <si>
    <t>97_</t>
  </si>
  <si>
    <t>2*0,1+4*0,45+2*0,6;1np;   </t>
  </si>
  <si>
    <t>1*0,1;3np;   </t>
  </si>
  <si>
    <t>39</t>
  </si>
  <si>
    <t>970031100R00</t>
  </si>
  <si>
    <t>Vrtání jádrové do zdiva cihelného do D 100 mm</t>
  </si>
  <si>
    <t>14*0,1;1np;   </t>
  </si>
  <si>
    <t>14*0,1;2np;   </t>
  </si>
  <si>
    <t>12*0,1;3np;   </t>
  </si>
  <si>
    <t>40</t>
  </si>
  <si>
    <t>970051300R00</t>
  </si>
  <si>
    <t>Vrtání jádrové do ŽB do D 315 mm</t>
  </si>
  <si>
    <t>2*0,2;1-2np;   </t>
  </si>
  <si>
    <t>2*0,2;2-3np;   </t>
  </si>
  <si>
    <t>H99</t>
  </si>
  <si>
    <t>Ostatní přesuny hmot</t>
  </si>
  <si>
    <t>41</t>
  </si>
  <si>
    <t>999281108R00</t>
  </si>
  <si>
    <t>Přesun hmot pro opravy a údržbu do výšky 12 m</t>
  </si>
  <si>
    <t>H99_</t>
  </si>
  <si>
    <t>9,45528;viz hmotnost;   </t>
  </si>
  <si>
    <t>S</t>
  </si>
  <si>
    <t>Přesuny sutí</t>
  </si>
  <si>
    <t>42</t>
  </si>
  <si>
    <t>979082111R00</t>
  </si>
  <si>
    <t>Vnitrostaveništní doprava suti do 10 m</t>
  </si>
  <si>
    <t>S_</t>
  </si>
  <si>
    <t>2,94237;viz hmotnost;   </t>
  </si>
  <si>
    <t>43</t>
  </si>
  <si>
    <t>979082212R00</t>
  </si>
  <si>
    <t>Vodorovná doprava suti po suchu do 50 m</t>
  </si>
  <si>
    <t>44</t>
  </si>
  <si>
    <t>979087113R00</t>
  </si>
  <si>
    <t>Nakládání vybour.hmot na doprav.prostředky</t>
  </si>
  <si>
    <t>45</t>
  </si>
  <si>
    <t>979081111R00</t>
  </si>
  <si>
    <t>Odvoz suti a vybour. hmot na skládku do 1 km</t>
  </si>
  <si>
    <t>46</t>
  </si>
  <si>
    <t>979081121R00</t>
  </si>
  <si>
    <t>Příplatek k odvozu za každý další 1 km</t>
  </si>
  <si>
    <t>2,94237*19;viz hmotnost-odvoz celkem do 20km;   </t>
  </si>
  <si>
    <t>47</t>
  </si>
  <si>
    <t>979999999R00</t>
  </si>
  <si>
    <t>Poplatek za skládku - vybourané hmoty</t>
  </si>
  <si>
    <t>0,71487;viz hmotnost;   </t>
  </si>
  <si>
    <t>979990113R00</t>
  </si>
  <si>
    <t>Poplatek za skládku suti-obal.kam-asfalt nad 30x30</t>
  </si>
  <si>
    <t>2,2275;viz hmotnost;   </t>
  </si>
  <si>
    <t>Celkem:</t>
  </si>
  <si>
    <t>REKAPITULACE ROZPOČTU</t>
  </si>
  <si>
    <t>Vydání: 1</t>
  </si>
  <si>
    <t>Recap budget</t>
  </si>
  <si>
    <t>Revize: 0</t>
  </si>
  <si>
    <t>Účinnost ŘD od: 16.1.2017</t>
  </si>
  <si>
    <t>1NCI_FO_0038_RZP Rozpočet</t>
  </si>
  <si>
    <t>Název zakázky:</t>
  </si>
  <si>
    <t>Investor:</t>
  </si>
  <si>
    <t>Číslo zakázky:</t>
  </si>
  <si>
    <t>Komplexní klimatizace v objektu MZe</t>
  </si>
  <si>
    <t>19-042-150 NCI</t>
  </si>
  <si>
    <t>Název dokumentace:</t>
  </si>
  <si>
    <t>Hlavní projektant:</t>
  </si>
  <si>
    <t>Stupeň PD:</t>
  </si>
  <si>
    <t>D.1.4.1 - Chlazení</t>
  </si>
  <si>
    <t>NCI.CZ Engineering s.r.o.</t>
  </si>
  <si>
    <t>DPS</t>
  </si>
  <si>
    <t>Sv.</t>
  </si>
  <si>
    <t>X.0.0</t>
  </si>
  <si>
    <t>Projektant profese:</t>
  </si>
  <si>
    <t>Vypracoval:</t>
  </si>
  <si>
    <t>Ing. Kateřina Hábová</t>
  </si>
  <si>
    <t>REKAPITULACE PO ZAŘÍZENÍCH:</t>
  </si>
  <si>
    <t>název zařízení a materiálu</t>
  </si>
  <si>
    <t>celková cena dodávky</t>
  </si>
  <si>
    <t xml:space="preserve">celková cena montáže </t>
  </si>
  <si>
    <t>celková cena</t>
  </si>
  <si>
    <t>01 - Klimatizace kanceláří</t>
  </si>
  <si>
    <t>02 - Klimatizace v zasedací místnosti v 1.NP</t>
  </si>
  <si>
    <t>03 - Klimatizace serveru v 3.NP</t>
  </si>
  <si>
    <t>04 - Montážní, závěsový, spojovací, těsnící materiál a jeřáby</t>
  </si>
  <si>
    <t xml:space="preserve">05 - Najetí, Komplexní vyzkoušení, Seřízení a zaregulování </t>
  </si>
  <si>
    <r>
      <t xml:space="preserve">CELKEM ZÁKLADNÍ ROZPOČTOVÉ NÁKLADY </t>
    </r>
    <r>
      <rPr>
        <sz val="7"/>
        <rFont val="Arial"/>
        <family val="2"/>
        <charset val="238"/>
      </rPr>
      <t>(bez DPH)</t>
    </r>
    <r>
      <rPr>
        <b/>
        <sz val="7"/>
        <rFont val="Arial"/>
        <family val="2"/>
        <charset val="238"/>
      </rPr>
      <t>:</t>
    </r>
  </si>
  <si>
    <t>CELKOVÁ REKAPITULACE:</t>
  </si>
  <si>
    <t>položka</t>
  </si>
  <si>
    <t>převod - dodávka a montáž</t>
  </si>
  <si>
    <t>náklad na dopravu dodávek</t>
  </si>
  <si>
    <t>%</t>
  </si>
  <si>
    <t>(% z ceny dodávek)</t>
  </si>
  <si>
    <t>náklad na dopravu pracovníků</t>
  </si>
  <si>
    <t>(% z ceny montáží)</t>
  </si>
  <si>
    <t>zařízení staveniště</t>
  </si>
  <si>
    <t>přesun strojů a zařízení(vnitrodoprava)</t>
  </si>
  <si>
    <t>(% z ceny dodávekí)</t>
  </si>
  <si>
    <t>přesun VZT potrubí(vnitrodoprava)</t>
  </si>
  <si>
    <t>zednické přípomoci</t>
  </si>
  <si>
    <t>(% z ceny montážíí)</t>
  </si>
  <si>
    <r>
      <t>CELKEM ZÁKLADNÍ A VEDLEJŚÍ ROZPOČTOVÉ NÁKLADY</t>
    </r>
    <r>
      <rPr>
        <sz val="7"/>
        <rFont val="Arial"/>
        <family val="2"/>
        <charset val="238"/>
      </rPr>
      <t xml:space="preserve"> (bez DPH)</t>
    </r>
    <r>
      <rPr>
        <b/>
        <sz val="7"/>
        <rFont val="Arial"/>
        <family val="2"/>
        <charset val="238"/>
      </rPr>
      <t>:</t>
    </r>
  </si>
  <si>
    <t>CELKEM ZAKÁZKA:</t>
  </si>
  <si>
    <r>
      <t xml:space="preserve">CELKEM ZAKÁZKA </t>
    </r>
    <r>
      <rPr>
        <sz val="7"/>
        <rFont val="Arial"/>
        <family val="2"/>
        <charset val="238"/>
      </rPr>
      <t>(bez DPH)</t>
    </r>
    <r>
      <rPr>
        <b/>
        <sz val="7"/>
        <rFont val="Arial"/>
        <family val="2"/>
        <charset val="238"/>
      </rPr>
      <t>:</t>
    </r>
  </si>
  <si>
    <t>%DPH</t>
  </si>
  <si>
    <t>CELKEM ZAKÁZKA (s DPH):</t>
  </si>
  <si>
    <t>sestavil:</t>
  </si>
  <si>
    <t>CELKEM BEZ DPH:</t>
  </si>
  <si>
    <t>CELKEM ZAKÁZKA</t>
  </si>
  <si>
    <t>CELKEM:</t>
  </si>
  <si>
    <t>zpracování dokumentace skutečného provedení</t>
  </si>
  <si>
    <t>5.1.5</t>
  </si>
  <si>
    <t>zpracování dodavatelské dokumentace</t>
  </si>
  <si>
    <t>5.1.4</t>
  </si>
  <si>
    <t>seznámení pracovníků s obsluhou a jejich zaškolení</t>
  </si>
  <si>
    <t>5.1.3</t>
  </si>
  <si>
    <t>najetí, seřízení a zaregulování</t>
  </si>
  <si>
    <t>5.1.2</t>
  </si>
  <si>
    <t>komplexní vyzkoušení</t>
  </si>
  <si>
    <t>5.1.1</t>
  </si>
  <si>
    <t xml:space="preserve">Zařízení č.05 - Najetí, Komplexní vyzkoušení, Seřízení a zaregulování </t>
  </si>
  <si>
    <t>05</t>
  </si>
  <si>
    <t>soubor</t>
  </si>
  <si>
    <t>Pomocný, montážní, těsnící  a spojovací materiál</t>
  </si>
  <si>
    <t>4.1.1</t>
  </si>
  <si>
    <t>Zařízení č.04 - Montážní, závěsový, spojovací, těsnící materiál a jeřáby</t>
  </si>
  <si>
    <t>04</t>
  </si>
  <si>
    <t>ks</t>
  </si>
  <si>
    <t>Konzole pro venkovní jednotku</t>
  </si>
  <si>
    <t>3.2.4</t>
  </si>
  <si>
    <t>specifikace viz zadávací list ZLP - VZT 007</t>
  </si>
  <si>
    <t>Okenní kontakt - magnetický kontakt samolepící</t>
  </si>
  <si>
    <t>3.2.3</t>
  </si>
  <si>
    <t>specifikace viz zadávací list ZLP - VZT 010</t>
  </si>
  <si>
    <t>bm</t>
  </si>
  <si>
    <t>Dual Cu potrubí chladiva vč. Izolace 6,3x9,5</t>
  </si>
  <si>
    <t>3.2.2</t>
  </si>
  <si>
    <t>čerpací výška 600 mm</t>
  </si>
  <si>
    <t>Čerpadlo pro odvod kondenzátu (příslušentsví nástěnných klim. jednotek)</t>
  </si>
  <si>
    <t>3.2.1</t>
  </si>
  <si>
    <t>specifikace viz zadávací list ZLP - VZT 012</t>
  </si>
  <si>
    <t>Nástěnná klimatizační jednotka vč. infraovladače Qch=2,5kW</t>
  </si>
  <si>
    <t>3.1.2</t>
  </si>
  <si>
    <t>specifikace viz zadávací list ZLP - VZT 011</t>
  </si>
  <si>
    <t>Venkovní kondenzační jednotka, Qchl=2,5 kW</t>
  </si>
  <si>
    <t>3.1.1</t>
  </si>
  <si>
    <t>Zařízení č.03 - Klimatizace serveru v 3.NP</t>
  </si>
  <si>
    <t>03</t>
  </si>
  <si>
    <t>2.2.4</t>
  </si>
  <si>
    <t>2.2.3</t>
  </si>
  <si>
    <t>2.2.2</t>
  </si>
  <si>
    <t>2.2.1</t>
  </si>
  <si>
    <t>specifikace viz zadávací list ZLP - VZT 009</t>
  </si>
  <si>
    <t>2.1.2</t>
  </si>
  <si>
    <t>specifikace viz zadávací list ZLP - VZT 008</t>
  </si>
  <si>
    <t>Venkovní kondenzační jednotka - multi split systém, Qchl=5,2 kW</t>
  </si>
  <si>
    <t>2.1.1</t>
  </si>
  <si>
    <t>Zařízení č.02 - Klimatizace v zasedací místnosti v 1.NP</t>
  </si>
  <si>
    <t>02</t>
  </si>
  <si>
    <t>Instalační box pro přípravu potrubního vedení a kabeláže k budocí instalaci vnitřních nástěnných klimatizačních jednotek. Do boxu je možné přivést chladivové ptorubí, odvod kondenzátu a kabely. Součástí balení je také čelní kryt pod omítku.</t>
  </si>
  <si>
    <t>Instalační box pro přípravu instalace klimatizace</t>
  </si>
  <si>
    <t>1.2.12</t>
  </si>
  <si>
    <t>Konstrukce pod venkovní jednotku</t>
  </si>
  <si>
    <t>1.2.11</t>
  </si>
  <si>
    <t>Chladivo R410a</t>
  </si>
  <si>
    <t>1.2.10</t>
  </si>
  <si>
    <t>1.2.9</t>
  </si>
  <si>
    <t>RBM-BY55E</t>
  </si>
  <si>
    <t>Y-odbočka</t>
  </si>
  <si>
    <t>1.2.8</t>
  </si>
  <si>
    <t>RBM-BY105E</t>
  </si>
  <si>
    <t>1.2.7</t>
  </si>
  <si>
    <t>22,2 mm</t>
  </si>
  <si>
    <t>1.2.6</t>
  </si>
  <si>
    <t>15,9 mm</t>
  </si>
  <si>
    <t>1.2.5</t>
  </si>
  <si>
    <t>12,7 mm</t>
  </si>
  <si>
    <t>1.2.4</t>
  </si>
  <si>
    <t>9,5 mm</t>
  </si>
  <si>
    <t>1.2.3</t>
  </si>
  <si>
    <t>6,4 mm</t>
  </si>
  <si>
    <t>1.2.2</t>
  </si>
  <si>
    <t>specifikace viz zadávací list ZLP - VZT 006</t>
  </si>
  <si>
    <t>Cu potrubí chladiva vč. Izolace</t>
  </si>
  <si>
    <t>1.2.1</t>
  </si>
  <si>
    <t>specifikace viz zadávací list ZLP - VZT 005</t>
  </si>
  <si>
    <t>Nástěnná klimatizační jednotka vč. infraovladače Qch=3,6kW</t>
  </si>
  <si>
    <t>1.1.5</t>
  </si>
  <si>
    <t>specifikace viz zadávací list ZLP - VZT 004</t>
  </si>
  <si>
    <t>Nástěnná klimatizační jednotka vč. infraovladače Qch=2,8kW</t>
  </si>
  <si>
    <t>1.1.4</t>
  </si>
  <si>
    <t>specifikace viz zadávací list ZLP - VZT 003</t>
  </si>
  <si>
    <t>Nástěnná klimatizační jednotka vč. infraovladače Qch=2,2kW</t>
  </si>
  <si>
    <t>1.1.3</t>
  </si>
  <si>
    <t>specifikace viz zadávací list ZLP - VZT 002</t>
  </si>
  <si>
    <t>2-trubková venkovní jednotka VRF, Qchl=28 kW</t>
  </si>
  <si>
    <t>1.1.2b</t>
  </si>
  <si>
    <t>1.1.2a</t>
  </si>
  <si>
    <t>specifikace viz zadávací list ZLP - VZT 001</t>
  </si>
  <si>
    <t>Kompaktní 2-vodičová venkovní jednotka VRF, Qchl=15,5 kW</t>
  </si>
  <si>
    <t>1.1.1</t>
  </si>
  <si>
    <t>Zařízení č.01 - Klimatizace kanceláří</t>
  </si>
  <si>
    <t>01</t>
  </si>
  <si>
    <t>celková</t>
  </si>
  <si>
    <t>jednotková</t>
  </si>
  <si>
    <t>číslo</t>
  </si>
  <si>
    <t>cena</t>
  </si>
  <si>
    <t xml:space="preserve">cena montáže </t>
  </si>
  <si>
    <t>cena dodávky</t>
  </si>
  <si>
    <t>počet</t>
  </si>
  <si>
    <t>pozice</t>
  </si>
  <si>
    <t>Česká republika – Ministerstvo zemědělství</t>
  </si>
  <si>
    <t>Budget</t>
  </si>
  <si>
    <t>ROZPOČET</t>
  </si>
  <si>
    <t>Trevos Semily</t>
  </si>
  <si>
    <t>PRAKAB Praha silnoproud</t>
  </si>
  <si>
    <t>OEZ Letohrad</t>
  </si>
  <si>
    <t>Nezařazené</t>
  </si>
  <si>
    <t>Montážní ceník M21</t>
  </si>
  <si>
    <t>Kopos Kolín</t>
  </si>
  <si>
    <t>Hensel</t>
  </si>
  <si>
    <t>Elektro Bečov</t>
  </si>
  <si>
    <t>Seznam výrobců</t>
  </si>
  <si>
    <t>Elektroinstalace</t>
  </si>
  <si>
    <t>Materiál</t>
  </si>
  <si>
    <t>Součty odstavců</t>
  </si>
  <si>
    <t>Roční nárůst cen 0,00%</t>
  </si>
  <si>
    <t>Náklady celkem s DPH</t>
  </si>
  <si>
    <t>Základ a hodnota DPH 15%</t>
  </si>
  <si>
    <t>Základ a hodnota DPH 21%</t>
  </si>
  <si>
    <t>Náklady celkem</t>
  </si>
  <si>
    <t>Kompletační činnost</t>
  </si>
  <si>
    <t>Vedlejší náklady celkem</t>
  </si>
  <si>
    <t>Provozní vlivy 0,00% z pravé strany mezisoučtu 2</t>
  </si>
  <si>
    <t>GZS 0,00% z pravé strany mezisoučtu 2</t>
  </si>
  <si>
    <t>Vedlejší náklady</t>
  </si>
  <si>
    <t>Základní náklady celkem</t>
  </si>
  <si>
    <t>Opravy v záruce 0,00% z mezisoučtu 1</t>
  </si>
  <si>
    <t>Rizika a pojištění 0,00% z mezisoučtu 2</t>
  </si>
  <si>
    <t>Dodav. dokumentace 0,00% z mezisoučtu 2</t>
  </si>
  <si>
    <t>Mezisoučet 2</t>
  </si>
  <si>
    <t>PPV 0,00% z nátěrů a zemních prací</t>
  </si>
  <si>
    <t>Zemní práce</t>
  </si>
  <si>
    <t>PPV 6,00% z montáže: materiál + práce</t>
  </si>
  <si>
    <t>Mezisoučet 1</t>
  </si>
  <si>
    <t>Montáž - práce</t>
  </si>
  <si>
    <t>Montáž - materiál</t>
  </si>
  <si>
    <t>Doprava 3,60%, Přesun 1,00%</t>
  </si>
  <si>
    <t>Základní náklady</t>
  </si>
  <si>
    <t>Hodnota B</t>
  </si>
  <si>
    <t>Hodnota A</t>
  </si>
  <si>
    <t>Elektroinstalace - celkem</t>
  </si>
  <si>
    <t>280001</t>
  </si>
  <si>
    <t xml:space="preserve"> do 100 tis.Kč</t>
  </si>
  <si>
    <t>Zkoušky a prohlídky elektrických rozvodů a zařízení celková prohlídka a vyhotovení revizní zprávy pro objem montážních prací</t>
  </si>
  <si>
    <t>hod</t>
  </si>
  <si>
    <t xml:space="preserve"> Demontaz stavajiciho zarizeni</t>
  </si>
  <si>
    <t>HODINOVE ZUCTOVACI SAZBY</t>
  </si>
  <si>
    <t>200054</t>
  </si>
  <si>
    <t xml:space="preserve"> 1 zdroj</t>
  </si>
  <si>
    <t>Montáž svítidel žárovkových se zapojením vodičů bytových nebo do spol.místností stropních vestavných</t>
  </si>
  <si>
    <t>120453</t>
  </si>
  <si>
    <t xml:space="preserve"> ve skříni</t>
  </si>
  <si>
    <t>Montáž jističů se zapojením vodičů třípólových nn do 25 A</t>
  </si>
  <si>
    <t>120412</t>
  </si>
  <si>
    <t>Montáž jističů se zapojením vodičů jednopólových nn do 25 A</t>
  </si>
  <si>
    <t>Ks</t>
  </si>
  <si>
    <t>PNA1 50A gG Pojistková vložka</t>
  </si>
  <si>
    <t>2332/LPE-1_F50U TRUBKA OHEBNÁ EN LPE 320N</t>
  </si>
  <si>
    <t>LK 80/3_HB KRABICE LIŠTOVÁ</t>
  </si>
  <si>
    <t>8102_KA KRABICE PANCÉŘOVÁ</t>
  </si>
  <si>
    <t>LH 15X10_HC LIŠTA HRANATÁ</t>
  </si>
  <si>
    <t>EKD 100X40_HD KANÁL ELEKTROINSTALAČNÍ</t>
  </si>
  <si>
    <t>PRAFlaSafe X 1x10 RE CR , pevně</t>
  </si>
  <si>
    <t>SILOVÉ VODIČE S MALÝM MNOŽSTVÍM UVOLNĚNÉHO TEPLA PŘI POŽÁRU</t>
  </si>
  <si>
    <t>VODIČ JEDNOŽILOVÝ, IZOLACE PVC</t>
  </si>
  <si>
    <t>PRAFlaSafe X-J 3x1,5 RE , pevně</t>
  </si>
  <si>
    <t>PRAFlaSafe X-J 3x2,5 RE , pevně</t>
  </si>
  <si>
    <t>PRAFlaSafe X-J 5x2,5 RE , pevně</t>
  </si>
  <si>
    <t>PRAFlaSafe X-J 5x4 RE , pevně</t>
  </si>
  <si>
    <t>SILOVÉ KABELY S MALÝM MNOŽSTVÍM UVOLNĚNÉHO TEPLA PŘI POŽÁRU</t>
  </si>
  <si>
    <t>CYKY-O 2x1,5 , pevně</t>
  </si>
  <si>
    <t>CYKY-J 5x16 RE , pevně</t>
  </si>
  <si>
    <t>KABEL SILOVÝ,IZOLACE PVC</t>
  </si>
  <si>
    <t>SA-203 Detektor magnetický kontakt mini samolepící</t>
  </si>
  <si>
    <t>PSV ROMA B LED 4700/840 PAR svítidlo interiérové vestavné do podhledu s LED modulem 4700 lm, spektrum 840 - parabolická mřížka</t>
  </si>
  <si>
    <t>doplnění do rozvaděčů R5-R10</t>
  </si>
  <si>
    <t>LTE-10B-1 Jistič</t>
  </si>
  <si>
    <t>AKM 20 Vývodka k instalaci do vnitřních prostor IP 65</t>
  </si>
  <si>
    <t>AKM 25 Vývodka k instalaci do vnitřních prostor IP 65</t>
  </si>
  <si>
    <t>AKM 40 Vývodka k instalaci do vnitřních prostor IP 65</t>
  </si>
  <si>
    <t>BARVA SVĚTLE ŠEDÁ, RAL 7035, MTERIÁL POLYAMID</t>
  </si>
  <si>
    <t>UCPÁVKOVÉ VÝVODKY S ODLEHČENÍM KABELU V TAHU KRYTÍ IP 65</t>
  </si>
  <si>
    <t>LES-SYSTÉM PŘIPOJENÍ VEDENÍ</t>
  </si>
  <si>
    <t>RSA PE 2,5 A Řadová svornice</t>
  </si>
  <si>
    <t>RSA PE 4 A Řadová svornice</t>
  </si>
  <si>
    <t>RSA PE 16 A Řadová svornice</t>
  </si>
  <si>
    <t>S VODIVÝM SPOJENÍM NA LIŠTU</t>
  </si>
  <si>
    <t>ŘADOVÉ SVORNICE RSA PE</t>
  </si>
  <si>
    <t>RSA 2,5A Řadová svornice</t>
  </si>
  <si>
    <t>ŘADOVÉ SVORNICE RSA 2,5 A</t>
  </si>
  <si>
    <t>RSA 4 A Řadová svornice</t>
  </si>
  <si>
    <t>ŘADOVÉ SVORNICE RSA 4 A</t>
  </si>
  <si>
    <t>RSA 16 A Řadová svornice</t>
  </si>
  <si>
    <t>ŘADOVÉ SVORNICE RSA 16 A</t>
  </si>
  <si>
    <t>PW1, PW2, PW3</t>
  </si>
  <si>
    <t>ELEKTROMĚR 72D 0,25-100A</t>
  </si>
  <si>
    <t>PW4, PW5</t>
  </si>
  <si>
    <t>ELEKTROMĚR DZT6002 0,025-45A, ÚŘEDNĚ OVĚŘENÝ</t>
  </si>
  <si>
    <t>F5</t>
  </si>
  <si>
    <t>F4</t>
  </si>
  <si>
    <t>LTE-13B-1 Jistič</t>
  </si>
  <si>
    <t>F1</t>
  </si>
  <si>
    <t>LTE-16B-3 Jistič</t>
  </si>
  <si>
    <t>F2, F3</t>
  </si>
  <si>
    <t>LTE-20B-3 Jistič</t>
  </si>
  <si>
    <t>SPD1</t>
  </si>
  <si>
    <t>SVBC-12,5-4-MZ Kombinovaný svodič bleskových proudů a přepětí</t>
  </si>
  <si>
    <t>Q1</t>
  </si>
  <si>
    <t>MSO-63-3 Vypínač</t>
  </si>
  <si>
    <t>PD-D-L35-VU24 „U“ lišta</t>
  </si>
  <si>
    <t>R.VZT.1</t>
  </si>
  <si>
    <t>DN43-2405 Rozvodnicová skříň</t>
  </si>
  <si>
    <t>Poznámka 2</t>
  </si>
  <si>
    <t>Poznámka 1</t>
  </si>
  <si>
    <t>Cena</t>
  </si>
  <si>
    <t>Montáž celkem</t>
  </si>
  <si>
    <t>Montážní položka</t>
  </si>
  <si>
    <t>Materiál celkem</t>
  </si>
  <si>
    <t>Počet</t>
  </si>
  <si>
    <t>Mj</t>
  </si>
  <si>
    <t>Pozice</t>
  </si>
  <si>
    <t>přesun ZTI potrubí(vnitrodoprava)</t>
  </si>
  <si>
    <t>01 - Odvod kondenzátu od vnitřních klim. jednotek</t>
  </si>
  <si>
    <t>D.1.4.3 - Zdravotně technické instalace</t>
  </si>
  <si>
    <t>Drobné stavební přípomoce</t>
  </si>
  <si>
    <t>07</t>
  </si>
  <si>
    <t>Drobný montážní materiál (fitinky, konzole, spojky, závěsový materiál atp.)</t>
  </si>
  <si>
    <t>06</t>
  </si>
  <si>
    <t xml:space="preserve">Zápachová uzávěrka pro odvod kondenzátu  </t>
  </si>
  <si>
    <t>d=16mm</t>
  </si>
  <si>
    <t>Zápachová uzávěrka pro odvod kondenzátu  - Sifonová smička</t>
  </si>
  <si>
    <t>vč. tvarovek (kolena, odbočky)</t>
  </si>
  <si>
    <t>Potrubí z plastových trub polypropylenové (HT systém) připojovací DN32</t>
  </si>
  <si>
    <t>Potrubí pro odvod konenzátu - hadice d=16 mm</t>
  </si>
  <si>
    <t>Odvod kondenzátu od vnitřních klim. jednotek</t>
  </si>
  <si>
    <t>dle požadavku PBŘ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</si>
</sst>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_K_č"/>
  </numFmts>
  <fonts count="76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i/>
      <sz val="8"/>
      <name val="Arial CE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 CE"/>
      <charset val="238"/>
    </font>
    <font>
      <b/>
      <sz val="7"/>
      <name val="Arial CE"/>
      <charset val="238"/>
    </font>
    <font>
      <b/>
      <sz val="10"/>
      <name val="Arial"/>
      <family val="2"/>
      <charset val="238"/>
    </font>
    <font>
      <sz val="10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7"/>
      <name val="Tahoma"/>
      <family val="2"/>
      <charset val="238"/>
    </font>
    <font>
      <sz val="9"/>
      <name val="Tahoma"/>
      <family val="2"/>
      <charset val="238"/>
    </font>
    <font>
      <i/>
      <sz val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E0"/>
        <bgColor indexed="64"/>
      </patternFill>
    </fill>
  </fills>
  <borders count="10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38" fillId="0" borderId="0" applyNumberFormat="0" applyFill="0" applyBorder="0" applyAlignment="0" applyProtection="0"/>
    <xf numFmtId="0" fontId="40" fillId="0" borderId="1"/>
    <xf numFmtId="0" fontId="50" fillId="0" borderId="1"/>
    <xf numFmtId="0" fontId="1" fillId="0" borderId="1"/>
  </cellStyleXfs>
  <cellXfs count="6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40" fillId="0" borderId="11" xfId="2" applyBorder="1"/>
    <xf numFmtId="0" fontId="40" fillId="0" borderId="11" xfId="2" applyBorder="1" applyAlignment="1">
      <alignment vertical="center"/>
    </xf>
    <xf numFmtId="0" fontId="40" fillId="0" borderId="1" xfId="2" applyAlignment="1">
      <alignment vertical="center"/>
    </xf>
    <xf numFmtId="0" fontId="40" fillId="0" borderId="4" xfId="2" applyBorder="1" applyAlignment="1">
      <alignment vertical="center"/>
    </xf>
    <xf numFmtId="49" fontId="44" fillId="5" borderId="36" xfId="2" applyNumberFormat="1" applyFont="1" applyFill="1" applyBorder="1" applyAlignment="1">
      <alignment horizontal="center" vertical="center"/>
    </xf>
    <xf numFmtId="49" fontId="46" fillId="0" borderId="37" xfId="2" applyNumberFormat="1" applyFont="1" applyBorder="1" applyAlignment="1">
      <alignment horizontal="left" vertical="center"/>
    </xf>
    <xf numFmtId="49" fontId="47" fillId="0" borderId="36" xfId="2" applyNumberFormat="1" applyFont="1" applyBorder="1" applyAlignment="1">
      <alignment horizontal="left" vertical="center"/>
    </xf>
    <xf numFmtId="4" fontId="47" fillId="0" borderId="36" xfId="2" applyNumberFormat="1" applyFont="1" applyBorder="1" applyAlignment="1">
      <alignment horizontal="right" vertical="center"/>
    </xf>
    <xf numFmtId="49" fontId="46" fillId="0" borderId="38" xfId="2" applyNumberFormat="1" applyFont="1" applyBorder="1" applyAlignment="1">
      <alignment horizontal="left" vertical="center"/>
    </xf>
    <xf numFmtId="49" fontId="47" fillId="0" borderId="36" xfId="2" applyNumberFormat="1" applyFont="1" applyBorder="1" applyAlignment="1">
      <alignment horizontal="right" vertical="center"/>
    </xf>
    <xf numFmtId="0" fontId="40" fillId="0" borderId="3" xfId="2" applyBorder="1" applyAlignment="1">
      <alignment vertical="center"/>
    </xf>
    <xf numFmtId="0" fontId="40" fillId="0" borderId="32" xfId="2" applyBorder="1" applyAlignment="1">
      <alignment vertical="center"/>
    </xf>
    <xf numFmtId="4" fontId="47" fillId="0" borderId="39" xfId="2" applyNumberFormat="1" applyFont="1" applyBorder="1" applyAlignment="1">
      <alignment horizontal="right" vertical="center"/>
    </xf>
    <xf numFmtId="0" fontId="40" fillId="0" borderId="40" xfId="2" applyBorder="1" applyAlignment="1">
      <alignment vertical="center"/>
    </xf>
    <xf numFmtId="0" fontId="40" fillId="0" borderId="33" xfId="2" applyBorder="1" applyAlignment="1">
      <alignment vertical="center"/>
    </xf>
    <xf numFmtId="4" fontId="46" fillId="5" borderId="42" xfId="2" applyNumberFormat="1" applyFont="1" applyFill="1" applyBorder="1" applyAlignment="1">
      <alignment horizontal="right" vertical="center"/>
    </xf>
    <xf numFmtId="0" fontId="40" fillId="0" borderId="10" xfId="2" applyBorder="1" applyAlignment="1">
      <alignment vertical="center"/>
    </xf>
    <xf numFmtId="0" fontId="40" fillId="0" borderId="43" xfId="2" applyBorder="1" applyAlignment="1">
      <alignment vertical="center"/>
    </xf>
    <xf numFmtId="0" fontId="40" fillId="0" borderId="45" xfId="2" applyBorder="1" applyAlignment="1">
      <alignment vertical="center"/>
    </xf>
    <xf numFmtId="49" fontId="48" fillId="0" borderId="48" xfId="2" applyNumberFormat="1" applyFont="1" applyBorder="1" applyAlignment="1">
      <alignment horizontal="left" vertical="center"/>
    </xf>
    <xf numFmtId="0" fontId="40" fillId="0" borderId="48" xfId="2" applyBorder="1" applyAlignment="1">
      <alignment vertical="center"/>
    </xf>
    <xf numFmtId="49" fontId="42" fillId="0" borderId="52" xfId="2" applyNumberFormat="1" applyFont="1" applyBorder="1" applyAlignment="1">
      <alignment horizontal="left" vertical="center"/>
    </xf>
    <xf numFmtId="49" fontId="42" fillId="0" borderId="53" xfId="2" applyNumberFormat="1" applyFont="1" applyBorder="1" applyAlignment="1">
      <alignment horizontal="left" vertical="center"/>
    </xf>
    <xf numFmtId="49" fontId="42" fillId="0" borderId="53" xfId="2" applyNumberFormat="1" applyFont="1" applyBorder="1" applyAlignment="1">
      <alignment horizontal="center" vertical="center"/>
    </xf>
    <xf numFmtId="49" fontId="42" fillId="0" borderId="54" xfId="2" applyNumberFormat="1" applyFont="1" applyBorder="1" applyAlignment="1">
      <alignment horizontal="center" vertical="center"/>
    </xf>
    <xf numFmtId="49" fontId="42" fillId="0" borderId="44" xfId="2" applyNumberFormat="1" applyFont="1" applyBorder="1" applyAlignment="1">
      <alignment horizontal="center" vertical="center"/>
    </xf>
    <xf numFmtId="49" fontId="40" fillId="0" borderId="56" xfId="2" applyNumberFormat="1" applyBorder="1" applyAlignment="1">
      <alignment horizontal="left" vertical="center"/>
    </xf>
    <xf numFmtId="49" fontId="40" fillId="0" borderId="57" xfId="2" applyNumberFormat="1" applyBorder="1" applyAlignment="1">
      <alignment horizontal="left" vertical="center"/>
    </xf>
    <xf numFmtId="49" fontId="42" fillId="0" borderId="57" xfId="2" applyNumberFormat="1" applyFont="1" applyBorder="1" applyAlignment="1">
      <alignment horizontal="left" vertical="center"/>
    </xf>
    <xf numFmtId="49" fontId="42" fillId="0" borderId="58" xfId="2" applyNumberFormat="1" applyFont="1" applyBorder="1" applyAlignment="1">
      <alignment horizontal="center" vertical="center"/>
    </xf>
    <xf numFmtId="49" fontId="42" fillId="0" borderId="59" xfId="2" applyNumberFormat="1" applyFont="1" applyBorder="1" applyAlignment="1">
      <alignment horizontal="center" vertical="center"/>
    </xf>
    <xf numFmtId="49" fontId="42" fillId="0" borderId="39" xfId="2" applyNumberFormat="1" applyFont="1" applyBorder="1" applyAlignment="1">
      <alignment horizontal="center" vertical="center"/>
    </xf>
    <xf numFmtId="49" fontId="42" fillId="0" borderId="60" xfId="2" applyNumberFormat="1" applyFont="1" applyBorder="1" applyAlignment="1">
      <alignment horizontal="center" vertical="center"/>
    </xf>
    <xf numFmtId="49" fontId="42" fillId="0" borderId="47" xfId="2" applyNumberFormat="1" applyFont="1" applyBorder="1" applyAlignment="1">
      <alignment horizontal="center" vertical="center"/>
    </xf>
    <xf numFmtId="49" fontId="42" fillId="5" borderId="1" xfId="2" applyNumberFormat="1" applyFont="1" applyFill="1" applyAlignment="1">
      <alignment horizontal="right" vertical="center"/>
    </xf>
    <xf numFmtId="49" fontId="40" fillId="5" borderId="48" xfId="2" applyNumberFormat="1" applyFill="1" applyBorder="1" applyAlignment="1">
      <alignment horizontal="left" vertical="center"/>
    </xf>
    <xf numFmtId="49" fontId="42" fillId="5" borderId="48" xfId="2" applyNumberFormat="1" applyFont="1" applyFill="1" applyBorder="1" applyAlignment="1">
      <alignment horizontal="left" vertical="center"/>
    </xf>
    <xf numFmtId="4" fontId="42" fillId="5" borderId="48" xfId="2" applyNumberFormat="1" applyFont="1" applyFill="1" applyBorder="1" applyAlignment="1">
      <alignment horizontal="right" vertical="center"/>
    </xf>
    <xf numFmtId="49" fontId="42" fillId="5" borderId="48" xfId="2" applyNumberFormat="1" applyFont="1" applyFill="1" applyBorder="1" applyAlignment="1">
      <alignment horizontal="right" vertical="center"/>
    </xf>
    <xf numFmtId="4" fontId="42" fillId="5" borderId="1" xfId="2" applyNumberFormat="1" applyFont="1" applyFill="1" applyAlignment="1">
      <alignment horizontal="right" vertical="center"/>
    </xf>
    <xf numFmtId="49" fontId="40" fillId="0" borderId="1" xfId="2" applyNumberFormat="1" applyAlignment="1">
      <alignment horizontal="left" vertical="center"/>
    </xf>
    <xf numFmtId="4" fontId="40" fillId="0" borderId="1" xfId="2" applyNumberFormat="1" applyAlignment="1">
      <alignment horizontal="right" vertical="center"/>
    </xf>
    <xf numFmtId="49" fontId="40" fillId="0" borderId="1" xfId="2" applyNumberFormat="1" applyAlignment="1">
      <alignment horizontal="right" vertical="center"/>
    </xf>
    <xf numFmtId="49" fontId="49" fillId="0" borderId="1" xfId="2" applyNumberFormat="1" applyFont="1" applyAlignment="1">
      <alignment horizontal="left" vertical="center"/>
    </xf>
    <xf numFmtId="4" fontId="49" fillId="0" borderId="1" xfId="2" applyNumberFormat="1" applyFont="1" applyAlignment="1">
      <alignment horizontal="right" vertical="center"/>
    </xf>
    <xf numFmtId="49" fontId="40" fillId="5" borderId="1" xfId="2" applyNumberFormat="1" applyFill="1" applyAlignment="1">
      <alignment horizontal="left" vertical="center"/>
    </xf>
    <xf numFmtId="49" fontId="42" fillId="5" borderId="1" xfId="2" applyNumberFormat="1" applyFont="1" applyFill="1" applyAlignment="1">
      <alignment horizontal="left" vertical="center"/>
    </xf>
    <xf numFmtId="49" fontId="49" fillId="0" borderId="11" xfId="2" applyNumberFormat="1" applyFont="1" applyBorder="1" applyAlignment="1">
      <alignment horizontal="left" vertical="center"/>
    </xf>
    <xf numFmtId="4" fontId="49" fillId="0" borderId="11" xfId="2" applyNumberFormat="1" applyFont="1" applyBorder="1" applyAlignment="1">
      <alignment horizontal="right" vertical="center"/>
    </xf>
    <xf numFmtId="4" fontId="42" fillId="0" borderId="3" xfId="2" applyNumberFormat="1" applyFont="1" applyBorder="1" applyAlignment="1">
      <alignment horizontal="right" vertical="center"/>
    </xf>
    <xf numFmtId="49" fontId="48" fillId="0" borderId="1" xfId="2" applyNumberFormat="1" applyFont="1" applyAlignment="1">
      <alignment horizontal="left" vertical="center"/>
    </xf>
    <xf numFmtId="0" fontId="50" fillId="6" borderId="1" xfId="3" applyFill="1"/>
    <xf numFmtId="0" fontId="50" fillId="0" borderId="1" xfId="3"/>
    <xf numFmtId="0" fontId="54" fillId="0" borderId="24" xfId="3" applyFont="1" applyBorder="1"/>
    <xf numFmtId="0" fontId="50" fillId="0" borderId="25" xfId="3" applyBorder="1"/>
    <xf numFmtId="0" fontId="55" fillId="0" borderId="24" xfId="3" applyFont="1" applyBorder="1"/>
    <xf numFmtId="0" fontId="50" fillId="0" borderId="26" xfId="3" applyBorder="1"/>
    <xf numFmtId="0" fontId="54" fillId="0" borderId="27" xfId="3" applyFont="1" applyBorder="1" applyAlignment="1">
      <alignment horizontal="left" vertical="center"/>
    </xf>
    <xf numFmtId="0" fontId="58" fillId="0" borderId="1" xfId="3" applyFont="1" applyAlignment="1">
      <alignment horizontal="center"/>
    </xf>
    <xf numFmtId="0" fontId="50" fillId="0" borderId="1" xfId="3" applyAlignment="1">
      <alignment horizontal="center"/>
    </xf>
    <xf numFmtId="0" fontId="50" fillId="0" borderId="28" xfId="3" applyBorder="1" applyAlignment="1">
      <alignment horizontal="center"/>
    </xf>
    <xf numFmtId="0" fontId="52" fillId="0" borderId="62" xfId="3" applyFont="1" applyBorder="1" applyAlignment="1">
      <alignment vertical="center"/>
    </xf>
    <xf numFmtId="0" fontId="56" fillId="0" borderId="63" xfId="3" applyFont="1" applyBorder="1" applyAlignment="1">
      <alignment horizontal="center" vertical="center"/>
    </xf>
    <xf numFmtId="0" fontId="54" fillId="0" borderId="62" xfId="3" applyFont="1" applyBorder="1" applyAlignment="1">
      <alignment horizontal="left" vertical="center"/>
    </xf>
    <xf numFmtId="0" fontId="62" fillId="0" borderId="70" xfId="3" applyFont="1" applyBorder="1" applyAlignment="1">
      <alignment horizontal="center" vertical="center"/>
    </xf>
    <xf numFmtId="0" fontId="50" fillId="6" borderId="28" xfId="3" applyFill="1" applyBorder="1"/>
    <xf numFmtId="168" fontId="54" fillId="8" borderId="72" xfId="3" applyNumberFormat="1" applyFont="1" applyFill="1" applyBorder="1" applyAlignment="1">
      <alignment horizontal="center" vertical="center"/>
    </xf>
    <xf numFmtId="168" fontId="54" fillId="8" borderId="76" xfId="3" applyNumberFormat="1" applyFont="1" applyFill="1" applyBorder="1" applyAlignment="1">
      <alignment horizontal="center" vertical="center"/>
    </xf>
    <xf numFmtId="0" fontId="62" fillId="0" borderId="67" xfId="3" applyFont="1" applyBorder="1" applyAlignment="1">
      <alignment horizontal="center" vertical="center"/>
    </xf>
    <xf numFmtId="49" fontId="54" fillId="0" borderId="84" xfId="3" applyNumberFormat="1" applyFont="1" applyBorder="1" applyAlignment="1">
      <alignment horizontal="center" vertical="center"/>
    </xf>
    <xf numFmtId="0" fontId="54" fillId="0" borderId="72" xfId="3" applyFont="1" applyBorder="1" applyAlignment="1">
      <alignment horizontal="center" vertical="center"/>
    </xf>
    <xf numFmtId="49" fontId="54" fillId="0" borderId="85" xfId="3" applyNumberFormat="1" applyFont="1" applyBorder="1" applyAlignment="1">
      <alignment horizontal="center" vertical="center"/>
    </xf>
    <xf numFmtId="0" fontId="50" fillId="0" borderId="86" xfId="3" applyBorder="1" applyAlignment="1">
      <alignment horizontal="center" vertical="center"/>
    </xf>
    <xf numFmtId="168" fontId="54" fillId="8" borderId="86" xfId="3" applyNumberFormat="1" applyFont="1" applyFill="1" applyBorder="1" applyAlignment="1">
      <alignment horizontal="center" vertical="center"/>
    </xf>
    <xf numFmtId="2" fontId="54" fillId="8" borderId="86" xfId="3" applyNumberFormat="1" applyFont="1" applyFill="1" applyBorder="1" applyAlignment="1">
      <alignment horizontal="center" vertical="center"/>
    </xf>
    <xf numFmtId="0" fontId="62" fillId="0" borderId="89" xfId="3" applyFont="1" applyBorder="1" applyAlignment="1">
      <alignment horizontal="center" vertical="center"/>
    </xf>
    <xf numFmtId="0" fontId="62" fillId="0" borderId="91" xfId="3" applyFont="1" applyBorder="1" applyAlignment="1">
      <alignment horizontal="center" vertical="center"/>
    </xf>
    <xf numFmtId="168" fontId="65" fillId="8" borderId="70" xfId="3" applyNumberFormat="1" applyFont="1" applyFill="1" applyBorder="1" applyAlignment="1">
      <alignment horizontal="center" vertical="center"/>
    </xf>
    <xf numFmtId="3" fontId="65" fillId="8" borderId="70" xfId="3" applyNumberFormat="1" applyFont="1" applyFill="1" applyBorder="1" applyAlignment="1">
      <alignment horizontal="center" vertical="center"/>
    </xf>
    <xf numFmtId="0" fontId="54" fillId="0" borderId="68" xfId="3" applyFont="1" applyBorder="1" applyAlignment="1">
      <alignment horizontal="center" vertical="center"/>
    </xf>
    <xf numFmtId="0" fontId="66" fillId="0" borderId="1" xfId="3" applyFont="1"/>
    <xf numFmtId="0" fontId="67" fillId="0" borderId="1" xfId="3" applyFont="1"/>
    <xf numFmtId="0" fontId="68" fillId="0" borderId="1" xfId="3" applyFont="1"/>
    <xf numFmtId="0" fontId="68" fillId="6" borderId="1" xfId="3" applyFont="1" applyFill="1"/>
    <xf numFmtId="2" fontId="68" fillId="6" borderId="1" xfId="3" applyNumberFormat="1" applyFont="1" applyFill="1"/>
    <xf numFmtId="2" fontId="52" fillId="0" borderId="87" xfId="3" applyNumberFormat="1" applyFont="1" applyBorder="1" applyProtection="1">
      <protection locked="0"/>
    </xf>
    <xf numFmtId="0" fontId="52" fillId="0" borderId="86" xfId="3" applyFont="1" applyBorder="1" applyProtection="1">
      <protection locked="0"/>
    </xf>
    <xf numFmtId="2" fontId="52" fillId="0" borderId="86" xfId="3" applyNumberFormat="1" applyFont="1" applyBorder="1" applyProtection="1">
      <protection locked="0"/>
    </xf>
    <xf numFmtId="0" fontId="52" fillId="0" borderId="86" xfId="3" applyFont="1" applyBorder="1"/>
    <xf numFmtId="49" fontId="52" fillId="0" borderId="85" xfId="3" applyNumberFormat="1" applyFont="1" applyBorder="1"/>
    <xf numFmtId="168" fontId="69" fillId="0" borderId="94" xfId="3" applyNumberFormat="1" applyFont="1" applyBorder="1" applyProtection="1">
      <protection locked="0"/>
    </xf>
    <xf numFmtId="168" fontId="69" fillId="0" borderId="71" xfId="3" applyNumberFormat="1" applyFont="1" applyBorder="1" applyAlignment="1" applyProtection="1">
      <alignment horizontal="right"/>
      <protection locked="0"/>
    </xf>
    <xf numFmtId="0" fontId="69" fillId="0" borderId="71" xfId="3" applyFont="1" applyBorder="1" applyAlignment="1" applyProtection="1">
      <alignment horizontal="right"/>
      <protection locked="0"/>
    </xf>
    <xf numFmtId="0" fontId="69" fillId="0" borderId="71" xfId="3" applyFont="1" applyBorder="1" applyAlignment="1">
      <alignment horizontal="center"/>
    </xf>
    <xf numFmtId="49" fontId="52" fillId="0" borderId="97" xfId="3" applyNumberFormat="1" applyFont="1" applyBorder="1"/>
    <xf numFmtId="0" fontId="52" fillId="6" borderId="66" xfId="3" applyFont="1" applyFill="1" applyBorder="1" applyProtection="1">
      <protection locked="0"/>
    </xf>
    <xf numFmtId="0" fontId="52" fillId="6" borderId="66" xfId="3" applyFont="1" applyFill="1" applyBorder="1"/>
    <xf numFmtId="49" fontId="69" fillId="6" borderId="66" xfId="3" applyNumberFormat="1" applyFont="1" applyFill="1" applyBorder="1" applyAlignment="1">
      <alignment horizontal="center"/>
    </xf>
    <xf numFmtId="0" fontId="54" fillId="8" borderId="87" xfId="3" applyFont="1" applyFill="1" applyBorder="1" applyProtection="1">
      <protection locked="0"/>
    </xf>
    <xf numFmtId="2" fontId="54" fillId="8" borderId="86" xfId="3" applyNumberFormat="1" applyFont="1" applyFill="1" applyBorder="1" applyAlignment="1" applyProtection="1">
      <alignment horizontal="right"/>
      <protection locked="0"/>
    </xf>
    <xf numFmtId="0" fontId="54" fillId="8" borderId="86" xfId="3" applyFont="1" applyFill="1" applyBorder="1" applyAlignment="1" applyProtection="1">
      <alignment horizontal="right"/>
      <protection locked="0"/>
    </xf>
    <xf numFmtId="0" fontId="54" fillId="0" borderId="86" xfId="3" applyFont="1" applyBorder="1" applyAlignment="1">
      <alignment horizontal="center"/>
    </xf>
    <xf numFmtId="49" fontId="54" fillId="0" borderId="85" xfId="3" applyNumberFormat="1" applyFont="1" applyBorder="1"/>
    <xf numFmtId="168" fontId="54" fillId="8" borderId="94" xfId="3" applyNumberFormat="1" applyFont="1" applyFill="1" applyBorder="1" applyProtection="1">
      <protection locked="0"/>
    </xf>
    <xf numFmtId="168" fontId="54" fillId="8" borderId="71" xfId="3" applyNumberFormat="1" applyFont="1" applyFill="1" applyBorder="1" applyAlignment="1" applyProtection="1">
      <alignment horizontal="right"/>
      <protection locked="0"/>
    </xf>
    <xf numFmtId="0" fontId="54" fillId="0" borderId="71" xfId="3" applyFont="1" applyBorder="1" applyAlignment="1">
      <alignment horizontal="center"/>
    </xf>
    <xf numFmtId="49" fontId="54" fillId="0" borderId="97" xfId="3" applyNumberFormat="1" applyFont="1" applyBorder="1" applyAlignment="1">
      <alignment horizontal="center"/>
    </xf>
    <xf numFmtId="168" fontId="62" fillId="8" borderId="94" xfId="3" applyNumberFormat="1" applyFont="1" applyFill="1" applyBorder="1" applyProtection="1">
      <protection locked="0"/>
    </xf>
    <xf numFmtId="0" fontId="54" fillId="8" borderId="76" xfId="3" applyFont="1" applyFill="1" applyBorder="1" applyAlignment="1" applyProtection="1">
      <alignment horizontal="right"/>
      <protection locked="0"/>
    </xf>
    <xf numFmtId="0" fontId="54" fillId="0" borderId="76" xfId="3" applyFont="1" applyBorder="1" applyAlignment="1">
      <alignment horizontal="center"/>
    </xf>
    <xf numFmtId="49" fontId="54" fillId="0" borderId="98" xfId="3" applyNumberFormat="1" applyFont="1" applyBorder="1"/>
    <xf numFmtId="0" fontId="54" fillId="0" borderId="70" xfId="3" applyFont="1" applyBorder="1" applyAlignment="1">
      <alignment horizontal="center"/>
    </xf>
    <xf numFmtId="49" fontId="54" fillId="0" borderId="67" xfId="3" applyNumberFormat="1" applyFont="1" applyBorder="1" applyAlignment="1">
      <alignment horizontal="center"/>
    </xf>
    <xf numFmtId="0" fontId="68" fillId="6" borderId="28" xfId="3" applyFont="1" applyFill="1" applyBorder="1"/>
    <xf numFmtId="0" fontId="54" fillId="8" borderId="83" xfId="3" applyFont="1" applyFill="1" applyBorder="1" applyProtection="1">
      <protection locked="0"/>
    </xf>
    <xf numFmtId="2" fontId="54" fillId="8" borderId="76" xfId="3" applyNumberFormat="1" applyFont="1" applyFill="1" applyBorder="1" applyAlignment="1" applyProtection="1">
      <alignment horizontal="right"/>
      <protection locked="0"/>
    </xf>
    <xf numFmtId="0" fontId="68" fillId="0" borderId="1" xfId="3" applyFont="1" applyAlignment="1">
      <alignment vertical="center"/>
    </xf>
    <xf numFmtId="0" fontId="68" fillId="6" borderId="1" xfId="3" applyFont="1" applyFill="1" applyAlignment="1">
      <alignment vertical="center"/>
    </xf>
    <xf numFmtId="0" fontId="62" fillId="0" borderId="87" xfId="3" applyFont="1" applyBorder="1" applyAlignment="1">
      <alignment horizontal="center" vertical="center"/>
    </xf>
    <xf numFmtId="0" fontId="54" fillId="0" borderId="86" xfId="3" applyFont="1" applyBorder="1" applyAlignment="1">
      <alignment horizontal="center" vertical="center"/>
    </xf>
    <xf numFmtId="0" fontId="54" fillId="0" borderId="85" xfId="3" applyFont="1" applyBorder="1" applyAlignment="1">
      <alignment horizontal="center" vertical="center"/>
    </xf>
    <xf numFmtId="0" fontId="62" fillId="0" borderId="94" xfId="3" applyFont="1" applyBorder="1" applyAlignment="1">
      <alignment horizontal="center" vertical="center"/>
    </xf>
    <xf numFmtId="0" fontId="62" fillId="0" borderId="71" xfId="3" applyFont="1" applyBorder="1" applyAlignment="1">
      <alignment horizontal="center" vertical="center"/>
    </xf>
    <xf numFmtId="0" fontId="62" fillId="0" borderId="97" xfId="3" applyFont="1" applyBorder="1" applyAlignment="1">
      <alignment horizontal="center" vertical="center"/>
    </xf>
    <xf numFmtId="0" fontId="66" fillId="6" borderId="1" xfId="3" applyFont="1" applyFill="1"/>
    <xf numFmtId="0" fontId="57" fillId="0" borderId="63" xfId="3" applyFont="1" applyBorder="1" applyAlignment="1">
      <alignment horizontal="center" vertical="center"/>
    </xf>
    <xf numFmtId="0" fontId="66" fillId="0" borderId="26" xfId="3" applyFont="1" applyBorder="1" applyAlignment="1">
      <alignment vertical="center"/>
    </xf>
    <xf numFmtId="0" fontId="66" fillId="0" borderId="25" xfId="3" applyFont="1" applyBorder="1" applyAlignment="1">
      <alignment vertical="center"/>
    </xf>
    <xf numFmtId="0" fontId="70" fillId="6" borderId="1" xfId="3" applyFont="1" applyFill="1"/>
    <xf numFmtId="0" fontId="71" fillId="0" borderId="26" xfId="3" applyFont="1" applyBorder="1" applyAlignment="1">
      <alignment vertical="center"/>
    </xf>
    <xf numFmtId="0" fontId="71" fillId="0" borderId="25" xfId="3" applyFont="1" applyBorder="1" applyAlignment="1">
      <alignment vertical="center"/>
    </xf>
    <xf numFmtId="0" fontId="72" fillId="0" borderId="1" xfId="3" applyFont="1"/>
    <xf numFmtId="0" fontId="72" fillId="6" borderId="1" xfId="3" applyFont="1" applyFill="1"/>
    <xf numFmtId="0" fontId="50" fillId="0" borderId="26" xfId="3" applyBorder="1" applyAlignment="1">
      <alignment vertical="center"/>
    </xf>
    <xf numFmtId="0" fontId="52" fillId="0" borderId="25" xfId="3" applyFont="1" applyBorder="1" applyAlignment="1">
      <alignment vertical="center"/>
    </xf>
    <xf numFmtId="0" fontId="52" fillId="6" borderId="27" xfId="3" applyFont="1" applyFill="1" applyBorder="1"/>
    <xf numFmtId="0" fontId="1" fillId="0" borderId="1" xfId="4"/>
    <xf numFmtId="4" fontId="1" fillId="0" borderId="1" xfId="4" applyNumberFormat="1"/>
    <xf numFmtId="49" fontId="1" fillId="0" borderId="1" xfId="4" applyNumberFormat="1"/>
    <xf numFmtId="0" fontId="1" fillId="0" borderId="99" xfId="4" applyBorder="1"/>
    <xf numFmtId="4" fontId="74" fillId="9" borderId="99" xfId="4" applyNumberFormat="1" applyFont="1" applyFill="1" applyBorder="1" applyAlignment="1">
      <alignment horizontal="right"/>
    </xf>
    <xf numFmtId="49" fontId="74" fillId="9" borderId="99" xfId="4" applyNumberFormat="1" applyFont="1" applyFill="1" applyBorder="1" applyAlignment="1">
      <alignment horizontal="left"/>
    </xf>
    <xf numFmtId="4" fontId="74" fillId="9" borderId="99" xfId="4" applyNumberFormat="1" applyFont="1" applyFill="1" applyBorder="1" applyAlignment="1">
      <alignment horizontal="center"/>
    </xf>
    <xf numFmtId="4" fontId="42" fillId="10" borderId="99" xfId="4" applyNumberFormat="1" applyFont="1" applyFill="1" applyBorder="1" applyAlignment="1">
      <alignment horizontal="center"/>
    </xf>
    <xf numFmtId="49" fontId="42" fillId="10" borderId="99" xfId="4" applyNumberFormat="1" applyFont="1" applyFill="1" applyBorder="1" applyAlignment="1">
      <alignment horizontal="center"/>
    </xf>
    <xf numFmtId="49" fontId="42" fillId="10" borderId="99" xfId="4" applyNumberFormat="1" applyFont="1" applyFill="1" applyBorder="1" applyAlignment="1">
      <alignment horizontal="left"/>
    </xf>
    <xf numFmtId="4" fontId="45" fillId="11" borderId="99" xfId="4" applyNumberFormat="1" applyFont="1" applyFill="1" applyBorder="1" applyAlignment="1">
      <alignment horizontal="right"/>
    </xf>
    <xf numFmtId="49" fontId="45" fillId="11" borderId="99" xfId="4" applyNumberFormat="1" applyFont="1" applyFill="1" applyBorder="1" applyAlignment="1">
      <alignment horizontal="left"/>
    </xf>
    <xf numFmtId="4" fontId="42" fillId="10" borderId="99" xfId="4" applyNumberFormat="1" applyFont="1" applyFill="1" applyBorder="1" applyAlignment="1">
      <alignment horizontal="right"/>
    </xf>
    <xf numFmtId="4" fontId="75" fillId="12" borderId="99" xfId="4" applyNumberFormat="1" applyFont="1" applyFill="1" applyBorder="1" applyAlignment="1">
      <alignment horizontal="right"/>
    </xf>
    <xf numFmtId="49" fontId="75" fillId="12" borderId="99" xfId="4" applyNumberFormat="1" applyFont="1" applyFill="1" applyBorder="1" applyAlignment="1">
      <alignment horizontal="left"/>
    </xf>
    <xf numFmtId="4" fontId="74" fillId="13" borderId="99" xfId="4" applyNumberFormat="1" applyFont="1" applyFill="1" applyBorder="1" applyAlignment="1">
      <alignment horizontal="left"/>
    </xf>
    <xf numFmtId="49" fontId="74" fillId="13" borderId="99" xfId="4" applyNumberFormat="1" applyFont="1" applyFill="1" applyBorder="1" applyAlignment="1">
      <alignment horizontal="left"/>
    </xf>
    <xf numFmtId="49" fontId="49" fillId="14" borderId="99" xfId="4" applyNumberFormat="1" applyFont="1" applyFill="1" applyBorder="1" applyAlignment="1">
      <alignment horizontal="left"/>
    </xf>
    <xf numFmtId="4" fontId="49" fillId="14" borderId="99" xfId="4" applyNumberFormat="1" applyFont="1" applyFill="1" applyBorder="1" applyAlignment="1">
      <alignment horizontal="right"/>
    </xf>
    <xf numFmtId="4" fontId="49" fillId="14" borderId="99" xfId="4" applyNumberFormat="1" applyFont="1" applyFill="1" applyBorder="1" applyAlignment="1">
      <alignment horizontal="left"/>
    </xf>
    <xf numFmtId="4" fontId="74" fillId="9" borderId="99" xfId="0" applyNumberFormat="1" applyFont="1" applyFill="1" applyBorder="1" applyAlignment="1">
      <alignment horizontal="right"/>
    </xf>
    <xf numFmtId="0" fontId="40" fillId="0" borderId="1" xfId="2"/>
    <xf numFmtId="49" fontId="74" fillId="9" borderId="99" xfId="0" applyNumberFormat="1" applyFont="1" applyFill="1" applyBorder="1" applyAlignment="1">
      <alignment horizontal="left"/>
    </xf>
    <xf numFmtId="49" fontId="49" fillId="14" borderId="99" xfId="0" applyNumberFormat="1" applyFont="1" applyFill="1" applyBorder="1" applyAlignment="1">
      <alignment horizontal="left"/>
    </xf>
    <xf numFmtId="49" fontId="45" fillId="11" borderId="99" xfId="0" applyNumberFormat="1" applyFont="1" applyFill="1" applyBorder="1" applyAlignment="1">
      <alignment horizontal="left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/>
    <xf numFmtId="4" fontId="5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0" fillId="0" borderId="46" xfId="2" applyBorder="1"/>
    <xf numFmtId="0" fontId="40" fillId="0" borderId="1" xfId="2"/>
    <xf numFmtId="49" fontId="47" fillId="0" borderId="47" xfId="2" applyNumberFormat="1" applyFont="1" applyBorder="1" applyAlignment="1">
      <alignment horizontal="left" vertical="center"/>
    </xf>
    <xf numFmtId="49" fontId="47" fillId="0" borderId="44" xfId="2" applyNumberFormat="1" applyFont="1" applyBorder="1" applyAlignment="1">
      <alignment horizontal="left" vertical="center"/>
    </xf>
    <xf numFmtId="49" fontId="46" fillId="5" borderId="41" xfId="2" applyNumberFormat="1" applyFont="1" applyFill="1" applyBorder="1" applyAlignment="1">
      <alignment horizontal="left" vertical="center"/>
    </xf>
    <xf numFmtId="49" fontId="46" fillId="0" borderId="36" xfId="2" applyNumberFormat="1" applyFont="1" applyBorder="1" applyAlignment="1">
      <alignment horizontal="left" vertical="center"/>
    </xf>
    <xf numFmtId="0" fontId="40" fillId="0" borderId="36" xfId="2" applyBorder="1"/>
    <xf numFmtId="49" fontId="47" fillId="0" borderId="36" xfId="2" applyNumberFormat="1" applyFont="1" applyBorder="1" applyAlignment="1">
      <alignment horizontal="left" vertical="center"/>
    </xf>
    <xf numFmtId="49" fontId="43" fillId="0" borderId="35" xfId="2" applyNumberFormat="1" applyFont="1" applyBorder="1" applyAlignment="1">
      <alignment horizontal="center" vertical="center"/>
    </xf>
    <xf numFmtId="49" fontId="45" fillId="0" borderId="36" xfId="2" applyNumberFormat="1" applyFont="1" applyBorder="1" applyAlignment="1">
      <alignment horizontal="left" vertical="center"/>
    </xf>
    <xf numFmtId="49" fontId="40" fillId="0" borderId="33" xfId="2" applyNumberFormat="1" applyBorder="1" applyAlignment="1">
      <alignment horizontal="left" vertical="center"/>
    </xf>
    <xf numFmtId="0" fontId="40" fillId="0" borderId="10" xfId="2" applyBorder="1" applyAlignment="1">
      <alignment horizontal="left" vertical="center" wrapText="1"/>
    </xf>
    <xf numFmtId="0" fontId="40" fillId="0" borderId="11" xfId="2" applyBorder="1" applyAlignment="1">
      <alignment horizontal="left" vertical="center" wrapText="1"/>
    </xf>
    <xf numFmtId="49" fontId="40" fillId="0" borderId="11" xfId="2" applyNumberFormat="1" applyBorder="1" applyAlignment="1">
      <alignment horizontal="left" vertical="center"/>
    </xf>
    <xf numFmtId="0" fontId="40" fillId="0" borderId="34" xfId="2" applyBorder="1" applyAlignment="1">
      <alignment horizontal="left" vertical="center" wrapText="1"/>
    </xf>
    <xf numFmtId="0" fontId="40" fillId="0" borderId="4" xfId="2" applyBorder="1" applyAlignment="1">
      <alignment horizontal="left" vertical="center" wrapText="1"/>
    </xf>
    <xf numFmtId="0" fontId="40" fillId="0" borderId="1" xfId="2" applyAlignment="1">
      <alignment horizontal="left" vertical="center" wrapText="1"/>
    </xf>
    <xf numFmtId="49" fontId="40" fillId="0" borderId="1" xfId="2" applyNumberFormat="1" applyAlignment="1">
      <alignment horizontal="left" vertical="center"/>
    </xf>
    <xf numFmtId="0" fontId="40" fillId="0" borderId="33" xfId="2" applyBorder="1"/>
    <xf numFmtId="0" fontId="41" fillId="0" borderId="11" xfId="2" applyFont="1" applyBorder="1" applyAlignment="1">
      <alignment horizontal="center" vertical="center" wrapText="1"/>
    </xf>
    <xf numFmtId="0" fontId="40" fillId="0" borderId="2" xfId="2" applyBorder="1" applyAlignment="1">
      <alignment horizontal="left" vertical="center" wrapText="1"/>
    </xf>
    <xf numFmtId="0" fontId="42" fillId="0" borderId="3" xfId="2" applyFont="1" applyBorder="1" applyAlignment="1">
      <alignment horizontal="left" vertical="center" wrapText="1"/>
    </xf>
    <xf numFmtId="0" fontId="40" fillId="0" borderId="3" xfId="2" applyBorder="1" applyAlignment="1">
      <alignment horizontal="left" vertical="center" wrapText="1"/>
    </xf>
    <xf numFmtId="0" fontId="40" fillId="0" borderId="32" xfId="2" applyBorder="1"/>
    <xf numFmtId="49" fontId="42" fillId="0" borderId="55" xfId="2" applyNumberFormat="1" applyFont="1" applyBorder="1" applyAlignment="1">
      <alignment horizontal="center" vertical="center"/>
    </xf>
    <xf numFmtId="49" fontId="42" fillId="0" borderId="3" xfId="2" applyNumberFormat="1" applyFont="1" applyBorder="1" applyAlignment="1">
      <alignment horizontal="left" vertical="center"/>
    </xf>
    <xf numFmtId="0" fontId="40" fillId="0" borderId="49" xfId="2" applyBorder="1" applyAlignment="1">
      <alignment horizontal="left" vertical="center" wrapText="1"/>
    </xf>
    <xf numFmtId="0" fontId="40" fillId="0" borderId="50" xfId="2" applyBorder="1" applyAlignment="1">
      <alignment horizontal="left" vertical="center" wrapText="1"/>
    </xf>
    <xf numFmtId="49" fontId="40" fillId="0" borderId="50" xfId="2" applyNumberFormat="1" applyBorder="1" applyAlignment="1">
      <alignment horizontal="left" vertical="center"/>
    </xf>
    <xf numFmtId="0" fontId="40" fillId="0" borderId="51" xfId="2" applyBorder="1" applyAlignment="1">
      <alignment horizontal="left" vertical="center" wrapText="1"/>
    </xf>
    <xf numFmtId="49" fontId="41" fillId="0" borderId="11" xfId="2" applyNumberFormat="1" applyFont="1" applyBorder="1" applyAlignment="1">
      <alignment horizontal="center"/>
    </xf>
    <xf numFmtId="49" fontId="40" fillId="0" borderId="3" xfId="2" applyNumberFormat="1" applyBorder="1" applyAlignment="1">
      <alignment horizontal="left" vertical="center"/>
    </xf>
    <xf numFmtId="49" fontId="40" fillId="0" borderId="32" xfId="2" applyNumberFormat="1" applyBorder="1" applyAlignment="1">
      <alignment horizontal="left" vertical="center"/>
    </xf>
    <xf numFmtId="49" fontId="54" fillId="0" borderId="81" xfId="3" applyNumberFormat="1" applyFont="1" applyBorder="1" applyAlignment="1">
      <alignment horizontal="left" vertical="center" wrapText="1"/>
    </xf>
    <xf numFmtId="0" fontId="50" fillId="0" borderId="82" xfId="3" applyBorder="1" applyAlignment="1">
      <alignment horizontal="left" vertical="center" wrapText="1"/>
    </xf>
    <xf numFmtId="49" fontId="54" fillId="0" borderId="74" xfId="3" applyNumberFormat="1" applyFont="1" applyBorder="1" applyAlignment="1">
      <alignment wrapText="1"/>
    </xf>
    <xf numFmtId="49" fontId="54" fillId="0" borderId="75" xfId="3" applyNumberFormat="1" applyFont="1" applyBorder="1" applyAlignment="1">
      <alignment wrapText="1"/>
    </xf>
    <xf numFmtId="0" fontId="60" fillId="6" borderId="25" xfId="3" applyFont="1" applyFill="1" applyBorder="1"/>
    <xf numFmtId="0" fontId="50" fillId="6" borderId="25" xfId="3" applyFill="1" applyBorder="1"/>
    <xf numFmtId="0" fontId="61" fillId="7" borderId="62" xfId="3" applyFont="1" applyFill="1" applyBorder="1" applyAlignment="1">
      <alignment horizontal="center" vertical="center"/>
    </xf>
    <xf numFmtId="0" fontId="61" fillId="7" borderId="66" xfId="3" applyFont="1" applyFill="1" applyBorder="1" applyAlignment="1">
      <alignment horizontal="center" vertical="center"/>
    </xf>
    <xf numFmtId="0" fontId="61" fillId="7" borderId="63" xfId="3" applyFont="1" applyFill="1" applyBorder="1" applyAlignment="1">
      <alignment horizontal="center" vertical="center"/>
    </xf>
    <xf numFmtId="168" fontId="54" fillId="8" borderId="75" xfId="3" applyNumberFormat="1" applyFont="1" applyFill="1" applyBorder="1" applyAlignment="1">
      <alignment horizontal="center" vertical="center"/>
    </xf>
    <xf numFmtId="168" fontId="55" fillId="8" borderId="72" xfId="3" applyNumberFormat="1" applyFont="1" applyFill="1" applyBorder="1" applyAlignment="1">
      <alignment horizontal="center" vertical="center"/>
    </xf>
    <xf numFmtId="4" fontId="54" fillId="8" borderId="76" xfId="3" applyNumberFormat="1" applyFont="1" applyFill="1" applyBorder="1" applyAlignment="1">
      <alignment horizontal="center" vertical="center"/>
    </xf>
    <xf numFmtId="0" fontId="55" fillId="8" borderId="83" xfId="3" applyFont="1" applyFill="1" applyBorder="1" applyAlignment="1">
      <alignment horizontal="center" vertical="center"/>
    </xf>
    <xf numFmtId="4" fontId="62" fillId="8" borderId="70" xfId="3" applyNumberFormat="1" applyFont="1" applyFill="1" applyBorder="1" applyAlignment="1">
      <alignment horizontal="center" vertical="center"/>
    </xf>
    <xf numFmtId="0" fontId="64" fillId="8" borderId="68" xfId="3" applyFont="1" applyFill="1" applyBorder="1" applyAlignment="1">
      <alignment horizontal="center" vertical="center"/>
    </xf>
    <xf numFmtId="49" fontId="54" fillId="0" borderId="1" xfId="3" applyNumberFormat="1" applyFont="1"/>
    <xf numFmtId="168" fontId="54" fillId="8" borderId="77" xfId="3" applyNumberFormat="1" applyFont="1" applyFill="1" applyBorder="1" applyAlignment="1">
      <alignment horizontal="center" vertical="center"/>
    </xf>
    <xf numFmtId="168" fontId="55" fillId="8" borderId="77" xfId="3" applyNumberFormat="1" applyFont="1" applyFill="1" applyBorder="1" applyAlignment="1">
      <alignment horizontal="center" vertical="center"/>
    </xf>
    <xf numFmtId="4" fontId="54" fillId="8" borderId="77" xfId="3" applyNumberFormat="1" applyFont="1" applyFill="1" applyBorder="1" applyAlignment="1">
      <alignment horizontal="center" vertical="center"/>
    </xf>
    <xf numFmtId="0" fontId="55" fillId="8" borderId="78" xfId="3" applyFont="1" applyFill="1" applyBorder="1" applyAlignment="1">
      <alignment horizontal="center" vertical="center"/>
    </xf>
    <xf numFmtId="168" fontId="54" fillId="8" borderId="71" xfId="3" applyNumberFormat="1" applyFont="1" applyFill="1" applyBorder="1" applyAlignment="1">
      <alignment horizontal="center" vertical="center"/>
    </xf>
    <xf numFmtId="168" fontId="55" fillId="8" borderId="71" xfId="3" applyNumberFormat="1" applyFont="1" applyFill="1" applyBorder="1" applyAlignment="1">
      <alignment horizontal="center" vertical="center"/>
    </xf>
    <xf numFmtId="4" fontId="54" fillId="8" borderId="72" xfId="3" applyNumberFormat="1" applyFont="1" applyFill="1" applyBorder="1" applyAlignment="1">
      <alignment horizontal="center" vertical="center"/>
    </xf>
    <xf numFmtId="0" fontId="55" fillId="8" borderId="73" xfId="3" applyFont="1" applyFill="1" applyBorder="1" applyAlignment="1">
      <alignment horizontal="center" vertical="center"/>
    </xf>
    <xf numFmtId="49" fontId="54" fillId="0" borderId="79" xfId="3" applyNumberFormat="1" applyFont="1" applyBorder="1"/>
    <xf numFmtId="49" fontId="54" fillId="0" borderId="80" xfId="3" applyNumberFormat="1" applyFont="1" applyBorder="1"/>
    <xf numFmtId="0" fontId="54" fillId="0" borderId="24" xfId="3" applyFont="1" applyBorder="1" applyAlignment="1">
      <alignment horizontal="left" vertical="center"/>
    </xf>
    <xf numFmtId="0" fontId="54" fillId="0" borderId="26" xfId="3" applyFont="1" applyBorder="1" applyAlignment="1">
      <alignment horizontal="left" vertical="center"/>
    </xf>
    <xf numFmtId="0" fontId="56" fillId="0" borderId="65" xfId="3" applyFont="1" applyBorder="1" applyAlignment="1">
      <alignment horizontal="center" vertical="center"/>
    </xf>
    <xf numFmtId="0" fontId="59" fillId="0" borderId="27" xfId="3" applyFont="1" applyBorder="1" applyAlignment="1">
      <alignment horizontal="center" vertical="center"/>
    </xf>
    <xf numFmtId="0" fontId="59" fillId="0" borderId="28" xfId="3" applyFont="1" applyBorder="1" applyAlignment="1">
      <alignment horizontal="center" vertical="center"/>
    </xf>
    <xf numFmtId="0" fontId="59" fillId="0" borderId="30" xfId="3" applyFont="1" applyBorder="1" applyAlignment="1">
      <alignment horizontal="center" vertical="center"/>
    </xf>
    <xf numFmtId="0" fontId="59" fillId="0" borderId="31" xfId="3" applyFont="1" applyBorder="1" applyAlignment="1">
      <alignment horizontal="center" vertical="center"/>
    </xf>
    <xf numFmtId="14" fontId="59" fillId="0" borderId="30" xfId="3" applyNumberFormat="1" applyFont="1" applyBorder="1" applyAlignment="1">
      <alignment horizontal="center" vertical="center"/>
    </xf>
    <xf numFmtId="14" fontId="59" fillId="0" borderId="31" xfId="3" applyNumberFormat="1" applyFont="1" applyBorder="1" applyAlignment="1">
      <alignment horizontal="center" vertical="center"/>
    </xf>
    <xf numFmtId="0" fontId="50" fillId="0" borderId="61" xfId="3" applyBorder="1"/>
    <xf numFmtId="0" fontId="50" fillId="0" borderId="64" xfId="3" applyBorder="1"/>
    <xf numFmtId="0" fontId="50" fillId="0" borderId="65" xfId="3" applyBorder="1"/>
    <xf numFmtId="0" fontId="50" fillId="0" borderId="62" xfId="3" applyBorder="1"/>
    <xf numFmtId="0" fontId="50" fillId="0" borderId="63" xfId="3" applyBorder="1"/>
    <xf numFmtId="0" fontId="52" fillId="0" borderId="62" xfId="3" applyFont="1" applyBorder="1"/>
    <xf numFmtId="0" fontId="50" fillId="0" borderId="25" xfId="3" applyBorder="1"/>
    <xf numFmtId="0" fontId="51" fillId="0" borderId="1" xfId="3" applyFont="1" applyAlignment="1">
      <alignment horizontal="center" vertical="center"/>
    </xf>
    <xf numFmtId="0" fontId="53" fillId="0" borderId="27" xfId="3" applyFont="1" applyBorder="1" applyAlignment="1">
      <alignment horizontal="center" vertical="center"/>
    </xf>
    <xf numFmtId="0" fontId="50" fillId="0" borderId="1" xfId="3" applyAlignment="1">
      <alignment horizontal="center" vertical="center"/>
    </xf>
    <xf numFmtId="0" fontId="50" fillId="0" borderId="28" xfId="3" applyBorder="1" applyAlignment="1">
      <alignment horizontal="center" vertical="center"/>
    </xf>
    <xf numFmtId="0" fontId="50" fillId="0" borderId="29" xfId="3" applyBorder="1"/>
    <xf numFmtId="0" fontId="62" fillId="0" borderId="70" xfId="3" applyFont="1" applyBorder="1" applyAlignment="1">
      <alignment horizontal="center" vertical="center"/>
    </xf>
    <xf numFmtId="0" fontId="62" fillId="0" borderId="68" xfId="3" applyFont="1" applyBorder="1" applyAlignment="1">
      <alignment horizontal="center" vertical="center"/>
    </xf>
    <xf numFmtId="168" fontId="54" fillId="8" borderId="72" xfId="3" applyNumberFormat="1" applyFont="1" applyFill="1" applyBorder="1" applyAlignment="1">
      <alignment horizontal="center" vertical="center"/>
    </xf>
    <xf numFmtId="0" fontId="50" fillId="8" borderId="72" xfId="3" applyFill="1" applyBorder="1" applyAlignment="1">
      <alignment horizontal="center" vertical="center"/>
    </xf>
    <xf numFmtId="0" fontId="52" fillId="6" borderId="25" xfId="3" applyFont="1" applyFill="1" applyBorder="1" applyAlignment="1">
      <alignment horizontal="right" vertical="center"/>
    </xf>
    <xf numFmtId="0" fontId="50" fillId="6" borderId="25" xfId="3" applyFill="1" applyBorder="1" applyAlignment="1">
      <alignment horizontal="right" vertical="center"/>
    </xf>
    <xf numFmtId="0" fontId="57" fillId="0" borderId="30" xfId="3" applyFont="1" applyBorder="1" applyAlignment="1">
      <alignment horizontal="center" vertical="center" wrapText="1"/>
    </xf>
    <xf numFmtId="0" fontId="57" fillId="0" borderId="31" xfId="3" applyFont="1" applyBorder="1" applyAlignment="1">
      <alignment horizontal="center" vertical="center" wrapText="1"/>
    </xf>
    <xf numFmtId="0" fontId="56" fillId="0" borderId="30" xfId="3" applyFont="1" applyBorder="1" applyAlignment="1">
      <alignment horizontal="center" vertical="center"/>
    </xf>
    <xf numFmtId="0" fontId="56" fillId="0" borderId="31" xfId="3" applyFont="1" applyBorder="1" applyAlignment="1">
      <alignment horizontal="center" vertical="center"/>
    </xf>
    <xf numFmtId="0" fontId="56" fillId="0" borderId="29" xfId="3" applyFont="1" applyBorder="1" applyAlignment="1">
      <alignment horizontal="center" vertical="center"/>
    </xf>
    <xf numFmtId="0" fontId="62" fillId="0" borderId="67" xfId="3" applyFont="1" applyBorder="1" applyAlignment="1">
      <alignment horizontal="center" vertical="center"/>
    </xf>
    <xf numFmtId="0" fontId="63" fillId="0" borderId="68" xfId="3" applyFont="1" applyBorder="1" applyAlignment="1">
      <alignment horizontal="center" vertical="center"/>
    </xf>
    <xf numFmtId="0" fontId="62" fillId="0" borderId="69" xfId="3" applyFont="1" applyBorder="1" applyAlignment="1">
      <alignment horizontal="center" vertical="center"/>
    </xf>
    <xf numFmtId="0" fontId="56" fillId="0" borderId="27" xfId="3" applyFont="1" applyBorder="1" applyAlignment="1">
      <alignment horizontal="center" vertical="center"/>
    </xf>
    <xf numFmtId="0" fontId="56" fillId="0" borderId="1" xfId="3" applyFont="1" applyAlignment="1">
      <alignment horizontal="center" vertical="center"/>
    </xf>
    <xf numFmtId="0" fontId="56" fillId="0" borderId="28" xfId="3" applyFont="1" applyBorder="1" applyAlignment="1">
      <alignment horizontal="center" vertical="center"/>
    </xf>
    <xf numFmtId="0" fontId="57" fillId="0" borderId="27" xfId="3" applyFont="1" applyBorder="1" applyAlignment="1">
      <alignment horizontal="center" vertical="center"/>
    </xf>
    <xf numFmtId="0" fontId="57" fillId="0" borderId="1" xfId="3" applyFont="1" applyAlignment="1">
      <alignment horizontal="center" vertical="center"/>
    </xf>
    <xf numFmtId="0" fontId="57" fillId="0" borderId="28" xfId="3" applyFont="1" applyBorder="1" applyAlignment="1">
      <alignment horizontal="center" vertical="center"/>
    </xf>
    <xf numFmtId="0" fontId="57" fillId="0" borderId="30" xfId="3" applyFont="1" applyBorder="1" applyAlignment="1">
      <alignment horizontal="center" vertical="center"/>
    </xf>
    <xf numFmtId="0" fontId="57" fillId="0" borderId="29" xfId="3" applyFont="1" applyBorder="1" applyAlignment="1">
      <alignment horizontal="center" vertical="center"/>
    </xf>
    <xf numFmtId="0" fontId="57" fillId="0" borderId="31" xfId="3" applyFont="1" applyBorder="1" applyAlignment="1">
      <alignment horizontal="center" vertical="center"/>
    </xf>
    <xf numFmtId="0" fontId="59" fillId="0" borderId="66" xfId="3" applyFont="1" applyBorder="1" applyAlignment="1">
      <alignment horizontal="center" vertical="center"/>
    </xf>
    <xf numFmtId="0" fontId="59" fillId="0" borderId="63" xfId="3" applyFont="1" applyBorder="1" applyAlignment="1">
      <alignment horizontal="center" vertical="center"/>
    </xf>
    <xf numFmtId="168" fontId="54" fillId="8" borderId="86" xfId="3" applyNumberFormat="1" applyFont="1" applyFill="1" applyBorder="1" applyAlignment="1">
      <alignment horizontal="center" vertical="center"/>
    </xf>
    <xf numFmtId="0" fontId="50" fillId="8" borderId="86" xfId="3" applyFill="1" applyBorder="1" applyAlignment="1">
      <alignment horizontal="center" vertical="center"/>
    </xf>
    <xf numFmtId="4" fontId="54" fillId="8" borderId="86" xfId="3" applyNumberFormat="1" applyFont="1" applyFill="1" applyBorder="1" applyAlignment="1">
      <alignment horizontal="center" vertical="center"/>
    </xf>
    <xf numFmtId="0" fontId="55" fillId="8" borderId="87" xfId="3" applyFont="1" applyFill="1" applyBorder="1" applyAlignment="1">
      <alignment horizontal="center" vertical="center"/>
    </xf>
    <xf numFmtId="168" fontId="65" fillId="8" borderId="67" xfId="3" applyNumberFormat="1" applyFont="1" applyFill="1" applyBorder="1" applyAlignment="1">
      <alignment horizontal="center" vertical="center"/>
    </xf>
    <xf numFmtId="168" fontId="65" fillId="8" borderId="70" xfId="3" applyNumberFormat="1" applyFont="1" applyFill="1" applyBorder="1" applyAlignment="1">
      <alignment horizontal="center" vertical="center"/>
    </xf>
    <xf numFmtId="168" fontId="65" fillId="8" borderId="90" xfId="3" applyNumberFormat="1" applyFont="1" applyFill="1" applyBorder="1" applyAlignment="1">
      <alignment horizontal="center" vertical="center"/>
    </xf>
    <xf numFmtId="168" fontId="65" fillId="8" borderId="69" xfId="3" applyNumberFormat="1" applyFont="1" applyFill="1" applyBorder="1" applyAlignment="1">
      <alignment horizontal="center" vertical="center"/>
    </xf>
    <xf numFmtId="49" fontId="62" fillId="0" borderId="62" xfId="3" applyNumberFormat="1" applyFont="1" applyBorder="1" applyAlignment="1">
      <alignment horizontal="left" vertical="center"/>
    </xf>
    <xf numFmtId="0" fontId="64" fillId="0" borderId="66" xfId="3" applyFont="1" applyBorder="1" applyAlignment="1">
      <alignment horizontal="left" vertical="center"/>
    </xf>
    <xf numFmtId="0" fontId="55" fillId="0" borderId="66" xfId="3" applyFont="1" applyBorder="1" applyAlignment="1">
      <alignment horizontal="left" vertical="center"/>
    </xf>
    <xf numFmtId="0" fontId="55" fillId="0" borderId="69" xfId="3" applyFont="1" applyBorder="1" applyAlignment="1">
      <alignment horizontal="left" vertical="center"/>
    </xf>
    <xf numFmtId="0" fontId="62" fillId="0" borderId="88" xfId="3" applyFont="1" applyBorder="1" applyAlignment="1">
      <alignment horizontal="center" vertical="center"/>
    </xf>
    <xf numFmtId="0" fontId="62" fillId="0" borderId="89" xfId="3" applyFont="1" applyBorder="1" applyAlignment="1">
      <alignment horizontal="center" vertical="center"/>
    </xf>
    <xf numFmtId="0" fontId="62" fillId="0" borderId="90" xfId="3" applyFont="1" applyBorder="1" applyAlignment="1">
      <alignment horizontal="center" vertical="center"/>
    </xf>
    <xf numFmtId="4" fontId="62" fillId="8" borderId="86" xfId="3" applyNumberFormat="1" applyFont="1" applyFill="1" applyBorder="1" applyAlignment="1">
      <alignment horizontal="center" vertical="center"/>
    </xf>
    <xf numFmtId="0" fontId="64" fillId="8" borderId="87" xfId="3" applyFont="1" applyFill="1" applyBorder="1" applyAlignment="1">
      <alignment horizontal="center" vertical="center"/>
    </xf>
    <xf numFmtId="49" fontId="69" fillId="0" borderId="96" xfId="3" applyNumberFormat="1" applyFont="1" applyBorder="1"/>
    <xf numFmtId="49" fontId="69" fillId="0" borderId="95" xfId="3" applyNumberFormat="1" applyFont="1" applyBorder="1"/>
    <xf numFmtId="49" fontId="52" fillId="0" borderId="93" xfId="3" applyNumberFormat="1" applyFont="1" applyBorder="1"/>
    <xf numFmtId="49" fontId="52" fillId="0" borderId="92" xfId="3" applyNumberFormat="1" applyFont="1" applyBorder="1"/>
    <xf numFmtId="49" fontId="69" fillId="6" borderId="66" xfId="3" applyNumberFormat="1" applyFont="1" applyFill="1" applyBorder="1"/>
    <xf numFmtId="49" fontId="54" fillId="0" borderId="93" xfId="3" applyNumberFormat="1" applyFont="1" applyBorder="1"/>
    <xf numFmtId="49" fontId="54" fillId="0" borderId="92" xfId="3" applyNumberFormat="1" applyFont="1" applyBorder="1"/>
    <xf numFmtId="49" fontId="54" fillId="0" borderId="96" xfId="3" applyNumberFormat="1" applyFont="1" applyBorder="1"/>
    <xf numFmtId="49" fontId="54" fillId="0" borderId="95" xfId="3" applyNumberFormat="1" applyFont="1" applyBorder="1"/>
    <xf numFmtId="49" fontId="62" fillId="0" borderId="93" xfId="3" applyNumberFormat="1" applyFont="1" applyBorder="1"/>
    <xf numFmtId="49" fontId="62" fillId="0" borderId="92" xfId="3" applyNumberFormat="1" applyFont="1" applyBorder="1"/>
    <xf numFmtId="0" fontId="66" fillId="0" borderId="24" xfId="3" applyFont="1" applyBorder="1"/>
    <xf numFmtId="0" fontId="50" fillId="0" borderId="26" xfId="3" applyBorder="1"/>
    <xf numFmtId="0" fontId="50" fillId="0" borderId="27" xfId="3" applyBorder="1"/>
    <xf numFmtId="0" fontId="50" fillId="0" borderId="28" xfId="3" applyBorder="1"/>
    <xf numFmtId="0" fontId="50" fillId="0" borderId="30" xfId="3" applyBorder="1"/>
    <xf numFmtId="0" fontId="50" fillId="0" borderId="31" xfId="3" applyBorder="1"/>
    <xf numFmtId="0" fontId="54" fillId="0" borderId="24" xfId="3" applyFont="1" applyBorder="1" applyAlignment="1">
      <alignment vertical="center"/>
    </xf>
    <xf numFmtId="0" fontId="54" fillId="0" borderId="25" xfId="3" applyFont="1" applyBorder="1" applyAlignment="1">
      <alignment vertical="center"/>
    </xf>
    <xf numFmtId="0" fontId="66" fillId="0" borderId="62" xfId="3" applyFont="1" applyBorder="1"/>
    <xf numFmtId="0" fontId="66" fillId="0" borderId="25" xfId="3" applyFont="1" applyBorder="1"/>
    <xf numFmtId="0" fontId="55" fillId="0" borderId="25" xfId="3" applyFont="1" applyBorder="1" applyAlignment="1">
      <alignment vertical="center"/>
    </xf>
    <xf numFmtId="0" fontId="51" fillId="0" borderId="1" xfId="3" applyFont="1" applyAlignment="1">
      <alignment horizontal="center" vertical="top"/>
    </xf>
    <xf numFmtId="0" fontId="51" fillId="0" borderId="28" xfId="3" applyFont="1" applyBorder="1" applyAlignment="1">
      <alignment horizontal="center" vertical="top"/>
    </xf>
    <xf numFmtId="0" fontId="73" fillId="0" borderId="1" xfId="3" applyFont="1" applyAlignment="1">
      <alignment horizontal="center" vertical="center"/>
    </xf>
    <xf numFmtId="0" fontId="73" fillId="0" borderId="28" xfId="3" applyFont="1" applyBorder="1" applyAlignment="1">
      <alignment horizontal="center" vertical="center"/>
    </xf>
    <xf numFmtId="0" fontId="66" fillId="0" borderId="29" xfId="3" applyFont="1" applyBorder="1"/>
    <xf numFmtId="0" fontId="57" fillId="0" borderId="64" xfId="3" applyFont="1" applyBorder="1" applyAlignment="1">
      <alignment horizontal="center" vertical="center"/>
    </xf>
    <xf numFmtId="0" fontId="54" fillId="0" borderId="61" xfId="3" applyFont="1" applyBorder="1" applyAlignment="1">
      <alignment vertical="center"/>
    </xf>
    <xf numFmtId="0" fontId="55" fillId="0" borderId="61" xfId="3" applyFont="1" applyBorder="1" applyAlignment="1">
      <alignment vertical="center"/>
    </xf>
    <xf numFmtId="0" fontId="57" fillId="0" borderId="65" xfId="3" applyFont="1" applyBorder="1" applyAlignment="1">
      <alignment horizontal="center" vertical="center" wrapText="1"/>
    </xf>
    <xf numFmtId="0" fontId="62" fillId="0" borderId="71" xfId="3" applyFont="1" applyBorder="1" applyAlignment="1">
      <alignment horizontal="center" vertical="center"/>
    </xf>
    <xf numFmtId="0" fontId="64" fillId="0" borderId="71" xfId="3" applyFont="1" applyBorder="1" applyAlignment="1">
      <alignment horizontal="center" vertical="center"/>
    </xf>
    <xf numFmtId="0" fontId="59" fillId="0" borderId="65" xfId="3" applyFont="1" applyBorder="1" applyAlignment="1">
      <alignment horizontal="center" vertical="center"/>
    </xf>
    <xf numFmtId="0" fontId="57" fillId="0" borderId="65" xfId="3" applyFont="1" applyBorder="1" applyAlignment="1">
      <alignment horizontal="center" vertical="center"/>
    </xf>
    <xf numFmtId="14" fontId="54" fillId="0" borderId="62" xfId="3" applyNumberFormat="1" applyFont="1" applyBorder="1" applyAlignment="1">
      <alignment horizontal="left" vertical="center"/>
    </xf>
    <xf numFmtId="14" fontId="54" fillId="0" borderId="66" xfId="3" applyNumberFormat="1" applyFont="1" applyBorder="1" applyAlignment="1">
      <alignment horizontal="left" vertical="center"/>
    </xf>
    <xf numFmtId="0" fontId="54" fillId="0" borderId="86" xfId="3" applyFont="1" applyBorder="1" applyAlignment="1">
      <alignment horizontal="center" vertical="center"/>
    </xf>
    <xf numFmtId="0" fontId="55" fillId="0" borderId="86" xfId="3" applyFont="1" applyBorder="1" applyAlignment="1">
      <alignment horizontal="center" vertical="center"/>
    </xf>
    <xf numFmtId="49" fontId="54" fillId="0" borderId="90" xfId="3" applyNumberFormat="1" applyFont="1" applyBorder="1" applyAlignment="1">
      <alignment horizontal="left" wrapText="1"/>
    </xf>
    <xf numFmtId="49" fontId="54" fillId="0" borderId="69" xfId="3" applyNumberFormat="1" applyFont="1" applyBorder="1" applyAlignment="1">
      <alignment horizontal="left" wrapText="1"/>
    </xf>
    <xf numFmtId="49" fontId="54" fillId="0" borderId="93" xfId="3" applyNumberFormat="1" applyFont="1" applyBorder="1" applyAlignment="1">
      <alignment wrapText="1"/>
    </xf>
    <xf numFmtId="49" fontId="54" fillId="0" borderId="92" xfId="3" applyNumberFormat="1" applyFont="1" applyBorder="1" applyAlignment="1">
      <alignment wrapText="1"/>
    </xf>
    <xf numFmtId="49" fontId="50" fillId="6" borderId="66" xfId="3" applyNumberFormat="1" applyFill="1" applyBorder="1"/>
    <xf numFmtId="49" fontId="69" fillId="0" borderId="71" xfId="3" applyNumberFormat="1" applyFont="1" applyBorder="1"/>
    <xf numFmtId="0" fontId="50" fillId="0" borderId="71" xfId="3" applyBorder="1"/>
    <xf numFmtId="49" fontId="52" fillId="0" borderId="86" xfId="3" applyNumberFormat="1" applyFont="1" applyBorder="1"/>
    <xf numFmtId="0" fontId="50" fillId="0" borderId="86" xfId="3" applyBorder="1"/>
    <xf numFmtId="49" fontId="54" fillId="0" borderId="71" xfId="3" applyNumberFormat="1" applyFont="1" applyBorder="1"/>
    <xf numFmtId="0" fontId="55" fillId="0" borderId="71" xfId="3" applyFont="1" applyBorder="1"/>
    <xf numFmtId="49" fontId="54" fillId="0" borderId="86" xfId="3" applyNumberFormat="1" applyFont="1" applyBorder="1"/>
    <xf numFmtId="0" fontId="55" fillId="0" borderId="86" xfId="3" applyFont="1" applyBorder="1"/>
    <xf numFmtId="49" fontId="62" fillId="0" borderId="86" xfId="3" applyNumberFormat="1" applyFont="1" applyBorder="1"/>
    <xf numFmtId="0" fontId="64" fillId="0" borderId="86" xfId="3" applyFont="1" applyBorder="1"/>
    <xf numFmtId="49" fontId="54" fillId="0" borderId="71" xfId="3" applyNumberFormat="1" applyFont="1" applyBorder="1" applyAlignment="1">
      <alignment wrapText="1"/>
    </xf>
    <xf numFmtId="0" fontId="55" fillId="0" borderId="71" xfId="3" applyFont="1" applyBorder="1" applyAlignment="1">
      <alignment wrapText="1"/>
    </xf>
    <xf numFmtId="0" fontId="50" fillId="6" borderId="66" xfId="3" applyFill="1" applyBorder="1"/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5">
    <cellStyle name="Hypertextový odkaz" xfId="1" builtinId="8"/>
    <cellStyle name="Normální" xfId="0" builtinId="0" customBuiltin="1"/>
    <cellStyle name="Normální 2" xfId="2"/>
    <cellStyle name="Normální 3" xfId="3"/>
    <cellStyle name="Normální 4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5353" cy="885825"/>
    <xdr:pic>
      <xdr:nvPicPr>
        <xdr:cNvPr id="2" name="Picture 1">
          <a:extLst>
            <a:ext uri="{FF2B5EF4-FFF2-40B4-BE49-F238E27FC236}">
              <a16:creationId xmlns:a16="http://schemas.microsoft.com/office/drawing/2014/main" id="{FDE16D3A-BAD4-4543-B905-03A8230BD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95353" cy="8858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3446" cy="885825"/>
    <xdr:pic>
      <xdr:nvPicPr>
        <xdr:cNvPr id="2" name="Picture 1">
          <a:extLst>
            <a:ext uri="{FF2B5EF4-FFF2-40B4-BE49-F238E27FC236}">
              <a16:creationId xmlns:a16="http://schemas.microsoft.com/office/drawing/2014/main" id="{C4B3D886-D97A-4D8A-856B-EB19E06A4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46" cy="8858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136154</xdr:colOff>
      <xdr:row>1</xdr:row>
      <xdr:rowOff>209550</xdr:rowOff>
    </xdr:from>
    <xdr:to>
      <xdr:col>1</xdr:col>
      <xdr:colOff>1552574</xdr:colOff>
      <xdr:row>4</xdr:row>
      <xdr:rowOff>9525</xdr:rowOff>
    </xdr:to>
    <xdr:pic>
      <xdr:nvPicPr>
        <xdr:cNvPr id="2" name="Picture 1" descr="logo2">
          <a:extLst>
            <a:ext uri="{FF2B5EF4-FFF2-40B4-BE49-F238E27FC236}">
              <a16:creationId xmlns:a16="http://schemas.microsoft.com/office/drawing/2014/main" id="{C31AA54D-5CE4-4AE9-89DE-B7A38990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754" y="323850"/>
          <a:ext cx="47344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1</xdr:row>
      <xdr:rowOff>200025</xdr:rowOff>
    </xdr:from>
    <xdr:to>
      <xdr:col>2</xdr:col>
      <xdr:colOff>1257300</xdr:colOff>
      <xdr:row>4</xdr:row>
      <xdr:rowOff>30362</xdr:rowOff>
    </xdr:to>
    <xdr:pic>
      <xdr:nvPicPr>
        <xdr:cNvPr id="2" name="Picture 1" descr="logo2">
          <a:extLst>
            <a:ext uri="{FF2B5EF4-FFF2-40B4-BE49-F238E27FC236}">
              <a16:creationId xmlns:a16="http://schemas.microsoft.com/office/drawing/2014/main" id="{FF682825-F2A0-42DB-81E1-C8BFA625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323850"/>
          <a:ext cx="923924" cy="354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136154</xdr:colOff>
      <xdr:row>1</xdr:row>
      <xdr:rowOff>209550</xdr:rowOff>
    </xdr:from>
    <xdr:to>
      <xdr:col>1</xdr:col>
      <xdr:colOff>1552574</xdr:colOff>
      <xdr:row>4</xdr:row>
      <xdr:rowOff>9525</xdr:rowOff>
    </xdr:to>
    <xdr:pic>
      <xdr:nvPicPr>
        <xdr:cNvPr id="2" name="Picture 1" descr="logo2">
          <a:extLst>
            <a:ext uri="{FF2B5EF4-FFF2-40B4-BE49-F238E27FC236}">
              <a16:creationId xmlns:a16="http://schemas.microsoft.com/office/drawing/2014/main" id="{787F73DA-F137-4C1D-9497-B3B4B8C1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754" y="323850"/>
          <a:ext cx="47344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1</xdr:row>
      <xdr:rowOff>200025</xdr:rowOff>
    </xdr:from>
    <xdr:to>
      <xdr:col>2</xdr:col>
      <xdr:colOff>1257300</xdr:colOff>
      <xdr:row>4</xdr:row>
      <xdr:rowOff>30362</xdr:rowOff>
    </xdr:to>
    <xdr:pic>
      <xdr:nvPicPr>
        <xdr:cNvPr id="2" name="Picture 1" descr="logo2">
          <a:extLst>
            <a:ext uri="{FF2B5EF4-FFF2-40B4-BE49-F238E27FC236}">
              <a16:creationId xmlns:a16="http://schemas.microsoft.com/office/drawing/2014/main" id="{EF757A8A-3979-45C7-B90F-6AFD1DB1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323850"/>
          <a:ext cx="923924" cy="354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CI.CZ\Zak&#225;zky\Zak&#225;zky%202019\19-042-150%20NCI%20-%20&#268;R-MZe%20-%20PD%20VZT%20a%20in&#382;en&#253;r.&#269;innost%20,MZe%20&#381;&#271;&#225;r%20nad%20S&#225;zavou\DPS\D.Dokumentace_objektu\D.1.4.2%20Zarizeni_silnoproude_elektroniky\MZe_Zdar_KP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Rozpočet"/>
      <sheetName val="Parametry"/>
    </sheetNames>
    <sheetDataSet>
      <sheetData sheetId="0" refreshError="1"/>
      <sheetData sheetId="1" refreshError="1"/>
      <sheetData sheetId="2">
        <row r="16">
          <cell r="B16" t="str">
            <v>3,60</v>
          </cell>
        </row>
        <row r="17">
          <cell r="B17" t="str">
            <v>1,00</v>
          </cell>
        </row>
        <row r="18">
          <cell r="B18" t="str">
            <v>6,00</v>
          </cell>
        </row>
        <row r="19">
          <cell r="B19" t="str">
            <v>0,00</v>
          </cell>
        </row>
        <row r="21">
          <cell r="B21" t="str">
            <v>0,00</v>
          </cell>
        </row>
        <row r="22">
          <cell r="B22" t="str">
            <v>0,00</v>
          </cell>
        </row>
        <row r="23">
          <cell r="B23" t="str">
            <v>0,00</v>
          </cell>
        </row>
        <row r="24">
          <cell r="B24" t="str">
            <v>0,00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0,00</v>
          </cell>
        </row>
        <row r="30">
          <cell r="B30" t="str">
            <v>0,00</v>
          </cell>
        </row>
        <row r="31">
          <cell r="B31" t="str">
            <v>21</v>
          </cell>
        </row>
        <row r="32">
          <cell r="B32" t="str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topLeftCell="A37" workbookViewId="0">
      <selection activeCell="AG58" sqref="AG58:AM5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4"/>
      <c r="BE2" s="46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472" t="s">
        <v>14</v>
      </c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20"/>
      <c r="AQ5" s="20"/>
      <c r="AR5" s="18"/>
      <c r="BE5" s="469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474" t="s">
        <v>17</v>
      </c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20"/>
      <c r="AQ6" s="20"/>
      <c r="AR6" s="18"/>
      <c r="BE6" s="470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470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470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470"/>
      <c r="BS9" s="15" t="s">
        <v>6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470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470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470"/>
      <c r="BS12" s="15" t="s">
        <v>6</v>
      </c>
    </row>
    <row r="13" spans="1:74" s="1" customFormat="1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32</v>
      </c>
      <c r="AO13" s="20"/>
      <c r="AP13" s="20"/>
      <c r="AQ13" s="20"/>
      <c r="AR13" s="18"/>
      <c r="BE13" s="470"/>
      <c r="BS13" s="15" t="s">
        <v>6</v>
      </c>
    </row>
    <row r="14" spans="1:74" ht="12.75">
      <c r="B14" s="19"/>
      <c r="C14" s="20"/>
      <c r="D14" s="20"/>
      <c r="E14" s="475" t="s">
        <v>32</v>
      </c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27" t="s">
        <v>29</v>
      </c>
      <c r="AL14" s="20"/>
      <c r="AM14" s="20"/>
      <c r="AN14" s="29" t="s">
        <v>32</v>
      </c>
      <c r="AO14" s="20"/>
      <c r="AP14" s="20"/>
      <c r="AQ14" s="20"/>
      <c r="AR14" s="18"/>
      <c r="BE14" s="470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470"/>
      <c r="BS15" s="15" t="s">
        <v>4</v>
      </c>
    </row>
    <row r="16" spans="1:74" s="1" customFormat="1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470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470"/>
      <c r="BS17" s="15" t="s">
        <v>37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470"/>
      <c r="BS18" s="15" t="s">
        <v>6</v>
      </c>
    </row>
    <row r="19" spans="1:71" s="1" customFormat="1" ht="12" customHeight="1">
      <c r="B19" s="19"/>
      <c r="C19" s="20"/>
      <c r="D19" s="27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34</v>
      </c>
      <c r="AO19" s="20"/>
      <c r="AP19" s="20"/>
      <c r="AQ19" s="20"/>
      <c r="AR19" s="18"/>
      <c r="BE19" s="470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29</v>
      </c>
      <c r="AL20" s="20"/>
      <c r="AM20" s="20"/>
      <c r="AN20" s="25" t="s">
        <v>36</v>
      </c>
      <c r="AO20" s="20"/>
      <c r="AP20" s="20"/>
      <c r="AQ20" s="20"/>
      <c r="AR20" s="18"/>
      <c r="BE20" s="470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470"/>
    </row>
    <row r="22" spans="1:71" s="1" customFormat="1" ht="12" customHeight="1">
      <c r="B22" s="19"/>
      <c r="C22" s="20"/>
      <c r="D22" s="27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470"/>
    </row>
    <row r="23" spans="1:71" s="1" customFormat="1" ht="47.25" customHeight="1">
      <c r="B23" s="19"/>
      <c r="C23" s="20"/>
      <c r="D23" s="20"/>
      <c r="E23" s="477" t="s">
        <v>40</v>
      </c>
      <c r="F23" s="477"/>
      <c r="G23" s="477"/>
      <c r="H23" s="477"/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20"/>
      <c r="AP23" s="20"/>
      <c r="AQ23" s="20"/>
      <c r="AR23" s="18"/>
      <c r="BE23" s="470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470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470"/>
    </row>
    <row r="26" spans="1:71" s="2" customFormat="1" ht="25.9" customHeight="1">
      <c r="A26" s="32"/>
      <c r="B26" s="33"/>
      <c r="C26" s="34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461">
        <f>ROUND(AG54,2)</f>
        <v>0</v>
      </c>
      <c r="AL26" s="462"/>
      <c r="AM26" s="462"/>
      <c r="AN26" s="462"/>
      <c r="AO26" s="462"/>
      <c r="AP26" s="34"/>
      <c r="AQ26" s="34"/>
      <c r="AR26" s="37"/>
      <c r="BE26" s="470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470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463" t="s">
        <v>42</v>
      </c>
      <c r="M28" s="463"/>
      <c r="N28" s="463"/>
      <c r="O28" s="463"/>
      <c r="P28" s="463"/>
      <c r="Q28" s="34"/>
      <c r="R28" s="34"/>
      <c r="S28" s="34"/>
      <c r="T28" s="34"/>
      <c r="U28" s="34"/>
      <c r="V28" s="34"/>
      <c r="W28" s="463" t="s">
        <v>43</v>
      </c>
      <c r="X28" s="463"/>
      <c r="Y28" s="463"/>
      <c r="Z28" s="463"/>
      <c r="AA28" s="463"/>
      <c r="AB28" s="463"/>
      <c r="AC28" s="463"/>
      <c r="AD28" s="463"/>
      <c r="AE28" s="463"/>
      <c r="AF28" s="34"/>
      <c r="AG28" s="34"/>
      <c r="AH28" s="34"/>
      <c r="AI28" s="34"/>
      <c r="AJ28" s="34"/>
      <c r="AK28" s="463" t="s">
        <v>44</v>
      </c>
      <c r="AL28" s="463"/>
      <c r="AM28" s="463"/>
      <c r="AN28" s="463"/>
      <c r="AO28" s="463"/>
      <c r="AP28" s="34"/>
      <c r="AQ28" s="34"/>
      <c r="AR28" s="37"/>
      <c r="BE28" s="470"/>
    </row>
    <row r="29" spans="1:71" s="3" customFormat="1" ht="14.45" customHeight="1">
      <c r="B29" s="38"/>
      <c r="C29" s="39"/>
      <c r="D29" s="27" t="s">
        <v>45</v>
      </c>
      <c r="E29" s="39"/>
      <c r="F29" s="27" t="s">
        <v>46</v>
      </c>
      <c r="G29" s="39"/>
      <c r="H29" s="39"/>
      <c r="I29" s="39"/>
      <c r="J29" s="39"/>
      <c r="K29" s="39"/>
      <c r="L29" s="457">
        <v>0.21</v>
      </c>
      <c r="M29" s="456"/>
      <c r="N29" s="456"/>
      <c r="O29" s="456"/>
      <c r="P29" s="456"/>
      <c r="Q29" s="39"/>
      <c r="R29" s="39"/>
      <c r="S29" s="39"/>
      <c r="T29" s="39"/>
      <c r="U29" s="39"/>
      <c r="V29" s="39"/>
      <c r="W29" s="455">
        <f>ROUND(AZ54, 2)</f>
        <v>0</v>
      </c>
      <c r="X29" s="456"/>
      <c r="Y29" s="456"/>
      <c r="Z29" s="456"/>
      <c r="AA29" s="456"/>
      <c r="AB29" s="456"/>
      <c r="AC29" s="456"/>
      <c r="AD29" s="456"/>
      <c r="AE29" s="456"/>
      <c r="AF29" s="39"/>
      <c r="AG29" s="39"/>
      <c r="AH29" s="39"/>
      <c r="AI29" s="39"/>
      <c r="AJ29" s="39"/>
      <c r="AK29" s="455">
        <f>ROUND(AV54, 2)</f>
        <v>0</v>
      </c>
      <c r="AL29" s="456"/>
      <c r="AM29" s="456"/>
      <c r="AN29" s="456"/>
      <c r="AO29" s="456"/>
      <c r="AP29" s="39"/>
      <c r="AQ29" s="39"/>
      <c r="AR29" s="40"/>
      <c r="BE29" s="471"/>
    </row>
    <row r="30" spans="1:71" s="3" customFormat="1" ht="14.45" customHeight="1">
      <c r="B30" s="38"/>
      <c r="C30" s="39"/>
      <c r="D30" s="39"/>
      <c r="E30" s="39"/>
      <c r="F30" s="27" t="s">
        <v>47</v>
      </c>
      <c r="G30" s="39"/>
      <c r="H30" s="39"/>
      <c r="I30" s="39"/>
      <c r="J30" s="39"/>
      <c r="K30" s="39"/>
      <c r="L30" s="457">
        <v>0.15</v>
      </c>
      <c r="M30" s="456"/>
      <c r="N30" s="456"/>
      <c r="O30" s="456"/>
      <c r="P30" s="456"/>
      <c r="Q30" s="39"/>
      <c r="R30" s="39"/>
      <c r="S30" s="39"/>
      <c r="T30" s="39"/>
      <c r="U30" s="39"/>
      <c r="V30" s="39"/>
      <c r="W30" s="455">
        <f>ROUND(BA54, 2)</f>
        <v>0</v>
      </c>
      <c r="X30" s="456"/>
      <c r="Y30" s="456"/>
      <c r="Z30" s="456"/>
      <c r="AA30" s="456"/>
      <c r="AB30" s="456"/>
      <c r="AC30" s="456"/>
      <c r="AD30" s="456"/>
      <c r="AE30" s="456"/>
      <c r="AF30" s="39"/>
      <c r="AG30" s="39"/>
      <c r="AH30" s="39"/>
      <c r="AI30" s="39"/>
      <c r="AJ30" s="39"/>
      <c r="AK30" s="455">
        <f>ROUND(AW54, 2)</f>
        <v>0</v>
      </c>
      <c r="AL30" s="456"/>
      <c r="AM30" s="456"/>
      <c r="AN30" s="456"/>
      <c r="AO30" s="456"/>
      <c r="AP30" s="39"/>
      <c r="AQ30" s="39"/>
      <c r="AR30" s="40"/>
      <c r="BE30" s="471"/>
    </row>
    <row r="31" spans="1:71" s="3" customFormat="1" ht="14.45" hidden="1" customHeight="1">
      <c r="B31" s="38"/>
      <c r="C31" s="39"/>
      <c r="D31" s="39"/>
      <c r="E31" s="39"/>
      <c r="F31" s="27" t="s">
        <v>48</v>
      </c>
      <c r="G31" s="39"/>
      <c r="H31" s="39"/>
      <c r="I31" s="39"/>
      <c r="J31" s="39"/>
      <c r="K31" s="39"/>
      <c r="L31" s="457">
        <v>0.21</v>
      </c>
      <c r="M31" s="456"/>
      <c r="N31" s="456"/>
      <c r="O31" s="456"/>
      <c r="P31" s="456"/>
      <c r="Q31" s="39"/>
      <c r="R31" s="39"/>
      <c r="S31" s="39"/>
      <c r="T31" s="39"/>
      <c r="U31" s="39"/>
      <c r="V31" s="39"/>
      <c r="W31" s="455">
        <f>ROUND(BB54, 2)</f>
        <v>0</v>
      </c>
      <c r="X31" s="456"/>
      <c r="Y31" s="456"/>
      <c r="Z31" s="456"/>
      <c r="AA31" s="456"/>
      <c r="AB31" s="456"/>
      <c r="AC31" s="456"/>
      <c r="AD31" s="456"/>
      <c r="AE31" s="456"/>
      <c r="AF31" s="39"/>
      <c r="AG31" s="39"/>
      <c r="AH31" s="39"/>
      <c r="AI31" s="39"/>
      <c r="AJ31" s="39"/>
      <c r="AK31" s="455">
        <v>0</v>
      </c>
      <c r="AL31" s="456"/>
      <c r="AM31" s="456"/>
      <c r="AN31" s="456"/>
      <c r="AO31" s="456"/>
      <c r="AP31" s="39"/>
      <c r="AQ31" s="39"/>
      <c r="AR31" s="40"/>
      <c r="BE31" s="471"/>
    </row>
    <row r="32" spans="1:71" s="3" customFormat="1" ht="14.45" hidden="1" customHeight="1">
      <c r="B32" s="38"/>
      <c r="C32" s="39"/>
      <c r="D32" s="39"/>
      <c r="E32" s="39"/>
      <c r="F32" s="27" t="s">
        <v>49</v>
      </c>
      <c r="G32" s="39"/>
      <c r="H32" s="39"/>
      <c r="I32" s="39"/>
      <c r="J32" s="39"/>
      <c r="K32" s="39"/>
      <c r="L32" s="457">
        <v>0.15</v>
      </c>
      <c r="M32" s="456"/>
      <c r="N32" s="456"/>
      <c r="O32" s="456"/>
      <c r="P32" s="456"/>
      <c r="Q32" s="39"/>
      <c r="R32" s="39"/>
      <c r="S32" s="39"/>
      <c r="T32" s="39"/>
      <c r="U32" s="39"/>
      <c r="V32" s="39"/>
      <c r="W32" s="455">
        <f>ROUND(BC54, 2)</f>
        <v>0</v>
      </c>
      <c r="X32" s="456"/>
      <c r="Y32" s="456"/>
      <c r="Z32" s="456"/>
      <c r="AA32" s="456"/>
      <c r="AB32" s="456"/>
      <c r="AC32" s="456"/>
      <c r="AD32" s="456"/>
      <c r="AE32" s="456"/>
      <c r="AF32" s="39"/>
      <c r="AG32" s="39"/>
      <c r="AH32" s="39"/>
      <c r="AI32" s="39"/>
      <c r="AJ32" s="39"/>
      <c r="AK32" s="455">
        <v>0</v>
      </c>
      <c r="AL32" s="456"/>
      <c r="AM32" s="456"/>
      <c r="AN32" s="456"/>
      <c r="AO32" s="456"/>
      <c r="AP32" s="39"/>
      <c r="AQ32" s="39"/>
      <c r="AR32" s="40"/>
      <c r="BE32" s="471"/>
    </row>
    <row r="33" spans="1:57" s="3" customFormat="1" ht="14.45" hidden="1" customHeight="1">
      <c r="B33" s="38"/>
      <c r="C33" s="39"/>
      <c r="D33" s="39"/>
      <c r="E33" s="39"/>
      <c r="F33" s="27" t="s">
        <v>50</v>
      </c>
      <c r="G33" s="39"/>
      <c r="H33" s="39"/>
      <c r="I33" s="39"/>
      <c r="J33" s="39"/>
      <c r="K33" s="39"/>
      <c r="L33" s="457">
        <v>0</v>
      </c>
      <c r="M33" s="456"/>
      <c r="N33" s="456"/>
      <c r="O33" s="456"/>
      <c r="P33" s="456"/>
      <c r="Q33" s="39"/>
      <c r="R33" s="39"/>
      <c r="S33" s="39"/>
      <c r="T33" s="39"/>
      <c r="U33" s="39"/>
      <c r="V33" s="39"/>
      <c r="W33" s="455">
        <f>ROUND(BD54, 2)</f>
        <v>0</v>
      </c>
      <c r="X33" s="456"/>
      <c r="Y33" s="456"/>
      <c r="Z33" s="456"/>
      <c r="AA33" s="456"/>
      <c r="AB33" s="456"/>
      <c r="AC33" s="456"/>
      <c r="AD33" s="456"/>
      <c r="AE33" s="456"/>
      <c r="AF33" s="39"/>
      <c r="AG33" s="39"/>
      <c r="AH33" s="39"/>
      <c r="AI33" s="39"/>
      <c r="AJ33" s="39"/>
      <c r="AK33" s="455">
        <v>0</v>
      </c>
      <c r="AL33" s="456"/>
      <c r="AM33" s="456"/>
      <c r="AN33" s="456"/>
      <c r="AO33" s="456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51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52</v>
      </c>
      <c r="U35" s="43"/>
      <c r="V35" s="43"/>
      <c r="W35" s="43"/>
      <c r="X35" s="468" t="s">
        <v>53</v>
      </c>
      <c r="Y35" s="466"/>
      <c r="Z35" s="466"/>
      <c r="AA35" s="466"/>
      <c r="AB35" s="466"/>
      <c r="AC35" s="43"/>
      <c r="AD35" s="43"/>
      <c r="AE35" s="43"/>
      <c r="AF35" s="43"/>
      <c r="AG35" s="43"/>
      <c r="AH35" s="43"/>
      <c r="AI35" s="43"/>
      <c r="AJ35" s="43"/>
      <c r="AK35" s="465">
        <f>SUM(AK26:AK33)</f>
        <v>0</v>
      </c>
      <c r="AL35" s="466"/>
      <c r="AM35" s="466"/>
      <c r="AN35" s="466"/>
      <c r="AO35" s="467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54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19-042-150NCI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458" t="str">
        <f>K6</f>
        <v>Komplexní klimatizace v objektu MZe Žďár n.S.</v>
      </c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59"/>
      <c r="AG45" s="459"/>
      <c r="AH45" s="459"/>
      <c r="AI45" s="459"/>
      <c r="AJ45" s="459"/>
      <c r="AK45" s="459"/>
      <c r="AL45" s="459"/>
      <c r="AM45" s="459"/>
      <c r="AN45" s="459"/>
      <c r="AO45" s="459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Žďár nad Sázavou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460" t="str">
        <f>IF(AN8= "","",AN8)</f>
        <v>21. 2. 2020</v>
      </c>
      <c r="AN47" s="460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25.7" customHeight="1">
      <c r="A49" s="32"/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Česká republika - Ministerstvo zemědělství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33</v>
      </c>
      <c r="AJ49" s="34"/>
      <c r="AK49" s="34"/>
      <c r="AL49" s="34"/>
      <c r="AM49" s="444" t="str">
        <f>IF(E17="","",E17)</f>
        <v>NCI.CZ ENGINEERING s.r.o.</v>
      </c>
      <c r="AN49" s="445"/>
      <c r="AO49" s="445"/>
      <c r="AP49" s="445"/>
      <c r="AQ49" s="34"/>
      <c r="AR49" s="37"/>
      <c r="AS49" s="438" t="s">
        <v>55</v>
      </c>
      <c r="AT49" s="439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25.7" customHeight="1">
      <c r="A50" s="32"/>
      <c r="B50" s="33"/>
      <c r="C50" s="27" t="s">
        <v>31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38</v>
      </c>
      <c r="AJ50" s="34"/>
      <c r="AK50" s="34"/>
      <c r="AL50" s="34"/>
      <c r="AM50" s="444" t="str">
        <f>IF(E20="","",E20)</f>
        <v>NCI.CZ ENGINEERING s.r.o.</v>
      </c>
      <c r="AN50" s="445"/>
      <c r="AO50" s="445"/>
      <c r="AP50" s="445"/>
      <c r="AQ50" s="34"/>
      <c r="AR50" s="37"/>
      <c r="AS50" s="440"/>
      <c r="AT50" s="441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442"/>
      <c r="AT51" s="443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>
      <c r="A52" s="32"/>
      <c r="B52" s="33"/>
      <c r="C52" s="446" t="s">
        <v>56</v>
      </c>
      <c r="D52" s="447"/>
      <c r="E52" s="447"/>
      <c r="F52" s="447"/>
      <c r="G52" s="447"/>
      <c r="H52" s="64"/>
      <c r="I52" s="449" t="s">
        <v>57</v>
      </c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8" t="s">
        <v>58</v>
      </c>
      <c r="AH52" s="447"/>
      <c r="AI52" s="447"/>
      <c r="AJ52" s="447"/>
      <c r="AK52" s="447"/>
      <c r="AL52" s="447"/>
      <c r="AM52" s="447"/>
      <c r="AN52" s="449" t="s">
        <v>59</v>
      </c>
      <c r="AO52" s="447"/>
      <c r="AP52" s="447"/>
      <c r="AQ52" s="65" t="s">
        <v>60</v>
      </c>
      <c r="AR52" s="37"/>
      <c r="AS52" s="66" t="s">
        <v>61</v>
      </c>
      <c r="AT52" s="67" t="s">
        <v>62</v>
      </c>
      <c r="AU52" s="67" t="s">
        <v>63</v>
      </c>
      <c r="AV52" s="67" t="s">
        <v>64</v>
      </c>
      <c r="AW52" s="67" t="s">
        <v>65</v>
      </c>
      <c r="AX52" s="67" t="s">
        <v>66</v>
      </c>
      <c r="AY52" s="67" t="s">
        <v>67</v>
      </c>
      <c r="AZ52" s="67" t="s">
        <v>68</v>
      </c>
      <c r="BA52" s="67" t="s">
        <v>69</v>
      </c>
      <c r="BB52" s="67" t="s">
        <v>70</v>
      </c>
      <c r="BC52" s="67" t="s">
        <v>71</v>
      </c>
      <c r="BD52" s="68" t="s">
        <v>72</v>
      </c>
      <c r="BE52" s="32"/>
    </row>
    <row r="53" spans="1:91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50000000000003" customHeight="1">
      <c r="B54" s="72"/>
      <c r="C54" s="73" t="s">
        <v>73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453">
        <f>ROUND(SUM(AG55:AG58),2)</f>
        <v>0</v>
      </c>
      <c r="AH54" s="453"/>
      <c r="AI54" s="453"/>
      <c r="AJ54" s="453"/>
      <c r="AK54" s="453"/>
      <c r="AL54" s="453"/>
      <c r="AM54" s="453"/>
      <c r="AN54" s="454">
        <f>SUM(AG54,AT54)</f>
        <v>0</v>
      </c>
      <c r="AO54" s="454"/>
      <c r="AP54" s="454"/>
      <c r="AQ54" s="76" t="s">
        <v>19</v>
      </c>
      <c r="AR54" s="77"/>
      <c r="AS54" s="78">
        <f>ROUND(SUM(AS55:AS58),2)</f>
        <v>0</v>
      </c>
      <c r="AT54" s="79">
        <f>ROUND(SUM(AV54:AW54),2)</f>
        <v>0</v>
      </c>
      <c r="AU54" s="80">
        <f>ROUND(SUM(AU55:AU58),5)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ROUND(SUM(AZ55:AZ58),2)</f>
        <v>0</v>
      </c>
      <c r="BA54" s="79">
        <f>ROUND(SUM(BA55:BA58),2)</f>
        <v>0</v>
      </c>
      <c r="BB54" s="79">
        <f>ROUND(SUM(BB55:BB58),2)</f>
        <v>0</v>
      </c>
      <c r="BC54" s="79">
        <f>ROUND(SUM(BC55:BC58),2)</f>
        <v>0</v>
      </c>
      <c r="BD54" s="81">
        <f>ROUND(SUM(BD55:BD58),2)</f>
        <v>0</v>
      </c>
      <c r="BS54" s="82" t="s">
        <v>74</v>
      </c>
      <c r="BT54" s="82" t="s">
        <v>75</v>
      </c>
      <c r="BU54" s="83" t="s">
        <v>76</v>
      </c>
      <c r="BV54" s="82" t="s">
        <v>77</v>
      </c>
      <c r="BW54" s="82" t="s">
        <v>5</v>
      </c>
      <c r="BX54" s="82" t="s">
        <v>78</v>
      </c>
      <c r="CL54" s="82" t="s">
        <v>19</v>
      </c>
    </row>
    <row r="55" spans="1:91" s="7" customFormat="1" ht="16.5" customHeight="1">
      <c r="A55" s="84" t="s">
        <v>79</v>
      </c>
      <c r="B55" s="85"/>
      <c r="C55" s="86"/>
      <c r="D55" s="450" t="s">
        <v>80</v>
      </c>
      <c r="E55" s="450"/>
      <c r="F55" s="450"/>
      <c r="G55" s="450"/>
      <c r="H55" s="450"/>
      <c r="I55" s="87"/>
      <c r="J55" s="450" t="s">
        <v>81</v>
      </c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1">
        <f>'D.1.1 - Architektonicko s...'!J30</f>
        <v>0</v>
      </c>
      <c r="AH55" s="452"/>
      <c r="AI55" s="452"/>
      <c r="AJ55" s="452"/>
      <c r="AK55" s="452"/>
      <c r="AL55" s="452"/>
      <c r="AM55" s="452"/>
      <c r="AN55" s="451">
        <f>SUM(AG55,AT55)</f>
        <v>0</v>
      </c>
      <c r="AO55" s="452"/>
      <c r="AP55" s="452"/>
      <c r="AQ55" s="88" t="s">
        <v>82</v>
      </c>
      <c r="AR55" s="89"/>
      <c r="AS55" s="90">
        <v>0</v>
      </c>
      <c r="AT55" s="91">
        <f>ROUND(SUM(AV55:AW55),2)</f>
        <v>0</v>
      </c>
      <c r="AU55" s="92">
        <f>'D.1.1 - Architektonicko s...'!P81</f>
        <v>0</v>
      </c>
      <c r="AV55" s="91">
        <f>'D.1.1 - Architektonicko s...'!J33</f>
        <v>0</v>
      </c>
      <c r="AW55" s="91">
        <f>'D.1.1 - Architektonicko s...'!J34</f>
        <v>0</v>
      </c>
      <c r="AX55" s="91">
        <f>'D.1.1 - Architektonicko s...'!J35</f>
        <v>0</v>
      </c>
      <c r="AY55" s="91">
        <f>'D.1.1 - Architektonicko s...'!J36</f>
        <v>0</v>
      </c>
      <c r="AZ55" s="91">
        <f>'D.1.1 - Architektonicko s...'!F33</f>
        <v>0</v>
      </c>
      <c r="BA55" s="91">
        <f>'D.1.1 - Architektonicko s...'!F34</f>
        <v>0</v>
      </c>
      <c r="BB55" s="91">
        <f>'D.1.1 - Architektonicko s...'!F35</f>
        <v>0</v>
      </c>
      <c r="BC55" s="91">
        <f>'D.1.1 - Architektonicko s...'!F36</f>
        <v>0</v>
      </c>
      <c r="BD55" s="93">
        <f>'D.1.1 - Architektonicko s...'!F37</f>
        <v>0</v>
      </c>
      <c r="BT55" s="94" t="s">
        <v>83</v>
      </c>
      <c r="BV55" s="94" t="s">
        <v>77</v>
      </c>
      <c r="BW55" s="94" t="s">
        <v>84</v>
      </c>
      <c r="BX55" s="94" t="s">
        <v>5</v>
      </c>
      <c r="CL55" s="94" t="s">
        <v>19</v>
      </c>
      <c r="CM55" s="94" t="s">
        <v>85</v>
      </c>
    </row>
    <row r="56" spans="1:91" s="7" customFormat="1" ht="16.5" customHeight="1">
      <c r="A56" s="84" t="s">
        <v>79</v>
      </c>
      <c r="B56" s="85"/>
      <c r="C56" s="86"/>
      <c r="D56" s="450" t="s">
        <v>86</v>
      </c>
      <c r="E56" s="450"/>
      <c r="F56" s="450"/>
      <c r="G56" s="450"/>
      <c r="H56" s="450"/>
      <c r="I56" s="87"/>
      <c r="J56" s="450" t="s">
        <v>87</v>
      </c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0"/>
      <c r="V56" s="450"/>
      <c r="W56" s="450"/>
      <c r="X56" s="450"/>
      <c r="Y56" s="450"/>
      <c r="Z56" s="450"/>
      <c r="AA56" s="450"/>
      <c r="AB56" s="450"/>
      <c r="AC56" s="450"/>
      <c r="AD56" s="450"/>
      <c r="AE56" s="450"/>
      <c r="AF56" s="450"/>
      <c r="AG56" s="451">
        <f>'D.1.4.1 - Klimatizace'!J30</f>
        <v>0</v>
      </c>
      <c r="AH56" s="452"/>
      <c r="AI56" s="452"/>
      <c r="AJ56" s="452"/>
      <c r="AK56" s="452"/>
      <c r="AL56" s="452"/>
      <c r="AM56" s="452"/>
      <c r="AN56" s="451">
        <f>SUM(AG56,AT56)</f>
        <v>0</v>
      </c>
      <c r="AO56" s="452"/>
      <c r="AP56" s="452"/>
      <c r="AQ56" s="88" t="s">
        <v>82</v>
      </c>
      <c r="AR56" s="89"/>
      <c r="AS56" s="90">
        <v>0</v>
      </c>
      <c r="AT56" s="91">
        <f>ROUND(SUM(AV56:AW56),2)</f>
        <v>0</v>
      </c>
      <c r="AU56" s="92">
        <f>'D.1.4.1 - Klimatizace'!P81</f>
        <v>0</v>
      </c>
      <c r="AV56" s="91">
        <f>'D.1.4.1 - Klimatizace'!J33</f>
        <v>0</v>
      </c>
      <c r="AW56" s="91">
        <f>'D.1.4.1 - Klimatizace'!J34</f>
        <v>0</v>
      </c>
      <c r="AX56" s="91">
        <f>'D.1.4.1 - Klimatizace'!J35</f>
        <v>0</v>
      </c>
      <c r="AY56" s="91">
        <f>'D.1.4.1 - Klimatizace'!J36</f>
        <v>0</v>
      </c>
      <c r="AZ56" s="91">
        <f>'D.1.4.1 - Klimatizace'!F33</f>
        <v>0</v>
      </c>
      <c r="BA56" s="91">
        <f>'D.1.4.1 - Klimatizace'!F34</f>
        <v>0</v>
      </c>
      <c r="BB56" s="91">
        <f>'D.1.4.1 - Klimatizace'!F35</f>
        <v>0</v>
      </c>
      <c r="BC56" s="91">
        <f>'D.1.4.1 - Klimatizace'!F36</f>
        <v>0</v>
      </c>
      <c r="BD56" s="93">
        <f>'D.1.4.1 - Klimatizace'!F37</f>
        <v>0</v>
      </c>
      <c r="BT56" s="94" t="s">
        <v>83</v>
      </c>
      <c r="BV56" s="94" t="s">
        <v>77</v>
      </c>
      <c r="BW56" s="94" t="s">
        <v>88</v>
      </c>
      <c r="BX56" s="94" t="s">
        <v>5</v>
      </c>
      <c r="CL56" s="94" t="s">
        <v>19</v>
      </c>
      <c r="CM56" s="94" t="s">
        <v>85</v>
      </c>
    </row>
    <row r="57" spans="1:91" s="7" customFormat="1" ht="16.5" customHeight="1">
      <c r="A57" s="84" t="s">
        <v>79</v>
      </c>
      <c r="B57" s="85"/>
      <c r="C57" s="86"/>
      <c r="D57" s="450" t="s">
        <v>89</v>
      </c>
      <c r="E57" s="450"/>
      <c r="F57" s="450"/>
      <c r="G57" s="450"/>
      <c r="H57" s="450"/>
      <c r="I57" s="87"/>
      <c r="J57" s="450" t="s">
        <v>90</v>
      </c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0"/>
      <c r="AE57" s="450"/>
      <c r="AF57" s="450"/>
      <c r="AG57" s="451">
        <f>'D.1.4.2 - Zařízení silnop...'!J30</f>
        <v>0</v>
      </c>
      <c r="AH57" s="452"/>
      <c r="AI57" s="452"/>
      <c r="AJ57" s="452"/>
      <c r="AK57" s="452"/>
      <c r="AL57" s="452"/>
      <c r="AM57" s="452"/>
      <c r="AN57" s="451">
        <f>SUM(AG57,AT57)</f>
        <v>0</v>
      </c>
      <c r="AO57" s="452"/>
      <c r="AP57" s="452"/>
      <c r="AQ57" s="88" t="s">
        <v>82</v>
      </c>
      <c r="AR57" s="89"/>
      <c r="AS57" s="90">
        <v>0</v>
      </c>
      <c r="AT57" s="91">
        <f>ROUND(SUM(AV57:AW57),2)</f>
        <v>0</v>
      </c>
      <c r="AU57" s="92">
        <f>'D.1.4.2 - Zařízení silnop...'!P81</f>
        <v>0</v>
      </c>
      <c r="AV57" s="91">
        <f>'D.1.4.2 - Zařízení silnop...'!J33</f>
        <v>0</v>
      </c>
      <c r="AW57" s="91">
        <f>'D.1.4.2 - Zařízení silnop...'!J34</f>
        <v>0</v>
      </c>
      <c r="AX57" s="91">
        <f>'D.1.4.2 - Zařízení silnop...'!J35</f>
        <v>0</v>
      </c>
      <c r="AY57" s="91">
        <f>'D.1.4.2 - Zařízení silnop...'!J36</f>
        <v>0</v>
      </c>
      <c r="AZ57" s="91">
        <f>'D.1.4.2 - Zařízení silnop...'!F33</f>
        <v>0</v>
      </c>
      <c r="BA57" s="91">
        <f>'D.1.4.2 - Zařízení silnop...'!F34</f>
        <v>0</v>
      </c>
      <c r="BB57" s="91">
        <f>'D.1.4.2 - Zařízení silnop...'!F35</f>
        <v>0</v>
      </c>
      <c r="BC57" s="91">
        <f>'D.1.4.2 - Zařízení silnop...'!F36</f>
        <v>0</v>
      </c>
      <c r="BD57" s="93">
        <f>'D.1.4.2 - Zařízení silnop...'!F37</f>
        <v>0</v>
      </c>
      <c r="BT57" s="94" t="s">
        <v>83</v>
      </c>
      <c r="BV57" s="94" t="s">
        <v>77</v>
      </c>
      <c r="BW57" s="94" t="s">
        <v>91</v>
      </c>
      <c r="BX57" s="94" t="s">
        <v>5</v>
      </c>
      <c r="CL57" s="94" t="s">
        <v>19</v>
      </c>
      <c r="CM57" s="94" t="s">
        <v>85</v>
      </c>
    </row>
    <row r="58" spans="1:91" s="7" customFormat="1" ht="16.5" customHeight="1">
      <c r="A58" s="84" t="s">
        <v>79</v>
      </c>
      <c r="B58" s="85"/>
      <c r="C58" s="86"/>
      <c r="D58" s="450" t="s">
        <v>92</v>
      </c>
      <c r="E58" s="450"/>
      <c r="F58" s="450"/>
      <c r="G58" s="450"/>
      <c r="H58" s="450"/>
      <c r="I58" s="87"/>
      <c r="J58" s="450" t="s">
        <v>93</v>
      </c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1">
        <f>'D.1.4.3 - Zdravotnětechni...'!J30</f>
        <v>0</v>
      </c>
      <c r="AH58" s="452"/>
      <c r="AI58" s="452"/>
      <c r="AJ58" s="452"/>
      <c r="AK58" s="452"/>
      <c r="AL58" s="452"/>
      <c r="AM58" s="452"/>
      <c r="AN58" s="451">
        <f>SUM(AG58,AT58)</f>
        <v>0</v>
      </c>
      <c r="AO58" s="452"/>
      <c r="AP58" s="452"/>
      <c r="AQ58" s="88" t="s">
        <v>82</v>
      </c>
      <c r="AR58" s="89"/>
      <c r="AS58" s="95">
        <v>0</v>
      </c>
      <c r="AT58" s="96">
        <f>ROUND(SUM(AV58:AW58),2)</f>
        <v>0</v>
      </c>
      <c r="AU58" s="97">
        <f>'D.1.4.3 - Zdravotnětechni...'!P81</f>
        <v>0</v>
      </c>
      <c r="AV58" s="96">
        <f>'D.1.4.3 - Zdravotnětechni...'!J33</f>
        <v>0</v>
      </c>
      <c r="AW58" s="96">
        <f>'D.1.4.3 - Zdravotnětechni...'!J34</f>
        <v>0</v>
      </c>
      <c r="AX58" s="96">
        <f>'D.1.4.3 - Zdravotnětechni...'!J35</f>
        <v>0</v>
      </c>
      <c r="AY58" s="96">
        <f>'D.1.4.3 - Zdravotnětechni...'!J36</f>
        <v>0</v>
      </c>
      <c r="AZ58" s="96">
        <f>'D.1.4.3 - Zdravotnětechni...'!F33</f>
        <v>0</v>
      </c>
      <c r="BA58" s="96">
        <f>'D.1.4.3 - Zdravotnětechni...'!F34</f>
        <v>0</v>
      </c>
      <c r="BB58" s="96">
        <f>'D.1.4.3 - Zdravotnětechni...'!F35</f>
        <v>0</v>
      </c>
      <c r="BC58" s="96">
        <f>'D.1.4.3 - Zdravotnětechni...'!F36</f>
        <v>0</v>
      </c>
      <c r="BD58" s="98">
        <f>'D.1.4.3 - Zdravotnětechni...'!F37</f>
        <v>0</v>
      </c>
      <c r="BT58" s="94" t="s">
        <v>83</v>
      </c>
      <c r="BV58" s="94" t="s">
        <v>77</v>
      </c>
      <c r="BW58" s="94" t="s">
        <v>94</v>
      </c>
      <c r="BX58" s="94" t="s">
        <v>5</v>
      </c>
      <c r="CL58" s="94" t="s">
        <v>19</v>
      </c>
      <c r="CM58" s="94" t="s">
        <v>85</v>
      </c>
    </row>
    <row r="59" spans="1:91" s="2" customFormat="1" ht="30" customHeight="1">
      <c r="A59" s="32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7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</row>
    <row r="60" spans="1:91" s="2" customFormat="1" ht="6.95" customHeight="1">
      <c r="A60" s="32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37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</sheetData>
  <sheetProtection algorithmName="SHA-512" hashValue="KF2LcX7f36LcthonJg99KNSQ/ypefP/36K6LokWGWRjdK/ecHV66isFK58rRNXhFKF8QsWgZkfvtKTtN1ceTsw==" saltValue="zyfNEm3s4uD0VMgTPJk+7jUCSxypDFfp7PvOiuo21dg/v6k48rqzSRGbYPROmf++drCI4bh6O3snV//z5CLPh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D56:H56"/>
    <mergeCell ref="AG56:AM56"/>
    <mergeCell ref="AN56:AP56"/>
    <mergeCell ref="D55:H55"/>
    <mergeCell ref="AG55:AM55"/>
    <mergeCell ref="J55:AF55"/>
    <mergeCell ref="AN55:AP55"/>
    <mergeCell ref="D58:H58"/>
    <mergeCell ref="J58:AF58"/>
    <mergeCell ref="AN57:AP57"/>
    <mergeCell ref="D57:H57"/>
    <mergeCell ref="J57:AF57"/>
    <mergeCell ref="AG57:AM57"/>
    <mergeCell ref="AS49:AT51"/>
    <mergeCell ref="AM50:AP50"/>
    <mergeCell ref="C52:G52"/>
    <mergeCell ref="AG52:AM52"/>
    <mergeCell ref="I52:AF52"/>
    <mergeCell ref="AN52:AP52"/>
  </mergeCells>
  <hyperlinks>
    <hyperlink ref="A55" location="'D.1.1 - Architektonicko s...'!C2" display="/"/>
    <hyperlink ref="A56" location="'D.1.4.1 - Klimatizace'!C2" display="/"/>
    <hyperlink ref="A57" location="'D.1.4.2 - Zařízení silnop...'!C2" display="/"/>
    <hyperlink ref="A58" location="'D.1.4.3 - Zdravotnětechni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"/>
  <sheetViews>
    <sheetView showGridLines="0" topLeftCell="A65" workbookViewId="0">
      <selection activeCell="I85" sqref="I8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5" t="s">
        <v>84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8"/>
      <c r="AT3" s="15" t="s">
        <v>85</v>
      </c>
    </row>
    <row r="4" spans="1:46" s="1" customFormat="1" ht="24.95" customHeight="1">
      <c r="B4" s="18"/>
      <c r="D4" s="103" t="s">
        <v>95</v>
      </c>
      <c r="I4" s="99"/>
      <c r="L4" s="18"/>
      <c r="M4" s="104" t="s">
        <v>10</v>
      </c>
      <c r="AT4" s="15" t="s">
        <v>4</v>
      </c>
    </row>
    <row r="5" spans="1:46" s="1" customFormat="1" ht="6.95" customHeight="1">
      <c r="B5" s="18"/>
      <c r="I5" s="99"/>
      <c r="L5" s="18"/>
    </row>
    <row r="6" spans="1:46" s="1" customFormat="1" ht="12" customHeight="1">
      <c r="B6" s="18"/>
      <c r="D6" s="105" t="s">
        <v>16</v>
      </c>
      <c r="I6" s="99"/>
      <c r="L6" s="18"/>
    </row>
    <row r="7" spans="1:46" s="1" customFormat="1" ht="16.5" customHeight="1">
      <c r="B7" s="18"/>
      <c r="E7" s="481" t="str">
        <f>'Rekapitulace stavby'!K6</f>
        <v>Komplexní klimatizace v objektu MZe Žďár n.S.</v>
      </c>
      <c r="F7" s="482"/>
      <c r="G7" s="482"/>
      <c r="H7" s="482"/>
      <c r="I7" s="99"/>
      <c r="L7" s="18"/>
    </row>
    <row r="8" spans="1:46" s="2" customFormat="1" ht="12" customHeight="1">
      <c r="A8" s="32"/>
      <c r="B8" s="37"/>
      <c r="C8" s="32"/>
      <c r="D8" s="105" t="s">
        <v>96</v>
      </c>
      <c r="E8" s="32"/>
      <c r="F8" s="32"/>
      <c r="G8" s="32"/>
      <c r="H8" s="32"/>
      <c r="I8" s="106"/>
      <c r="J8" s="32"/>
      <c r="K8" s="32"/>
      <c r="L8" s="10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483" t="s">
        <v>97</v>
      </c>
      <c r="F9" s="484"/>
      <c r="G9" s="484"/>
      <c r="H9" s="484"/>
      <c r="I9" s="106"/>
      <c r="J9" s="32"/>
      <c r="K9" s="32"/>
      <c r="L9" s="10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06"/>
      <c r="J10" s="32"/>
      <c r="K10" s="32"/>
      <c r="L10" s="10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5" t="s">
        <v>18</v>
      </c>
      <c r="E11" s="32"/>
      <c r="F11" s="108" t="s">
        <v>19</v>
      </c>
      <c r="G11" s="32"/>
      <c r="H11" s="32"/>
      <c r="I11" s="109" t="s">
        <v>20</v>
      </c>
      <c r="J11" s="108" t="s">
        <v>19</v>
      </c>
      <c r="K11" s="32"/>
      <c r="L11" s="10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5" t="s">
        <v>21</v>
      </c>
      <c r="E12" s="32"/>
      <c r="F12" s="108" t="s">
        <v>22</v>
      </c>
      <c r="G12" s="32"/>
      <c r="H12" s="32"/>
      <c r="I12" s="109" t="s">
        <v>23</v>
      </c>
      <c r="J12" s="110" t="str">
        <f>'Rekapitulace stavby'!AN8</f>
        <v>21. 2. 2020</v>
      </c>
      <c r="K12" s="32"/>
      <c r="L12" s="10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06"/>
      <c r="J13" s="32"/>
      <c r="K13" s="32"/>
      <c r="L13" s="10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5" t="s">
        <v>25</v>
      </c>
      <c r="E14" s="32"/>
      <c r="F14" s="32"/>
      <c r="G14" s="32"/>
      <c r="H14" s="32"/>
      <c r="I14" s="109" t="s">
        <v>26</v>
      </c>
      <c r="J14" s="108" t="s">
        <v>27</v>
      </c>
      <c r="K14" s="32"/>
      <c r="L14" s="10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">
        <v>28</v>
      </c>
      <c r="F15" s="32"/>
      <c r="G15" s="32"/>
      <c r="H15" s="32"/>
      <c r="I15" s="109" t="s">
        <v>29</v>
      </c>
      <c r="J15" s="108" t="s">
        <v>30</v>
      </c>
      <c r="K15" s="32"/>
      <c r="L15" s="10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06"/>
      <c r="J16" s="32"/>
      <c r="K16" s="32"/>
      <c r="L16" s="10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5" t="s">
        <v>31</v>
      </c>
      <c r="E17" s="32"/>
      <c r="F17" s="32"/>
      <c r="G17" s="32"/>
      <c r="H17" s="32"/>
      <c r="I17" s="109" t="s">
        <v>26</v>
      </c>
      <c r="J17" s="28" t="str">
        <f>'Rekapitulace stavby'!AN13</f>
        <v>Vyplň údaj</v>
      </c>
      <c r="K17" s="32"/>
      <c r="L17" s="10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485" t="str">
        <f>'Rekapitulace stavby'!E14</f>
        <v>Vyplň údaj</v>
      </c>
      <c r="F18" s="486"/>
      <c r="G18" s="486"/>
      <c r="H18" s="486"/>
      <c r="I18" s="109" t="s">
        <v>29</v>
      </c>
      <c r="J18" s="28" t="str">
        <f>'Rekapitulace stavby'!AN14</f>
        <v>Vyplň údaj</v>
      </c>
      <c r="K18" s="32"/>
      <c r="L18" s="10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06"/>
      <c r="J19" s="32"/>
      <c r="K19" s="32"/>
      <c r="L19" s="10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5" t="s">
        <v>33</v>
      </c>
      <c r="E20" s="32"/>
      <c r="F20" s="32"/>
      <c r="G20" s="32"/>
      <c r="H20" s="32"/>
      <c r="I20" s="109" t="s">
        <v>26</v>
      </c>
      <c r="J20" s="108" t="s">
        <v>34</v>
      </c>
      <c r="K20" s="32"/>
      <c r="L20" s="10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">
        <v>35</v>
      </c>
      <c r="F21" s="32"/>
      <c r="G21" s="32"/>
      <c r="H21" s="32"/>
      <c r="I21" s="109" t="s">
        <v>29</v>
      </c>
      <c r="J21" s="108" t="s">
        <v>36</v>
      </c>
      <c r="K21" s="32"/>
      <c r="L21" s="10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06"/>
      <c r="J22" s="32"/>
      <c r="K22" s="32"/>
      <c r="L22" s="10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5" t="s">
        <v>38</v>
      </c>
      <c r="E23" s="32"/>
      <c r="F23" s="32"/>
      <c r="G23" s="32"/>
      <c r="H23" s="32"/>
      <c r="I23" s="109" t="s">
        <v>26</v>
      </c>
      <c r="J23" s="108" t="s">
        <v>34</v>
      </c>
      <c r="K23" s="32"/>
      <c r="L23" s="10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">
        <v>35</v>
      </c>
      <c r="F24" s="32"/>
      <c r="G24" s="32"/>
      <c r="H24" s="32"/>
      <c r="I24" s="109" t="s">
        <v>29</v>
      </c>
      <c r="J24" s="108" t="s">
        <v>36</v>
      </c>
      <c r="K24" s="32"/>
      <c r="L24" s="10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06"/>
      <c r="J25" s="32"/>
      <c r="K25" s="32"/>
      <c r="L25" s="10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5" t="s">
        <v>39</v>
      </c>
      <c r="E26" s="32"/>
      <c r="F26" s="32"/>
      <c r="G26" s="32"/>
      <c r="H26" s="32"/>
      <c r="I26" s="106"/>
      <c r="J26" s="32"/>
      <c r="K26" s="32"/>
      <c r="L26" s="10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1"/>
      <c r="B27" s="112"/>
      <c r="C27" s="111"/>
      <c r="D27" s="111"/>
      <c r="E27" s="487" t="s">
        <v>19</v>
      </c>
      <c r="F27" s="487"/>
      <c r="G27" s="487"/>
      <c r="H27" s="487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06"/>
      <c r="J28" s="32"/>
      <c r="K28" s="32"/>
      <c r="L28" s="10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5"/>
      <c r="E29" s="115"/>
      <c r="F29" s="115"/>
      <c r="G29" s="115"/>
      <c r="H29" s="115"/>
      <c r="I29" s="116"/>
      <c r="J29" s="115"/>
      <c r="K29" s="115"/>
      <c r="L29" s="10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41</v>
      </c>
      <c r="E30" s="32"/>
      <c r="F30" s="32"/>
      <c r="G30" s="32"/>
      <c r="H30" s="32"/>
      <c r="I30" s="106"/>
      <c r="J30" s="118">
        <f>ROUND(J81, 2)</f>
        <v>0</v>
      </c>
      <c r="K30" s="32"/>
      <c r="L30" s="10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5"/>
      <c r="E31" s="115"/>
      <c r="F31" s="115"/>
      <c r="G31" s="115"/>
      <c r="H31" s="115"/>
      <c r="I31" s="116"/>
      <c r="J31" s="115"/>
      <c r="K31" s="115"/>
      <c r="L31" s="10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43</v>
      </c>
      <c r="G32" s="32"/>
      <c r="H32" s="32"/>
      <c r="I32" s="120" t="s">
        <v>42</v>
      </c>
      <c r="J32" s="119" t="s">
        <v>44</v>
      </c>
      <c r="K32" s="32"/>
      <c r="L32" s="10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1" t="s">
        <v>45</v>
      </c>
      <c r="E33" s="105" t="s">
        <v>46</v>
      </c>
      <c r="F33" s="122">
        <f>ROUND((SUM(BE81:BE84)),  2)</f>
        <v>0</v>
      </c>
      <c r="G33" s="32"/>
      <c r="H33" s="32"/>
      <c r="I33" s="123">
        <v>0.21</v>
      </c>
      <c r="J33" s="122">
        <f>ROUND(((SUM(BE81:BE84))*I33),  2)</f>
        <v>0</v>
      </c>
      <c r="K33" s="32"/>
      <c r="L33" s="10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5" t="s">
        <v>47</v>
      </c>
      <c r="F34" s="122">
        <f>ROUND((SUM(BF81:BF84)),  2)</f>
        <v>0</v>
      </c>
      <c r="G34" s="32"/>
      <c r="H34" s="32"/>
      <c r="I34" s="123">
        <v>0.15</v>
      </c>
      <c r="J34" s="122">
        <f>ROUND(((SUM(BF81:BF84))*I34),  2)</f>
        <v>0</v>
      </c>
      <c r="K34" s="32"/>
      <c r="L34" s="10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5" t="s">
        <v>48</v>
      </c>
      <c r="F35" s="122">
        <f>ROUND((SUM(BG81:BG84)),  2)</f>
        <v>0</v>
      </c>
      <c r="G35" s="32"/>
      <c r="H35" s="32"/>
      <c r="I35" s="123">
        <v>0.21</v>
      </c>
      <c r="J35" s="122">
        <f>0</f>
        <v>0</v>
      </c>
      <c r="K35" s="32"/>
      <c r="L35" s="10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5" t="s">
        <v>49</v>
      </c>
      <c r="F36" s="122">
        <f>ROUND((SUM(BH81:BH84)),  2)</f>
        <v>0</v>
      </c>
      <c r="G36" s="32"/>
      <c r="H36" s="32"/>
      <c r="I36" s="123">
        <v>0.15</v>
      </c>
      <c r="J36" s="122">
        <f>0</f>
        <v>0</v>
      </c>
      <c r="K36" s="32"/>
      <c r="L36" s="10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5" t="s">
        <v>50</v>
      </c>
      <c r="F37" s="122">
        <f>ROUND((SUM(BI81:BI84)),  2)</f>
        <v>0</v>
      </c>
      <c r="G37" s="32"/>
      <c r="H37" s="32"/>
      <c r="I37" s="123">
        <v>0</v>
      </c>
      <c r="J37" s="122">
        <f>0</f>
        <v>0</v>
      </c>
      <c r="K37" s="32"/>
      <c r="L37" s="10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06"/>
      <c r="J38" s="32"/>
      <c r="K38" s="32"/>
      <c r="L38" s="10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4"/>
      <c r="D39" s="125" t="s">
        <v>51</v>
      </c>
      <c r="E39" s="126"/>
      <c r="F39" s="126"/>
      <c r="G39" s="127" t="s">
        <v>52</v>
      </c>
      <c r="H39" s="128" t="s">
        <v>53</v>
      </c>
      <c r="I39" s="129"/>
      <c r="J39" s="130">
        <f>SUM(J30:J37)</f>
        <v>0</v>
      </c>
      <c r="K39" s="131"/>
      <c r="L39" s="10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106"/>
      <c r="J45" s="34"/>
      <c r="K45" s="34"/>
      <c r="L45" s="10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10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106"/>
      <c r="J47" s="34"/>
      <c r="K47" s="34"/>
      <c r="L47" s="10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479" t="str">
        <f>E7</f>
        <v>Komplexní klimatizace v objektu MZe Žďár n.S.</v>
      </c>
      <c r="F48" s="480"/>
      <c r="G48" s="480"/>
      <c r="H48" s="480"/>
      <c r="I48" s="106"/>
      <c r="J48" s="34"/>
      <c r="K48" s="34"/>
      <c r="L48" s="10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96</v>
      </c>
      <c r="D49" s="34"/>
      <c r="E49" s="34"/>
      <c r="F49" s="34"/>
      <c r="G49" s="34"/>
      <c r="H49" s="34"/>
      <c r="I49" s="106"/>
      <c r="J49" s="34"/>
      <c r="K49" s="34"/>
      <c r="L49" s="10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458" t="str">
        <f>E9</f>
        <v>D.1.1 - Architektonicko stavební řešení</v>
      </c>
      <c r="F50" s="478"/>
      <c r="G50" s="478"/>
      <c r="H50" s="478"/>
      <c r="I50" s="106"/>
      <c r="J50" s="34"/>
      <c r="K50" s="34"/>
      <c r="L50" s="10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10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4"/>
      <c r="E52" s="34"/>
      <c r="F52" s="25" t="str">
        <f>F12</f>
        <v>Žďár nad Sázavou</v>
      </c>
      <c r="G52" s="34"/>
      <c r="H52" s="34"/>
      <c r="I52" s="109" t="s">
        <v>23</v>
      </c>
      <c r="J52" s="57" t="str">
        <f>IF(J12="","",J12)</f>
        <v>21. 2. 2020</v>
      </c>
      <c r="K52" s="34"/>
      <c r="L52" s="10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10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>
      <c r="A54" s="32"/>
      <c r="B54" s="33"/>
      <c r="C54" s="27" t="s">
        <v>25</v>
      </c>
      <c r="D54" s="34"/>
      <c r="E54" s="34"/>
      <c r="F54" s="25" t="str">
        <f>E15</f>
        <v>Česká republika - Ministerstvo zemědělství</v>
      </c>
      <c r="G54" s="34"/>
      <c r="H54" s="34"/>
      <c r="I54" s="109" t="s">
        <v>33</v>
      </c>
      <c r="J54" s="30" t="str">
        <f>E21</f>
        <v>NCI.CZ ENGINEERING s.r.o.</v>
      </c>
      <c r="K54" s="34"/>
      <c r="L54" s="10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>
      <c r="A55" s="32"/>
      <c r="B55" s="33"/>
      <c r="C55" s="27" t="s">
        <v>31</v>
      </c>
      <c r="D55" s="34"/>
      <c r="E55" s="34"/>
      <c r="F55" s="25" t="str">
        <f>IF(E18="","",E18)</f>
        <v>Vyplň údaj</v>
      </c>
      <c r="G55" s="34"/>
      <c r="H55" s="34"/>
      <c r="I55" s="109" t="s">
        <v>38</v>
      </c>
      <c r="J55" s="30" t="str">
        <f>E24</f>
        <v>NCI.CZ ENGINEERING s.r.o.</v>
      </c>
      <c r="K55" s="34"/>
      <c r="L55" s="10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10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38" t="s">
        <v>99</v>
      </c>
      <c r="D57" s="139"/>
      <c r="E57" s="139"/>
      <c r="F57" s="139"/>
      <c r="G57" s="139"/>
      <c r="H57" s="139"/>
      <c r="I57" s="140"/>
      <c r="J57" s="141" t="s">
        <v>100</v>
      </c>
      <c r="K57" s="139"/>
      <c r="L57" s="10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10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42" t="s">
        <v>73</v>
      </c>
      <c r="D59" s="34"/>
      <c r="E59" s="34"/>
      <c r="F59" s="34"/>
      <c r="G59" s="34"/>
      <c r="H59" s="34"/>
      <c r="I59" s="106"/>
      <c r="J59" s="75">
        <f>J81</f>
        <v>0</v>
      </c>
      <c r="K59" s="34"/>
      <c r="L59" s="10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5" customHeight="1">
      <c r="B60" s="143"/>
      <c r="C60" s="144"/>
      <c r="D60" s="145" t="s">
        <v>102</v>
      </c>
      <c r="E60" s="146"/>
      <c r="F60" s="146"/>
      <c r="G60" s="146"/>
      <c r="H60" s="146"/>
      <c r="I60" s="147"/>
      <c r="J60" s="148">
        <f>J82</f>
        <v>0</v>
      </c>
      <c r="K60" s="144"/>
      <c r="L60" s="149"/>
    </row>
    <row r="61" spans="1:47" s="10" customFormat="1" ht="19.899999999999999" customHeight="1">
      <c r="B61" s="150"/>
      <c r="C61" s="151"/>
      <c r="D61" s="152" t="s">
        <v>103</v>
      </c>
      <c r="E61" s="153"/>
      <c r="F61" s="153"/>
      <c r="G61" s="153"/>
      <c r="H61" s="153"/>
      <c r="I61" s="154"/>
      <c r="J61" s="155">
        <f>J83</f>
        <v>0</v>
      </c>
      <c r="K61" s="151"/>
      <c r="L61" s="156"/>
    </row>
    <row r="62" spans="1:47" s="2" customFormat="1" ht="21.75" customHeight="1">
      <c r="A62" s="32"/>
      <c r="B62" s="33"/>
      <c r="C62" s="34"/>
      <c r="D62" s="34"/>
      <c r="E62" s="34"/>
      <c r="F62" s="34"/>
      <c r="G62" s="34"/>
      <c r="H62" s="34"/>
      <c r="I62" s="106"/>
      <c r="J62" s="34"/>
      <c r="K62" s="34"/>
      <c r="L62" s="10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>
      <c r="A63" s="32"/>
      <c r="B63" s="45"/>
      <c r="C63" s="46"/>
      <c r="D63" s="46"/>
      <c r="E63" s="46"/>
      <c r="F63" s="46"/>
      <c r="G63" s="46"/>
      <c r="H63" s="46"/>
      <c r="I63" s="134"/>
      <c r="J63" s="46"/>
      <c r="K63" s="46"/>
      <c r="L63" s="10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>
      <c r="A67" s="32"/>
      <c r="B67" s="47"/>
      <c r="C67" s="48"/>
      <c r="D67" s="48"/>
      <c r="E67" s="48"/>
      <c r="F67" s="48"/>
      <c r="G67" s="48"/>
      <c r="H67" s="48"/>
      <c r="I67" s="137"/>
      <c r="J67" s="48"/>
      <c r="K67" s="48"/>
      <c r="L67" s="10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106"/>
      <c r="J68" s="34"/>
      <c r="K68" s="34"/>
      <c r="L68" s="10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106"/>
      <c r="J69" s="34"/>
      <c r="K69" s="34"/>
      <c r="L69" s="10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106"/>
      <c r="J70" s="34"/>
      <c r="K70" s="34"/>
      <c r="L70" s="10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4"/>
      <c r="D71" s="34"/>
      <c r="E71" s="479" t="str">
        <f>E7</f>
        <v>Komplexní klimatizace v objektu MZe Žďár n.S.</v>
      </c>
      <c r="F71" s="480"/>
      <c r="G71" s="480"/>
      <c r="H71" s="480"/>
      <c r="I71" s="106"/>
      <c r="J71" s="34"/>
      <c r="K71" s="34"/>
      <c r="L71" s="10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96</v>
      </c>
      <c r="D72" s="34"/>
      <c r="E72" s="34"/>
      <c r="F72" s="34"/>
      <c r="G72" s="34"/>
      <c r="H72" s="34"/>
      <c r="I72" s="106"/>
      <c r="J72" s="34"/>
      <c r="K72" s="34"/>
      <c r="L72" s="10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4"/>
      <c r="D73" s="34"/>
      <c r="E73" s="458" t="str">
        <f>E9</f>
        <v>D.1.1 - Architektonicko stavební řešení</v>
      </c>
      <c r="F73" s="478"/>
      <c r="G73" s="478"/>
      <c r="H73" s="478"/>
      <c r="I73" s="106"/>
      <c r="J73" s="34"/>
      <c r="K73" s="34"/>
      <c r="L73" s="10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10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Žďár nad Sázavou</v>
      </c>
      <c r="G75" s="34"/>
      <c r="H75" s="34"/>
      <c r="I75" s="109" t="s">
        <v>23</v>
      </c>
      <c r="J75" s="57" t="str">
        <f>IF(J12="","",J12)</f>
        <v>21. 2. 2020</v>
      </c>
      <c r="K75" s="34"/>
      <c r="L75" s="10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10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15" customHeight="1">
      <c r="A77" s="32"/>
      <c r="B77" s="33"/>
      <c r="C77" s="27" t="s">
        <v>25</v>
      </c>
      <c r="D77" s="34"/>
      <c r="E77" s="34"/>
      <c r="F77" s="25" t="str">
        <f>E15</f>
        <v>Česká republika - Ministerstvo zemědělství</v>
      </c>
      <c r="G77" s="34"/>
      <c r="H77" s="34"/>
      <c r="I77" s="109" t="s">
        <v>33</v>
      </c>
      <c r="J77" s="30" t="str">
        <f>E21</f>
        <v>NCI.CZ ENGINEERING s.r.o.</v>
      </c>
      <c r="K77" s="34"/>
      <c r="L77" s="10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>
      <c r="A78" s="32"/>
      <c r="B78" s="33"/>
      <c r="C78" s="27" t="s">
        <v>31</v>
      </c>
      <c r="D78" s="34"/>
      <c r="E78" s="34"/>
      <c r="F78" s="25" t="str">
        <f>IF(E18="","",E18)</f>
        <v>Vyplň údaj</v>
      </c>
      <c r="G78" s="34"/>
      <c r="H78" s="34"/>
      <c r="I78" s="109" t="s">
        <v>38</v>
      </c>
      <c r="J78" s="30" t="str">
        <f>E24</f>
        <v>NCI.CZ ENGINEERING s.r.o.</v>
      </c>
      <c r="K78" s="34"/>
      <c r="L78" s="10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10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57"/>
      <c r="B80" s="158"/>
      <c r="C80" s="159" t="s">
        <v>105</v>
      </c>
      <c r="D80" s="160" t="s">
        <v>60</v>
      </c>
      <c r="E80" s="160" t="s">
        <v>56</v>
      </c>
      <c r="F80" s="160" t="s">
        <v>57</v>
      </c>
      <c r="G80" s="160" t="s">
        <v>106</v>
      </c>
      <c r="H80" s="160" t="s">
        <v>107</v>
      </c>
      <c r="I80" s="161" t="s">
        <v>108</v>
      </c>
      <c r="J80" s="160" t="s">
        <v>100</v>
      </c>
      <c r="K80" s="162" t="s">
        <v>109</v>
      </c>
      <c r="L80" s="163"/>
      <c r="M80" s="66" t="s">
        <v>19</v>
      </c>
      <c r="N80" s="67" t="s">
        <v>45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</row>
    <row r="81" spans="1:65" s="2" customFormat="1" ht="22.9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106"/>
      <c r="J81" s="164">
        <f>BK81</f>
        <v>0</v>
      </c>
      <c r="K81" s="34"/>
      <c r="L81" s="37"/>
      <c r="M81" s="69"/>
      <c r="N81" s="165"/>
      <c r="O81" s="70"/>
      <c r="P81" s="166">
        <f>P82</f>
        <v>0</v>
      </c>
      <c r="Q81" s="70"/>
      <c r="R81" s="166">
        <f>R82</f>
        <v>12</v>
      </c>
      <c r="S81" s="70"/>
      <c r="T81" s="167">
        <f>T82</f>
        <v>2.94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74</v>
      </c>
      <c r="AU81" s="15" t="s">
        <v>101</v>
      </c>
      <c r="BK81" s="168">
        <f>BK82</f>
        <v>0</v>
      </c>
    </row>
    <row r="82" spans="1:65" s="12" customFormat="1" ht="25.9" customHeight="1">
      <c r="B82" s="169"/>
      <c r="C82" s="170"/>
      <c r="D82" s="171" t="s">
        <v>74</v>
      </c>
      <c r="E82" s="172" t="s">
        <v>117</v>
      </c>
      <c r="F82" s="172" t="s">
        <v>118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</f>
        <v>0</v>
      </c>
      <c r="Q82" s="177"/>
      <c r="R82" s="178">
        <f>R83</f>
        <v>12</v>
      </c>
      <c r="S82" s="177"/>
      <c r="T82" s="179">
        <f>T83</f>
        <v>2.94</v>
      </c>
      <c r="AR82" s="180" t="s">
        <v>119</v>
      </c>
      <c r="AT82" s="181" t="s">
        <v>74</v>
      </c>
      <c r="AU82" s="181" t="s">
        <v>75</v>
      </c>
      <c r="AY82" s="180" t="s">
        <v>120</v>
      </c>
      <c r="BK82" s="182">
        <f>BK83</f>
        <v>0</v>
      </c>
    </row>
    <row r="83" spans="1:65" s="12" customFormat="1" ht="22.9" customHeight="1">
      <c r="B83" s="169"/>
      <c r="C83" s="170"/>
      <c r="D83" s="171" t="s">
        <v>74</v>
      </c>
      <c r="E83" s="183" t="s">
        <v>121</v>
      </c>
      <c r="F83" s="183" t="s">
        <v>122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P84</f>
        <v>0</v>
      </c>
      <c r="Q83" s="177"/>
      <c r="R83" s="178">
        <f>R84</f>
        <v>12</v>
      </c>
      <c r="S83" s="177"/>
      <c r="T83" s="179">
        <f>T84</f>
        <v>2.94</v>
      </c>
      <c r="AR83" s="180" t="s">
        <v>119</v>
      </c>
      <c r="AT83" s="181" t="s">
        <v>74</v>
      </c>
      <c r="AU83" s="181" t="s">
        <v>83</v>
      </c>
      <c r="AY83" s="180" t="s">
        <v>120</v>
      </c>
      <c r="BK83" s="182">
        <f>BK84</f>
        <v>0</v>
      </c>
    </row>
    <row r="84" spans="1:65" s="2" customFormat="1" ht="16.5" customHeight="1">
      <c r="A84" s="32"/>
      <c r="B84" s="33"/>
      <c r="C84" s="185" t="s">
        <v>83</v>
      </c>
      <c r="D84" s="185" t="s">
        <v>123</v>
      </c>
      <c r="E84" s="186" t="s">
        <v>80</v>
      </c>
      <c r="F84" s="187" t="s">
        <v>124</v>
      </c>
      <c r="G84" s="188" t="s">
        <v>125</v>
      </c>
      <c r="H84" s="189">
        <v>1</v>
      </c>
      <c r="I84" s="190">
        <f>Krycí_list_rozpočtu!C29</f>
        <v>0</v>
      </c>
      <c r="J84" s="191">
        <f>ROUND(I84*H84,2)</f>
        <v>0</v>
      </c>
      <c r="K84" s="187" t="s">
        <v>19</v>
      </c>
      <c r="L84" s="37"/>
      <c r="M84" s="192" t="s">
        <v>19</v>
      </c>
      <c r="N84" s="193" t="s">
        <v>46</v>
      </c>
      <c r="O84" s="194"/>
      <c r="P84" s="195">
        <f>O84*H84</f>
        <v>0</v>
      </c>
      <c r="Q84" s="195">
        <v>12</v>
      </c>
      <c r="R84" s="195">
        <f>Q84*H84</f>
        <v>12</v>
      </c>
      <c r="S84" s="195">
        <v>2.94</v>
      </c>
      <c r="T84" s="196">
        <f>S84*H84</f>
        <v>2.94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7" t="s">
        <v>126</v>
      </c>
      <c r="AT84" s="197" t="s">
        <v>123</v>
      </c>
      <c r="AU84" s="197" t="s">
        <v>85</v>
      </c>
      <c r="AY84" s="15" t="s">
        <v>120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15" t="s">
        <v>83</v>
      </c>
      <c r="BK84" s="198">
        <f>ROUND(I84*H84,2)</f>
        <v>0</v>
      </c>
      <c r="BL84" s="15" t="s">
        <v>126</v>
      </c>
      <c r="BM84" s="197" t="s">
        <v>127</v>
      </c>
    </row>
    <row r="85" spans="1:65" s="2" customFormat="1" ht="6.95" customHeight="1">
      <c r="A85" s="32"/>
      <c r="B85" s="45"/>
      <c r="C85" s="46"/>
      <c r="D85" s="46"/>
      <c r="E85" s="46"/>
      <c r="F85" s="46"/>
      <c r="G85" s="46"/>
      <c r="H85" s="46"/>
      <c r="I85" s="134"/>
      <c r="J85" s="46"/>
      <c r="K85" s="46"/>
      <c r="L85" s="37"/>
      <c r="M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</sheetData>
  <sheetProtection algorithmName="SHA-512" hashValue="u2Li1sNspz5qDfVNVfEQGw9E67BnKGYJ1hVY2+XOo528sSOue7PYF0RhDqAJn36z9uEvf/Bu6eqvHJ3nPYmJVw==" saltValue="JXvX6vhmHBK5aPb/8dT9I01tyvn3ipjSMOkDJUUjwDobIczlO0tz+EdDq0Xeb7dVl3C5GipFERvIlaLOySQ7uA==" spinCount="100000" sheet="1" objects="1" scenarios="1" formatColumns="0" formatRows="0" autoFilter="0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4" workbookViewId="0">
      <selection activeCell="C29" sqref="C29"/>
    </sheetView>
  </sheetViews>
  <sheetFormatPr defaultColWidth="13.5" defaultRowHeight="12.75"/>
  <cols>
    <col min="1" max="1" width="10.6640625" style="279" customWidth="1"/>
    <col min="2" max="2" width="15" style="279" customWidth="1"/>
    <col min="3" max="3" width="26.6640625" style="279" customWidth="1"/>
    <col min="4" max="4" width="11.6640625" style="279" customWidth="1"/>
    <col min="5" max="5" width="16.33203125" style="279" customWidth="1"/>
    <col min="6" max="6" width="26.6640625" style="279" customWidth="1"/>
    <col min="7" max="7" width="10.6640625" style="279" customWidth="1"/>
    <col min="8" max="8" width="15" style="279" customWidth="1"/>
    <col min="9" max="9" width="26.6640625" style="279" customWidth="1"/>
    <col min="10" max="10" width="13.5" style="279" customWidth="1"/>
    <col min="11" max="16384" width="13.5" style="279"/>
  </cols>
  <sheetData>
    <row r="1" spans="1:10" s="434" customFormat="1" ht="72.95" customHeight="1">
      <c r="A1" s="277"/>
      <c r="B1" s="278"/>
      <c r="C1" s="507" t="s">
        <v>320</v>
      </c>
      <c r="D1" s="507"/>
      <c r="E1" s="507"/>
      <c r="F1" s="507"/>
      <c r="G1" s="507"/>
      <c r="H1" s="507"/>
      <c r="I1" s="507"/>
      <c r="J1" s="279"/>
    </row>
    <row r="2" spans="1:10" s="434" customFormat="1">
      <c r="A2" s="508" t="s">
        <v>321</v>
      </c>
      <c r="B2" s="508"/>
      <c r="C2" s="509" t="str">
        <f>Stavební_rozpočet!D2</f>
        <v>KOMPLEXNÍ KLIMATIZACE V OBJEKTU MZe</v>
      </c>
      <c r="D2" s="509"/>
      <c r="E2" s="510" t="s">
        <v>322</v>
      </c>
      <c r="F2" s="510" t="str">
        <f>Stavební_rozpočet!I2</f>
        <v> </v>
      </c>
      <c r="G2" s="510"/>
      <c r="H2" s="510" t="s">
        <v>323</v>
      </c>
      <c r="I2" s="511"/>
      <c r="J2" s="280"/>
    </row>
    <row r="3" spans="1:10" s="434" customFormat="1">
      <c r="A3" s="508"/>
      <c r="B3" s="508"/>
      <c r="C3" s="509"/>
      <c r="D3" s="509"/>
      <c r="E3" s="510"/>
      <c r="F3" s="510"/>
      <c r="G3" s="510"/>
      <c r="H3" s="510"/>
      <c r="I3" s="511"/>
      <c r="J3" s="280"/>
    </row>
    <row r="4" spans="1:10" s="434" customFormat="1">
      <c r="A4" s="503" t="s">
        <v>324</v>
      </c>
      <c r="B4" s="503"/>
      <c r="C4" s="504" t="str">
        <f>Stavební_rozpočet!D4</f>
        <v>D.1.1. Architektonicko-stavební řešení</v>
      </c>
      <c r="D4" s="504"/>
      <c r="E4" s="504" t="s">
        <v>33</v>
      </c>
      <c r="F4" s="504" t="str">
        <f>Stavební_rozpočet!I4</f>
        <v> </v>
      </c>
      <c r="G4" s="504"/>
      <c r="H4" s="504" t="s">
        <v>323</v>
      </c>
      <c r="I4" s="506"/>
      <c r="J4" s="280"/>
    </row>
    <row r="5" spans="1:10" s="434" customFormat="1">
      <c r="A5" s="503"/>
      <c r="B5" s="503"/>
      <c r="C5" s="504"/>
      <c r="D5" s="504"/>
      <c r="E5" s="504"/>
      <c r="F5" s="504"/>
      <c r="G5" s="504"/>
      <c r="H5" s="504"/>
      <c r="I5" s="506"/>
      <c r="J5" s="280"/>
    </row>
    <row r="6" spans="1:10" s="434" customFormat="1">
      <c r="A6" s="503" t="s">
        <v>325</v>
      </c>
      <c r="B6" s="503"/>
      <c r="C6" s="504" t="str">
        <f>Stavební_rozpočet!D6</f>
        <v>Žďár nad Sázavou</v>
      </c>
      <c r="D6" s="504"/>
      <c r="E6" s="504" t="s">
        <v>326</v>
      </c>
      <c r="F6" s="504" t="str">
        <f>Stavební_rozpočet!I6</f>
        <v> </v>
      </c>
      <c r="G6" s="504"/>
      <c r="H6" s="504" t="s">
        <v>323</v>
      </c>
      <c r="I6" s="506"/>
      <c r="J6" s="280"/>
    </row>
    <row r="7" spans="1:10" s="434" customFormat="1">
      <c r="A7" s="503"/>
      <c r="B7" s="503"/>
      <c r="C7" s="504"/>
      <c r="D7" s="504"/>
      <c r="E7" s="504"/>
      <c r="F7" s="504"/>
      <c r="G7" s="504"/>
      <c r="H7" s="504"/>
      <c r="I7" s="506"/>
      <c r="J7" s="280"/>
    </row>
    <row r="8" spans="1:10" s="434" customFormat="1">
      <c r="A8" s="503" t="s">
        <v>327</v>
      </c>
      <c r="B8" s="503"/>
      <c r="C8" s="504" t="str">
        <f>Stavební_rozpočet!G4</f>
        <v xml:space="preserve"> </v>
      </c>
      <c r="D8" s="504"/>
      <c r="E8" s="504" t="s">
        <v>328</v>
      </c>
      <c r="F8" s="504" t="str">
        <f>Stavební_rozpočet!G6</f>
        <v xml:space="preserve"> </v>
      </c>
      <c r="G8" s="504"/>
      <c r="H8" s="505" t="s">
        <v>329</v>
      </c>
      <c r="I8" s="498" t="s">
        <v>330</v>
      </c>
      <c r="J8" s="280"/>
    </row>
    <row r="9" spans="1:10" s="434" customFormat="1">
      <c r="A9" s="503"/>
      <c r="B9" s="503"/>
      <c r="C9" s="504"/>
      <c r="D9" s="504"/>
      <c r="E9" s="504"/>
      <c r="F9" s="504"/>
      <c r="G9" s="504"/>
      <c r="H9" s="505"/>
      <c r="I9" s="498"/>
      <c r="J9" s="280"/>
    </row>
    <row r="10" spans="1:10" s="434" customFormat="1">
      <c r="A10" s="499" t="s">
        <v>331</v>
      </c>
      <c r="B10" s="499"/>
      <c r="C10" s="500" t="str">
        <f>Stavební_rozpočet!D8</f>
        <v xml:space="preserve"> </v>
      </c>
      <c r="D10" s="500"/>
      <c r="E10" s="500" t="s">
        <v>332</v>
      </c>
      <c r="F10" s="500" t="str">
        <f>Stavební_rozpočet!I8</f>
        <v>Kamila Možná</v>
      </c>
      <c r="G10" s="500"/>
      <c r="H10" s="501" t="s">
        <v>23</v>
      </c>
      <c r="I10" s="502" t="str">
        <f>Stavební_rozpočet!G8</f>
        <v>02.01.2020</v>
      </c>
      <c r="J10" s="280"/>
    </row>
    <row r="11" spans="1:10" s="434" customFormat="1">
      <c r="A11" s="499"/>
      <c r="B11" s="499"/>
      <c r="C11" s="500"/>
      <c r="D11" s="500"/>
      <c r="E11" s="500"/>
      <c r="F11" s="500"/>
      <c r="G11" s="500"/>
      <c r="H11" s="501"/>
      <c r="I11" s="502"/>
      <c r="J11" s="280"/>
    </row>
    <row r="12" spans="1:10" s="434" customFormat="1" ht="23.45" customHeight="1">
      <c r="A12" s="496" t="s">
        <v>333</v>
      </c>
      <c r="B12" s="496"/>
      <c r="C12" s="496"/>
      <c r="D12" s="496"/>
      <c r="E12" s="496"/>
      <c r="F12" s="496"/>
      <c r="G12" s="496"/>
      <c r="H12" s="496"/>
      <c r="I12" s="496"/>
      <c r="J12" s="279"/>
    </row>
    <row r="13" spans="1:10" s="434" customFormat="1" ht="26.45" customHeight="1">
      <c r="A13" s="281" t="s">
        <v>206</v>
      </c>
      <c r="B13" s="497" t="s">
        <v>334</v>
      </c>
      <c r="C13" s="497"/>
      <c r="D13" s="281" t="s">
        <v>335</v>
      </c>
      <c r="E13" s="497" t="s">
        <v>336</v>
      </c>
      <c r="F13" s="497"/>
      <c r="G13" s="281" t="s">
        <v>337</v>
      </c>
      <c r="H13" s="497" t="s">
        <v>338</v>
      </c>
      <c r="I13" s="497"/>
      <c r="J13" s="280"/>
    </row>
    <row r="14" spans="1:10" s="434" customFormat="1" ht="15.2" customHeight="1">
      <c r="A14" s="282" t="s">
        <v>339</v>
      </c>
      <c r="B14" s="283" t="s">
        <v>340</v>
      </c>
      <c r="C14" s="284">
        <f>SUM(Stavební_rozpočet!AB12:AB147)</f>
        <v>0</v>
      </c>
      <c r="D14" s="495" t="s">
        <v>341</v>
      </c>
      <c r="E14" s="495"/>
      <c r="F14" s="284">
        <v>0</v>
      </c>
      <c r="G14" s="495" t="s">
        <v>342</v>
      </c>
      <c r="H14" s="495"/>
      <c r="I14" s="284">
        <v>0</v>
      </c>
      <c r="J14" s="280"/>
    </row>
    <row r="15" spans="1:10" s="434" customFormat="1" ht="15.2" customHeight="1">
      <c r="A15" s="285"/>
      <c r="B15" s="283" t="s">
        <v>343</v>
      </c>
      <c r="C15" s="284">
        <f>SUM(Stavební_rozpočet!AC12:AC147)</f>
        <v>0</v>
      </c>
      <c r="D15" s="495" t="s">
        <v>344</v>
      </c>
      <c r="E15" s="495"/>
      <c r="F15" s="284">
        <v>0</v>
      </c>
      <c r="G15" s="495" t="s">
        <v>345</v>
      </c>
      <c r="H15" s="495"/>
      <c r="I15" s="284">
        <v>0</v>
      </c>
      <c r="J15" s="280"/>
    </row>
    <row r="16" spans="1:10" s="434" customFormat="1" ht="15.2" customHeight="1">
      <c r="A16" s="282" t="s">
        <v>346</v>
      </c>
      <c r="B16" s="283" t="s">
        <v>340</v>
      </c>
      <c r="C16" s="284">
        <f>SUM(Stavební_rozpočet!AD12:AD147)</f>
        <v>0</v>
      </c>
      <c r="D16" s="495" t="s">
        <v>347</v>
      </c>
      <c r="E16" s="495"/>
      <c r="F16" s="284">
        <v>0</v>
      </c>
      <c r="G16" s="495" t="s">
        <v>348</v>
      </c>
      <c r="H16" s="495"/>
      <c r="I16" s="284">
        <v>0</v>
      </c>
      <c r="J16" s="280"/>
    </row>
    <row r="17" spans="1:10" s="434" customFormat="1" ht="15.2" customHeight="1">
      <c r="A17" s="285"/>
      <c r="B17" s="283" t="s">
        <v>343</v>
      </c>
      <c r="C17" s="284">
        <f>SUM(Stavební_rozpočet!AE12:AE147)</f>
        <v>0</v>
      </c>
      <c r="D17" s="494"/>
      <c r="E17" s="494"/>
      <c r="F17" s="286"/>
      <c r="G17" s="495" t="s">
        <v>349</v>
      </c>
      <c r="H17" s="495"/>
      <c r="I17" s="284">
        <v>0</v>
      </c>
      <c r="J17" s="280"/>
    </row>
    <row r="18" spans="1:10" s="434" customFormat="1" ht="15.2" customHeight="1">
      <c r="A18" s="282" t="s">
        <v>350</v>
      </c>
      <c r="B18" s="283" t="s">
        <v>340</v>
      </c>
      <c r="C18" s="284">
        <f>SUM(Stavební_rozpočet!AF12:AF147)</f>
        <v>0</v>
      </c>
      <c r="D18" s="494"/>
      <c r="E18" s="494"/>
      <c r="F18" s="286"/>
      <c r="G18" s="495" t="s">
        <v>153</v>
      </c>
      <c r="H18" s="495"/>
      <c r="I18" s="284">
        <v>0</v>
      </c>
      <c r="J18" s="280"/>
    </row>
    <row r="19" spans="1:10" s="434" customFormat="1" ht="15.2" customHeight="1">
      <c r="A19" s="285"/>
      <c r="B19" s="283" t="s">
        <v>343</v>
      </c>
      <c r="C19" s="284">
        <f>SUM(Stavební_rozpočet!AG12:AG147)</f>
        <v>0</v>
      </c>
      <c r="D19" s="494"/>
      <c r="E19" s="494"/>
      <c r="F19" s="286"/>
      <c r="G19" s="495" t="s">
        <v>351</v>
      </c>
      <c r="H19" s="495"/>
      <c r="I19" s="284">
        <v>0</v>
      </c>
      <c r="J19" s="280"/>
    </row>
    <row r="20" spans="1:10" s="434" customFormat="1" ht="15.2" customHeight="1">
      <c r="A20" s="493" t="s">
        <v>352</v>
      </c>
      <c r="B20" s="493"/>
      <c r="C20" s="284">
        <f>SUM(Stavební_rozpočet!AH12:AH147)</f>
        <v>0</v>
      </c>
      <c r="D20" s="494"/>
      <c r="E20" s="494"/>
      <c r="F20" s="286"/>
      <c r="G20" s="494"/>
      <c r="H20" s="494"/>
      <c r="I20" s="286"/>
      <c r="J20" s="280"/>
    </row>
    <row r="21" spans="1:10" s="434" customFormat="1" ht="15.2" customHeight="1">
      <c r="A21" s="493" t="s">
        <v>353</v>
      </c>
      <c r="B21" s="493"/>
      <c r="C21" s="284">
        <f>SUM(Stavební_rozpočet!Z12:Z147)</f>
        <v>0</v>
      </c>
      <c r="D21" s="494"/>
      <c r="E21" s="494"/>
      <c r="F21" s="286"/>
      <c r="G21" s="494"/>
      <c r="H21" s="494"/>
      <c r="I21" s="286"/>
      <c r="J21" s="280"/>
    </row>
    <row r="22" spans="1:10" s="434" customFormat="1" ht="16.7" customHeight="1">
      <c r="A22" s="493" t="s">
        <v>354</v>
      </c>
      <c r="B22" s="493"/>
      <c r="C22" s="284">
        <f>SUM(C14:C21)</f>
        <v>0</v>
      </c>
      <c r="D22" s="493" t="s">
        <v>355</v>
      </c>
      <c r="E22" s="493"/>
      <c r="F22" s="284">
        <f>SUM(F14:F21)</f>
        <v>0</v>
      </c>
      <c r="G22" s="493" t="s">
        <v>356</v>
      </c>
      <c r="H22" s="493"/>
      <c r="I22" s="284">
        <f>SUM(I14:I21)</f>
        <v>0</v>
      </c>
      <c r="J22" s="280"/>
    </row>
    <row r="23" spans="1:10" s="434" customFormat="1" ht="15.2" customHeight="1" thickBot="1">
      <c r="A23" s="287"/>
      <c r="B23" s="287"/>
      <c r="C23" s="288"/>
      <c r="D23" s="493" t="s">
        <v>357</v>
      </c>
      <c r="E23" s="493"/>
      <c r="F23" s="289">
        <v>0</v>
      </c>
      <c r="G23" s="493" t="s">
        <v>358</v>
      </c>
      <c r="H23" s="493"/>
      <c r="I23" s="284">
        <v>0</v>
      </c>
      <c r="J23" s="280"/>
    </row>
    <row r="24" spans="1:10" s="434" customFormat="1" ht="15.2" customHeight="1">
      <c r="A24" s="279"/>
      <c r="B24" s="279"/>
      <c r="C24" s="279"/>
      <c r="D24" s="287"/>
      <c r="E24" s="287"/>
      <c r="F24" s="290"/>
      <c r="G24" s="493" t="s">
        <v>359</v>
      </c>
      <c r="H24" s="493"/>
      <c r="I24" s="284">
        <v>0</v>
      </c>
      <c r="J24" s="280"/>
    </row>
    <row r="25" spans="1:10" s="434" customFormat="1" ht="15.2" customHeight="1">
      <c r="A25" s="279"/>
      <c r="B25" s="279"/>
      <c r="C25" s="279"/>
      <c r="D25" s="279"/>
      <c r="E25" s="279"/>
      <c r="F25" s="291"/>
      <c r="G25" s="493" t="s">
        <v>360</v>
      </c>
      <c r="H25" s="493"/>
      <c r="I25" s="284">
        <v>0</v>
      </c>
      <c r="J25" s="280"/>
    </row>
    <row r="26" spans="1:10" s="434" customFormat="1">
      <c r="A26" s="278"/>
      <c r="B26" s="278"/>
      <c r="C26" s="278"/>
      <c r="D26" s="279"/>
      <c r="E26" s="279"/>
      <c r="F26" s="279"/>
      <c r="G26" s="287"/>
      <c r="H26" s="287"/>
      <c r="I26" s="287"/>
      <c r="J26" s="279"/>
    </row>
    <row r="27" spans="1:10" s="434" customFormat="1" ht="15.2" customHeight="1">
      <c r="A27" s="492" t="s">
        <v>361</v>
      </c>
      <c r="B27" s="492"/>
      <c r="C27" s="292">
        <f>SUM(Stavební_rozpočet!AJ12:AJ147)</f>
        <v>0</v>
      </c>
      <c r="D27" s="293"/>
      <c r="E27" s="278"/>
      <c r="F27" s="278"/>
      <c r="G27" s="278"/>
      <c r="H27" s="278"/>
      <c r="I27" s="278"/>
      <c r="J27" s="279"/>
    </row>
    <row r="28" spans="1:10" s="434" customFormat="1" ht="15.2" customHeight="1">
      <c r="A28" s="492" t="s">
        <v>362</v>
      </c>
      <c r="B28" s="492"/>
      <c r="C28" s="292">
        <f>SUM(Stavební_rozpočet!AK12:AK147)</f>
        <v>0</v>
      </c>
      <c r="D28" s="492" t="s">
        <v>363</v>
      </c>
      <c r="E28" s="492"/>
      <c r="F28" s="292">
        <f>ROUND(C28*(15/100),2)</f>
        <v>0</v>
      </c>
      <c r="G28" s="492" t="s">
        <v>364</v>
      </c>
      <c r="H28" s="492"/>
      <c r="I28" s="292">
        <f>SUM(C27:C29)</f>
        <v>0</v>
      </c>
      <c r="J28" s="280"/>
    </row>
    <row r="29" spans="1:10" s="434" customFormat="1" ht="15.2" customHeight="1">
      <c r="A29" s="492" t="s">
        <v>365</v>
      </c>
      <c r="B29" s="492"/>
      <c r="C29" s="292">
        <f>SUM(Stavební_rozpočet!AL12:AL147)+(F22+I22+F23+I23+I24+I25)</f>
        <v>0</v>
      </c>
      <c r="D29" s="492" t="s">
        <v>366</v>
      </c>
      <c r="E29" s="492"/>
      <c r="F29" s="292">
        <f>ROUND(C29*(21/100),2)</f>
        <v>0</v>
      </c>
      <c r="G29" s="492" t="s">
        <v>367</v>
      </c>
      <c r="H29" s="492"/>
      <c r="I29" s="292">
        <f>SUM(F28:F29)+I28</f>
        <v>0</v>
      </c>
      <c r="J29" s="280"/>
    </row>
    <row r="30" spans="1:10" s="434" customFormat="1" ht="13.5" thickBot="1">
      <c r="A30" s="294"/>
      <c r="B30" s="294"/>
      <c r="C30" s="294"/>
      <c r="D30" s="294"/>
      <c r="E30" s="294"/>
      <c r="F30" s="294"/>
      <c r="G30" s="294"/>
      <c r="H30" s="294"/>
      <c r="I30" s="294"/>
      <c r="J30" s="279"/>
    </row>
    <row r="31" spans="1:10" s="434" customFormat="1" ht="14.45" customHeight="1">
      <c r="A31" s="491" t="s">
        <v>233</v>
      </c>
      <c r="B31" s="491"/>
      <c r="C31" s="491"/>
      <c r="D31" s="491" t="s">
        <v>368</v>
      </c>
      <c r="E31" s="491"/>
      <c r="F31" s="491"/>
      <c r="G31" s="491" t="s">
        <v>369</v>
      </c>
      <c r="H31" s="491"/>
      <c r="I31" s="491"/>
      <c r="J31" s="295"/>
    </row>
    <row r="32" spans="1:10" s="434" customFormat="1" ht="14.45" customHeight="1">
      <c r="A32" s="488"/>
      <c r="B32" s="488"/>
      <c r="C32" s="488"/>
      <c r="D32" s="488"/>
      <c r="E32" s="488"/>
      <c r="F32" s="488"/>
      <c r="G32" s="488"/>
      <c r="H32" s="488"/>
      <c r="I32" s="488"/>
      <c r="J32" s="295"/>
    </row>
    <row r="33" spans="1:10" s="434" customFormat="1" ht="14.45" customHeight="1">
      <c r="A33" s="488"/>
      <c r="B33" s="488"/>
      <c r="C33" s="488"/>
      <c r="D33" s="488"/>
      <c r="E33" s="488"/>
      <c r="F33" s="488"/>
      <c r="G33" s="488"/>
      <c r="H33" s="488"/>
      <c r="I33" s="488"/>
      <c r="J33" s="295"/>
    </row>
    <row r="34" spans="1:10" s="434" customFormat="1" ht="14.45" customHeight="1">
      <c r="A34" s="488"/>
      <c r="B34" s="488"/>
      <c r="C34" s="488"/>
      <c r="D34" s="488"/>
      <c r="E34" s="488"/>
      <c r="F34" s="488"/>
      <c r="G34" s="488"/>
      <c r="H34" s="488"/>
      <c r="I34" s="488"/>
      <c r="J34" s="295"/>
    </row>
    <row r="35" spans="1:10" s="434" customFormat="1" ht="14.45" customHeight="1" thickBot="1">
      <c r="A35" s="490" t="s">
        <v>370</v>
      </c>
      <c r="B35" s="490"/>
      <c r="C35" s="490"/>
      <c r="D35" s="490" t="s">
        <v>370</v>
      </c>
      <c r="E35" s="490"/>
      <c r="F35" s="490"/>
      <c r="G35" s="490" t="s">
        <v>370</v>
      </c>
      <c r="H35" s="490"/>
      <c r="I35" s="490"/>
      <c r="J35" s="295"/>
    </row>
    <row r="36" spans="1:10" s="434" customFormat="1" ht="11.25" customHeight="1">
      <c r="A36" s="296" t="s">
        <v>39</v>
      </c>
      <c r="B36" s="297"/>
      <c r="C36" s="297"/>
      <c r="D36" s="297"/>
      <c r="E36" s="297"/>
      <c r="F36" s="297"/>
      <c r="G36" s="297"/>
      <c r="H36" s="297"/>
      <c r="I36" s="297"/>
      <c r="J36" s="279"/>
    </row>
    <row r="37" spans="1:10" s="434" customFormat="1">
      <c r="A37" s="489"/>
      <c r="B37" s="489"/>
      <c r="C37" s="489"/>
      <c r="D37" s="489"/>
      <c r="E37" s="489"/>
      <c r="F37" s="489"/>
      <c r="G37" s="489"/>
      <c r="H37" s="489"/>
      <c r="I37" s="489"/>
      <c r="J37" s="279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7" right="0.39400000000000007" top="0.59099999999999997" bottom="0.59099999999999997" header="0.5" footer="0.5"/>
  <pageSetup paperSize="0" fitToWidth="0" fitToHeight="0"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0"/>
  <sheetViews>
    <sheetView topLeftCell="A88" workbookViewId="0">
      <selection activeCell="K22" sqref="K22"/>
    </sheetView>
  </sheetViews>
  <sheetFormatPr defaultColWidth="13.5" defaultRowHeight="12.75"/>
  <cols>
    <col min="1" max="1" width="4.33203125" style="279" customWidth="1"/>
    <col min="2" max="2" width="8.83203125" style="279" customWidth="1"/>
    <col min="3" max="3" width="16.6640625" style="279" customWidth="1"/>
    <col min="4" max="4" width="57.83203125" style="279" customWidth="1"/>
    <col min="5" max="5" width="5" style="279" customWidth="1"/>
    <col min="6" max="6" width="15" style="279" customWidth="1"/>
    <col min="7" max="7" width="14" style="279" customWidth="1"/>
    <col min="8" max="10" width="16.6640625" style="279" customWidth="1"/>
    <col min="11" max="13" width="13.6640625" style="279" customWidth="1"/>
    <col min="14" max="24" width="13.5" style="279" customWidth="1"/>
    <col min="25" max="62" width="14.1640625" style="279" hidden="1" customWidth="1"/>
    <col min="63" max="63" width="13.5" style="279" customWidth="1"/>
    <col min="64" max="16384" width="13.5" style="279"/>
  </cols>
  <sheetData>
    <row r="1" spans="1:62" s="434" customFormat="1" ht="72.95" customHeight="1">
      <c r="A1" s="518" t="s">
        <v>371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</row>
    <row r="2" spans="1:62" s="434" customFormat="1">
      <c r="A2" s="508" t="s">
        <v>321</v>
      </c>
      <c r="B2" s="508"/>
      <c r="C2" s="508"/>
      <c r="D2" s="509" t="s">
        <v>372</v>
      </c>
      <c r="E2" s="519" t="s">
        <v>373</v>
      </c>
      <c r="F2" s="519"/>
      <c r="G2" s="519" t="s">
        <v>374</v>
      </c>
      <c r="H2" s="510" t="s">
        <v>322</v>
      </c>
      <c r="I2" s="520" t="s">
        <v>375</v>
      </c>
      <c r="J2" s="520"/>
      <c r="K2" s="520"/>
      <c r="L2" s="520"/>
      <c r="M2" s="520"/>
      <c r="N2" s="280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</row>
    <row r="3" spans="1:62" s="434" customFormat="1">
      <c r="A3" s="508"/>
      <c r="B3" s="508"/>
      <c r="C3" s="508"/>
      <c r="D3" s="509"/>
      <c r="E3" s="519"/>
      <c r="F3" s="519"/>
      <c r="G3" s="519"/>
      <c r="H3" s="510"/>
      <c r="I3" s="520"/>
      <c r="J3" s="520"/>
      <c r="K3" s="520"/>
      <c r="L3" s="520"/>
      <c r="M3" s="520"/>
      <c r="N3" s="280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</row>
    <row r="4" spans="1:62" s="434" customFormat="1">
      <c r="A4" s="503" t="s">
        <v>324</v>
      </c>
      <c r="B4" s="503"/>
      <c r="C4" s="503"/>
      <c r="D4" s="504" t="s">
        <v>376</v>
      </c>
      <c r="E4" s="505" t="s">
        <v>327</v>
      </c>
      <c r="F4" s="505"/>
      <c r="G4" s="505" t="s">
        <v>374</v>
      </c>
      <c r="H4" s="504" t="s">
        <v>33</v>
      </c>
      <c r="I4" s="498" t="s">
        <v>375</v>
      </c>
      <c r="J4" s="498"/>
      <c r="K4" s="498"/>
      <c r="L4" s="498"/>
      <c r="M4" s="498"/>
      <c r="N4" s="280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</row>
    <row r="5" spans="1:62" s="434" customFormat="1">
      <c r="A5" s="503"/>
      <c r="B5" s="503"/>
      <c r="C5" s="503"/>
      <c r="D5" s="504"/>
      <c r="E5" s="505"/>
      <c r="F5" s="505"/>
      <c r="G5" s="505"/>
      <c r="H5" s="504"/>
      <c r="I5" s="498"/>
      <c r="J5" s="498"/>
      <c r="K5" s="498"/>
      <c r="L5" s="498"/>
      <c r="M5" s="498"/>
      <c r="N5" s="280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</row>
    <row r="6" spans="1:62" s="434" customFormat="1">
      <c r="A6" s="503" t="s">
        <v>325</v>
      </c>
      <c r="B6" s="503"/>
      <c r="C6" s="503"/>
      <c r="D6" s="504" t="s">
        <v>22</v>
      </c>
      <c r="E6" s="505" t="s">
        <v>328</v>
      </c>
      <c r="F6" s="505"/>
      <c r="G6" s="505" t="s">
        <v>374</v>
      </c>
      <c r="H6" s="504" t="s">
        <v>326</v>
      </c>
      <c r="I6" s="498" t="s">
        <v>375</v>
      </c>
      <c r="J6" s="498"/>
      <c r="K6" s="498"/>
      <c r="L6" s="498"/>
      <c r="M6" s="498"/>
      <c r="N6" s="280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</row>
    <row r="7" spans="1:62" s="434" customFormat="1">
      <c r="A7" s="503"/>
      <c r="B7" s="503"/>
      <c r="C7" s="503"/>
      <c r="D7" s="504"/>
      <c r="E7" s="505"/>
      <c r="F7" s="505"/>
      <c r="G7" s="505"/>
      <c r="H7" s="504"/>
      <c r="I7" s="498"/>
      <c r="J7" s="498"/>
      <c r="K7" s="498"/>
      <c r="L7" s="498"/>
      <c r="M7" s="498"/>
      <c r="N7" s="280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</row>
    <row r="8" spans="1:62" s="434" customFormat="1" ht="13.5" thickBot="1">
      <c r="A8" s="514" t="s">
        <v>331</v>
      </c>
      <c r="B8" s="514"/>
      <c r="C8" s="514"/>
      <c r="D8" s="515" t="s">
        <v>374</v>
      </c>
      <c r="E8" s="516" t="s">
        <v>377</v>
      </c>
      <c r="F8" s="516"/>
      <c r="G8" s="516" t="s">
        <v>378</v>
      </c>
      <c r="H8" s="515" t="s">
        <v>332</v>
      </c>
      <c r="I8" s="517" t="s">
        <v>379</v>
      </c>
      <c r="J8" s="517"/>
      <c r="K8" s="517"/>
      <c r="L8" s="517"/>
      <c r="M8" s="517"/>
      <c r="N8" s="280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</row>
    <row r="9" spans="1:62" s="434" customFormat="1" ht="13.5" thickBot="1">
      <c r="A9" s="514"/>
      <c r="B9" s="514"/>
      <c r="C9" s="514"/>
      <c r="D9" s="515"/>
      <c r="E9" s="516"/>
      <c r="F9" s="516"/>
      <c r="G9" s="516"/>
      <c r="H9" s="515"/>
      <c r="I9" s="517"/>
      <c r="J9" s="517"/>
      <c r="K9" s="517"/>
      <c r="L9" s="517"/>
      <c r="M9" s="517"/>
      <c r="N9" s="280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</row>
    <row r="10" spans="1:62" s="434" customFormat="1">
      <c r="A10" s="298" t="s">
        <v>380</v>
      </c>
      <c r="B10" s="299" t="s">
        <v>255</v>
      </c>
      <c r="C10" s="299" t="s">
        <v>56</v>
      </c>
      <c r="D10" s="299" t="s">
        <v>381</v>
      </c>
      <c r="E10" s="299" t="s">
        <v>106</v>
      </c>
      <c r="F10" s="300" t="s">
        <v>107</v>
      </c>
      <c r="G10" s="301" t="s">
        <v>382</v>
      </c>
      <c r="H10" s="512" t="s">
        <v>383</v>
      </c>
      <c r="I10" s="512"/>
      <c r="J10" s="512"/>
      <c r="K10" s="512" t="s">
        <v>384</v>
      </c>
      <c r="L10" s="512"/>
      <c r="M10" s="302" t="s">
        <v>385</v>
      </c>
      <c r="N10" s="295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</row>
    <row r="11" spans="1:62" s="434" customFormat="1" ht="13.5" thickBot="1">
      <c r="A11" s="303" t="s">
        <v>374</v>
      </c>
      <c r="B11" s="304" t="s">
        <v>374</v>
      </c>
      <c r="C11" s="304" t="s">
        <v>374</v>
      </c>
      <c r="D11" s="305" t="s">
        <v>386</v>
      </c>
      <c r="E11" s="304" t="s">
        <v>374</v>
      </c>
      <c r="F11" s="304" t="s">
        <v>374</v>
      </c>
      <c r="G11" s="306" t="s">
        <v>387</v>
      </c>
      <c r="H11" s="307" t="s">
        <v>388</v>
      </c>
      <c r="I11" s="308" t="s">
        <v>343</v>
      </c>
      <c r="J11" s="309" t="s">
        <v>389</v>
      </c>
      <c r="K11" s="307" t="s">
        <v>390</v>
      </c>
      <c r="L11" s="309" t="s">
        <v>389</v>
      </c>
      <c r="M11" s="310" t="s">
        <v>391</v>
      </c>
      <c r="N11" s="295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311" t="s">
        <v>392</v>
      </c>
      <c r="AA11" s="311" t="s">
        <v>393</v>
      </c>
      <c r="AB11" s="311" t="s">
        <v>394</v>
      </c>
      <c r="AC11" s="311" t="s">
        <v>395</v>
      </c>
      <c r="AD11" s="311" t="s">
        <v>396</v>
      </c>
      <c r="AE11" s="311" t="s">
        <v>397</v>
      </c>
      <c r="AF11" s="311" t="s">
        <v>398</v>
      </c>
      <c r="AG11" s="311" t="s">
        <v>399</v>
      </c>
      <c r="AH11" s="311" t="s">
        <v>400</v>
      </c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311" t="s">
        <v>401</v>
      </c>
      <c r="BI11" s="311" t="s">
        <v>402</v>
      </c>
      <c r="BJ11" s="311" t="s">
        <v>403</v>
      </c>
    </row>
    <row r="12" spans="1:62" s="434" customFormat="1">
      <c r="A12" s="312"/>
      <c r="B12" s="313"/>
      <c r="C12" s="313" t="s">
        <v>404</v>
      </c>
      <c r="D12" s="313" t="s">
        <v>405</v>
      </c>
      <c r="E12" s="312" t="s">
        <v>374</v>
      </c>
      <c r="F12" s="312" t="s">
        <v>374</v>
      </c>
      <c r="G12" s="312" t="s">
        <v>374</v>
      </c>
      <c r="H12" s="314">
        <f>SUM(H13:H13)</f>
        <v>0</v>
      </c>
      <c r="I12" s="314">
        <f>SUM(I13:I13)</f>
        <v>0</v>
      </c>
      <c r="J12" s="314">
        <f>SUM(J13:J13)</f>
        <v>0</v>
      </c>
      <c r="K12" s="315"/>
      <c r="L12" s="314">
        <f>SUM(L13:L13)</f>
        <v>2.2275</v>
      </c>
      <c r="M12" s="315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311"/>
      <c r="AJ12" s="279"/>
      <c r="AK12" s="279"/>
      <c r="AL12" s="279"/>
      <c r="AM12" s="279"/>
      <c r="AN12" s="279"/>
      <c r="AO12" s="279"/>
      <c r="AP12" s="279"/>
      <c r="AQ12" s="279"/>
      <c r="AR12" s="279"/>
      <c r="AS12" s="316">
        <f>SUM(AJ13:AJ13)</f>
        <v>0</v>
      </c>
      <c r="AT12" s="316">
        <f>SUM(AK13:AK13)</f>
        <v>0</v>
      </c>
      <c r="AU12" s="316">
        <f>SUM(AL13:AL13)</f>
        <v>0</v>
      </c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</row>
    <row r="13" spans="1:62" s="434" customFormat="1">
      <c r="A13" s="317" t="s">
        <v>83</v>
      </c>
      <c r="B13" s="317"/>
      <c r="C13" s="317" t="s">
        <v>406</v>
      </c>
      <c r="D13" s="317" t="s">
        <v>407</v>
      </c>
      <c r="E13" s="317" t="s">
        <v>408</v>
      </c>
      <c r="F13" s="318">
        <v>6.75</v>
      </c>
      <c r="G13" s="318">
        <v>0</v>
      </c>
      <c r="H13" s="318">
        <f>F13*AO13</f>
        <v>0</v>
      </c>
      <c r="I13" s="318">
        <f>F13*AP13</f>
        <v>0</v>
      </c>
      <c r="J13" s="318">
        <f>F13*G13</f>
        <v>0</v>
      </c>
      <c r="K13" s="318">
        <v>0.33</v>
      </c>
      <c r="L13" s="318">
        <f>F13*K13</f>
        <v>2.2275</v>
      </c>
      <c r="M13" s="319" t="s">
        <v>409</v>
      </c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318">
        <f>IF(AQ13="5",BJ13,0)</f>
        <v>0</v>
      </c>
      <c r="AA13" s="279"/>
      <c r="AB13" s="318">
        <f>IF(AQ13="1",BH13,0)</f>
        <v>0</v>
      </c>
      <c r="AC13" s="318">
        <f>IF(AQ13="1",BI13,0)</f>
        <v>0</v>
      </c>
      <c r="AD13" s="318">
        <f>IF(AQ13="7",BH13,0)</f>
        <v>0</v>
      </c>
      <c r="AE13" s="318">
        <f>IF(AQ13="7",BI13,0)</f>
        <v>0</v>
      </c>
      <c r="AF13" s="318">
        <f>IF(AQ13="2",BH13,0)</f>
        <v>0</v>
      </c>
      <c r="AG13" s="318">
        <f>IF(AQ13="2",BI13,0)</f>
        <v>0</v>
      </c>
      <c r="AH13" s="318">
        <f>IF(AQ13="0",BJ13,0)</f>
        <v>0</v>
      </c>
      <c r="AI13" s="311"/>
      <c r="AJ13" s="318">
        <f>IF(AN13=0,J13,0)</f>
        <v>0</v>
      </c>
      <c r="AK13" s="318">
        <f>IF(AN13=15,J13,0)</f>
        <v>0</v>
      </c>
      <c r="AL13" s="318">
        <f>IF(AN13=21,J13,0)</f>
        <v>0</v>
      </c>
      <c r="AM13" s="279"/>
      <c r="AN13" s="318">
        <v>21</v>
      </c>
      <c r="AO13" s="318">
        <f>G13*0</f>
        <v>0</v>
      </c>
      <c r="AP13" s="318">
        <f>G13*(1-0)</f>
        <v>0</v>
      </c>
      <c r="AQ13" s="319" t="s">
        <v>83</v>
      </c>
      <c r="AR13" s="279"/>
      <c r="AS13" s="279"/>
      <c r="AT13" s="279"/>
      <c r="AU13" s="279"/>
      <c r="AV13" s="318">
        <f>AW13+AX13</f>
        <v>0</v>
      </c>
      <c r="AW13" s="318">
        <f>F13*AO13</f>
        <v>0</v>
      </c>
      <c r="AX13" s="318">
        <f>F13*AP13</f>
        <v>0</v>
      </c>
      <c r="AY13" s="319" t="s">
        <v>410</v>
      </c>
      <c r="AZ13" s="319" t="s">
        <v>411</v>
      </c>
      <c r="BA13" s="311" t="s">
        <v>412</v>
      </c>
      <c r="BB13" s="279"/>
      <c r="BC13" s="318">
        <f>AW13+AX13</f>
        <v>0</v>
      </c>
      <c r="BD13" s="318">
        <f>G13/(100-BE13)*100</f>
        <v>0</v>
      </c>
      <c r="BE13" s="318">
        <v>0</v>
      </c>
      <c r="BF13" s="318">
        <f>L13</f>
        <v>2.2275</v>
      </c>
      <c r="BG13" s="279"/>
      <c r="BH13" s="318">
        <f>F13*AO13</f>
        <v>0</v>
      </c>
      <c r="BI13" s="318">
        <f>F13*AP13</f>
        <v>0</v>
      </c>
      <c r="BJ13" s="318">
        <f>F13*G13</f>
        <v>0</v>
      </c>
    </row>
    <row r="14" spans="1:62" s="434" customFormat="1">
      <c r="A14" s="279"/>
      <c r="B14" s="279"/>
      <c r="C14" s="279"/>
      <c r="D14" s="320" t="s">
        <v>413</v>
      </c>
      <c r="E14" s="279"/>
      <c r="F14" s="321">
        <v>6.75</v>
      </c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</row>
    <row r="15" spans="1:62" s="434" customFormat="1">
      <c r="A15" s="322"/>
      <c r="B15" s="323"/>
      <c r="C15" s="323" t="s">
        <v>414</v>
      </c>
      <c r="D15" s="323" t="s">
        <v>415</v>
      </c>
      <c r="E15" s="322" t="s">
        <v>374</v>
      </c>
      <c r="F15" s="322" t="s">
        <v>374</v>
      </c>
      <c r="G15" s="322" t="s">
        <v>374</v>
      </c>
      <c r="H15" s="316">
        <f>SUM(H16:H22)</f>
        <v>0</v>
      </c>
      <c r="I15" s="316">
        <f>SUM(I16:I22)</f>
        <v>0</v>
      </c>
      <c r="J15" s="316">
        <f>SUM(J16:J22)</f>
        <v>0</v>
      </c>
      <c r="K15" s="311"/>
      <c r="L15" s="316">
        <f>SUM(L16:L22)</f>
        <v>5.4000356199999988</v>
      </c>
      <c r="M15" s="311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311"/>
      <c r="AJ15" s="279"/>
      <c r="AK15" s="279"/>
      <c r="AL15" s="279"/>
      <c r="AM15" s="279"/>
      <c r="AN15" s="279"/>
      <c r="AO15" s="279"/>
      <c r="AP15" s="279"/>
      <c r="AQ15" s="279"/>
      <c r="AR15" s="279"/>
      <c r="AS15" s="316">
        <f>SUM(AJ16:AJ22)</f>
        <v>0</v>
      </c>
      <c r="AT15" s="316">
        <f>SUM(AK16:AK22)</f>
        <v>0</v>
      </c>
      <c r="AU15" s="316">
        <f>SUM(AL16:AL22)</f>
        <v>0</v>
      </c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</row>
    <row r="16" spans="1:62" s="434" customFormat="1">
      <c r="A16" s="317" t="s">
        <v>85</v>
      </c>
      <c r="B16" s="317"/>
      <c r="C16" s="317" t="s">
        <v>416</v>
      </c>
      <c r="D16" s="317" t="s">
        <v>417</v>
      </c>
      <c r="E16" s="317" t="s">
        <v>418</v>
      </c>
      <c r="F16" s="318">
        <v>2.0249999999999999</v>
      </c>
      <c r="G16" s="318">
        <v>0</v>
      </c>
      <c r="H16" s="318">
        <f>F16*AO16</f>
        <v>0</v>
      </c>
      <c r="I16" s="318">
        <f>F16*AP16</f>
        <v>0</v>
      </c>
      <c r="J16" s="318">
        <f>F16*G16</f>
        <v>0</v>
      </c>
      <c r="K16" s="318">
        <v>2.5249999999999999</v>
      </c>
      <c r="L16" s="318">
        <f>F16*K16</f>
        <v>5.1131249999999993</v>
      </c>
      <c r="M16" s="319" t="s">
        <v>409</v>
      </c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318">
        <f>IF(AQ16="5",BJ16,0)</f>
        <v>0</v>
      </c>
      <c r="AA16" s="279"/>
      <c r="AB16" s="318">
        <f>IF(AQ16="1",BH16,0)</f>
        <v>0</v>
      </c>
      <c r="AC16" s="318">
        <f>IF(AQ16="1",BI16,0)</f>
        <v>0</v>
      </c>
      <c r="AD16" s="318">
        <f>IF(AQ16="7",BH16,0)</f>
        <v>0</v>
      </c>
      <c r="AE16" s="318">
        <f>IF(AQ16="7",BI16,0)</f>
        <v>0</v>
      </c>
      <c r="AF16" s="318">
        <f>IF(AQ16="2",BH16,0)</f>
        <v>0</v>
      </c>
      <c r="AG16" s="318">
        <f>IF(AQ16="2",BI16,0)</f>
        <v>0</v>
      </c>
      <c r="AH16" s="318">
        <f>IF(AQ16="0",BJ16,0)</f>
        <v>0</v>
      </c>
      <c r="AI16" s="311"/>
      <c r="AJ16" s="318">
        <f>IF(AN16=0,J16,0)</f>
        <v>0</v>
      </c>
      <c r="AK16" s="318">
        <f>IF(AN16=15,J16,0)</f>
        <v>0</v>
      </c>
      <c r="AL16" s="318">
        <f>IF(AN16=21,J16,0)</f>
        <v>0</v>
      </c>
      <c r="AM16" s="279"/>
      <c r="AN16" s="318">
        <v>21</v>
      </c>
      <c r="AO16" s="318">
        <f>G16*0.902103057371604</f>
        <v>0</v>
      </c>
      <c r="AP16" s="318">
        <f>G16*(1-0.902103057371604)</f>
        <v>0</v>
      </c>
      <c r="AQ16" s="319" t="s">
        <v>83</v>
      </c>
      <c r="AR16" s="279"/>
      <c r="AS16" s="279"/>
      <c r="AT16" s="279"/>
      <c r="AU16" s="279"/>
      <c r="AV16" s="318">
        <f>AW16+AX16</f>
        <v>0</v>
      </c>
      <c r="AW16" s="318">
        <f>F16*AO16</f>
        <v>0</v>
      </c>
      <c r="AX16" s="318">
        <f>F16*AP16</f>
        <v>0</v>
      </c>
      <c r="AY16" s="319" t="s">
        <v>419</v>
      </c>
      <c r="AZ16" s="319" t="s">
        <v>420</v>
      </c>
      <c r="BA16" s="311" t="s">
        <v>412</v>
      </c>
      <c r="BB16" s="279"/>
      <c r="BC16" s="318">
        <f>AW16+AX16</f>
        <v>0</v>
      </c>
      <c r="BD16" s="318">
        <f>G16/(100-BE16)*100</f>
        <v>0</v>
      </c>
      <c r="BE16" s="318">
        <v>0</v>
      </c>
      <c r="BF16" s="318">
        <f>L16</f>
        <v>5.1131249999999993</v>
      </c>
      <c r="BG16" s="279"/>
      <c r="BH16" s="318">
        <f>F16*AO16</f>
        <v>0</v>
      </c>
      <c r="BI16" s="318">
        <f>F16*AP16</f>
        <v>0</v>
      </c>
      <c r="BJ16" s="318">
        <f>F16*G16</f>
        <v>0</v>
      </c>
    </row>
    <row r="17" spans="1:62" s="434" customFormat="1">
      <c r="A17" s="279"/>
      <c r="B17" s="279"/>
      <c r="C17" s="279"/>
      <c r="D17" s="320" t="s">
        <v>421</v>
      </c>
      <c r="E17" s="279"/>
      <c r="F17" s="321">
        <v>2.0249999999999999</v>
      </c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</row>
    <row r="18" spans="1:62" s="434" customFormat="1">
      <c r="A18" s="317" t="s">
        <v>422</v>
      </c>
      <c r="B18" s="317"/>
      <c r="C18" s="317" t="s">
        <v>423</v>
      </c>
      <c r="D18" s="317" t="s">
        <v>424</v>
      </c>
      <c r="E18" s="317" t="s">
        <v>408</v>
      </c>
      <c r="F18" s="318">
        <v>5.1349999999999998</v>
      </c>
      <c r="G18" s="318">
        <v>0</v>
      </c>
      <c r="H18" s="318">
        <f>F18*AO18</f>
        <v>0</v>
      </c>
      <c r="I18" s="318">
        <f>F18*AP18</f>
        <v>0</v>
      </c>
      <c r="J18" s="318">
        <f>F18*G18</f>
        <v>0</v>
      </c>
      <c r="K18" s="318">
        <v>3.9199999999999999E-2</v>
      </c>
      <c r="L18" s="318">
        <f>F18*K18</f>
        <v>0.201292</v>
      </c>
      <c r="M18" s="319" t="s">
        <v>409</v>
      </c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318">
        <f>IF(AQ18="5",BJ18,0)</f>
        <v>0</v>
      </c>
      <c r="AA18" s="279"/>
      <c r="AB18" s="318">
        <f>IF(AQ18="1",BH18,0)</f>
        <v>0</v>
      </c>
      <c r="AC18" s="318">
        <f>IF(AQ18="1",BI18,0)</f>
        <v>0</v>
      </c>
      <c r="AD18" s="318">
        <f>IF(AQ18="7",BH18,0)</f>
        <v>0</v>
      </c>
      <c r="AE18" s="318">
        <f>IF(AQ18="7",BI18,0)</f>
        <v>0</v>
      </c>
      <c r="AF18" s="318">
        <f>IF(AQ18="2",BH18,0)</f>
        <v>0</v>
      </c>
      <c r="AG18" s="318">
        <f>IF(AQ18="2",BI18,0)</f>
        <v>0</v>
      </c>
      <c r="AH18" s="318">
        <f>IF(AQ18="0",BJ18,0)</f>
        <v>0</v>
      </c>
      <c r="AI18" s="311"/>
      <c r="AJ18" s="318">
        <f>IF(AN18=0,J18,0)</f>
        <v>0</v>
      </c>
      <c r="AK18" s="318">
        <f>IF(AN18=15,J18,0)</f>
        <v>0</v>
      </c>
      <c r="AL18" s="318">
        <f>IF(AN18=21,J18,0)</f>
        <v>0</v>
      </c>
      <c r="AM18" s="279"/>
      <c r="AN18" s="318">
        <v>21</v>
      </c>
      <c r="AO18" s="318">
        <f>G18*0.208528770262562</f>
        <v>0</v>
      </c>
      <c r="AP18" s="318">
        <f>G18*(1-0.208528770262562)</f>
        <v>0</v>
      </c>
      <c r="AQ18" s="319" t="s">
        <v>83</v>
      </c>
      <c r="AR18" s="279"/>
      <c r="AS18" s="279"/>
      <c r="AT18" s="279"/>
      <c r="AU18" s="279"/>
      <c r="AV18" s="318">
        <f>AW18+AX18</f>
        <v>0</v>
      </c>
      <c r="AW18" s="318">
        <f>F18*AO18</f>
        <v>0</v>
      </c>
      <c r="AX18" s="318">
        <f>F18*AP18</f>
        <v>0</v>
      </c>
      <c r="AY18" s="319" t="s">
        <v>419</v>
      </c>
      <c r="AZ18" s="319" t="s">
        <v>420</v>
      </c>
      <c r="BA18" s="311" t="s">
        <v>412</v>
      </c>
      <c r="BB18" s="279"/>
      <c r="BC18" s="318">
        <f>AW18+AX18</f>
        <v>0</v>
      </c>
      <c r="BD18" s="318">
        <f>G18/(100-BE18)*100</f>
        <v>0</v>
      </c>
      <c r="BE18" s="318">
        <v>0</v>
      </c>
      <c r="BF18" s="318">
        <f>L18</f>
        <v>0.201292</v>
      </c>
      <c r="BG18" s="279"/>
      <c r="BH18" s="318">
        <f>F18*AO18</f>
        <v>0</v>
      </c>
      <c r="BI18" s="318">
        <f>F18*AP18</f>
        <v>0</v>
      </c>
      <c r="BJ18" s="318">
        <f>F18*G18</f>
        <v>0</v>
      </c>
    </row>
    <row r="19" spans="1:62" s="434" customFormat="1">
      <c r="A19" s="279"/>
      <c r="B19" s="279"/>
      <c r="C19" s="279"/>
      <c r="D19" s="320" t="s">
        <v>425</v>
      </c>
      <c r="E19" s="279"/>
      <c r="F19" s="321">
        <v>5.1349999999999998</v>
      </c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</row>
    <row r="20" spans="1:62" s="434" customFormat="1">
      <c r="A20" s="317" t="s">
        <v>119</v>
      </c>
      <c r="B20" s="317"/>
      <c r="C20" s="317" t="s">
        <v>426</v>
      </c>
      <c r="D20" s="317" t="s">
        <v>427</v>
      </c>
      <c r="E20" s="317" t="s">
        <v>408</v>
      </c>
      <c r="F20" s="318">
        <v>5.1349999999999998</v>
      </c>
      <c r="G20" s="318">
        <v>0</v>
      </c>
      <c r="H20" s="318">
        <f>F20*AO20</f>
        <v>0</v>
      </c>
      <c r="I20" s="318">
        <f>F20*AP20</f>
        <v>0</v>
      </c>
      <c r="J20" s="318">
        <f>F20*G20</f>
        <v>0</v>
      </c>
      <c r="K20" s="318">
        <v>0</v>
      </c>
      <c r="L20" s="318">
        <f>F20*K20</f>
        <v>0</v>
      </c>
      <c r="M20" s="319" t="s">
        <v>409</v>
      </c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318">
        <f>IF(AQ20="5",BJ20,0)</f>
        <v>0</v>
      </c>
      <c r="AA20" s="279"/>
      <c r="AB20" s="318">
        <f>IF(AQ20="1",BH20,0)</f>
        <v>0</v>
      </c>
      <c r="AC20" s="318">
        <f>IF(AQ20="1",BI20,0)</f>
        <v>0</v>
      </c>
      <c r="AD20" s="318">
        <f>IF(AQ20="7",BH20,0)</f>
        <v>0</v>
      </c>
      <c r="AE20" s="318">
        <f>IF(AQ20="7",BI20,0)</f>
        <v>0</v>
      </c>
      <c r="AF20" s="318">
        <f>IF(AQ20="2",BH20,0)</f>
        <v>0</v>
      </c>
      <c r="AG20" s="318">
        <f>IF(AQ20="2",BI20,0)</f>
        <v>0</v>
      </c>
      <c r="AH20" s="318">
        <f>IF(AQ20="0",BJ20,0)</f>
        <v>0</v>
      </c>
      <c r="AI20" s="311"/>
      <c r="AJ20" s="318">
        <f>IF(AN20=0,J20,0)</f>
        <v>0</v>
      </c>
      <c r="AK20" s="318">
        <f>IF(AN20=15,J20,0)</f>
        <v>0</v>
      </c>
      <c r="AL20" s="318">
        <f>IF(AN20=21,J20,0)</f>
        <v>0</v>
      </c>
      <c r="AM20" s="279"/>
      <c r="AN20" s="318">
        <v>21</v>
      </c>
      <c r="AO20" s="318">
        <f>G20*0</f>
        <v>0</v>
      </c>
      <c r="AP20" s="318">
        <f>G20*(1-0)</f>
        <v>0</v>
      </c>
      <c r="AQ20" s="319" t="s">
        <v>83</v>
      </c>
      <c r="AR20" s="279"/>
      <c r="AS20" s="279"/>
      <c r="AT20" s="279"/>
      <c r="AU20" s="279"/>
      <c r="AV20" s="318">
        <f>AW20+AX20</f>
        <v>0</v>
      </c>
      <c r="AW20" s="318">
        <f>F20*AO20</f>
        <v>0</v>
      </c>
      <c r="AX20" s="318">
        <f>F20*AP20</f>
        <v>0</v>
      </c>
      <c r="AY20" s="319" t="s">
        <v>419</v>
      </c>
      <c r="AZ20" s="319" t="s">
        <v>420</v>
      </c>
      <c r="BA20" s="311" t="s">
        <v>412</v>
      </c>
      <c r="BB20" s="279"/>
      <c r="BC20" s="318">
        <f>AW20+AX20</f>
        <v>0</v>
      </c>
      <c r="BD20" s="318">
        <f>G20/(100-BE20)*100</f>
        <v>0</v>
      </c>
      <c r="BE20" s="318">
        <v>0</v>
      </c>
      <c r="BF20" s="318">
        <f>L20</f>
        <v>0</v>
      </c>
      <c r="BG20" s="279"/>
      <c r="BH20" s="318">
        <f>F20*AO20</f>
        <v>0</v>
      </c>
      <c r="BI20" s="318">
        <f>F20*AP20</f>
        <v>0</v>
      </c>
      <c r="BJ20" s="318">
        <f>F20*G20</f>
        <v>0</v>
      </c>
    </row>
    <row r="21" spans="1:62" s="434" customFormat="1">
      <c r="A21" s="279"/>
      <c r="B21" s="279"/>
      <c r="C21" s="279"/>
      <c r="D21" s="320" t="s">
        <v>428</v>
      </c>
      <c r="E21" s="279"/>
      <c r="F21" s="321">
        <v>5.1349999999999998</v>
      </c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</row>
    <row r="22" spans="1:62" s="434" customFormat="1">
      <c r="A22" s="317" t="s">
        <v>429</v>
      </c>
      <c r="B22" s="317"/>
      <c r="C22" s="317" t="s">
        <v>430</v>
      </c>
      <c r="D22" s="317" t="s">
        <v>431</v>
      </c>
      <c r="E22" s="317" t="s">
        <v>432</v>
      </c>
      <c r="F22" s="318">
        <v>8.1000000000000003E-2</v>
      </c>
      <c r="G22" s="318">
        <v>0</v>
      </c>
      <c r="H22" s="318">
        <f>F22*AO22</f>
        <v>0</v>
      </c>
      <c r="I22" s="318">
        <f>F22*AP22</f>
        <v>0</v>
      </c>
      <c r="J22" s="318">
        <f>F22*G22</f>
        <v>0</v>
      </c>
      <c r="K22" s="318">
        <v>1.0570200000000001</v>
      </c>
      <c r="L22" s="318">
        <f>F22*K22</f>
        <v>8.5618620000000006E-2</v>
      </c>
      <c r="M22" s="319" t="s">
        <v>409</v>
      </c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318">
        <f>IF(AQ22="5",BJ22,0)</f>
        <v>0</v>
      </c>
      <c r="AA22" s="279"/>
      <c r="AB22" s="318">
        <f>IF(AQ22="1",BH22,0)</f>
        <v>0</v>
      </c>
      <c r="AC22" s="318">
        <f>IF(AQ22="1",BI22,0)</f>
        <v>0</v>
      </c>
      <c r="AD22" s="318">
        <f>IF(AQ22="7",BH22,0)</f>
        <v>0</v>
      </c>
      <c r="AE22" s="318">
        <f>IF(AQ22="7",BI22,0)</f>
        <v>0</v>
      </c>
      <c r="AF22" s="318">
        <f>IF(AQ22="2",BH22,0)</f>
        <v>0</v>
      </c>
      <c r="AG22" s="318">
        <f>IF(AQ22="2",BI22,0)</f>
        <v>0</v>
      </c>
      <c r="AH22" s="318">
        <f>IF(AQ22="0",BJ22,0)</f>
        <v>0</v>
      </c>
      <c r="AI22" s="311"/>
      <c r="AJ22" s="318">
        <f>IF(AN22=0,J22,0)</f>
        <v>0</v>
      </c>
      <c r="AK22" s="318">
        <f>IF(AN22=15,J22,0)</f>
        <v>0</v>
      </c>
      <c r="AL22" s="318">
        <f>IF(AN22=21,J22,0)</f>
        <v>0</v>
      </c>
      <c r="AM22" s="279"/>
      <c r="AN22" s="318">
        <v>21</v>
      </c>
      <c r="AO22" s="318">
        <f>G22*0.803621760182284</f>
        <v>0</v>
      </c>
      <c r="AP22" s="318">
        <f>G22*(1-0.803621760182284)</f>
        <v>0</v>
      </c>
      <c r="AQ22" s="319" t="s">
        <v>83</v>
      </c>
      <c r="AR22" s="279"/>
      <c r="AS22" s="279"/>
      <c r="AT22" s="279"/>
      <c r="AU22" s="279"/>
      <c r="AV22" s="318">
        <f>AW22+AX22</f>
        <v>0</v>
      </c>
      <c r="AW22" s="318">
        <f>F22*AO22</f>
        <v>0</v>
      </c>
      <c r="AX22" s="318">
        <f>F22*AP22</f>
        <v>0</v>
      </c>
      <c r="AY22" s="319" t="s">
        <v>419</v>
      </c>
      <c r="AZ22" s="319" t="s">
        <v>420</v>
      </c>
      <c r="BA22" s="311" t="s">
        <v>412</v>
      </c>
      <c r="BB22" s="279"/>
      <c r="BC22" s="318">
        <f>AW22+AX22</f>
        <v>0</v>
      </c>
      <c r="BD22" s="318">
        <f>G22/(100-BE22)*100</f>
        <v>0</v>
      </c>
      <c r="BE22" s="318">
        <v>0</v>
      </c>
      <c r="BF22" s="318">
        <f>L22</f>
        <v>8.5618620000000006E-2</v>
      </c>
      <c r="BG22" s="279"/>
      <c r="BH22" s="318">
        <f>F22*AO22</f>
        <v>0</v>
      </c>
      <c r="BI22" s="318">
        <f>F22*AP22</f>
        <v>0</v>
      </c>
      <c r="BJ22" s="318">
        <f>F22*G22</f>
        <v>0</v>
      </c>
    </row>
    <row r="23" spans="1:62" s="434" customFormat="1">
      <c r="A23" s="279"/>
      <c r="B23" s="279"/>
      <c r="C23" s="279"/>
      <c r="D23" s="320" t="s">
        <v>433</v>
      </c>
      <c r="E23" s="279"/>
      <c r="F23" s="321">
        <v>8.1000000000000003E-2</v>
      </c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</row>
    <row r="24" spans="1:62" s="434" customFormat="1">
      <c r="A24" s="322"/>
      <c r="B24" s="323"/>
      <c r="C24" s="323" t="s">
        <v>434</v>
      </c>
      <c r="D24" s="323" t="s">
        <v>435</v>
      </c>
      <c r="E24" s="322" t="s">
        <v>374</v>
      </c>
      <c r="F24" s="322" t="s">
        <v>374</v>
      </c>
      <c r="G24" s="322" t="s">
        <v>374</v>
      </c>
      <c r="H24" s="316">
        <f>SUM(H25:H25)</f>
        <v>0</v>
      </c>
      <c r="I24" s="316">
        <f>SUM(I25:I25)</f>
        <v>0</v>
      </c>
      <c r="J24" s="316">
        <f>SUM(J25:J25)</f>
        <v>0</v>
      </c>
      <c r="K24" s="311"/>
      <c r="L24" s="316">
        <f>SUM(L25:L25)</f>
        <v>0.22944000000000003</v>
      </c>
      <c r="M24" s="311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311"/>
      <c r="AJ24" s="279"/>
      <c r="AK24" s="279"/>
      <c r="AL24" s="279"/>
      <c r="AM24" s="279"/>
      <c r="AN24" s="279"/>
      <c r="AO24" s="279"/>
      <c r="AP24" s="279"/>
      <c r="AQ24" s="279"/>
      <c r="AR24" s="279"/>
      <c r="AS24" s="316">
        <f>SUM(AJ25:AJ25)</f>
        <v>0</v>
      </c>
      <c r="AT24" s="316">
        <f>SUM(AK25:AK25)</f>
        <v>0</v>
      </c>
      <c r="AU24" s="316">
        <f>SUM(AL25:AL25)</f>
        <v>0</v>
      </c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</row>
    <row r="25" spans="1:62" s="434" customFormat="1">
      <c r="A25" s="317" t="s">
        <v>436</v>
      </c>
      <c r="B25" s="317"/>
      <c r="C25" s="317" t="s">
        <v>437</v>
      </c>
      <c r="D25" s="317" t="s">
        <v>438</v>
      </c>
      <c r="E25" s="317" t="s">
        <v>439</v>
      </c>
      <c r="F25" s="318">
        <v>96</v>
      </c>
      <c r="G25" s="318">
        <v>0</v>
      </c>
      <c r="H25" s="318">
        <f>F25*AO25</f>
        <v>0</v>
      </c>
      <c r="I25" s="318">
        <f>F25*AP25</f>
        <v>0</v>
      </c>
      <c r="J25" s="318">
        <f>F25*G25</f>
        <v>0</v>
      </c>
      <c r="K25" s="318">
        <v>2.3900000000000002E-3</v>
      </c>
      <c r="L25" s="318">
        <f>F25*K25</f>
        <v>0.22944000000000003</v>
      </c>
      <c r="M25" s="319" t="s">
        <v>409</v>
      </c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318">
        <f>IF(AQ25="5",BJ25,0)</f>
        <v>0</v>
      </c>
      <c r="AA25" s="279"/>
      <c r="AB25" s="318">
        <f>IF(AQ25="1",BH25,0)</f>
        <v>0</v>
      </c>
      <c r="AC25" s="318">
        <f>IF(AQ25="1",BI25,0)</f>
        <v>0</v>
      </c>
      <c r="AD25" s="318">
        <f>IF(AQ25="7",BH25,0)</f>
        <v>0</v>
      </c>
      <c r="AE25" s="318">
        <f>IF(AQ25="7",BI25,0)</f>
        <v>0</v>
      </c>
      <c r="AF25" s="318">
        <f>IF(AQ25="2",BH25,0)</f>
        <v>0</v>
      </c>
      <c r="AG25" s="318">
        <f>IF(AQ25="2",BI25,0)</f>
        <v>0</v>
      </c>
      <c r="AH25" s="318">
        <f>IF(AQ25="0",BJ25,0)</f>
        <v>0</v>
      </c>
      <c r="AI25" s="311"/>
      <c r="AJ25" s="318">
        <f>IF(AN25=0,J25,0)</f>
        <v>0</v>
      </c>
      <c r="AK25" s="318">
        <f>IF(AN25=15,J25,0)</f>
        <v>0</v>
      </c>
      <c r="AL25" s="318">
        <f>IF(AN25=21,J25,0)</f>
        <v>0</v>
      </c>
      <c r="AM25" s="279"/>
      <c r="AN25" s="318">
        <v>21</v>
      </c>
      <c r="AO25" s="318">
        <f>G25*0.259371492704826</f>
        <v>0</v>
      </c>
      <c r="AP25" s="318">
        <f>G25*(1-0.259371492704826)</f>
        <v>0</v>
      </c>
      <c r="AQ25" s="319" t="s">
        <v>83</v>
      </c>
      <c r="AR25" s="279"/>
      <c r="AS25" s="279"/>
      <c r="AT25" s="279"/>
      <c r="AU25" s="279"/>
      <c r="AV25" s="318">
        <f>AW25+AX25</f>
        <v>0</v>
      </c>
      <c r="AW25" s="318">
        <f>F25*AO25</f>
        <v>0</v>
      </c>
      <c r="AX25" s="318">
        <f>F25*AP25</f>
        <v>0</v>
      </c>
      <c r="AY25" s="319" t="s">
        <v>440</v>
      </c>
      <c r="AZ25" s="319" t="s">
        <v>441</v>
      </c>
      <c r="BA25" s="311" t="s">
        <v>412</v>
      </c>
      <c r="BB25" s="279"/>
      <c r="BC25" s="318">
        <f>AW25+AX25</f>
        <v>0</v>
      </c>
      <c r="BD25" s="318">
        <f>G25/(100-BE25)*100</f>
        <v>0</v>
      </c>
      <c r="BE25" s="318">
        <v>0</v>
      </c>
      <c r="BF25" s="318">
        <f>L25</f>
        <v>0.22944000000000003</v>
      </c>
      <c r="BG25" s="279"/>
      <c r="BH25" s="318">
        <f>F25*AO25</f>
        <v>0</v>
      </c>
      <c r="BI25" s="318">
        <f>F25*AP25</f>
        <v>0</v>
      </c>
      <c r="BJ25" s="318">
        <f>F25*G25</f>
        <v>0</v>
      </c>
    </row>
    <row r="26" spans="1:62" s="434" customFormat="1">
      <c r="A26" s="279"/>
      <c r="B26" s="279"/>
      <c r="C26" s="279"/>
      <c r="D26" s="320" t="s">
        <v>442</v>
      </c>
      <c r="E26" s="279"/>
      <c r="F26" s="321">
        <v>96</v>
      </c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</row>
    <row r="27" spans="1:62" s="434" customFormat="1">
      <c r="A27" s="322"/>
      <c r="B27" s="323"/>
      <c r="C27" s="323" t="s">
        <v>443</v>
      </c>
      <c r="D27" s="323" t="s">
        <v>444</v>
      </c>
      <c r="E27" s="322" t="s">
        <v>374</v>
      </c>
      <c r="F27" s="322" t="s">
        <v>374</v>
      </c>
      <c r="G27" s="322" t="s">
        <v>374</v>
      </c>
      <c r="H27" s="316">
        <f>SUM(H28:H35)</f>
        <v>0</v>
      </c>
      <c r="I27" s="316">
        <f>SUM(I28:I35)</f>
        <v>0</v>
      </c>
      <c r="J27" s="316">
        <f>SUM(J28:J35)</f>
        <v>0</v>
      </c>
      <c r="K27" s="311"/>
      <c r="L27" s="316">
        <f>SUM(L28:L35)</f>
        <v>0.12744</v>
      </c>
      <c r="M27" s="311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311"/>
      <c r="AJ27" s="279"/>
      <c r="AK27" s="279"/>
      <c r="AL27" s="279"/>
      <c r="AM27" s="279"/>
      <c r="AN27" s="279"/>
      <c r="AO27" s="279"/>
      <c r="AP27" s="279"/>
      <c r="AQ27" s="279"/>
      <c r="AR27" s="279"/>
      <c r="AS27" s="316">
        <f>SUM(AJ28:AJ35)</f>
        <v>0</v>
      </c>
      <c r="AT27" s="316">
        <f>SUM(AK28:AK35)</f>
        <v>0</v>
      </c>
      <c r="AU27" s="316">
        <f>SUM(AL28:AL35)</f>
        <v>0</v>
      </c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</row>
    <row r="28" spans="1:62" s="434" customFormat="1">
      <c r="A28" s="317" t="s">
        <v>445</v>
      </c>
      <c r="B28" s="317"/>
      <c r="C28" s="317" t="s">
        <v>446</v>
      </c>
      <c r="D28" s="317" t="s">
        <v>447</v>
      </c>
      <c r="E28" s="317" t="s">
        <v>439</v>
      </c>
      <c r="F28" s="318">
        <v>40</v>
      </c>
      <c r="G28" s="318">
        <v>0</v>
      </c>
      <c r="H28" s="318">
        <f>F28*AO28</f>
        <v>0</v>
      </c>
      <c r="I28" s="318">
        <f>F28*AP28</f>
        <v>0</v>
      </c>
      <c r="J28" s="318">
        <f>F28*G28</f>
        <v>0</v>
      </c>
      <c r="K28" s="318">
        <v>2.9399999999999999E-3</v>
      </c>
      <c r="L28" s="318">
        <f>F28*K28</f>
        <v>0.1176</v>
      </c>
      <c r="M28" s="319" t="s">
        <v>409</v>
      </c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318">
        <f>IF(AQ28="5",BJ28,0)</f>
        <v>0</v>
      </c>
      <c r="AA28" s="279"/>
      <c r="AB28" s="318">
        <f>IF(AQ28="1",BH28,0)</f>
        <v>0</v>
      </c>
      <c r="AC28" s="318">
        <f>IF(AQ28="1",BI28,0)</f>
        <v>0</v>
      </c>
      <c r="AD28" s="318">
        <f>IF(AQ28="7",BH28,0)</f>
        <v>0</v>
      </c>
      <c r="AE28" s="318">
        <f>IF(AQ28="7",BI28,0)</f>
        <v>0</v>
      </c>
      <c r="AF28" s="318">
        <f>IF(AQ28="2",BH28,0)</f>
        <v>0</v>
      </c>
      <c r="AG28" s="318">
        <f>IF(AQ28="2",BI28,0)</f>
        <v>0</v>
      </c>
      <c r="AH28" s="318">
        <f>IF(AQ28="0",BJ28,0)</f>
        <v>0</v>
      </c>
      <c r="AI28" s="311"/>
      <c r="AJ28" s="318">
        <f>IF(AN28=0,J28,0)</f>
        <v>0</v>
      </c>
      <c r="AK28" s="318">
        <f>IF(AN28=15,J28,0)</f>
        <v>0</v>
      </c>
      <c r="AL28" s="318">
        <f>IF(AN28=21,J28,0)</f>
        <v>0</v>
      </c>
      <c r="AM28" s="279"/>
      <c r="AN28" s="318">
        <v>21</v>
      </c>
      <c r="AO28" s="318">
        <f>G28*0.300749993512167</f>
        <v>0</v>
      </c>
      <c r="AP28" s="318">
        <f>G28*(1-0.300749993512167)</f>
        <v>0</v>
      </c>
      <c r="AQ28" s="319" t="s">
        <v>445</v>
      </c>
      <c r="AR28" s="279"/>
      <c r="AS28" s="279"/>
      <c r="AT28" s="279"/>
      <c r="AU28" s="279"/>
      <c r="AV28" s="318">
        <f>AW28+AX28</f>
        <v>0</v>
      </c>
      <c r="AW28" s="318">
        <f>F28*AO28</f>
        <v>0</v>
      </c>
      <c r="AX28" s="318">
        <f>F28*AP28</f>
        <v>0</v>
      </c>
      <c r="AY28" s="319" t="s">
        <v>448</v>
      </c>
      <c r="AZ28" s="319" t="s">
        <v>449</v>
      </c>
      <c r="BA28" s="311" t="s">
        <v>412</v>
      </c>
      <c r="BB28" s="279"/>
      <c r="BC28" s="318">
        <f>AW28+AX28</f>
        <v>0</v>
      </c>
      <c r="BD28" s="318">
        <f>G28/(100-BE28)*100</f>
        <v>0</v>
      </c>
      <c r="BE28" s="318">
        <v>0</v>
      </c>
      <c r="BF28" s="318">
        <f>L28</f>
        <v>0.1176</v>
      </c>
      <c r="BG28" s="279"/>
      <c r="BH28" s="318">
        <f>F28*AO28</f>
        <v>0</v>
      </c>
      <c r="BI28" s="318">
        <f>F28*AP28</f>
        <v>0</v>
      </c>
      <c r="BJ28" s="318">
        <f>F28*G28</f>
        <v>0</v>
      </c>
    </row>
    <row r="29" spans="1:62" s="434" customFormat="1">
      <c r="A29" s="279"/>
      <c r="B29" s="279"/>
      <c r="C29" s="279"/>
      <c r="D29" s="320" t="s">
        <v>450</v>
      </c>
      <c r="E29" s="279"/>
      <c r="F29" s="321">
        <v>14</v>
      </c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</row>
    <row r="30" spans="1:62" s="434" customFormat="1">
      <c r="A30" s="279"/>
      <c r="B30" s="279"/>
      <c r="C30" s="279"/>
      <c r="D30" s="320" t="s">
        <v>451</v>
      </c>
      <c r="E30" s="279"/>
      <c r="F30" s="321">
        <v>14</v>
      </c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</row>
    <row r="31" spans="1:62" s="434" customFormat="1">
      <c r="A31" s="279"/>
      <c r="B31" s="279"/>
      <c r="C31" s="279"/>
      <c r="D31" s="320" t="s">
        <v>452</v>
      </c>
      <c r="E31" s="279"/>
      <c r="F31" s="321">
        <v>12</v>
      </c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</row>
    <row r="32" spans="1:62" s="434" customFormat="1">
      <c r="A32" s="317" t="s">
        <v>453</v>
      </c>
      <c r="B32" s="317"/>
      <c r="C32" s="317" t="s">
        <v>454</v>
      </c>
      <c r="D32" s="317" t="s">
        <v>455</v>
      </c>
      <c r="E32" s="317" t="s">
        <v>439</v>
      </c>
      <c r="F32" s="318">
        <v>4</v>
      </c>
      <c r="G32" s="318">
        <v>0</v>
      </c>
      <c r="H32" s="318">
        <f>F32*AO32</f>
        <v>0</v>
      </c>
      <c r="I32" s="318">
        <f>F32*AP32</f>
        <v>0</v>
      </c>
      <c r="J32" s="318">
        <f>F32*G32</f>
        <v>0</v>
      </c>
      <c r="K32" s="318">
        <v>2.4599999999999999E-3</v>
      </c>
      <c r="L32" s="318">
        <f>F32*K32</f>
        <v>9.8399999999999998E-3</v>
      </c>
      <c r="M32" s="319" t="s">
        <v>409</v>
      </c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318">
        <f>IF(AQ32="5",BJ32,0)</f>
        <v>0</v>
      </c>
      <c r="AA32" s="279"/>
      <c r="AB32" s="318">
        <f>IF(AQ32="1",BH32,0)</f>
        <v>0</v>
      </c>
      <c r="AC32" s="318">
        <f>IF(AQ32="1",BI32,0)</f>
        <v>0</v>
      </c>
      <c r="AD32" s="318">
        <f>IF(AQ32="7",BH32,0)</f>
        <v>0</v>
      </c>
      <c r="AE32" s="318">
        <f>IF(AQ32="7",BI32,0)</f>
        <v>0</v>
      </c>
      <c r="AF32" s="318">
        <f>IF(AQ32="2",BH32,0)</f>
        <v>0</v>
      </c>
      <c r="AG32" s="318">
        <f>IF(AQ32="2",BI32,0)</f>
        <v>0</v>
      </c>
      <c r="AH32" s="318">
        <f>IF(AQ32="0",BJ32,0)</f>
        <v>0</v>
      </c>
      <c r="AI32" s="311"/>
      <c r="AJ32" s="318">
        <f>IF(AN32=0,J32,0)</f>
        <v>0</v>
      </c>
      <c r="AK32" s="318">
        <f>IF(AN32=15,J32,0)</f>
        <v>0</v>
      </c>
      <c r="AL32" s="318">
        <f>IF(AN32=21,J32,0)</f>
        <v>0</v>
      </c>
      <c r="AM32" s="279"/>
      <c r="AN32" s="318">
        <v>21</v>
      </c>
      <c r="AO32" s="318">
        <f>G32*0.26112080586004</f>
        <v>0</v>
      </c>
      <c r="AP32" s="318">
        <f>G32*(1-0.26112080586004)</f>
        <v>0</v>
      </c>
      <c r="AQ32" s="319" t="s">
        <v>445</v>
      </c>
      <c r="AR32" s="279"/>
      <c r="AS32" s="279"/>
      <c r="AT32" s="279"/>
      <c r="AU32" s="279"/>
      <c r="AV32" s="318">
        <f>AW32+AX32</f>
        <v>0</v>
      </c>
      <c r="AW32" s="318">
        <f>F32*AO32</f>
        <v>0</v>
      </c>
      <c r="AX32" s="318">
        <f>F32*AP32</f>
        <v>0</v>
      </c>
      <c r="AY32" s="319" t="s">
        <v>448</v>
      </c>
      <c r="AZ32" s="319" t="s">
        <v>449</v>
      </c>
      <c r="BA32" s="311" t="s">
        <v>412</v>
      </c>
      <c r="BB32" s="279"/>
      <c r="BC32" s="318">
        <f>AW32+AX32</f>
        <v>0</v>
      </c>
      <c r="BD32" s="318">
        <f>G32/(100-BE32)*100</f>
        <v>0</v>
      </c>
      <c r="BE32" s="318">
        <v>0</v>
      </c>
      <c r="BF32" s="318">
        <f>L32</f>
        <v>9.8399999999999998E-3</v>
      </c>
      <c r="BG32" s="279"/>
      <c r="BH32" s="318">
        <f>F32*AO32</f>
        <v>0</v>
      </c>
      <c r="BI32" s="318">
        <f>F32*AP32</f>
        <v>0</v>
      </c>
      <c r="BJ32" s="318">
        <f>F32*G32</f>
        <v>0</v>
      </c>
    </row>
    <row r="33" spans="1:62" s="434" customFormat="1">
      <c r="A33" s="279"/>
      <c r="B33" s="279"/>
      <c r="C33" s="279"/>
      <c r="D33" s="320" t="s">
        <v>456</v>
      </c>
      <c r="E33" s="279"/>
      <c r="F33" s="321">
        <v>2</v>
      </c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</row>
    <row r="34" spans="1:62" s="434" customFormat="1">
      <c r="A34" s="279"/>
      <c r="B34" s="279"/>
      <c r="C34" s="279"/>
      <c r="D34" s="320" t="s">
        <v>457</v>
      </c>
      <c r="E34" s="279"/>
      <c r="F34" s="321">
        <v>2</v>
      </c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</row>
    <row r="35" spans="1:62" s="434" customFormat="1">
      <c r="A35" s="317" t="s">
        <v>458</v>
      </c>
      <c r="B35" s="317"/>
      <c r="C35" s="317" t="s">
        <v>459</v>
      </c>
      <c r="D35" s="317" t="s">
        <v>460</v>
      </c>
      <c r="E35" s="317" t="s">
        <v>439</v>
      </c>
      <c r="F35" s="318">
        <v>44</v>
      </c>
      <c r="G35" s="318">
        <v>0</v>
      </c>
      <c r="H35" s="318">
        <f>F35*AO35</f>
        <v>0</v>
      </c>
      <c r="I35" s="318">
        <f>F35*AP35</f>
        <v>0</v>
      </c>
      <c r="J35" s="318">
        <f>F35*G35</f>
        <v>0</v>
      </c>
      <c r="K35" s="318">
        <v>0</v>
      </c>
      <c r="L35" s="318">
        <f>F35*K35</f>
        <v>0</v>
      </c>
      <c r="M35" s="319" t="s">
        <v>409</v>
      </c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318">
        <f>IF(AQ35="5",BJ35,0)</f>
        <v>0</v>
      </c>
      <c r="AA35" s="279"/>
      <c r="AB35" s="318">
        <f>IF(AQ35="1",BH35,0)</f>
        <v>0</v>
      </c>
      <c r="AC35" s="318">
        <f>IF(AQ35="1",BI35,0)</f>
        <v>0</v>
      </c>
      <c r="AD35" s="318">
        <f>IF(AQ35="7",BH35,0)</f>
        <v>0</v>
      </c>
      <c r="AE35" s="318">
        <f>IF(AQ35="7",BI35,0)</f>
        <v>0</v>
      </c>
      <c r="AF35" s="318">
        <f>IF(AQ35="2",BH35,0)</f>
        <v>0</v>
      </c>
      <c r="AG35" s="318">
        <f>IF(AQ35="2",BI35,0)</f>
        <v>0</v>
      </c>
      <c r="AH35" s="318">
        <f>IF(AQ35="0",BJ35,0)</f>
        <v>0</v>
      </c>
      <c r="AI35" s="311"/>
      <c r="AJ35" s="318">
        <f>IF(AN35=0,J35,0)</f>
        <v>0</v>
      </c>
      <c r="AK35" s="318">
        <f>IF(AN35=15,J35,0)</f>
        <v>0</v>
      </c>
      <c r="AL35" s="318">
        <f>IF(AN35=21,J35,0)</f>
        <v>0</v>
      </c>
      <c r="AM35" s="279"/>
      <c r="AN35" s="318">
        <v>21</v>
      </c>
      <c r="AO35" s="318">
        <f>G35*0.0721723518850987</f>
        <v>0</v>
      </c>
      <c r="AP35" s="318">
        <f>G35*(1-0.0721723518850987)</f>
        <v>0</v>
      </c>
      <c r="AQ35" s="319" t="s">
        <v>85</v>
      </c>
      <c r="AR35" s="279"/>
      <c r="AS35" s="279"/>
      <c r="AT35" s="279"/>
      <c r="AU35" s="279"/>
      <c r="AV35" s="318">
        <f>AW35+AX35</f>
        <v>0</v>
      </c>
      <c r="AW35" s="318">
        <f>F35*AO35</f>
        <v>0</v>
      </c>
      <c r="AX35" s="318">
        <f>F35*AP35</f>
        <v>0</v>
      </c>
      <c r="AY35" s="319" t="s">
        <v>448</v>
      </c>
      <c r="AZ35" s="319" t="s">
        <v>449</v>
      </c>
      <c r="BA35" s="311" t="s">
        <v>412</v>
      </c>
      <c r="BB35" s="279"/>
      <c r="BC35" s="318">
        <f>AW35+AX35</f>
        <v>0</v>
      </c>
      <c r="BD35" s="318">
        <f>G35/(100-BE35)*100</f>
        <v>0</v>
      </c>
      <c r="BE35" s="318">
        <v>0</v>
      </c>
      <c r="BF35" s="318">
        <f>L35</f>
        <v>0</v>
      </c>
      <c r="BG35" s="279"/>
      <c r="BH35" s="318">
        <f>F35*AO35</f>
        <v>0</v>
      </c>
      <c r="BI35" s="318">
        <f>F35*AP35</f>
        <v>0</v>
      </c>
      <c r="BJ35" s="318">
        <f>F35*G35</f>
        <v>0</v>
      </c>
    </row>
    <row r="36" spans="1:62" s="434" customFormat="1">
      <c r="A36" s="279"/>
      <c r="B36" s="279"/>
      <c r="C36" s="279"/>
      <c r="D36" s="320" t="s">
        <v>461</v>
      </c>
      <c r="E36" s="279"/>
      <c r="F36" s="321">
        <v>44</v>
      </c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</row>
    <row r="37" spans="1:62" s="434" customFormat="1">
      <c r="A37" s="322"/>
      <c r="B37" s="323"/>
      <c r="C37" s="323" t="s">
        <v>462</v>
      </c>
      <c r="D37" s="323" t="s">
        <v>463</v>
      </c>
      <c r="E37" s="322" t="s">
        <v>374</v>
      </c>
      <c r="F37" s="322" t="s">
        <v>374</v>
      </c>
      <c r="G37" s="322" t="s">
        <v>374</v>
      </c>
      <c r="H37" s="316">
        <f>SUM(H38:H38)</f>
        <v>0</v>
      </c>
      <c r="I37" s="316">
        <f>SUM(I38:I38)</f>
        <v>0</v>
      </c>
      <c r="J37" s="316">
        <f>SUM(J38:J38)</f>
        <v>0</v>
      </c>
      <c r="K37" s="311"/>
      <c r="L37" s="316">
        <f>SUM(L38:L38)</f>
        <v>3.1099999999999999E-2</v>
      </c>
      <c r="M37" s="311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311"/>
      <c r="AJ37" s="279"/>
      <c r="AK37" s="279"/>
      <c r="AL37" s="279"/>
      <c r="AM37" s="279"/>
      <c r="AN37" s="279"/>
      <c r="AO37" s="279"/>
      <c r="AP37" s="279"/>
      <c r="AQ37" s="279"/>
      <c r="AR37" s="279"/>
      <c r="AS37" s="316">
        <f>SUM(AJ38:AJ38)</f>
        <v>0</v>
      </c>
      <c r="AT37" s="316">
        <f>SUM(AK38:AK38)</f>
        <v>0</v>
      </c>
      <c r="AU37" s="316">
        <f>SUM(AL38:AL38)</f>
        <v>0</v>
      </c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</row>
    <row r="38" spans="1:62" s="434" customFormat="1">
      <c r="A38" s="317" t="s">
        <v>464</v>
      </c>
      <c r="B38" s="317"/>
      <c r="C38" s="317" t="s">
        <v>465</v>
      </c>
      <c r="D38" s="317" t="s">
        <v>466</v>
      </c>
      <c r="E38" s="317" t="s">
        <v>408</v>
      </c>
      <c r="F38" s="318">
        <v>10</v>
      </c>
      <c r="G38" s="318">
        <v>0</v>
      </c>
      <c r="H38" s="318">
        <f>F38*AO38</f>
        <v>0</v>
      </c>
      <c r="I38" s="318">
        <f>F38*AP38</f>
        <v>0</v>
      </c>
      <c r="J38" s="318">
        <f>F38*G38</f>
        <v>0</v>
      </c>
      <c r="K38" s="318">
        <v>3.1099999999999999E-3</v>
      </c>
      <c r="L38" s="318">
        <f>F38*K38</f>
        <v>3.1099999999999999E-2</v>
      </c>
      <c r="M38" s="319" t="s">
        <v>409</v>
      </c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318">
        <f>IF(AQ38="5",BJ38,0)</f>
        <v>0</v>
      </c>
      <c r="AA38" s="279"/>
      <c r="AB38" s="318">
        <f>IF(AQ38="1",BH38,0)</f>
        <v>0</v>
      </c>
      <c r="AC38" s="318">
        <f>IF(AQ38="1",BI38,0)</f>
        <v>0</v>
      </c>
      <c r="AD38" s="318">
        <f>IF(AQ38="7",BH38,0)</f>
        <v>0</v>
      </c>
      <c r="AE38" s="318">
        <f>IF(AQ38="7",BI38,0)</f>
        <v>0</v>
      </c>
      <c r="AF38" s="318">
        <f>IF(AQ38="2",BH38,0)</f>
        <v>0</v>
      </c>
      <c r="AG38" s="318">
        <f>IF(AQ38="2",BI38,0)</f>
        <v>0</v>
      </c>
      <c r="AH38" s="318">
        <f>IF(AQ38="0",BJ38,0)</f>
        <v>0</v>
      </c>
      <c r="AI38" s="311"/>
      <c r="AJ38" s="318">
        <f>IF(AN38=0,J38,0)</f>
        <v>0</v>
      </c>
      <c r="AK38" s="318">
        <f>IF(AN38=15,J38,0)</f>
        <v>0</v>
      </c>
      <c r="AL38" s="318">
        <f>IF(AN38=21,J38,0)</f>
        <v>0</v>
      </c>
      <c r="AM38" s="279"/>
      <c r="AN38" s="318">
        <v>21</v>
      </c>
      <c r="AO38" s="318">
        <f>G38*0.481184022824536</f>
        <v>0</v>
      </c>
      <c r="AP38" s="318">
        <f>G38*(1-0.481184022824536)</f>
        <v>0</v>
      </c>
      <c r="AQ38" s="319" t="s">
        <v>445</v>
      </c>
      <c r="AR38" s="279"/>
      <c r="AS38" s="279"/>
      <c r="AT38" s="279"/>
      <c r="AU38" s="279"/>
      <c r="AV38" s="318">
        <f>AW38+AX38</f>
        <v>0</v>
      </c>
      <c r="AW38" s="318">
        <f>F38*AO38</f>
        <v>0</v>
      </c>
      <c r="AX38" s="318">
        <f>F38*AP38</f>
        <v>0</v>
      </c>
      <c r="AY38" s="319" t="s">
        <v>467</v>
      </c>
      <c r="AZ38" s="319" t="s">
        <v>468</v>
      </c>
      <c r="BA38" s="311" t="s">
        <v>412</v>
      </c>
      <c r="BB38" s="279"/>
      <c r="BC38" s="318">
        <f>AW38+AX38</f>
        <v>0</v>
      </c>
      <c r="BD38" s="318">
        <f>G38/(100-BE38)*100</f>
        <v>0</v>
      </c>
      <c r="BE38" s="318">
        <v>0</v>
      </c>
      <c r="BF38" s="318">
        <f>L38</f>
        <v>3.1099999999999999E-2</v>
      </c>
      <c r="BG38" s="279"/>
      <c r="BH38" s="318">
        <f>F38*AO38</f>
        <v>0</v>
      </c>
      <c r="BI38" s="318">
        <f>F38*AP38</f>
        <v>0</v>
      </c>
      <c r="BJ38" s="318">
        <f>F38*G38</f>
        <v>0</v>
      </c>
    </row>
    <row r="39" spans="1:62" s="434" customFormat="1">
      <c r="A39" s="279"/>
      <c r="B39" s="279"/>
      <c r="C39" s="279"/>
      <c r="D39" s="320" t="s">
        <v>469</v>
      </c>
      <c r="E39" s="279"/>
      <c r="F39" s="321">
        <v>10</v>
      </c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</row>
    <row r="40" spans="1:62" s="434" customFormat="1">
      <c r="A40" s="322"/>
      <c r="B40" s="323"/>
      <c r="C40" s="323" t="s">
        <v>470</v>
      </c>
      <c r="D40" s="323" t="s">
        <v>471</v>
      </c>
      <c r="E40" s="322" t="s">
        <v>374</v>
      </c>
      <c r="F40" s="322" t="s">
        <v>374</v>
      </c>
      <c r="G40" s="322" t="s">
        <v>374</v>
      </c>
      <c r="H40" s="316">
        <f>SUM(H41:H41)</f>
        <v>0</v>
      </c>
      <c r="I40" s="316">
        <f>SUM(I41:I41)</f>
        <v>0</v>
      </c>
      <c r="J40" s="316">
        <f>SUM(J41:J41)</f>
        <v>0</v>
      </c>
      <c r="K40" s="311"/>
      <c r="L40" s="316">
        <f>SUM(L41:L41)</f>
        <v>0.51625600000000005</v>
      </c>
      <c r="M40" s="311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311"/>
      <c r="AJ40" s="279"/>
      <c r="AK40" s="279"/>
      <c r="AL40" s="279"/>
      <c r="AM40" s="279"/>
      <c r="AN40" s="279"/>
      <c r="AO40" s="279"/>
      <c r="AP40" s="279"/>
      <c r="AQ40" s="279"/>
      <c r="AR40" s="279"/>
      <c r="AS40" s="316">
        <f>SUM(AJ41:AJ41)</f>
        <v>0</v>
      </c>
      <c r="AT40" s="316">
        <f>SUM(AK41:AK41)</f>
        <v>0</v>
      </c>
      <c r="AU40" s="316">
        <f>SUM(AL41:AL41)</f>
        <v>0</v>
      </c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</row>
    <row r="41" spans="1:62" s="434" customFormat="1">
      <c r="A41" s="317" t="s">
        <v>404</v>
      </c>
      <c r="B41" s="317"/>
      <c r="C41" s="317" t="s">
        <v>472</v>
      </c>
      <c r="D41" s="317" t="s">
        <v>473</v>
      </c>
      <c r="E41" s="317" t="s">
        <v>408</v>
      </c>
      <c r="F41" s="318">
        <v>27.2</v>
      </c>
      <c r="G41" s="318">
        <v>0</v>
      </c>
      <c r="H41" s="318">
        <f>F41*AO41</f>
        <v>0</v>
      </c>
      <c r="I41" s="318">
        <f>F41*AP41</f>
        <v>0</v>
      </c>
      <c r="J41" s="318">
        <f>F41*G41</f>
        <v>0</v>
      </c>
      <c r="K41" s="318">
        <v>1.898E-2</v>
      </c>
      <c r="L41" s="318">
        <f>F41*K41</f>
        <v>0.51625600000000005</v>
      </c>
      <c r="M41" s="319" t="s">
        <v>409</v>
      </c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318">
        <f>IF(AQ41="5",BJ41,0)</f>
        <v>0</v>
      </c>
      <c r="AA41" s="279"/>
      <c r="AB41" s="318">
        <f>IF(AQ41="1",BH41,0)</f>
        <v>0</v>
      </c>
      <c r="AC41" s="318">
        <f>IF(AQ41="1",BI41,0)</f>
        <v>0</v>
      </c>
      <c r="AD41" s="318">
        <f>IF(AQ41="7",BH41,0)</f>
        <v>0</v>
      </c>
      <c r="AE41" s="318">
        <f>IF(AQ41="7",BI41,0)</f>
        <v>0</v>
      </c>
      <c r="AF41" s="318">
        <f>IF(AQ41="2",BH41,0)</f>
        <v>0</v>
      </c>
      <c r="AG41" s="318">
        <f>IF(AQ41="2",BI41,0)</f>
        <v>0</v>
      </c>
      <c r="AH41" s="318">
        <f>IF(AQ41="0",BJ41,0)</f>
        <v>0</v>
      </c>
      <c r="AI41" s="311"/>
      <c r="AJ41" s="318">
        <f>IF(AN41=0,J41,0)</f>
        <v>0</v>
      </c>
      <c r="AK41" s="318">
        <f>IF(AN41=15,J41,0)</f>
        <v>0</v>
      </c>
      <c r="AL41" s="318">
        <f>IF(AN41=21,J41,0)</f>
        <v>0</v>
      </c>
      <c r="AM41" s="279"/>
      <c r="AN41" s="318">
        <v>21</v>
      </c>
      <c r="AO41" s="318">
        <f>G41*0</f>
        <v>0</v>
      </c>
      <c r="AP41" s="318">
        <f>G41*(1-0)</f>
        <v>0</v>
      </c>
      <c r="AQ41" s="319" t="s">
        <v>445</v>
      </c>
      <c r="AR41" s="279"/>
      <c r="AS41" s="279"/>
      <c r="AT41" s="279"/>
      <c r="AU41" s="279"/>
      <c r="AV41" s="318">
        <f>AW41+AX41</f>
        <v>0</v>
      </c>
      <c r="AW41" s="318">
        <f>F41*AO41</f>
        <v>0</v>
      </c>
      <c r="AX41" s="318">
        <f>F41*AP41</f>
        <v>0</v>
      </c>
      <c r="AY41" s="319" t="s">
        <v>474</v>
      </c>
      <c r="AZ41" s="319" t="s">
        <v>468</v>
      </c>
      <c r="BA41" s="311" t="s">
        <v>412</v>
      </c>
      <c r="BB41" s="279"/>
      <c r="BC41" s="318">
        <f>AW41+AX41</f>
        <v>0</v>
      </c>
      <c r="BD41" s="318">
        <f>G41/(100-BE41)*100</f>
        <v>0</v>
      </c>
      <c r="BE41" s="318">
        <v>0</v>
      </c>
      <c r="BF41" s="318">
        <f>L41</f>
        <v>0.51625600000000005</v>
      </c>
      <c r="BG41" s="279"/>
      <c r="BH41" s="318">
        <f>F41*AO41</f>
        <v>0</v>
      </c>
      <c r="BI41" s="318">
        <f>F41*AP41</f>
        <v>0</v>
      </c>
      <c r="BJ41" s="318">
        <f>F41*G41</f>
        <v>0</v>
      </c>
    </row>
    <row r="42" spans="1:62" s="434" customFormat="1">
      <c r="A42" s="279"/>
      <c r="B42" s="279"/>
      <c r="C42" s="279"/>
      <c r="D42" s="320" t="s">
        <v>475</v>
      </c>
      <c r="E42" s="279"/>
      <c r="F42" s="321">
        <v>27.2</v>
      </c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</row>
    <row r="43" spans="1:62" s="434" customFormat="1">
      <c r="A43" s="322"/>
      <c r="B43" s="323"/>
      <c r="C43" s="323" t="s">
        <v>476</v>
      </c>
      <c r="D43" s="323" t="s">
        <v>477</v>
      </c>
      <c r="E43" s="322" t="s">
        <v>374</v>
      </c>
      <c r="F43" s="322" t="s">
        <v>374</v>
      </c>
      <c r="G43" s="322" t="s">
        <v>374</v>
      </c>
      <c r="H43" s="316">
        <f>SUM(H44:H81)</f>
        <v>0</v>
      </c>
      <c r="I43" s="316">
        <f>SUM(I44:I81)</f>
        <v>0</v>
      </c>
      <c r="J43" s="316">
        <f>SUM(J44:J81)</f>
        <v>0</v>
      </c>
      <c r="K43" s="311"/>
      <c r="L43" s="316">
        <f>SUM(L44:L81)</f>
        <v>2.8125604999999991</v>
      </c>
      <c r="M43" s="311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311"/>
      <c r="AJ43" s="279"/>
      <c r="AK43" s="279"/>
      <c r="AL43" s="279"/>
      <c r="AM43" s="279"/>
      <c r="AN43" s="279"/>
      <c r="AO43" s="279"/>
      <c r="AP43" s="279"/>
      <c r="AQ43" s="279"/>
      <c r="AR43" s="279"/>
      <c r="AS43" s="316">
        <f>SUM(AJ44:AJ81)</f>
        <v>0</v>
      </c>
      <c r="AT43" s="316">
        <f>SUM(AK44:AK81)</f>
        <v>0</v>
      </c>
      <c r="AU43" s="316">
        <f>SUM(AL44:AL81)</f>
        <v>0</v>
      </c>
      <c r="AV43" s="279"/>
      <c r="AW43" s="279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  <c r="BJ43" s="279"/>
    </row>
    <row r="44" spans="1:62" s="434" customFormat="1">
      <c r="A44" s="317" t="s">
        <v>478</v>
      </c>
      <c r="B44" s="317"/>
      <c r="C44" s="317" t="s">
        <v>479</v>
      </c>
      <c r="D44" s="317" t="s">
        <v>480</v>
      </c>
      <c r="E44" s="317" t="s">
        <v>408</v>
      </c>
      <c r="F44" s="318">
        <v>180.9</v>
      </c>
      <c r="G44" s="318">
        <v>0</v>
      </c>
      <c r="H44" s="318">
        <f>F44*AO44</f>
        <v>0</v>
      </c>
      <c r="I44" s="318">
        <f>F44*AP44</f>
        <v>0</v>
      </c>
      <c r="J44" s="318">
        <f>F44*G44</f>
        <v>0</v>
      </c>
      <c r="K44" s="318">
        <v>4.0000000000000003E-5</v>
      </c>
      <c r="L44" s="318">
        <f>F44*K44</f>
        <v>7.2360000000000011E-3</v>
      </c>
      <c r="M44" s="319" t="s">
        <v>409</v>
      </c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318">
        <f>IF(AQ44="5",BJ44,0)</f>
        <v>0</v>
      </c>
      <c r="AA44" s="279"/>
      <c r="AB44" s="318">
        <f>IF(AQ44="1",BH44,0)</f>
        <v>0</v>
      </c>
      <c r="AC44" s="318">
        <f>IF(AQ44="1",BI44,0)</f>
        <v>0</v>
      </c>
      <c r="AD44" s="318">
        <f>IF(AQ44="7",BH44,0)</f>
        <v>0</v>
      </c>
      <c r="AE44" s="318">
        <f>IF(AQ44="7",BI44,0)</f>
        <v>0</v>
      </c>
      <c r="AF44" s="318">
        <f>IF(AQ44="2",BH44,0)</f>
        <v>0</v>
      </c>
      <c r="AG44" s="318">
        <f>IF(AQ44="2",BI44,0)</f>
        <v>0</v>
      </c>
      <c r="AH44" s="318">
        <f>IF(AQ44="0",BJ44,0)</f>
        <v>0</v>
      </c>
      <c r="AI44" s="311"/>
      <c r="AJ44" s="318">
        <f>IF(AN44=0,J44,0)</f>
        <v>0</v>
      </c>
      <c r="AK44" s="318">
        <f>IF(AN44=15,J44,0)</f>
        <v>0</v>
      </c>
      <c r="AL44" s="318">
        <f>IF(AN44=21,J44,0)</f>
        <v>0</v>
      </c>
      <c r="AM44" s="279"/>
      <c r="AN44" s="318">
        <v>21</v>
      </c>
      <c r="AO44" s="318">
        <f>G44*0.0152405642232196</f>
        <v>0</v>
      </c>
      <c r="AP44" s="318">
        <f>G44*(1-0.0152405642232196)</f>
        <v>0</v>
      </c>
      <c r="AQ44" s="319" t="s">
        <v>445</v>
      </c>
      <c r="AR44" s="279"/>
      <c r="AS44" s="279"/>
      <c r="AT44" s="279"/>
      <c r="AU44" s="279"/>
      <c r="AV44" s="318">
        <f>AW44+AX44</f>
        <v>0</v>
      </c>
      <c r="AW44" s="318">
        <f>F44*AO44</f>
        <v>0</v>
      </c>
      <c r="AX44" s="318">
        <f>F44*AP44</f>
        <v>0</v>
      </c>
      <c r="AY44" s="319" t="s">
        <v>481</v>
      </c>
      <c r="AZ44" s="319" t="s">
        <v>468</v>
      </c>
      <c r="BA44" s="311" t="s">
        <v>412</v>
      </c>
      <c r="BB44" s="279"/>
      <c r="BC44" s="318">
        <f>AW44+AX44</f>
        <v>0</v>
      </c>
      <c r="BD44" s="318">
        <f>G44/(100-BE44)*100</f>
        <v>0</v>
      </c>
      <c r="BE44" s="318">
        <v>0</v>
      </c>
      <c r="BF44" s="318">
        <f>L44</f>
        <v>7.2360000000000011E-3</v>
      </c>
      <c r="BG44" s="279"/>
      <c r="BH44" s="318">
        <f>F44*AO44</f>
        <v>0</v>
      </c>
      <c r="BI44" s="318">
        <f>F44*AP44</f>
        <v>0</v>
      </c>
      <c r="BJ44" s="318">
        <f>F44*G44</f>
        <v>0</v>
      </c>
    </row>
    <row r="45" spans="1:62" s="434" customFormat="1">
      <c r="A45" s="279"/>
      <c r="B45" s="279"/>
      <c r="C45" s="279"/>
      <c r="D45" s="320" t="s">
        <v>482</v>
      </c>
      <c r="E45" s="279"/>
      <c r="F45" s="321">
        <v>60.3</v>
      </c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</row>
    <row r="46" spans="1:62" s="434" customFormat="1">
      <c r="A46" s="279"/>
      <c r="B46" s="279"/>
      <c r="C46" s="279"/>
      <c r="D46" s="320" t="s">
        <v>483</v>
      </c>
      <c r="E46" s="279"/>
      <c r="F46" s="321">
        <v>60.3</v>
      </c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  <c r="BE46" s="279"/>
      <c r="BF46" s="279"/>
      <c r="BG46" s="279"/>
      <c r="BH46" s="279"/>
      <c r="BI46" s="279"/>
      <c r="BJ46" s="279"/>
    </row>
    <row r="47" spans="1:62" s="434" customFormat="1">
      <c r="A47" s="279"/>
      <c r="B47" s="279"/>
      <c r="C47" s="279"/>
      <c r="D47" s="320" t="s">
        <v>484</v>
      </c>
      <c r="E47" s="279"/>
      <c r="F47" s="321">
        <v>60.3</v>
      </c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</row>
    <row r="48" spans="1:62" s="434" customFormat="1">
      <c r="A48" s="317" t="s">
        <v>485</v>
      </c>
      <c r="B48" s="317"/>
      <c r="C48" s="317" t="s">
        <v>486</v>
      </c>
      <c r="D48" s="317" t="s">
        <v>487</v>
      </c>
      <c r="E48" s="317" t="s">
        <v>408</v>
      </c>
      <c r="F48" s="318">
        <v>186.327</v>
      </c>
      <c r="G48" s="318">
        <v>0</v>
      </c>
      <c r="H48" s="318">
        <f>F48*AO48</f>
        <v>0</v>
      </c>
      <c r="I48" s="318">
        <f>F48*AP48</f>
        <v>0</v>
      </c>
      <c r="J48" s="318">
        <f>F48*G48</f>
        <v>0</v>
      </c>
      <c r="K48" s="318">
        <v>3.5000000000000001E-3</v>
      </c>
      <c r="L48" s="318">
        <f>F48*K48</f>
        <v>0.65214450000000002</v>
      </c>
      <c r="M48" s="319" t="s">
        <v>409</v>
      </c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318">
        <f>IF(AQ48="5",BJ48,0)</f>
        <v>0</v>
      </c>
      <c r="AA48" s="279"/>
      <c r="AB48" s="318">
        <f>IF(AQ48="1",BH48,0)</f>
        <v>0</v>
      </c>
      <c r="AC48" s="318">
        <f>IF(AQ48="1",BI48,0)</f>
        <v>0</v>
      </c>
      <c r="AD48" s="318">
        <f>IF(AQ48="7",BH48,0)</f>
        <v>0</v>
      </c>
      <c r="AE48" s="318">
        <f>IF(AQ48="7",BI48,0)</f>
        <v>0</v>
      </c>
      <c r="AF48" s="318">
        <f>IF(AQ48="2",BH48,0)</f>
        <v>0</v>
      </c>
      <c r="AG48" s="318">
        <f>IF(AQ48="2",BI48,0)</f>
        <v>0</v>
      </c>
      <c r="AH48" s="318">
        <f>IF(AQ48="0",BJ48,0)</f>
        <v>0</v>
      </c>
      <c r="AI48" s="311"/>
      <c r="AJ48" s="318">
        <f>IF(AN48=0,J48,0)</f>
        <v>0</v>
      </c>
      <c r="AK48" s="318">
        <f>IF(AN48=15,J48,0)</f>
        <v>0</v>
      </c>
      <c r="AL48" s="318">
        <f>IF(AN48=21,J48,0)</f>
        <v>0</v>
      </c>
      <c r="AM48" s="279"/>
      <c r="AN48" s="318">
        <v>21</v>
      </c>
      <c r="AO48" s="318">
        <f>G48*1</f>
        <v>0</v>
      </c>
      <c r="AP48" s="318">
        <f>G48*(1-1)</f>
        <v>0</v>
      </c>
      <c r="AQ48" s="319" t="s">
        <v>445</v>
      </c>
      <c r="AR48" s="279"/>
      <c r="AS48" s="279"/>
      <c r="AT48" s="279"/>
      <c r="AU48" s="279"/>
      <c r="AV48" s="318">
        <f>AW48+AX48</f>
        <v>0</v>
      </c>
      <c r="AW48" s="318">
        <f>F48*AO48</f>
        <v>0</v>
      </c>
      <c r="AX48" s="318">
        <f>F48*AP48</f>
        <v>0</v>
      </c>
      <c r="AY48" s="319" t="s">
        <v>481</v>
      </c>
      <c r="AZ48" s="319" t="s">
        <v>468</v>
      </c>
      <c r="BA48" s="311" t="s">
        <v>412</v>
      </c>
      <c r="BB48" s="279"/>
      <c r="BC48" s="318">
        <f>AW48+AX48</f>
        <v>0</v>
      </c>
      <c r="BD48" s="318">
        <f>G48/(100-BE48)*100</f>
        <v>0</v>
      </c>
      <c r="BE48" s="318">
        <v>0</v>
      </c>
      <c r="BF48" s="318">
        <f>L48</f>
        <v>0.65214450000000002</v>
      </c>
      <c r="BG48" s="279"/>
      <c r="BH48" s="318">
        <f>F48*AO48</f>
        <v>0</v>
      </c>
      <c r="BI48" s="318">
        <f>F48*AP48</f>
        <v>0</v>
      </c>
      <c r="BJ48" s="318">
        <f>F48*G48</f>
        <v>0</v>
      </c>
    </row>
    <row r="49" spans="1:62" s="434" customFormat="1">
      <c r="A49" s="279"/>
      <c r="B49" s="279"/>
      <c r="C49" s="279"/>
      <c r="D49" s="320" t="s">
        <v>488</v>
      </c>
      <c r="E49" s="279"/>
      <c r="F49" s="321">
        <v>186.327</v>
      </c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</row>
    <row r="50" spans="1:62" s="434" customFormat="1">
      <c r="A50" s="317" t="s">
        <v>489</v>
      </c>
      <c r="B50" s="317"/>
      <c r="C50" s="317" t="s">
        <v>490</v>
      </c>
      <c r="D50" s="317" t="s">
        <v>491</v>
      </c>
      <c r="E50" s="317" t="s">
        <v>492</v>
      </c>
      <c r="F50" s="318">
        <v>1622.7</v>
      </c>
      <c r="G50" s="318">
        <v>0</v>
      </c>
      <c r="H50" s="318">
        <f>F50*AO50</f>
        <v>0</v>
      </c>
      <c r="I50" s="318">
        <f>F50*AP50</f>
        <v>0</v>
      </c>
      <c r="J50" s="318">
        <f>F50*G50</f>
        <v>0</v>
      </c>
      <c r="K50" s="318">
        <v>0</v>
      </c>
      <c r="L50" s="318">
        <f>F50*K50</f>
        <v>0</v>
      </c>
      <c r="M50" s="31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318">
        <f>IF(AQ50="5",BJ50,0)</f>
        <v>0</v>
      </c>
      <c r="AA50" s="279"/>
      <c r="AB50" s="318">
        <f>IF(AQ50="1",BH50,0)</f>
        <v>0</v>
      </c>
      <c r="AC50" s="318">
        <f>IF(AQ50="1",BI50,0)</f>
        <v>0</v>
      </c>
      <c r="AD50" s="318">
        <f>IF(AQ50="7",BH50,0)</f>
        <v>0</v>
      </c>
      <c r="AE50" s="318">
        <f>IF(AQ50="7",BI50,0)</f>
        <v>0</v>
      </c>
      <c r="AF50" s="318">
        <f>IF(AQ50="2",BH50,0)</f>
        <v>0</v>
      </c>
      <c r="AG50" s="318">
        <f>IF(AQ50="2",BI50,0)</f>
        <v>0</v>
      </c>
      <c r="AH50" s="318">
        <f>IF(AQ50="0",BJ50,0)</f>
        <v>0</v>
      </c>
      <c r="AI50" s="311"/>
      <c r="AJ50" s="318">
        <f>IF(AN50=0,J50,0)</f>
        <v>0</v>
      </c>
      <c r="AK50" s="318">
        <f>IF(AN50=15,J50,0)</f>
        <v>0</v>
      </c>
      <c r="AL50" s="318">
        <f>IF(AN50=21,J50,0)</f>
        <v>0</v>
      </c>
      <c r="AM50" s="279"/>
      <c r="AN50" s="318">
        <v>21</v>
      </c>
      <c r="AO50" s="318">
        <f>G50*0</f>
        <v>0</v>
      </c>
      <c r="AP50" s="318">
        <f>G50*(1-0)</f>
        <v>0</v>
      </c>
      <c r="AQ50" s="319" t="s">
        <v>445</v>
      </c>
      <c r="AR50" s="279"/>
      <c r="AS50" s="279"/>
      <c r="AT50" s="279"/>
      <c r="AU50" s="279"/>
      <c r="AV50" s="318">
        <f>AW50+AX50</f>
        <v>0</v>
      </c>
      <c r="AW50" s="318">
        <f>F50*AO50</f>
        <v>0</v>
      </c>
      <c r="AX50" s="318">
        <f>F50*AP50</f>
        <v>0</v>
      </c>
      <c r="AY50" s="319" t="s">
        <v>481</v>
      </c>
      <c r="AZ50" s="319" t="s">
        <v>468</v>
      </c>
      <c r="BA50" s="311" t="s">
        <v>412</v>
      </c>
      <c r="BB50" s="279"/>
      <c r="BC50" s="318">
        <f>AW50+AX50</f>
        <v>0</v>
      </c>
      <c r="BD50" s="318">
        <f>G50/(100-BE50)*100</f>
        <v>0</v>
      </c>
      <c r="BE50" s="318">
        <v>0</v>
      </c>
      <c r="BF50" s="318">
        <f>L50</f>
        <v>0</v>
      </c>
      <c r="BG50" s="279"/>
      <c r="BH50" s="318">
        <f>F50*AO50</f>
        <v>0</v>
      </c>
      <c r="BI50" s="318">
        <f>F50*AP50</f>
        <v>0</v>
      </c>
      <c r="BJ50" s="318">
        <f>F50*G50</f>
        <v>0</v>
      </c>
    </row>
    <row r="51" spans="1:62" s="434" customFormat="1">
      <c r="A51" s="279"/>
      <c r="B51" s="279"/>
      <c r="C51" s="279"/>
      <c r="D51" s="320" t="s">
        <v>493</v>
      </c>
      <c r="E51" s="279"/>
      <c r="F51" s="321">
        <v>936.56</v>
      </c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79"/>
      <c r="BF51" s="279"/>
      <c r="BG51" s="279"/>
      <c r="BH51" s="279"/>
      <c r="BI51" s="279"/>
      <c r="BJ51" s="279"/>
    </row>
    <row r="52" spans="1:62" s="434" customFormat="1">
      <c r="A52" s="279"/>
      <c r="B52" s="279"/>
      <c r="C52" s="279"/>
      <c r="D52" s="320" t="s">
        <v>494</v>
      </c>
      <c r="E52" s="279"/>
      <c r="F52" s="321">
        <v>402.53</v>
      </c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79"/>
      <c r="BF52" s="279"/>
      <c r="BG52" s="279"/>
      <c r="BH52" s="279"/>
      <c r="BI52" s="279"/>
      <c r="BJ52" s="279"/>
    </row>
    <row r="53" spans="1:62" s="434" customFormat="1">
      <c r="A53" s="279"/>
      <c r="B53" s="279"/>
      <c r="C53" s="279"/>
      <c r="D53" s="320" t="s">
        <v>495</v>
      </c>
      <c r="E53" s="279"/>
      <c r="F53" s="321">
        <v>90.64</v>
      </c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279"/>
      <c r="BJ53" s="279"/>
    </row>
    <row r="54" spans="1:62" s="434" customFormat="1">
      <c r="A54" s="279"/>
      <c r="B54" s="279"/>
      <c r="C54" s="279"/>
      <c r="D54" s="320" t="s">
        <v>496</v>
      </c>
      <c r="E54" s="279"/>
      <c r="F54" s="321">
        <v>192.97</v>
      </c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</row>
    <row r="55" spans="1:62" s="434" customFormat="1">
      <c r="A55" s="317" t="s">
        <v>8</v>
      </c>
      <c r="B55" s="317"/>
      <c r="C55" s="317" t="s">
        <v>497</v>
      </c>
      <c r="D55" s="317" t="s">
        <v>498</v>
      </c>
      <c r="E55" s="317" t="s">
        <v>432</v>
      </c>
      <c r="F55" s="318">
        <v>0.93655999999999995</v>
      </c>
      <c r="G55" s="318">
        <v>0</v>
      </c>
      <c r="H55" s="318">
        <f>F55*AO55</f>
        <v>0</v>
      </c>
      <c r="I55" s="318">
        <f>F55*AP55</f>
        <v>0</v>
      </c>
      <c r="J55" s="318">
        <f>F55*G55</f>
        <v>0</v>
      </c>
      <c r="K55" s="318">
        <v>1</v>
      </c>
      <c r="L55" s="318">
        <f>F55*K55</f>
        <v>0.93655999999999995</v>
      </c>
      <c r="M55" s="319" t="s">
        <v>409</v>
      </c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318">
        <f>IF(AQ55="5",BJ55,0)</f>
        <v>0</v>
      </c>
      <c r="AA55" s="279"/>
      <c r="AB55" s="318">
        <f>IF(AQ55="1",BH55,0)</f>
        <v>0</v>
      </c>
      <c r="AC55" s="318">
        <f>IF(AQ55="1",BI55,0)</f>
        <v>0</v>
      </c>
      <c r="AD55" s="318">
        <f>IF(AQ55="7",BH55,0)</f>
        <v>0</v>
      </c>
      <c r="AE55" s="318">
        <f>IF(AQ55="7",BI55,0)</f>
        <v>0</v>
      </c>
      <c r="AF55" s="318">
        <f>IF(AQ55="2",BH55,0)</f>
        <v>0</v>
      </c>
      <c r="AG55" s="318">
        <f>IF(AQ55="2",BI55,0)</f>
        <v>0</v>
      </c>
      <c r="AH55" s="318">
        <f>IF(AQ55="0",BJ55,0)</f>
        <v>0</v>
      </c>
      <c r="AI55" s="311"/>
      <c r="AJ55" s="318">
        <f>IF(AN55=0,J55,0)</f>
        <v>0</v>
      </c>
      <c r="AK55" s="318">
        <f>IF(AN55=15,J55,0)</f>
        <v>0</v>
      </c>
      <c r="AL55" s="318">
        <f>IF(AN55=21,J55,0)</f>
        <v>0</v>
      </c>
      <c r="AM55" s="279"/>
      <c r="AN55" s="318">
        <v>21</v>
      </c>
      <c r="AO55" s="318">
        <f>G55*1</f>
        <v>0</v>
      </c>
      <c r="AP55" s="318">
        <f>G55*(1-1)</f>
        <v>0</v>
      </c>
      <c r="AQ55" s="319" t="s">
        <v>445</v>
      </c>
      <c r="AR55" s="279"/>
      <c r="AS55" s="279"/>
      <c r="AT55" s="279"/>
      <c r="AU55" s="279"/>
      <c r="AV55" s="318">
        <f>AW55+AX55</f>
        <v>0</v>
      </c>
      <c r="AW55" s="318">
        <f>F55*AO55</f>
        <v>0</v>
      </c>
      <c r="AX55" s="318">
        <f>F55*AP55</f>
        <v>0</v>
      </c>
      <c r="AY55" s="319" t="s">
        <v>481</v>
      </c>
      <c r="AZ55" s="319" t="s">
        <v>468</v>
      </c>
      <c r="BA55" s="311" t="s">
        <v>412</v>
      </c>
      <c r="BB55" s="279"/>
      <c r="BC55" s="318">
        <f>AW55+AX55</f>
        <v>0</v>
      </c>
      <c r="BD55" s="318">
        <f>G55/(100-BE55)*100</f>
        <v>0</v>
      </c>
      <c r="BE55" s="318">
        <v>0</v>
      </c>
      <c r="BF55" s="318">
        <f>L55</f>
        <v>0.93655999999999995</v>
      </c>
      <c r="BG55" s="279"/>
      <c r="BH55" s="318">
        <f>F55*AO55</f>
        <v>0</v>
      </c>
      <c r="BI55" s="318">
        <f>F55*AP55</f>
        <v>0</v>
      </c>
      <c r="BJ55" s="318">
        <f>F55*G55</f>
        <v>0</v>
      </c>
    </row>
    <row r="56" spans="1:62" s="434" customFormat="1">
      <c r="A56" s="279"/>
      <c r="B56" s="279"/>
      <c r="C56" s="279"/>
      <c r="D56" s="320" t="s">
        <v>499</v>
      </c>
      <c r="E56" s="279"/>
      <c r="F56" s="321">
        <v>0.93655999999999995</v>
      </c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279"/>
      <c r="BH56" s="279"/>
      <c r="BI56" s="279"/>
      <c r="BJ56" s="279"/>
    </row>
    <row r="57" spans="1:62" s="434" customFormat="1">
      <c r="A57" s="279"/>
      <c r="B57" s="279"/>
      <c r="C57" s="279"/>
      <c r="D57" s="320" t="s">
        <v>500</v>
      </c>
      <c r="E57" s="279"/>
      <c r="F57" s="321">
        <v>0</v>
      </c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279"/>
      <c r="BF57" s="279"/>
      <c r="BG57" s="279"/>
      <c r="BH57" s="279"/>
      <c r="BI57" s="279"/>
      <c r="BJ57" s="279"/>
    </row>
    <row r="58" spans="1:62" s="434" customFormat="1">
      <c r="A58" s="317" t="s">
        <v>501</v>
      </c>
      <c r="B58" s="317"/>
      <c r="C58" s="317" t="s">
        <v>502</v>
      </c>
      <c r="D58" s="317" t="s">
        <v>503</v>
      </c>
      <c r="E58" s="317" t="s">
        <v>432</v>
      </c>
      <c r="F58" s="318">
        <v>0.40234999999999999</v>
      </c>
      <c r="G58" s="318">
        <v>0</v>
      </c>
      <c r="H58" s="318">
        <f>F58*AO58</f>
        <v>0</v>
      </c>
      <c r="I58" s="318">
        <f>F58*AP58</f>
        <v>0</v>
      </c>
      <c r="J58" s="318">
        <f>F58*G58</f>
        <v>0</v>
      </c>
      <c r="K58" s="318">
        <v>1</v>
      </c>
      <c r="L58" s="318">
        <f>F58*K58</f>
        <v>0.40234999999999999</v>
      </c>
      <c r="M58" s="319" t="s">
        <v>409</v>
      </c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318">
        <f>IF(AQ58="5",BJ58,0)</f>
        <v>0</v>
      </c>
      <c r="AA58" s="279"/>
      <c r="AB58" s="318">
        <f>IF(AQ58="1",BH58,0)</f>
        <v>0</v>
      </c>
      <c r="AC58" s="318">
        <f>IF(AQ58="1",BI58,0)</f>
        <v>0</v>
      </c>
      <c r="AD58" s="318">
        <f>IF(AQ58="7",BH58,0)</f>
        <v>0</v>
      </c>
      <c r="AE58" s="318">
        <f>IF(AQ58="7",BI58,0)</f>
        <v>0</v>
      </c>
      <c r="AF58" s="318">
        <f>IF(AQ58="2",BH58,0)</f>
        <v>0</v>
      </c>
      <c r="AG58" s="318">
        <f>IF(AQ58="2",BI58,0)</f>
        <v>0</v>
      </c>
      <c r="AH58" s="318">
        <f>IF(AQ58="0",BJ58,0)</f>
        <v>0</v>
      </c>
      <c r="AI58" s="311"/>
      <c r="AJ58" s="318">
        <f>IF(AN58=0,J58,0)</f>
        <v>0</v>
      </c>
      <c r="AK58" s="318">
        <f>IF(AN58=15,J58,0)</f>
        <v>0</v>
      </c>
      <c r="AL58" s="318">
        <f>IF(AN58=21,J58,0)</f>
        <v>0</v>
      </c>
      <c r="AM58" s="279"/>
      <c r="AN58" s="318">
        <v>21</v>
      </c>
      <c r="AO58" s="318">
        <f>G58*1</f>
        <v>0</v>
      </c>
      <c r="AP58" s="318">
        <f>G58*(1-1)</f>
        <v>0</v>
      </c>
      <c r="AQ58" s="319" t="s">
        <v>445</v>
      </c>
      <c r="AR58" s="279"/>
      <c r="AS58" s="279"/>
      <c r="AT58" s="279"/>
      <c r="AU58" s="279"/>
      <c r="AV58" s="318">
        <f>AW58+AX58</f>
        <v>0</v>
      </c>
      <c r="AW58" s="318">
        <f>F58*AO58</f>
        <v>0</v>
      </c>
      <c r="AX58" s="318">
        <f>F58*AP58</f>
        <v>0</v>
      </c>
      <c r="AY58" s="319" t="s">
        <v>481</v>
      </c>
      <c r="AZ58" s="319" t="s">
        <v>468</v>
      </c>
      <c r="BA58" s="311" t="s">
        <v>412</v>
      </c>
      <c r="BB58" s="279"/>
      <c r="BC58" s="318">
        <f>AW58+AX58</f>
        <v>0</v>
      </c>
      <c r="BD58" s="318">
        <f>G58/(100-BE58)*100</f>
        <v>0</v>
      </c>
      <c r="BE58" s="318">
        <v>0</v>
      </c>
      <c r="BF58" s="318">
        <f>L58</f>
        <v>0.40234999999999999</v>
      </c>
      <c r="BG58" s="279"/>
      <c r="BH58" s="318">
        <f>F58*AO58</f>
        <v>0</v>
      </c>
      <c r="BI58" s="318">
        <f>F58*AP58</f>
        <v>0</v>
      </c>
      <c r="BJ58" s="318">
        <f>F58*G58</f>
        <v>0</v>
      </c>
    </row>
    <row r="59" spans="1:62" s="434" customFormat="1">
      <c r="A59" s="279"/>
      <c r="B59" s="279"/>
      <c r="C59" s="279"/>
      <c r="D59" s="320" t="s">
        <v>504</v>
      </c>
      <c r="E59" s="279"/>
      <c r="F59" s="321">
        <v>0.40234999999999999</v>
      </c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</row>
    <row r="60" spans="1:62" s="434" customFormat="1">
      <c r="A60" s="279"/>
      <c r="B60" s="279"/>
      <c r="C60" s="279"/>
      <c r="D60" s="320" t="s">
        <v>505</v>
      </c>
      <c r="E60" s="279"/>
      <c r="F60" s="321">
        <v>0</v>
      </c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279"/>
      <c r="BH60" s="279"/>
      <c r="BI60" s="279"/>
      <c r="BJ60" s="279"/>
    </row>
    <row r="61" spans="1:62" s="434" customFormat="1">
      <c r="A61" s="317" t="s">
        <v>506</v>
      </c>
      <c r="B61" s="317"/>
      <c r="C61" s="317" t="s">
        <v>507</v>
      </c>
      <c r="D61" s="317" t="s">
        <v>508</v>
      </c>
      <c r="E61" s="317" t="s">
        <v>509</v>
      </c>
      <c r="F61" s="318">
        <v>90.64</v>
      </c>
      <c r="G61" s="318">
        <v>0</v>
      </c>
      <c r="H61" s="318">
        <f>F61*AO61</f>
        <v>0</v>
      </c>
      <c r="I61" s="318">
        <f>F61*AP61</f>
        <v>0</v>
      </c>
      <c r="J61" s="318">
        <f>F61*G61</f>
        <v>0</v>
      </c>
      <c r="K61" s="318">
        <v>5.7499999999999999E-3</v>
      </c>
      <c r="L61" s="318">
        <f>F61*K61</f>
        <v>0.52117999999999998</v>
      </c>
      <c r="M61" s="319" t="s">
        <v>409</v>
      </c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318">
        <f>IF(AQ61="5",BJ61,0)</f>
        <v>0</v>
      </c>
      <c r="AA61" s="279"/>
      <c r="AB61" s="318">
        <f>IF(AQ61="1",BH61,0)</f>
        <v>0</v>
      </c>
      <c r="AC61" s="318">
        <f>IF(AQ61="1",BI61,0)</f>
        <v>0</v>
      </c>
      <c r="AD61" s="318">
        <f>IF(AQ61="7",BH61,0)</f>
        <v>0</v>
      </c>
      <c r="AE61" s="318">
        <f>IF(AQ61="7",BI61,0)</f>
        <v>0</v>
      </c>
      <c r="AF61" s="318">
        <f>IF(AQ61="2",BH61,0)</f>
        <v>0</v>
      </c>
      <c r="AG61" s="318">
        <f>IF(AQ61="2",BI61,0)</f>
        <v>0</v>
      </c>
      <c r="AH61" s="318">
        <f>IF(AQ61="0",BJ61,0)</f>
        <v>0</v>
      </c>
      <c r="AI61" s="311"/>
      <c r="AJ61" s="318">
        <f>IF(AN61=0,J61,0)</f>
        <v>0</v>
      </c>
      <c r="AK61" s="318">
        <f>IF(AN61=15,J61,0)</f>
        <v>0</v>
      </c>
      <c r="AL61" s="318">
        <f>IF(AN61=21,J61,0)</f>
        <v>0</v>
      </c>
      <c r="AM61" s="279"/>
      <c r="AN61" s="318">
        <v>21</v>
      </c>
      <c r="AO61" s="318">
        <f>G61*1</f>
        <v>0</v>
      </c>
      <c r="AP61" s="318">
        <f>G61*(1-1)</f>
        <v>0</v>
      </c>
      <c r="AQ61" s="319" t="s">
        <v>445</v>
      </c>
      <c r="AR61" s="279"/>
      <c r="AS61" s="279"/>
      <c r="AT61" s="279"/>
      <c r="AU61" s="279"/>
      <c r="AV61" s="318">
        <f>AW61+AX61</f>
        <v>0</v>
      </c>
      <c r="AW61" s="318">
        <f>F61*AO61</f>
        <v>0</v>
      </c>
      <c r="AX61" s="318">
        <f>F61*AP61</f>
        <v>0</v>
      </c>
      <c r="AY61" s="319" t="s">
        <v>481</v>
      </c>
      <c r="AZ61" s="319" t="s">
        <v>468</v>
      </c>
      <c r="BA61" s="311" t="s">
        <v>412</v>
      </c>
      <c r="BB61" s="279"/>
      <c r="BC61" s="318">
        <f>AW61+AX61</f>
        <v>0</v>
      </c>
      <c r="BD61" s="318">
        <f>G61/(100-BE61)*100</f>
        <v>0</v>
      </c>
      <c r="BE61" s="318">
        <v>0</v>
      </c>
      <c r="BF61" s="318">
        <f>L61</f>
        <v>0.52117999999999998</v>
      </c>
      <c r="BG61" s="279"/>
      <c r="BH61" s="318">
        <f>F61*AO61</f>
        <v>0</v>
      </c>
      <c r="BI61" s="318">
        <f>F61*AP61</f>
        <v>0</v>
      </c>
      <c r="BJ61" s="318">
        <f>F61*G61</f>
        <v>0</v>
      </c>
    </row>
    <row r="62" spans="1:62" s="434" customFormat="1">
      <c r="A62" s="279"/>
      <c r="B62" s="279"/>
      <c r="C62" s="279"/>
      <c r="D62" s="320" t="s">
        <v>510</v>
      </c>
      <c r="E62" s="279"/>
      <c r="F62" s="321">
        <v>90.64</v>
      </c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</row>
    <row r="63" spans="1:62" s="434" customFormat="1">
      <c r="A63" s="279"/>
      <c r="B63" s="279"/>
      <c r="C63" s="279"/>
      <c r="D63" s="320" t="s">
        <v>511</v>
      </c>
      <c r="E63" s="279"/>
      <c r="F63" s="321">
        <v>0</v>
      </c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79"/>
      <c r="BC63" s="279"/>
      <c r="BD63" s="279"/>
      <c r="BE63" s="279"/>
      <c r="BF63" s="279"/>
      <c r="BG63" s="279"/>
      <c r="BH63" s="279"/>
      <c r="BI63" s="279"/>
      <c r="BJ63" s="279"/>
    </row>
    <row r="64" spans="1:62" s="434" customFormat="1">
      <c r="A64" s="317" t="s">
        <v>512</v>
      </c>
      <c r="B64" s="317"/>
      <c r="C64" s="317" t="s">
        <v>513</v>
      </c>
      <c r="D64" s="317" t="s">
        <v>514</v>
      </c>
      <c r="E64" s="317" t="s">
        <v>432</v>
      </c>
      <c r="F64" s="318">
        <v>0.19297</v>
      </c>
      <c r="G64" s="318">
        <v>0</v>
      </c>
      <c r="H64" s="318">
        <f>F64*AO64</f>
        <v>0</v>
      </c>
      <c r="I64" s="318">
        <f>F64*AP64</f>
        <v>0</v>
      </c>
      <c r="J64" s="318">
        <f>F64*G64</f>
        <v>0</v>
      </c>
      <c r="K64" s="318">
        <v>1</v>
      </c>
      <c r="L64" s="318">
        <f>F64*K64</f>
        <v>0.19297</v>
      </c>
      <c r="M64" s="319" t="s">
        <v>409</v>
      </c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318">
        <f>IF(AQ64="5",BJ64,0)</f>
        <v>0</v>
      </c>
      <c r="AA64" s="279"/>
      <c r="AB64" s="318">
        <f>IF(AQ64="1",BH64,0)</f>
        <v>0</v>
      </c>
      <c r="AC64" s="318">
        <f>IF(AQ64="1",BI64,0)</f>
        <v>0</v>
      </c>
      <c r="AD64" s="318">
        <f>IF(AQ64="7",BH64,0)</f>
        <v>0</v>
      </c>
      <c r="AE64" s="318">
        <f>IF(AQ64="7",BI64,0)</f>
        <v>0</v>
      </c>
      <c r="AF64" s="318">
        <f>IF(AQ64="2",BH64,0)</f>
        <v>0</v>
      </c>
      <c r="AG64" s="318">
        <f>IF(AQ64="2",BI64,0)</f>
        <v>0</v>
      </c>
      <c r="AH64" s="318">
        <f>IF(AQ64="0",BJ64,0)</f>
        <v>0</v>
      </c>
      <c r="AI64" s="311"/>
      <c r="AJ64" s="318">
        <f>IF(AN64=0,J64,0)</f>
        <v>0</v>
      </c>
      <c r="AK64" s="318">
        <f>IF(AN64=15,J64,0)</f>
        <v>0</v>
      </c>
      <c r="AL64" s="318">
        <f>IF(AN64=21,J64,0)</f>
        <v>0</v>
      </c>
      <c r="AM64" s="279"/>
      <c r="AN64" s="318">
        <v>21</v>
      </c>
      <c r="AO64" s="318">
        <f>G64*1</f>
        <v>0</v>
      </c>
      <c r="AP64" s="318">
        <f>G64*(1-1)</f>
        <v>0</v>
      </c>
      <c r="AQ64" s="319" t="s">
        <v>445</v>
      </c>
      <c r="AR64" s="279"/>
      <c r="AS64" s="279"/>
      <c r="AT64" s="279"/>
      <c r="AU64" s="279"/>
      <c r="AV64" s="318">
        <f>AW64+AX64</f>
        <v>0</v>
      </c>
      <c r="AW64" s="318">
        <f>F64*AO64</f>
        <v>0</v>
      </c>
      <c r="AX64" s="318">
        <f>F64*AP64</f>
        <v>0</v>
      </c>
      <c r="AY64" s="319" t="s">
        <v>481</v>
      </c>
      <c r="AZ64" s="319" t="s">
        <v>468</v>
      </c>
      <c r="BA64" s="311" t="s">
        <v>412</v>
      </c>
      <c r="BB64" s="279"/>
      <c r="BC64" s="318">
        <f>AW64+AX64</f>
        <v>0</v>
      </c>
      <c r="BD64" s="318">
        <f>G64/(100-BE64)*100</f>
        <v>0</v>
      </c>
      <c r="BE64" s="318">
        <v>0</v>
      </c>
      <c r="BF64" s="318">
        <f>L64</f>
        <v>0.19297</v>
      </c>
      <c r="BG64" s="279"/>
      <c r="BH64" s="318">
        <f>F64*AO64</f>
        <v>0</v>
      </c>
      <c r="BI64" s="318">
        <f>F64*AP64</f>
        <v>0</v>
      </c>
      <c r="BJ64" s="318">
        <f>F64*G64</f>
        <v>0</v>
      </c>
    </row>
    <row r="65" spans="1:62" s="434" customFormat="1">
      <c r="A65" s="279"/>
      <c r="B65" s="279"/>
      <c r="C65" s="279"/>
      <c r="D65" s="320" t="s">
        <v>515</v>
      </c>
      <c r="E65" s="279"/>
      <c r="F65" s="321">
        <v>0.19297</v>
      </c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  <c r="BD65" s="279"/>
      <c r="BE65" s="279"/>
      <c r="BF65" s="279"/>
      <c r="BG65" s="279"/>
      <c r="BH65" s="279"/>
      <c r="BI65" s="279"/>
      <c r="BJ65" s="279"/>
    </row>
    <row r="66" spans="1:62" s="434" customFormat="1">
      <c r="A66" s="279"/>
      <c r="B66" s="279"/>
      <c r="C66" s="279"/>
      <c r="D66" s="320" t="s">
        <v>516</v>
      </c>
      <c r="E66" s="279"/>
      <c r="F66" s="321">
        <v>0</v>
      </c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</row>
    <row r="67" spans="1:62" s="434" customFormat="1">
      <c r="A67" s="317" t="s">
        <v>517</v>
      </c>
      <c r="B67" s="317"/>
      <c r="C67" s="317" t="s">
        <v>518</v>
      </c>
      <c r="D67" s="317" t="s">
        <v>519</v>
      </c>
      <c r="E67" s="317" t="s">
        <v>509</v>
      </c>
      <c r="F67" s="318">
        <v>4</v>
      </c>
      <c r="G67" s="318">
        <v>0</v>
      </c>
      <c r="H67" s="318">
        <f>F67*AO67</f>
        <v>0</v>
      </c>
      <c r="I67" s="318">
        <f>F67*AP67</f>
        <v>0</v>
      </c>
      <c r="J67" s="318">
        <f>F67*G67</f>
        <v>0</v>
      </c>
      <c r="K67" s="318">
        <v>0</v>
      </c>
      <c r="L67" s="318">
        <f>F67*K67</f>
        <v>0</v>
      </c>
      <c r="M67" s="319" t="s">
        <v>409</v>
      </c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318">
        <f>IF(AQ67="5",BJ67,0)</f>
        <v>0</v>
      </c>
      <c r="AA67" s="279"/>
      <c r="AB67" s="318">
        <f>IF(AQ67="1",BH67,0)</f>
        <v>0</v>
      </c>
      <c r="AC67" s="318">
        <f>IF(AQ67="1",BI67,0)</f>
        <v>0</v>
      </c>
      <c r="AD67" s="318">
        <f>IF(AQ67="7",BH67,0)</f>
        <v>0</v>
      </c>
      <c r="AE67" s="318">
        <f>IF(AQ67="7",BI67,0)</f>
        <v>0</v>
      </c>
      <c r="AF67" s="318">
        <f>IF(AQ67="2",BH67,0)</f>
        <v>0</v>
      </c>
      <c r="AG67" s="318">
        <f>IF(AQ67="2",BI67,0)</f>
        <v>0</v>
      </c>
      <c r="AH67" s="318">
        <f>IF(AQ67="0",BJ67,0)</f>
        <v>0</v>
      </c>
      <c r="AI67" s="311"/>
      <c r="AJ67" s="318">
        <f>IF(AN67=0,J67,0)</f>
        <v>0</v>
      </c>
      <c r="AK67" s="318">
        <f>IF(AN67=15,J67,0)</f>
        <v>0</v>
      </c>
      <c r="AL67" s="318">
        <f>IF(AN67=21,J67,0)</f>
        <v>0</v>
      </c>
      <c r="AM67" s="279"/>
      <c r="AN67" s="318">
        <v>21</v>
      </c>
      <c r="AO67" s="318">
        <f>G67*0</f>
        <v>0</v>
      </c>
      <c r="AP67" s="318">
        <f>G67*(1-0)</f>
        <v>0</v>
      </c>
      <c r="AQ67" s="319" t="s">
        <v>445</v>
      </c>
      <c r="AR67" s="279"/>
      <c r="AS67" s="279"/>
      <c r="AT67" s="279"/>
      <c r="AU67" s="279"/>
      <c r="AV67" s="318">
        <f>AW67+AX67</f>
        <v>0</v>
      </c>
      <c r="AW67" s="318">
        <f>F67*AO67</f>
        <v>0</v>
      </c>
      <c r="AX67" s="318">
        <f>F67*AP67</f>
        <v>0</v>
      </c>
      <c r="AY67" s="319" t="s">
        <v>481</v>
      </c>
      <c r="AZ67" s="319" t="s">
        <v>468</v>
      </c>
      <c r="BA67" s="311" t="s">
        <v>412</v>
      </c>
      <c r="BB67" s="279"/>
      <c r="BC67" s="318">
        <f>AW67+AX67</f>
        <v>0</v>
      </c>
      <c r="BD67" s="318">
        <f>G67/(100-BE67)*100</f>
        <v>0</v>
      </c>
      <c r="BE67" s="318">
        <v>0</v>
      </c>
      <c r="BF67" s="318">
        <f>L67</f>
        <v>0</v>
      </c>
      <c r="BG67" s="279"/>
      <c r="BH67" s="318">
        <f>F67*AO67</f>
        <v>0</v>
      </c>
      <c r="BI67" s="318">
        <f>F67*AP67</f>
        <v>0</v>
      </c>
      <c r="BJ67" s="318">
        <f>F67*G67</f>
        <v>0</v>
      </c>
    </row>
    <row r="68" spans="1:62" s="434" customFormat="1">
      <c r="A68" s="279"/>
      <c r="B68" s="279"/>
      <c r="C68" s="279"/>
      <c r="D68" s="320" t="s">
        <v>520</v>
      </c>
      <c r="E68" s="279"/>
      <c r="F68" s="321">
        <v>3.44</v>
      </c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</row>
    <row r="69" spans="1:62" s="434" customFormat="1">
      <c r="A69" s="279"/>
      <c r="B69" s="279"/>
      <c r="C69" s="279"/>
      <c r="D69" s="320" t="s">
        <v>521</v>
      </c>
      <c r="E69" s="279"/>
      <c r="F69" s="321">
        <v>0.56000000000000005</v>
      </c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  <c r="BA69" s="279"/>
      <c r="BB69" s="279"/>
      <c r="BC69" s="279"/>
      <c r="BD69" s="279"/>
      <c r="BE69" s="279"/>
      <c r="BF69" s="279"/>
      <c r="BG69" s="279"/>
      <c r="BH69" s="279"/>
      <c r="BI69" s="279"/>
      <c r="BJ69" s="279"/>
    </row>
    <row r="70" spans="1:62" s="434" customFormat="1">
      <c r="A70" s="317" t="s">
        <v>522</v>
      </c>
      <c r="B70" s="317"/>
      <c r="C70" s="317" t="s">
        <v>523</v>
      </c>
      <c r="D70" s="317" t="s">
        <v>524</v>
      </c>
      <c r="E70" s="317" t="s">
        <v>509</v>
      </c>
      <c r="F70" s="318">
        <v>4</v>
      </c>
      <c r="G70" s="318">
        <v>0</v>
      </c>
      <c r="H70" s="318">
        <f>F70*AO70</f>
        <v>0</v>
      </c>
      <c r="I70" s="318">
        <f>F70*AP70</f>
        <v>0</v>
      </c>
      <c r="J70" s="318">
        <f>F70*G70</f>
        <v>0</v>
      </c>
      <c r="K70" s="318">
        <v>2.3999999999999998E-3</v>
      </c>
      <c r="L70" s="318">
        <f>F70*K70</f>
        <v>9.5999999999999992E-3</v>
      </c>
      <c r="M70" s="319" t="s">
        <v>409</v>
      </c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318">
        <f>IF(AQ70="5",BJ70,0)</f>
        <v>0</v>
      </c>
      <c r="AA70" s="279"/>
      <c r="AB70" s="318">
        <f>IF(AQ70="1",BH70,0)</f>
        <v>0</v>
      </c>
      <c r="AC70" s="318">
        <f>IF(AQ70="1",BI70,0)</f>
        <v>0</v>
      </c>
      <c r="AD70" s="318">
        <f>IF(AQ70="7",BH70,0)</f>
        <v>0</v>
      </c>
      <c r="AE70" s="318">
        <f>IF(AQ70="7",BI70,0)</f>
        <v>0</v>
      </c>
      <c r="AF70" s="318">
        <f>IF(AQ70="2",BH70,0)</f>
        <v>0</v>
      </c>
      <c r="AG70" s="318">
        <f>IF(AQ70="2",BI70,0)</f>
        <v>0</v>
      </c>
      <c r="AH70" s="318">
        <f>IF(AQ70="0",BJ70,0)</f>
        <v>0</v>
      </c>
      <c r="AI70" s="311"/>
      <c r="AJ70" s="318">
        <f>IF(AN70=0,J70,0)</f>
        <v>0</v>
      </c>
      <c r="AK70" s="318">
        <f>IF(AN70=15,J70,0)</f>
        <v>0</v>
      </c>
      <c r="AL70" s="318">
        <f>IF(AN70=21,J70,0)</f>
        <v>0</v>
      </c>
      <c r="AM70" s="279"/>
      <c r="AN70" s="318">
        <v>21</v>
      </c>
      <c r="AO70" s="318">
        <f>G70*1</f>
        <v>0</v>
      </c>
      <c r="AP70" s="318">
        <f>G70*(1-1)</f>
        <v>0</v>
      </c>
      <c r="AQ70" s="319" t="s">
        <v>445</v>
      </c>
      <c r="AR70" s="279"/>
      <c r="AS70" s="279"/>
      <c r="AT70" s="279"/>
      <c r="AU70" s="279"/>
      <c r="AV70" s="318">
        <f>AW70+AX70</f>
        <v>0</v>
      </c>
      <c r="AW70" s="318">
        <f>F70*AO70</f>
        <v>0</v>
      </c>
      <c r="AX70" s="318">
        <f>F70*AP70</f>
        <v>0</v>
      </c>
      <c r="AY70" s="319" t="s">
        <v>481</v>
      </c>
      <c r="AZ70" s="319" t="s">
        <v>468</v>
      </c>
      <c r="BA70" s="311" t="s">
        <v>412</v>
      </c>
      <c r="BB70" s="279"/>
      <c r="BC70" s="318">
        <f>AW70+AX70</f>
        <v>0</v>
      </c>
      <c r="BD70" s="318">
        <f>G70/(100-BE70)*100</f>
        <v>0</v>
      </c>
      <c r="BE70" s="318">
        <v>0</v>
      </c>
      <c r="BF70" s="318">
        <f>L70</f>
        <v>9.5999999999999992E-3</v>
      </c>
      <c r="BG70" s="279"/>
      <c r="BH70" s="318">
        <f>F70*AO70</f>
        <v>0</v>
      </c>
      <c r="BI70" s="318">
        <f>F70*AP70</f>
        <v>0</v>
      </c>
      <c r="BJ70" s="318">
        <f>F70*G70</f>
        <v>0</v>
      </c>
    </row>
    <row r="71" spans="1:62" s="434" customFormat="1">
      <c r="A71" s="279"/>
      <c r="B71" s="279"/>
      <c r="C71" s="279"/>
      <c r="D71" s="320" t="s">
        <v>525</v>
      </c>
      <c r="E71" s="279"/>
      <c r="F71" s="321">
        <v>4</v>
      </c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  <c r="BI71" s="279"/>
      <c r="BJ71" s="279"/>
    </row>
    <row r="72" spans="1:62" s="434" customFormat="1">
      <c r="A72" s="317" t="s">
        <v>7</v>
      </c>
      <c r="B72" s="317"/>
      <c r="C72" s="317" t="s">
        <v>526</v>
      </c>
      <c r="D72" s="317" t="s">
        <v>527</v>
      </c>
      <c r="E72" s="317" t="s">
        <v>439</v>
      </c>
      <c r="F72" s="318">
        <v>2</v>
      </c>
      <c r="G72" s="318">
        <v>0</v>
      </c>
      <c r="H72" s="318">
        <f>F72*AO72</f>
        <v>0</v>
      </c>
      <c r="I72" s="318">
        <f>F72*AP72</f>
        <v>0</v>
      </c>
      <c r="J72" s="318">
        <f>F72*G72</f>
        <v>0</v>
      </c>
      <c r="K72" s="318">
        <v>5.5999999999999995E-4</v>
      </c>
      <c r="L72" s="318">
        <f>F72*K72</f>
        <v>1.1199999999999999E-3</v>
      </c>
      <c r="M72" s="319" t="s">
        <v>409</v>
      </c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318">
        <f>IF(AQ72="5",BJ72,0)</f>
        <v>0</v>
      </c>
      <c r="AA72" s="279"/>
      <c r="AB72" s="318">
        <f>IF(AQ72="1",BH72,0)</f>
        <v>0</v>
      </c>
      <c r="AC72" s="318">
        <f>IF(AQ72="1",BI72,0)</f>
        <v>0</v>
      </c>
      <c r="AD72" s="318">
        <f>IF(AQ72="7",BH72,0)</f>
        <v>0</v>
      </c>
      <c r="AE72" s="318">
        <f>IF(AQ72="7",BI72,0)</f>
        <v>0</v>
      </c>
      <c r="AF72" s="318">
        <f>IF(AQ72="2",BH72,0)</f>
        <v>0</v>
      </c>
      <c r="AG72" s="318">
        <f>IF(AQ72="2",BI72,0)</f>
        <v>0</v>
      </c>
      <c r="AH72" s="318">
        <f>IF(AQ72="0",BJ72,0)</f>
        <v>0</v>
      </c>
      <c r="AI72" s="311"/>
      <c r="AJ72" s="318">
        <f>IF(AN72=0,J72,0)</f>
        <v>0</v>
      </c>
      <c r="AK72" s="318">
        <f>IF(AN72=15,J72,0)</f>
        <v>0</v>
      </c>
      <c r="AL72" s="318">
        <f>IF(AN72=21,J72,0)</f>
        <v>0</v>
      </c>
      <c r="AM72" s="279"/>
      <c r="AN72" s="318">
        <v>21</v>
      </c>
      <c r="AO72" s="318">
        <f>G72*0.253854961832061</f>
        <v>0</v>
      </c>
      <c r="AP72" s="318">
        <f>G72*(1-0.253854961832061)</f>
        <v>0</v>
      </c>
      <c r="AQ72" s="319" t="s">
        <v>445</v>
      </c>
      <c r="AR72" s="279"/>
      <c r="AS72" s="279"/>
      <c r="AT72" s="279"/>
      <c r="AU72" s="279"/>
      <c r="AV72" s="318">
        <f>AW72+AX72</f>
        <v>0</v>
      </c>
      <c r="AW72" s="318">
        <f>F72*AO72</f>
        <v>0</v>
      </c>
      <c r="AX72" s="318">
        <f>F72*AP72</f>
        <v>0</v>
      </c>
      <c r="AY72" s="319" t="s">
        <v>481</v>
      </c>
      <c r="AZ72" s="319" t="s">
        <v>468</v>
      </c>
      <c r="BA72" s="311" t="s">
        <v>412</v>
      </c>
      <c r="BB72" s="279"/>
      <c r="BC72" s="318">
        <f>AW72+AX72</f>
        <v>0</v>
      </c>
      <c r="BD72" s="318">
        <f>G72/(100-BE72)*100</f>
        <v>0</v>
      </c>
      <c r="BE72" s="318">
        <v>0</v>
      </c>
      <c r="BF72" s="318">
        <f>L72</f>
        <v>1.1199999999999999E-3</v>
      </c>
      <c r="BG72" s="279"/>
      <c r="BH72" s="318">
        <f>F72*AO72</f>
        <v>0</v>
      </c>
      <c r="BI72" s="318">
        <f>F72*AP72</f>
        <v>0</v>
      </c>
      <c r="BJ72" s="318">
        <f>F72*G72</f>
        <v>0</v>
      </c>
    </row>
    <row r="73" spans="1:62" s="434" customFormat="1">
      <c r="A73" s="279"/>
      <c r="B73" s="279"/>
      <c r="C73" s="279"/>
      <c r="D73" s="320" t="s">
        <v>528</v>
      </c>
      <c r="E73" s="279"/>
      <c r="F73" s="321">
        <v>2</v>
      </c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279"/>
      <c r="BF73" s="279"/>
      <c r="BG73" s="279"/>
      <c r="BH73" s="279"/>
      <c r="BI73" s="279"/>
      <c r="BJ73" s="279"/>
    </row>
    <row r="74" spans="1:62" s="434" customFormat="1">
      <c r="A74" s="317" t="s">
        <v>529</v>
      </c>
      <c r="B74" s="317"/>
      <c r="C74" s="317" t="s">
        <v>530</v>
      </c>
      <c r="D74" s="317" t="s">
        <v>531</v>
      </c>
      <c r="E74" s="317" t="s">
        <v>439</v>
      </c>
      <c r="F74" s="318">
        <v>2</v>
      </c>
      <c r="G74" s="318">
        <v>0</v>
      </c>
      <c r="H74" s="318">
        <f>F74*AO74</f>
        <v>0</v>
      </c>
      <c r="I74" s="318">
        <f>F74*AP74</f>
        <v>0</v>
      </c>
      <c r="J74" s="318">
        <f>F74*G74</f>
        <v>0</v>
      </c>
      <c r="K74" s="318">
        <v>3.2000000000000002E-3</v>
      </c>
      <c r="L74" s="318">
        <f>F74*K74</f>
        <v>6.4000000000000003E-3</v>
      </c>
      <c r="M74" s="319" t="s">
        <v>409</v>
      </c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279"/>
      <c r="Z74" s="318">
        <f>IF(AQ74="5",BJ74,0)</f>
        <v>0</v>
      </c>
      <c r="AA74" s="279"/>
      <c r="AB74" s="318">
        <f>IF(AQ74="1",BH74,0)</f>
        <v>0</v>
      </c>
      <c r="AC74" s="318">
        <f>IF(AQ74="1",BI74,0)</f>
        <v>0</v>
      </c>
      <c r="AD74" s="318">
        <f>IF(AQ74="7",BH74,0)</f>
        <v>0</v>
      </c>
      <c r="AE74" s="318">
        <f>IF(AQ74="7",BI74,0)</f>
        <v>0</v>
      </c>
      <c r="AF74" s="318">
        <f>IF(AQ74="2",BH74,0)</f>
        <v>0</v>
      </c>
      <c r="AG74" s="318">
        <f>IF(AQ74="2",BI74,0)</f>
        <v>0</v>
      </c>
      <c r="AH74" s="318">
        <f>IF(AQ74="0",BJ74,0)</f>
        <v>0</v>
      </c>
      <c r="AI74" s="311"/>
      <c r="AJ74" s="318">
        <f>IF(AN74=0,J74,0)</f>
        <v>0</v>
      </c>
      <c r="AK74" s="318">
        <f>IF(AN74=15,J74,0)</f>
        <v>0</v>
      </c>
      <c r="AL74" s="318">
        <f>IF(AN74=21,J74,0)</f>
        <v>0</v>
      </c>
      <c r="AM74" s="279"/>
      <c r="AN74" s="318">
        <v>21</v>
      </c>
      <c r="AO74" s="318">
        <f>G74*1</f>
        <v>0</v>
      </c>
      <c r="AP74" s="318">
        <f>G74*(1-1)</f>
        <v>0</v>
      </c>
      <c r="AQ74" s="319" t="s">
        <v>445</v>
      </c>
      <c r="AR74" s="279"/>
      <c r="AS74" s="279"/>
      <c r="AT74" s="279"/>
      <c r="AU74" s="279"/>
      <c r="AV74" s="318">
        <f>AW74+AX74</f>
        <v>0</v>
      </c>
      <c r="AW74" s="318">
        <f>F74*AO74</f>
        <v>0</v>
      </c>
      <c r="AX74" s="318">
        <f>F74*AP74</f>
        <v>0</v>
      </c>
      <c r="AY74" s="319" t="s">
        <v>481</v>
      </c>
      <c r="AZ74" s="319" t="s">
        <v>468</v>
      </c>
      <c r="BA74" s="311" t="s">
        <v>412</v>
      </c>
      <c r="BB74" s="279"/>
      <c r="BC74" s="318">
        <f>AW74+AX74</f>
        <v>0</v>
      </c>
      <c r="BD74" s="318">
        <f>G74/(100-BE74)*100</f>
        <v>0</v>
      </c>
      <c r="BE74" s="318">
        <v>0</v>
      </c>
      <c r="BF74" s="318">
        <f>L74</f>
        <v>6.4000000000000003E-3</v>
      </c>
      <c r="BG74" s="279"/>
      <c r="BH74" s="318">
        <f>F74*AO74</f>
        <v>0</v>
      </c>
      <c r="BI74" s="318">
        <f>F74*AP74</f>
        <v>0</v>
      </c>
      <c r="BJ74" s="318">
        <f>F74*G74</f>
        <v>0</v>
      </c>
    </row>
    <row r="75" spans="1:62" s="434" customFormat="1">
      <c r="A75" s="279"/>
      <c r="B75" s="279"/>
      <c r="C75" s="279"/>
      <c r="D75" s="320" t="s">
        <v>528</v>
      </c>
      <c r="E75" s="279"/>
      <c r="F75" s="321">
        <v>2</v>
      </c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79"/>
      <c r="AZ75" s="279"/>
      <c r="BA75" s="279"/>
      <c r="BB75" s="279"/>
      <c r="BC75" s="279"/>
      <c r="BD75" s="279"/>
      <c r="BE75" s="279"/>
      <c r="BF75" s="279"/>
      <c r="BG75" s="279"/>
      <c r="BH75" s="279"/>
      <c r="BI75" s="279"/>
      <c r="BJ75" s="279"/>
    </row>
    <row r="76" spans="1:62" s="434" customFormat="1">
      <c r="A76" s="317" t="s">
        <v>532</v>
      </c>
      <c r="B76" s="317"/>
      <c r="C76" s="317" t="s">
        <v>533</v>
      </c>
      <c r="D76" s="317" t="s">
        <v>534</v>
      </c>
      <c r="E76" s="317" t="s">
        <v>439</v>
      </c>
      <c r="F76" s="318">
        <v>2</v>
      </c>
      <c r="G76" s="318">
        <v>0</v>
      </c>
      <c r="H76" s="318">
        <f>F76*AO76</f>
        <v>0</v>
      </c>
      <c r="I76" s="318">
        <f>F76*AP76</f>
        <v>0</v>
      </c>
      <c r="J76" s="318">
        <f>F76*G76</f>
        <v>0</v>
      </c>
      <c r="K76" s="318">
        <v>0</v>
      </c>
      <c r="L76" s="318">
        <f>F76*K76</f>
        <v>0</v>
      </c>
      <c r="M76" s="31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  <c r="Z76" s="318">
        <f>IF(AQ76="5",BJ76,0)</f>
        <v>0</v>
      </c>
      <c r="AA76" s="279"/>
      <c r="AB76" s="318">
        <f>IF(AQ76="1",BH76,0)</f>
        <v>0</v>
      </c>
      <c r="AC76" s="318">
        <f>IF(AQ76="1",BI76,0)</f>
        <v>0</v>
      </c>
      <c r="AD76" s="318">
        <f>IF(AQ76="7",BH76,0)</f>
        <v>0</v>
      </c>
      <c r="AE76" s="318">
        <f>IF(AQ76="7",BI76,0)</f>
        <v>0</v>
      </c>
      <c r="AF76" s="318">
        <f>IF(AQ76="2",BH76,0)</f>
        <v>0</v>
      </c>
      <c r="AG76" s="318">
        <f>IF(AQ76="2",BI76,0)</f>
        <v>0</v>
      </c>
      <c r="AH76" s="318">
        <f>IF(AQ76="0",BJ76,0)</f>
        <v>0</v>
      </c>
      <c r="AI76" s="311"/>
      <c r="AJ76" s="318">
        <f>IF(AN76=0,J76,0)</f>
        <v>0</v>
      </c>
      <c r="AK76" s="318">
        <f>IF(AN76=15,J76,0)</f>
        <v>0</v>
      </c>
      <c r="AL76" s="318">
        <f>IF(AN76=21,J76,0)</f>
        <v>0</v>
      </c>
      <c r="AM76" s="279"/>
      <c r="AN76" s="318">
        <v>21</v>
      </c>
      <c r="AO76" s="318">
        <f>G76*0.5</f>
        <v>0</v>
      </c>
      <c r="AP76" s="318">
        <f>G76*(1-0.5)</f>
        <v>0</v>
      </c>
      <c r="AQ76" s="319" t="s">
        <v>445</v>
      </c>
      <c r="AR76" s="279"/>
      <c r="AS76" s="279"/>
      <c r="AT76" s="279"/>
      <c r="AU76" s="279"/>
      <c r="AV76" s="318">
        <f>AW76+AX76</f>
        <v>0</v>
      </c>
      <c r="AW76" s="318">
        <f>F76*AO76</f>
        <v>0</v>
      </c>
      <c r="AX76" s="318">
        <f>F76*AP76</f>
        <v>0</v>
      </c>
      <c r="AY76" s="319" t="s">
        <v>481</v>
      </c>
      <c r="AZ76" s="319" t="s">
        <v>468</v>
      </c>
      <c r="BA76" s="311" t="s">
        <v>412</v>
      </c>
      <c r="BB76" s="279"/>
      <c r="BC76" s="318">
        <f>AW76+AX76</f>
        <v>0</v>
      </c>
      <c r="BD76" s="318">
        <f>G76/(100-BE76)*100</f>
        <v>0</v>
      </c>
      <c r="BE76" s="318">
        <v>0</v>
      </c>
      <c r="BF76" s="318">
        <f>L76</f>
        <v>0</v>
      </c>
      <c r="BG76" s="279"/>
      <c r="BH76" s="318">
        <f>F76*AO76</f>
        <v>0</v>
      </c>
      <c r="BI76" s="318">
        <f>F76*AP76</f>
        <v>0</v>
      </c>
      <c r="BJ76" s="318">
        <f>F76*G76</f>
        <v>0</v>
      </c>
    </row>
    <row r="77" spans="1:62" s="434" customFormat="1">
      <c r="A77" s="279"/>
      <c r="B77" s="279"/>
      <c r="C77" s="279"/>
      <c r="D77" s="320" t="s">
        <v>535</v>
      </c>
      <c r="E77" s="279"/>
      <c r="F77" s="321">
        <v>2</v>
      </c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79"/>
      <c r="AN77" s="279"/>
      <c r="AO77" s="279"/>
      <c r="AP77" s="279"/>
      <c r="AQ77" s="279"/>
      <c r="AR77" s="279"/>
      <c r="AS77" s="279"/>
      <c r="AT77" s="279"/>
      <c r="AU77" s="279"/>
      <c r="AV77" s="279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  <c r="BG77" s="279"/>
      <c r="BH77" s="279"/>
      <c r="BI77" s="279"/>
      <c r="BJ77" s="279"/>
    </row>
    <row r="78" spans="1:62" s="434" customFormat="1">
      <c r="A78" s="279"/>
      <c r="B78" s="279"/>
      <c r="C78" s="279"/>
      <c r="D78" s="320" t="s">
        <v>536</v>
      </c>
      <c r="E78" s="279"/>
      <c r="F78" s="321">
        <v>0</v>
      </c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279"/>
      <c r="AO78" s="279"/>
      <c r="AP78" s="279"/>
      <c r="AQ78" s="279"/>
      <c r="AR78" s="279"/>
      <c r="AS78" s="279"/>
      <c r="AT78" s="279"/>
      <c r="AU78" s="279"/>
      <c r="AV78" s="279"/>
      <c r="AW78" s="279"/>
      <c r="AX78" s="279"/>
      <c r="AY78" s="279"/>
      <c r="AZ78" s="279"/>
      <c r="BA78" s="279"/>
      <c r="BB78" s="279"/>
      <c r="BC78" s="279"/>
      <c r="BD78" s="279"/>
      <c r="BE78" s="279"/>
      <c r="BF78" s="279"/>
      <c r="BG78" s="279"/>
      <c r="BH78" s="279"/>
      <c r="BI78" s="279"/>
      <c r="BJ78" s="279"/>
    </row>
    <row r="79" spans="1:62" s="434" customFormat="1">
      <c r="A79" s="317" t="s">
        <v>537</v>
      </c>
      <c r="B79" s="317"/>
      <c r="C79" s="317" t="s">
        <v>538</v>
      </c>
      <c r="D79" s="317" t="s">
        <v>539</v>
      </c>
      <c r="E79" s="317" t="s">
        <v>439</v>
      </c>
      <c r="F79" s="318">
        <v>2</v>
      </c>
      <c r="G79" s="318">
        <v>0</v>
      </c>
      <c r="H79" s="318">
        <f>F79*AO79</f>
        <v>0</v>
      </c>
      <c r="I79" s="318">
        <f>F79*AP79</f>
        <v>0</v>
      </c>
      <c r="J79" s="318">
        <f>F79*G79</f>
        <v>0</v>
      </c>
      <c r="K79" s="318">
        <v>4.1000000000000002E-2</v>
      </c>
      <c r="L79" s="318">
        <f>F79*K79</f>
        <v>8.2000000000000003E-2</v>
      </c>
      <c r="M79" s="319" t="s">
        <v>409</v>
      </c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318">
        <f>IF(AQ79="5",BJ79,0)</f>
        <v>0</v>
      </c>
      <c r="AA79" s="279"/>
      <c r="AB79" s="318">
        <f>IF(AQ79="1",BH79,0)</f>
        <v>0</v>
      </c>
      <c r="AC79" s="318">
        <f>IF(AQ79="1",BI79,0)</f>
        <v>0</v>
      </c>
      <c r="AD79" s="318">
        <f>IF(AQ79="7",BH79,0)</f>
        <v>0</v>
      </c>
      <c r="AE79" s="318">
        <f>IF(AQ79="7",BI79,0)</f>
        <v>0</v>
      </c>
      <c r="AF79" s="318">
        <f>IF(AQ79="2",BH79,0)</f>
        <v>0</v>
      </c>
      <c r="AG79" s="318">
        <f>IF(AQ79="2",BI79,0)</f>
        <v>0</v>
      </c>
      <c r="AH79" s="318">
        <f>IF(AQ79="0",BJ79,0)</f>
        <v>0</v>
      </c>
      <c r="AI79" s="311"/>
      <c r="AJ79" s="318">
        <f>IF(AN79=0,J79,0)</f>
        <v>0</v>
      </c>
      <c r="AK79" s="318">
        <f>IF(AN79=15,J79,0)</f>
        <v>0</v>
      </c>
      <c r="AL79" s="318">
        <f>IF(AN79=21,J79,0)</f>
        <v>0</v>
      </c>
      <c r="AM79" s="279"/>
      <c r="AN79" s="318">
        <v>21</v>
      </c>
      <c r="AO79" s="318">
        <f>G79*1</f>
        <v>0</v>
      </c>
      <c r="AP79" s="318">
        <f>G79*(1-1)</f>
        <v>0</v>
      </c>
      <c r="AQ79" s="319" t="s">
        <v>445</v>
      </c>
      <c r="AR79" s="279"/>
      <c r="AS79" s="279"/>
      <c r="AT79" s="279"/>
      <c r="AU79" s="279"/>
      <c r="AV79" s="318">
        <f>AW79+AX79</f>
        <v>0</v>
      </c>
      <c r="AW79" s="318">
        <f>F79*AO79</f>
        <v>0</v>
      </c>
      <c r="AX79" s="318">
        <f>F79*AP79</f>
        <v>0</v>
      </c>
      <c r="AY79" s="319" t="s">
        <v>481</v>
      </c>
      <c r="AZ79" s="319" t="s">
        <v>468</v>
      </c>
      <c r="BA79" s="311" t="s">
        <v>412</v>
      </c>
      <c r="BB79" s="279"/>
      <c r="BC79" s="318">
        <f>AW79+AX79</f>
        <v>0</v>
      </c>
      <c r="BD79" s="318">
        <f>G79/(100-BE79)*100</f>
        <v>0</v>
      </c>
      <c r="BE79" s="318">
        <v>0</v>
      </c>
      <c r="BF79" s="318">
        <f>L79</f>
        <v>8.2000000000000003E-2</v>
      </c>
      <c r="BG79" s="279"/>
      <c r="BH79" s="318">
        <f>F79*AO79</f>
        <v>0</v>
      </c>
      <c r="BI79" s="318">
        <f>F79*AP79</f>
        <v>0</v>
      </c>
      <c r="BJ79" s="318">
        <f>F79*G79</f>
        <v>0</v>
      </c>
    </row>
    <row r="80" spans="1:62" s="434" customFormat="1">
      <c r="A80" s="279"/>
      <c r="B80" s="279"/>
      <c r="C80" s="279"/>
      <c r="D80" s="320" t="s">
        <v>535</v>
      </c>
      <c r="E80" s="279"/>
      <c r="F80" s="321">
        <v>2</v>
      </c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</row>
    <row r="81" spans="1:62" s="434" customFormat="1">
      <c r="A81" s="317" t="s">
        <v>540</v>
      </c>
      <c r="B81" s="317"/>
      <c r="C81" s="317" t="s">
        <v>541</v>
      </c>
      <c r="D81" s="317" t="s">
        <v>542</v>
      </c>
      <c r="E81" s="317" t="s">
        <v>439</v>
      </c>
      <c r="F81" s="318">
        <v>2</v>
      </c>
      <c r="G81" s="318">
        <v>0</v>
      </c>
      <c r="H81" s="318">
        <f>F81*AO81</f>
        <v>0</v>
      </c>
      <c r="I81" s="318">
        <f>F81*AP81</f>
        <v>0</v>
      </c>
      <c r="J81" s="318">
        <f>F81*G81</f>
        <v>0</v>
      </c>
      <c r="K81" s="318">
        <v>5.0000000000000001E-4</v>
      </c>
      <c r="L81" s="318">
        <f>F81*K81</f>
        <v>1E-3</v>
      </c>
      <c r="M81" s="31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318">
        <f>IF(AQ81="5",BJ81,0)</f>
        <v>0</v>
      </c>
      <c r="AA81" s="279"/>
      <c r="AB81" s="318">
        <f>IF(AQ81="1",BH81,0)</f>
        <v>0</v>
      </c>
      <c r="AC81" s="318">
        <f>IF(AQ81="1",BI81,0)</f>
        <v>0</v>
      </c>
      <c r="AD81" s="318">
        <f>IF(AQ81="7",BH81,0)</f>
        <v>0</v>
      </c>
      <c r="AE81" s="318">
        <f>IF(AQ81="7",BI81,0)</f>
        <v>0</v>
      </c>
      <c r="AF81" s="318">
        <f>IF(AQ81="2",BH81,0)</f>
        <v>0</v>
      </c>
      <c r="AG81" s="318">
        <f>IF(AQ81="2",BI81,0)</f>
        <v>0</v>
      </c>
      <c r="AH81" s="318">
        <f>IF(AQ81="0",BJ81,0)</f>
        <v>0</v>
      </c>
      <c r="AI81" s="311"/>
      <c r="AJ81" s="318">
        <f>IF(AN81=0,J81,0)</f>
        <v>0</v>
      </c>
      <c r="AK81" s="318">
        <f>IF(AN81=15,J81,0)</f>
        <v>0</v>
      </c>
      <c r="AL81" s="318">
        <f>IF(AN81=21,J81,0)</f>
        <v>0</v>
      </c>
      <c r="AM81" s="279"/>
      <c r="AN81" s="318">
        <v>21</v>
      </c>
      <c r="AO81" s="318">
        <f>G81*1</f>
        <v>0</v>
      </c>
      <c r="AP81" s="318">
        <f>G81*(1-1)</f>
        <v>0</v>
      </c>
      <c r="AQ81" s="319" t="s">
        <v>445</v>
      </c>
      <c r="AR81" s="279"/>
      <c r="AS81" s="279"/>
      <c r="AT81" s="279"/>
      <c r="AU81" s="279"/>
      <c r="AV81" s="318">
        <f>AW81+AX81</f>
        <v>0</v>
      </c>
      <c r="AW81" s="318">
        <f>F81*AO81</f>
        <v>0</v>
      </c>
      <c r="AX81" s="318">
        <f>F81*AP81</f>
        <v>0</v>
      </c>
      <c r="AY81" s="319" t="s">
        <v>481</v>
      </c>
      <c r="AZ81" s="319" t="s">
        <v>468</v>
      </c>
      <c r="BA81" s="311" t="s">
        <v>412</v>
      </c>
      <c r="BB81" s="279"/>
      <c r="BC81" s="318">
        <f>AW81+AX81</f>
        <v>0</v>
      </c>
      <c r="BD81" s="318">
        <f>G81/(100-BE81)*100</f>
        <v>0</v>
      </c>
      <c r="BE81" s="318">
        <v>0</v>
      </c>
      <c r="BF81" s="318">
        <f>L81</f>
        <v>1E-3</v>
      </c>
      <c r="BG81" s="279"/>
      <c r="BH81" s="318">
        <f>F81*AO81</f>
        <v>0</v>
      </c>
      <c r="BI81" s="318">
        <f>F81*AP81</f>
        <v>0</v>
      </c>
      <c r="BJ81" s="318">
        <f>F81*G81</f>
        <v>0</v>
      </c>
    </row>
    <row r="82" spans="1:62" s="434" customFormat="1">
      <c r="A82" s="279"/>
      <c r="B82" s="279"/>
      <c r="C82" s="279"/>
      <c r="D82" s="320" t="s">
        <v>543</v>
      </c>
      <c r="E82" s="279"/>
      <c r="F82" s="321">
        <v>2</v>
      </c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</row>
    <row r="83" spans="1:62" s="434" customFormat="1">
      <c r="A83" s="322"/>
      <c r="B83" s="323"/>
      <c r="C83" s="323" t="s">
        <v>544</v>
      </c>
      <c r="D83" s="323" t="s">
        <v>545</v>
      </c>
      <c r="E83" s="322" t="s">
        <v>374</v>
      </c>
      <c r="F83" s="322" t="s">
        <v>374</v>
      </c>
      <c r="G83" s="322" t="s">
        <v>374</v>
      </c>
      <c r="H83" s="316">
        <f>SUM(H84:H84)</f>
        <v>0</v>
      </c>
      <c r="I83" s="316">
        <f>SUM(I84:I84)</f>
        <v>0</v>
      </c>
      <c r="J83" s="316">
        <f>SUM(J84:J84)</f>
        <v>0</v>
      </c>
      <c r="K83" s="311"/>
      <c r="L83" s="316">
        <f>SUM(L84:L84)</f>
        <v>6.3846140400000001E-2</v>
      </c>
      <c r="M83" s="311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I83" s="311"/>
      <c r="AJ83" s="279"/>
      <c r="AK83" s="279"/>
      <c r="AL83" s="279"/>
      <c r="AM83" s="279"/>
      <c r="AN83" s="279"/>
      <c r="AO83" s="279"/>
      <c r="AP83" s="279"/>
      <c r="AQ83" s="279"/>
      <c r="AR83" s="279"/>
      <c r="AS83" s="316">
        <f>SUM(AJ84:AJ84)</f>
        <v>0</v>
      </c>
      <c r="AT83" s="316">
        <f>SUM(AK84:AK84)</f>
        <v>0</v>
      </c>
      <c r="AU83" s="316">
        <f>SUM(AL84:AL84)</f>
        <v>0</v>
      </c>
      <c r="AV83" s="279"/>
      <c r="AW83" s="279"/>
      <c r="AX83" s="279"/>
      <c r="AY83" s="279"/>
      <c r="AZ83" s="279"/>
      <c r="BA83" s="279"/>
      <c r="BB83" s="279"/>
      <c r="BC83" s="279"/>
      <c r="BD83" s="279"/>
      <c r="BE83" s="279"/>
      <c r="BF83" s="279"/>
      <c r="BG83" s="279"/>
      <c r="BH83" s="279"/>
      <c r="BI83" s="279"/>
      <c r="BJ83" s="279"/>
    </row>
    <row r="84" spans="1:62" s="434" customFormat="1">
      <c r="A84" s="317" t="s">
        <v>546</v>
      </c>
      <c r="B84" s="317"/>
      <c r="C84" s="317" t="s">
        <v>547</v>
      </c>
      <c r="D84" s="317" t="s">
        <v>548</v>
      </c>
      <c r="E84" s="317" t="s">
        <v>408</v>
      </c>
      <c r="F84" s="318">
        <v>50.67154</v>
      </c>
      <c r="G84" s="318">
        <v>0</v>
      </c>
      <c r="H84" s="318">
        <f>F84*AO84</f>
        <v>0</v>
      </c>
      <c r="I84" s="318">
        <f>F84*AP84</f>
        <v>0</v>
      </c>
      <c r="J84" s="318">
        <f>F84*G84</f>
        <v>0</v>
      </c>
      <c r="K84" s="318">
        <v>1.2600000000000001E-3</v>
      </c>
      <c r="L84" s="318">
        <f>F84*K84</f>
        <v>6.3846140400000001E-2</v>
      </c>
      <c r="M84" s="319" t="s">
        <v>409</v>
      </c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318">
        <f>IF(AQ84="5",BJ84,0)</f>
        <v>0</v>
      </c>
      <c r="AA84" s="279"/>
      <c r="AB84" s="318">
        <f>IF(AQ84="1",BH84,0)</f>
        <v>0</v>
      </c>
      <c r="AC84" s="318">
        <f>IF(AQ84="1",BI84,0)</f>
        <v>0</v>
      </c>
      <c r="AD84" s="318">
        <f>IF(AQ84="7",BH84,0)</f>
        <v>0</v>
      </c>
      <c r="AE84" s="318">
        <f>IF(AQ84="7",BI84,0)</f>
        <v>0</v>
      </c>
      <c r="AF84" s="318">
        <f>IF(AQ84="2",BH84,0)</f>
        <v>0</v>
      </c>
      <c r="AG84" s="318">
        <f>IF(AQ84="2",BI84,0)</f>
        <v>0</v>
      </c>
      <c r="AH84" s="318">
        <f>IF(AQ84="0",BJ84,0)</f>
        <v>0</v>
      </c>
      <c r="AI84" s="311"/>
      <c r="AJ84" s="318">
        <f>IF(AN84=0,J84,0)</f>
        <v>0</v>
      </c>
      <c r="AK84" s="318">
        <f>IF(AN84=15,J84,0)</f>
        <v>0</v>
      </c>
      <c r="AL84" s="318">
        <f>IF(AN84=21,J84,0)</f>
        <v>0</v>
      </c>
      <c r="AM84" s="279"/>
      <c r="AN84" s="318">
        <v>21</v>
      </c>
      <c r="AO84" s="318">
        <f>G84*0.400497624943267</f>
        <v>0</v>
      </c>
      <c r="AP84" s="318">
        <f>G84*(1-0.400497624943267)</f>
        <v>0</v>
      </c>
      <c r="AQ84" s="319" t="s">
        <v>445</v>
      </c>
      <c r="AR84" s="279"/>
      <c r="AS84" s="279"/>
      <c r="AT84" s="279"/>
      <c r="AU84" s="279"/>
      <c r="AV84" s="318">
        <f>AW84+AX84</f>
        <v>0</v>
      </c>
      <c r="AW84" s="318">
        <f>F84*AO84</f>
        <v>0</v>
      </c>
      <c r="AX84" s="318">
        <f>F84*AP84</f>
        <v>0</v>
      </c>
      <c r="AY84" s="319" t="s">
        <v>549</v>
      </c>
      <c r="AZ84" s="319" t="s">
        <v>550</v>
      </c>
      <c r="BA84" s="311" t="s">
        <v>412</v>
      </c>
      <c r="BB84" s="279"/>
      <c r="BC84" s="318">
        <f>AW84+AX84</f>
        <v>0</v>
      </c>
      <c r="BD84" s="318">
        <f>G84/(100-BE84)*100</f>
        <v>0</v>
      </c>
      <c r="BE84" s="318">
        <v>0</v>
      </c>
      <c r="BF84" s="318">
        <f>L84</f>
        <v>6.3846140400000001E-2</v>
      </c>
      <c r="BG84" s="279"/>
      <c r="BH84" s="318">
        <f>F84*AO84</f>
        <v>0</v>
      </c>
      <c r="BI84" s="318">
        <f>F84*AP84</f>
        <v>0</v>
      </c>
      <c r="BJ84" s="318">
        <f>F84*G84</f>
        <v>0</v>
      </c>
    </row>
    <row r="85" spans="1:62" s="434" customFormat="1">
      <c r="A85" s="279"/>
      <c r="B85" s="279"/>
      <c r="C85" s="279"/>
      <c r="D85" s="320" t="s">
        <v>551</v>
      </c>
      <c r="E85" s="279"/>
      <c r="F85" s="321">
        <v>29.52</v>
      </c>
      <c r="G85" s="279"/>
      <c r="H85" s="279"/>
      <c r="I85" s="279"/>
      <c r="J85" s="279"/>
      <c r="K85" s="279"/>
      <c r="L85" s="279"/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79"/>
      <c r="AP85" s="279"/>
      <c r="AQ85" s="279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</row>
    <row r="86" spans="1:62" s="434" customFormat="1">
      <c r="A86" s="279"/>
      <c r="B86" s="279"/>
      <c r="C86" s="279"/>
      <c r="D86" s="320" t="s">
        <v>552</v>
      </c>
      <c r="E86" s="279"/>
      <c r="F86" s="321">
        <v>13.85384</v>
      </c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79"/>
      <c r="AL86" s="279"/>
      <c r="AM86" s="279"/>
      <c r="AN86" s="279"/>
      <c r="AO86" s="279"/>
      <c r="AP86" s="279"/>
      <c r="AQ86" s="279"/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79"/>
      <c r="BE86" s="279"/>
      <c r="BF86" s="279"/>
      <c r="BG86" s="279"/>
      <c r="BH86" s="279"/>
      <c r="BI86" s="279"/>
      <c r="BJ86" s="279"/>
    </row>
    <row r="87" spans="1:62" s="434" customFormat="1">
      <c r="A87" s="279"/>
      <c r="B87" s="279"/>
      <c r="C87" s="279"/>
      <c r="D87" s="320" t="s">
        <v>553</v>
      </c>
      <c r="E87" s="279"/>
      <c r="F87" s="321">
        <v>6.7699999999999996E-2</v>
      </c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79"/>
      <c r="AO87" s="279"/>
      <c r="AP87" s="279"/>
      <c r="AQ87" s="279"/>
      <c r="AR87" s="279"/>
      <c r="AS87" s="279"/>
      <c r="AT87" s="279"/>
      <c r="AU87" s="279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79"/>
      <c r="BG87" s="279"/>
      <c r="BH87" s="279"/>
      <c r="BI87" s="279"/>
      <c r="BJ87" s="279"/>
    </row>
    <row r="88" spans="1:62" s="434" customFormat="1">
      <c r="A88" s="279"/>
      <c r="B88" s="279"/>
      <c r="C88" s="279"/>
      <c r="D88" s="320" t="s">
        <v>554</v>
      </c>
      <c r="E88" s="279"/>
      <c r="F88" s="321">
        <v>7.23</v>
      </c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79"/>
      <c r="AO88" s="279"/>
      <c r="AP88" s="279"/>
      <c r="AQ88" s="279"/>
      <c r="AR88" s="279"/>
      <c r="AS88" s="279"/>
      <c r="AT88" s="279"/>
      <c r="AU88" s="279"/>
      <c r="AV88" s="279"/>
      <c r="AW88" s="279"/>
      <c r="AX88" s="279"/>
      <c r="AY88" s="279"/>
      <c r="AZ88" s="279"/>
      <c r="BA88" s="279"/>
      <c r="BB88" s="279"/>
      <c r="BC88" s="279"/>
      <c r="BD88" s="279"/>
      <c r="BE88" s="279"/>
      <c r="BF88" s="279"/>
      <c r="BG88" s="279"/>
      <c r="BH88" s="279"/>
      <c r="BI88" s="279"/>
      <c r="BJ88" s="279"/>
    </row>
    <row r="89" spans="1:62" s="434" customFormat="1">
      <c r="A89" s="322"/>
      <c r="B89" s="323"/>
      <c r="C89" s="323" t="s">
        <v>555</v>
      </c>
      <c r="D89" s="323" t="s">
        <v>556</v>
      </c>
      <c r="E89" s="322" t="s">
        <v>374</v>
      </c>
      <c r="F89" s="322" t="s">
        <v>374</v>
      </c>
      <c r="G89" s="322" t="s">
        <v>374</v>
      </c>
      <c r="H89" s="316">
        <f>SUM(H90:H90)</f>
        <v>0</v>
      </c>
      <c r="I89" s="316">
        <f>SUM(I90:I90)</f>
        <v>0</v>
      </c>
      <c r="J89" s="316">
        <f>SUM(J90:J90)</f>
        <v>0</v>
      </c>
      <c r="K89" s="311"/>
      <c r="L89" s="316">
        <f>SUM(L90:L90)</f>
        <v>1.2959999999999999E-2</v>
      </c>
      <c r="M89" s="311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311"/>
      <c r="AJ89" s="279"/>
      <c r="AK89" s="279"/>
      <c r="AL89" s="279"/>
      <c r="AM89" s="279"/>
      <c r="AN89" s="279"/>
      <c r="AO89" s="279"/>
      <c r="AP89" s="279"/>
      <c r="AQ89" s="279"/>
      <c r="AR89" s="279"/>
      <c r="AS89" s="316">
        <f>SUM(AJ90:AJ90)</f>
        <v>0</v>
      </c>
      <c r="AT89" s="316">
        <f>SUM(AK90:AK90)</f>
        <v>0</v>
      </c>
      <c r="AU89" s="316">
        <f>SUM(AL90:AL90)</f>
        <v>0</v>
      </c>
      <c r="AV89" s="279"/>
      <c r="AW89" s="279"/>
      <c r="AX89" s="279"/>
      <c r="AY89" s="279"/>
      <c r="AZ89" s="279"/>
      <c r="BA89" s="279"/>
      <c r="BB89" s="279"/>
      <c r="BC89" s="279"/>
      <c r="BD89" s="279"/>
      <c r="BE89" s="279"/>
      <c r="BF89" s="279"/>
      <c r="BG89" s="279"/>
      <c r="BH89" s="279"/>
      <c r="BI89" s="279"/>
      <c r="BJ89" s="279"/>
    </row>
    <row r="90" spans="1:62" s="434" customFormat="1">
      <c r="A90" s="317" t="s">
        <v>414</v>
      </c>
      <c r="B90" s="317"/>
      <c r="C90" s="317" t="s">
        <v>557</v>
      </c>
      <c r="D90" s="317" t="s">
        <v>558</v>
      </c>
      <c r="E90" s="317" t="s">
        <v>408</v>
      </c>
      <c r="F90" s="318">
        <v>48</v>
      </c>
      <c r="G90" s="318">
        <v>0</v>
      </c>
      <c r="H90" s="318">
        <f>F90*AO90</f>
        <v>0</v>
      </c>
      <c r="I90" s="318">
        <f>F90*AP90</f>
        <v>0</v>
      </c>
      <c r="J90" s="318">
        <f>F90*G90</f>
        <v>0</v>
      </c>
      <c r="K90" s="318">
        <v>2.7E-4</v>
      </c>
      <c r="L90" s="318">
        <f>F90*K90</f>
        <v>1.2959999999999999E-2</v>
      </c>
      <c r="M90" s="319" t="s">
        <v>409</v>
      </c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318">
        <f>IF(AQ90="5",BJ90,0)</f>
        <v>0</v>
      </c>
      <c r="AA90" s="279"/>
      <c r="AB90" s="318">
        <f>IF(AQ90="1",BH90,0)</f>
        <v>0</v>
      </c>
      <c r="AC90" s="318">
        <f>IF(AQ90="1",BI90,0)</f>
        <v>0</v>
      </c>
      <c r="AD90" s="318">
        <f>IF(AQ90="7",BH90,0)</f>
        <v>0</v>
      </c>
      <c r="AE90" s="318">
        <f>IF(AQ90="7",BI90,0)</f>
        <v>0</v>
      </c>
      <c r="AF90" s="318">
        <f>IF(AQ90="2",BH90,0)</f>
        <v>0</v>
      </c>
      <c r="AG90" s="318">
        <f>IF(AQ90="2",BI90,0)</f>
        <v>0</v>
      </c>
      <c r="AH90" s="318">
        <f>IF(AQ90="0",BJ90,0)</f>
        <v>0</v>
      </c>
      <c r="AI90" s="311"/>
      <c r="AJ90" s="318">
        <f>IF(AN90=0,J90,0)</f>
        <v>0</v>
      </c>
      <c r="AK90" s="318">
        <f>IF(AN90=15,J90,0)</f>
        <v>0</v>
      </c>
      <c r="AL90" s="318">
        <f>IF(AN90=21,J90,0)</f>
        <v>0</v>
      </c>
      <c r="AM90" s="279"/>
      <c r="AN90" s="318">
        <v>21</v>
      </c>
      <c r="AO90" s="318">
        <f>G90*0.0673956262425447</f>
        <v>0</v>
      </c>
      <c r="AP90" s="318">
        <f>G90*(1-0.0673956262425447)</f>
        <v>0</v>
      </c>
      <c r="AQ90" s="319" t="s">
        <v>445</v>
      </c>
      <c r="AR90" s="279"/>
      <c r="AS90" s="279"/>
      <c r="AT90" s="279"/>
      <c r="AU90" s="279"/>
      <c r="AV90" s="318">
        <f>AW90+AX90</f>
        <v>0</v>
      </c>
      <c r="AW90" s="318">
        <f>F90*AO90</f>
        <v>0</v>
      </c>
      <c r="AX90" s="318">
        <f>F90*AP90</f>
        <v>0</v>
      </c>
      <c r="AY90" s="319" t="s">
        <v>559</v>
      </c>
      <c r="AZ90" s="319" t="s">
        <v>550</v>
      </c>
      <c r="BA90" s="311" t="s">
        <v>412</v>
      </c>
      <c r="BB90" s="279"/>
      <c r="BC90" s="318">
        <f>AW90+AX90</f>
        <v>0</v>
      </c>
      <c r="BD90" s="318">
        <f>G90/(100-BE90)*100</f>
        <v>0</v>
      </c>
      <c r="BE90" s="318">
        <v>0</v>
      </c>
      <c r="BF90" s="318">
        <f>L90</f>
        <v>1.2959999999999999E-2</v>
      </c>
      <c r="BG90" s="279"/>
      <c r="BH90" s="318">
        <f>F90*AO90</f>
        <v>0</v>
      </c>
      <c r="BI90" s="318">
        <f>F90*AP90</f>
        <v>0</v>
      </c>
      <c r="BJ90" s="318">
        <f>F90*G90</f>
        <v>0</v>
      </c>
    </row>
    <row r="91" spans="1:62" s="434" customFormat="1">
      <c r="A91" s="279"/>
      <c r="B91" s="279"/>
      <c r="C91" s="279"/>
      <c r="D91" s="320" t="s">
        <v>560</v>
      </c>
      <c r="E91" s="279"/>
      <c r="F91" s="321">
        <v>48</v>
      </c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</row>
    <row r="92" spans="1:62" s="434" customFormat="1">
      <c r="A92" s="322"/>
      <c r="B92" s="323"/>
      <c r="C92" s="323" t="s">
        <v>561</v>
      </c>
      <c r="D92" s="323" t="s">
        <v>562</v>
      </c>
      <c r="E92" s="322" t="s">
        <v>374</v>
      </c>
      <c r="F92" s="322" t="s">
        <v>374</v>
      </c>
      <c r="G92" s="322" t="s">
        <v>374</v>
      </c>
      <c r="H92" s="316">
        <f>SUM(H93:H93)</f>
        <v>0</v>
      </c>
      <c r="I92" s="316">
        <f>SUM(I93:I93)</f>
        <v>0</v>
      </c>
      <c r="J92" s="316">
        <f>SUM(J93:J93)</f>
        <v>0</v>
      </c>
      <c r="K92" s="311"/>
      <c r="L92" s="316">
        <f>SUM(L93:L93)</f>
        <v>0.18591299999999999</v>
      </c>
      <c r="M92" s="311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311"/>
      <c r="AJ92" s="279"/>
      <c r="AK92" s="279"/>
      <c r="AL92" s="279"/>
      <c r="AM92" s="279"/>
      <c r="AN92" s="279"/>
      <c r="AO92" s="279"/>
      <c r="AP92" s="279"/>
      <c r="AQ92" s="279"/>
      <c r="AR92" s="279"/>
      <c r="AS92" s="316">
        <f>SUM(AJ93:AJ93)</f>
        <v>0</v>
      </c>
      <c r="AT92" s="316">
        <f>SUM(AK93:AK93)</f>
        <v>0</v>
      </c>
      <c r="AU92" s="316">
        <f>SUM(AL93:AL93)</f>
        <v>0</v>
      </c>
      <c r="AV92" s="279"/>
      <c r="AW92" s="279"/>
      <c r="AX92" s="279"/>
      <c r="AY92" s="279"/>
      <c r="AZ92" s="279"/>
      <c r="BA92" s="279"/>
      <c r="BB92" s="279"/>
      <c r="BC92" s="279"/>
      <c r="BD92" s="279"/>
      <c r="BE92" s="279"/>
      <c r="BF92" s="279"/>
      <c r="BG92" s="279"/>
      <c r="BH92" s="279"/>
      <c r="BI92" s="279"/>
      <c r="BJ92" s="279"/>
    </row>
    <row r="93" spans="1:62" s="434" customFormat="1">
      <c r="A93" s="317" t="s">
        <v>563</v>
      </c>
      <c r="B93" s="317"/>
      <c r="C93" s="317" t="s">
        <v>564</v>
      </c>
      <c r="D93" s="317" t="s">
        <v>565</v>
      </c>
      <c r="E93" s="317" t="s">
        <v>408</v>
      </c>
      <c r="F93" s="318">
        <v>8.19</v>
      </c>
      <c r="G93" s="318">
        <v>0</v>
      </c>
      <c r="H93" s="318">
        <f>F93*AO93</f>
        <v>0</v>
      </c>
      <c r="I93" s="318">
        <f>F93*AP93</f>
        <v>0</v>
      </c>
      <c r="J93" s="318">
        <f>F93*G93</f>
        <v>0</v>
      </c>
      <c r="K93" s="318">
        <v>2.2700000000000001E-2</v>
      </c>
      <c r="L93" s="318">
        <f>F93*K93</f>
        <v>0.18591299999999999</v>
      </c>
      <c r="M93" s="319" t="s">
        <v>409</v>
      </c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318">
        <f>IF(AQ93="5",BJ93,0)</f>
        <v>0</v>
      </c>
      <c r="AA93" s="279"/>
      <c r="AB93" s="318">
        <f>IF(AQ93="1",BH93,0)</f>
        <v>0</v>
      </c>
      <c r="AC93" s="318">
        <f>IF(AQ93="1",BI93,0)</f>
        <v>0</v>
      </c>
      <c r="AD93" s="318">
        <f>IF(AQ93="7",BH93,0)</f>
        <v>0</v>
      </c>
      <c r="AE93" s="318">
        <f>IF(AQ93="7",BI93,0)</f>
        <v>0</v>
      </c>
      <c r="AF93" s="318">
        <f>IF(AQ93="2",BH93,0)</f>
        <v>0</v>
      </c>
      <c r="AG93" s="318">
        <f>IF(AQ93="2",BI93,0)</f>
        <v>0</v>
      </c>
      <c r="AH93" s="318">
        <f>IF(AQ93="0",BJ93,0)</f>
        <v>0</v>
      </c>
      <c r="AI93" s="311"/>
      <c r="AJ93" s="318">
        <f>IF(AN93=0,J93,0)</f>
        <v>0</v>
      </c>
      <c r="AK93" s="318">
        <f>IF(AN93=15,J93,0)</f>
        <v>0</v>
      </c>
      <c r="AL93" s="318">
        <f>IF(AN93=21,J93,0)</f>
        <v>0</v>
      </c>
      <c r="AM93" s="279"/>
      <c r="AN93" s="318">
        <v>21</v>
      </c>
      <c r="AO93" s="318">
        <f>G93*0.63497414365012</f>
        <v>0</v>
      </c>
      <c r="AP93" s="318">
        <f>G93*(1-0.63497414365012)</f>
        <v>0</v>
      </c>
      <c r="AQ93" s="319" t="s">
        <v>445</v>
      </c>
      <c r="AR93" s="279"/>
      <c r="AS93" s="279"/>
      <c r="AT93" s="279"/>
      <c r="AU93" s="279"/>
      <c r="AV93" s="318">
        <f>AW93+AX93</f>
        <v>0</v>
      </c>
      <c r="AW93" s="318">
        <f>F93*AO93</f>
        <v>0</v>
      </c>
      <c r="AX93" s="318">
        <f>F93*AP93</f>
        <v>0</v>
      </c>
      <c r="AY93" s="319" t="s">
        <v>566</v>
      </c>
      <c r="AZ93" s="319" t="s">
        <v>550</v>
      </c>
      <c r="BA93" s="311" t="s">
        <v>412</v>
      </c>
      <c r="BB93" s="279"/>
      <c r="BC93" s="318">
        <f>AW93+AX93</f>
        <v>0</v>
      </c>
      <c r="BD93" s="318">
        <f>G93/(100-BE93)*100</f>
        <v>0</v>
      </c>
      <c r="BE93" s="318">
        <v>0</v>
      </c>
      <c r="BF93" s="318">
        <f>L93</f>
        <v>0.18591299999999999</v>
      </c>
      <c r="BG93" s="279"/>
      <c r="BH93" s="318">
        <f>F93*AO93</f>
        <v>0</v>
      </c>
      <c r="BI93" s="318">
        <f>F93*AP93</f>
        <v>0</v>
      </c>
      <c r="BJ93" s="318">
        <f>F93*G93</f>
        <v>0</v>
      </c>
    </row>
    <row r="94" spans="1:62" s="434" customFormat="1">
      <c r="A94" s="279"/>
      <c r="B94" s="279"/>
      <c r="C94" s="279"/>
      <c r="D94" s="320" t="s">
        <v>567</v>
      </c>
      <c r="E94" s="279"/>
      <c r="F94" s="321">
        <v>4.68</v>
      </c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  <c r="AT94" s="279"/>
      <c r="AU94" s="279"/>
      <c r="AV94" s="279"/>
      <c r="AW94" s="279"/>
      <c r="AX94" s="279"/>
      <c r="AY94" s="279"/>
      <c r="AZ94" s="279"/>
      <c r="BA94" s="279"/>
      <c r="BB94" s="279"/>
      <c r="BC94" s="279"/>
      <c r="BD94" s="279"/>
      <c r="BE94" s="279"/>
      <c r="BF94" s="279"/>
      <c r="BG94" s="279"/>
      <c r="BH94" s="279"/>
      <c r="BI94" s="279"/>
      <c r="BJ94" s="279"/>
    </row>
    <row r="95" spans="1:62" s="434" customFormat="1">
      <c r="A95" s="279"/>
      <c r="B95" s="279"/>
      <c r="C95" s="279"/>
      <c r="D95" s="320" t="s">
        <v>568</v>
      </c>
      <c r="E95" s="279"/>
      <c r="F95" s="321">
        <v>2.34</v>
      </c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</row>
    <row r="96" spans="1:62" s="434" customFormat="1">
      <c r="A96" s="279"/>
      <c r="B96" s="279"/>
      <c r="C96" s="279"/>
      <c r="D96" s="320" t="s">
        <v>569</v>
      </c>
      <c r="E96" s="279"/>
      <c r="F96" s="321">
        <v>1.17</v>
      </c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</row>
    <row r="97" spans="1:62" s="434" customFormat="1">
      <c r="A97" s="322"/>
      <c r="B97" s="323"/>
      <c r="C97" s="323" t="s">
        <v>570</v>
      </c>
      <c r="D97" s="323" t="s">
        <v>571</v>
      </c>
      <c r="E97" s="322" t="s">
        <v>374</v>
      </c>
      <c r="F97" s="322" t="s">
        <v>374</v>
      </c>
      <c r="G97" s="322" t="s">
        <v>374</v>
      </c>
      <c r="H97" s="316">
        <f>SUM(H98:H98)</f>
        <v>0</v>
      </c>
      <c r="I97" s="316">
        <f>SUM(I98:I98)</f>
        <v>0</v>
      </c>
      <c r="J97" s="316">
        <f>SUM(J98:J98)</f>
        <v>0</v>
      </c>
      <c r="K97" s="311"/>
      <c r="L97" s="316">
        <f>SUM(L98:L98)</f>
        <v>0</v>
      </c>
      <c r="M97" s="311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311"/>
      <c r="AJ97" s="279"/>
      <c r="AK97" s="279"/>
      <c r="AL97" s="279"/>
      <c r="AM97" s="279"/>
      <c r="AN97" s="279"/>
      <c r="AO97" s="279"/>
      <c r="AP97" s="279"/>
      <c r="AQ97" s="279"/>
      <c r="AR97" s="279"/>
      <c r="AS97" s="316">
        <f>SUM(AJ98:AJ98)</f>
        <v>0</v>
      </c>
      <c r="AT97" s="316">
        <f>SUM(AK98:AK98)</f>
        <v>0</v>
      </c>
      <c r="AU97" s="316">
        <f>SUM(AL98:AL98)</f>
        <v>0</v>
      </c>
      <c r="AV97" s="279"/>
      <c r="AW97" s="279"/>
      <c r="AX97" s="279"/>
      <c r="AY97" s="279"/>
      <c r="AZ97" s="279"/>
      <c r="BA97" s="279"/>
      <c r="BB97" s="279"/>
      <c r="BC97" s="279"/>
      <c r="BD97" s="279"/>
      <c r="BE97" s="279"/>
      <c r="BF97" s="279"/>
      <c r="BG97" s="279"/>
      <c r="BH97" s="279"/>
      <c r="BI97" s="279"/>
      <c r="BJ97" s="279"/>
    </row>
    <row r="98" spans="1:62" s="434" customFormat="1">
      <c r="A98" s="317" t="s">
        <v>572</v>
      </c>
      <c r="B98" s="317"/>
      <c r="C98" s="317" t="s">
        <v>573</v>
      </c>
      <c r="D98" s="317" t="s">
        <v>574</v>
      </c>
      <c r="E98" s="317" t="s">
        <v>509</v>
      </c>
      <c r="F98" s="318">
        <v>6.35</v>
      </c>
      <c r="G98" s="318">
        <v>0</v>
      </c>
      <c r="H98" s="318">
        <f>F98*AO98</f>
        <v>0</v>
      </c>
      <c r="I98" s="318">
        <f>F98*AP98</f>
        <v>0</v>
      </c>
      <c r="J98" s="318">
        <f>F98*G98</f>
        <v>0</v>
      </c>
      <c r="K98" s="318">
        <v>0</v>
      </c>
      <c r="L98" s="318">
        <f>F98*K98</f>
        <v>0</v>
      </c>
      <c r="M98" s="319" t="s">
        <v>409</v>
      </c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318">
        <f>IF(AQ98="5",BJ98,0)</f>
        <v>0</v>
      </c>
      <c r="AA98" s="279"/>
      <c r="AB98" s="318">
        <f>IF(AQ98="1",BH98,0)</f>
        <v>0</v>
      </c>
      <c r="AC98" s="318">
        <f>IF(AQ98="1",BI98,0)</f>
        <v>0</v>
      </c>
      <c r="AD98" s="318">
        <f>IF(AQ98="7",BH98,0)</f>
        <v>0</v>
      </c>
      <c r="AE98" s="318">
        <f>IF(AQ98="7",BI98,0)</f>
        <v>0</v>
      </c>
      <c r="AF98" s="318">
        <f>IF(AQ98="2",BH98,0)</f>
        <v>0</v>
      </c>
      <c r="AG98" s="318">
        <f>IF(AQ98="2",BI98,0)</f>
        <v>0</v>
      </c>
      <c r="AH98" s="318">
        <f>IF(AQ98="0",BJ98,0)</f>
        <v>0</v>
      </c>
      <c r="AI98" s="311"/>
      <c r="AJ98" s="318">
        <f>IF(AN98=0,J98,0)</f>
        <v>0</v>
      </c>
      <c r="AK98" s="318">
        <f>IF(AN98=15,J98,0)</f>
        <v>0</v>
      </c>
      <c r="AL98" s="318">
        <f>IF(AN98=21,J98,0)</f>
        <v>0</v>
      </c>
      <c r="AM98" s="279"/>
      <c r="AN98" s="318">
        <v>21</v>
      </c>
      <c r="AO98" s="318">
        <f>G98*0.584180137331148</f>
        <v>0</v>
      </c>
      <c r="AP98" s="318">
        <f>G98*(1-0.584180137331148)</f>
        <v>0</v>
      </c>
      <c r="AQ98" s="319" t="s">
        <v>83</v>
      </c>
      <c r="AR98" s="279"/>
      <c r="AS98" s="279"/>
      <c r="AT98" s="279"/>
      <c r="AU98" s="279"/>
      <c r="AV98" s="318">
        <f>AW98+AX98</f>
        <v>0</v>
      </c>
      <c r="AW98" s="318">
        <f>F98*AO98</f>
        <v>0</v>
      </c>
      <c r="AX98" s="318">
        <f>F98*AP98</f>
        <v>0</v>
      </c>
      <c r="AY98" s="319" t="s">
        <v>575</v>
      </c>
      <c r="AZ98" s="319" t="s">
        <v>576</v>
      </c>
      <c r="BA98" s="311" t="s">
        <v>412</v>
      </c>
      <c r="BB98" s="279"/>
      <c r="BC98" s="318">
        <f>AW98+AX98</f>
        <v>0</v>
      </c>
      <c r="BD98" s="318">
        <f>G98/(100-BE98)*100</f>
        <v>0</v>
      </c>
      <c r="BE98" s="318">
        <v>0</v>
      </c>
      <c r="BF98" s="318">
        <f>L98</f>
        <v>0</v>
      </c>
      <c r="BG98" s="279"/>
      <c r="BH98" s="318">
        <f>F98*AO98</f>
        <v>0</v>
      </c>
      <c r="BI98" s="318">
        <f>F98*AP98</f>
        <v>0</v>
      </c>
      <c r="BJ98" s="318">
        <f>F98*G98</f>
        <v>0</v>
      </c>
    </row>
    <row r="99" spans="1:62" s="434" customFormat="1">
      <c r="A99" s="279"/>
      <c r="B99" s="279"/>
      <c r="C99" s="279"/>
      <c r="D99" s="320" t="s">
        <v>577</v>
      </c>
      <c r="E99" s="279"/>
      <c r="F99" s="321">
        <v>6.35</v>
      </c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79"/>
      <c r="AR99" s="279"/>
      <c r="AS99" s="279"/>
      <c r="AT99" s="279"/>
      <c r="AU99" s="279"/>
      <c r="AV99" s="279"/>
      <c r="AW99" s="279"/>
      <c r="AX99" s="279"/>
      <c r="AY99" s="279"/>
      <c r="AZ99" s="279"/>
      <c r="BA99" s="279"/>
      <c r="BB99" s="279"/>
      <c r="BC99" s="279"/>
      <c r="BD99" s="279"/>
      <c r="BE99" s="279"/>
      <c r="BF99" s="279"/>
      <c r="BG99" s="279"/>
      <c r="BH99" s="279"/>
      <c r="BI99" s="279"/>
      <c r="BJ99" s="279"/>
    </row>
    <row r="100" spans="1:62" s="434" customFormat="1">
      <c r="A100" s="322"/>
      <c r="B100" s="323"/>
      <c r="C100" s="323" t="s">
        <v>578</v>
      </c>
      <c r="D100" s="323" t="s">
        <v>579</v>
      </c>
      <c r="E100" s="322" t="s">
        <v>374</v>
      </c>
      <c r="F100" s="322" t="s">
        <v>374</v>
      </c>
      <c r="G100" s="322" t="s">
        <v>374</v>
      </c>
      <c r="H100" s="316">
        <f>SUM(H101:H107)</f>
        <v>0</v>
      </c>
      <c r="I100" s="316">
        <f>SUM(I101:I107)</f>
        <v>0</v>
      </c>
      <c r="J100" s="316">
        <f>SUM(J101:J107)</f>
        <v>0</v>
      </c>
      <c r="K100" s="311"/>
      <c r="L100" s="316">
        <f>SUM(L101:L107)</f>
        <v>0.60574499999999998</v>
      </c>
      <c r="M100" s="311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311"/>
      <c r="AJ100" s="279"/>
      <c r="AK100" s="279"/>
      <c r="AL100" s="279"/>
      <c r="AM100" s="279"/>
      <c r="AN100" s="279"/>
      <c r="AO100" s="279"/>
      <c r="AP100" s="279"/>
      <c r="AQ100" s="279"/>
      <c r="AR100" s="279"/>
      <c r="AS100" s="316">
        <f>SUM(AJ101:AJ107)</f>
        <v>0</v>
      </c>
      <c r="AT100" s="316">
        <f>SUM(AK101:AK107)</f>
        <v>0</v>
      </c>
      <c r="AU100" s="316">
        <f>SUM(AL101:AL107)</f>
        <v>0</v>
      </c>
      <c r="AV100" s="279"/>
      <c r="AW100" s="279"/>
      <c r="AX100" s="279"/>
      <c r="AY100" s="279"/>
      <c r="AZ100" s="279"/>
      <c r="BA100" s="279"/>
      <c r="BB100" s="279"/>
      <c r="BC100" s="279"/>
      <c r="BD100" s="279"/>
      <c r="BE100" s="279"/>
      <c r="BF100" s="279"/>
      <c r="BG100" s="279"/>
      <c r="BH100" s="279"/>
      <c r="BI100" s="279"/>
      <c r="BJ100" s="279"/>
    </row>
    <row r="101" spans="1:62" s="434" customFormat="1">
      <c r="A101" s="317" t="s">
        <v>580</v>
      </c>
      <c r="B101" s="317"/>
      <c r="C101" s="317" t="s">
        <v>581</v>
      </c>
      <c r="D101" s="317" t="s">
        <v>582</v>
      </c>
      <c r="E101" s="317" t="s">
        <v>408</v>
      </c>
      <c r="F101" s="318">
        <v>31.5</v>
      </c>
      <c r="G101" s="318">
        <v>0</v>
      </c>
      <c r="H101" s="318">
        <f>F101*AO101</f>
        <v>0</v>
      </c>
      <c r="I101" s="318">
        <f>F101*AP101</f>
        <v>0</v>
      </c>
      <c r="J101" s="318">
        <f>F101*G101</f>
        <v>0</v>
      </c>
      <c r="K101" s="318">
        <v>1.8380000000000001E-2</v>
      </c>
      <c r="L101" s="318">
        <f>F101*K101</f>
        <v>0.57896999999999998</v>
      </c>
      <c r="M101" s="319" t="s">
        <v>409</v>
      </c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318">
        <f>IF(AQ101="5",BJ101,0)</f>
        <v>0</v>
      </c>
      <c r="AA101" s="279"/>
      <c r="AB101" s="318">
        <f>IF(AQ101="1",BH101,0)</f>
        <v>0</v>
      </c>
      <c r="AC101" s="318">
        <f>IF(AQ101="1",BI101,0)</f>
        <v>0</v>
      </c>
      <c r="AD101" s="318">
        <f>IF(AQ101="7",BH101,0)</f>
        <v>0</v>
      </c>
      <c r="AE101" s="318">
        <f>IF(AQ101="7",BI101,0)</f>
        <v>0</v>
      </c>
      <c r="AF101" s="318">
        <f>IF(AQ101="2",BH101,0)</f>
        <v>0</v>
      </c>
      <c r="AG101" s="318">
        <f>IF(AQ101="2",BI101,0)</f>
        <v>0</v>
      </c>
      <c r="AH101" s="318">
        <f>IF(AQ101="0",BJ101,0)</f>
        <v>0</v>
      </c>
      <c r="AI101" s="311"/>
      <c r="AJ101" s="318">
        <f>IF(AN101=0,J101,0)</f>
        <v>0</v>
      </c>
      <c r="AK101" s="318">
        <f>IF(AN101=15,J101,0)</f>
        <v>0</v>
      </c>
      <c r="AL101" s="318">
        <f>IF(AN101=21,J101,0)</f>
        <v>0</v>
      </c>
      <c r="AM101" s="279"/>
      <c r="AN101" s="318">
        <v>21</v>
      </c>
      <c r="AO101" s="318">
        <f>G101*0.00032520325203252</f>
        <v>0</v>
      </c>
      <c r="AP101" s="318">
        <f>G101*(1-0.00032520325203252)</f>
        <v>0</v>
      </c>
      <c r="AQ101" s="319" t="s">
        <v>83</v>
      </c>
      <c r="AR101" s="279"/>
      <c r="AS101" s="279"/>
      <c r="AT101" s="279"/>
      <c r="AU101" s="279"/>
      <c r="AV101" s="318">
        <f>AW101+AX101</f>
        <v>0</v>
      </c>
      <c r="AW101" s="318">
        <f>F101*AO101</f>
        <v>0</v>
      </c>
      <c r="AX101" s="318">
        <f>F101*AP101</f>
        <v>0</v>
      </c>
      <c r="AY101" s="319" t="s">
        <v>583</v>
      </c>
      <c r="AZ101" s="319" t="s">
        <v>576</v>
      </c>
      <c r="BA101" s="311" t="s">
        <v>412</v>
      </c>
      <c r="BB101" s="279"/>
      <c r="BC101" s="318">
        <f>AW101+AX101</f>
        <v>0</v>
      </c>
      <c r="BD101" s="318">
        <f>G101/(100-BE101)*100</f>
        <v>0</v>
      </c>
      <c r="BE101" s="318">
        <v>0</v>
      </c>
      <c r="BF101" s="318">
        <f>L101</f>
        <v>0.57896999999999998</v>
      </c>
      <c r="BG101" s="279"/>
      <c r="BH101" s="318">
        <f>F101*AO101</f>
        <v>0</v>
      </c>
      <c r="BI101" s="318">
        <f>F101*AP101</f>
        <v>0</v>
      </c>
      <c r="BJ101" s="318">
        <f>F101*G101</f>
        <v>0</v>
      </c>
    </row>
    <row r="102" spans="1:62" s="434" customFormat="1">
      <c r="A102" s="279"/>
      <c r="B102" s="279"/>
      <c r="C102" s="279"/>
      <c r="D102" s="320" t="s">
        <v>584</v>
      </c>
      <c r="E102" s="279"/>
      <c r="F102" s="321">
        <v>31.5</v>
      </c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  <c r="BD102" s="279"/>
      <c r="BE102" s="279"/>
      <c r="BF102" s="279"/>
      <c r="BG102" s="279"/>
      <c r="BH102" s="279"/>
      <c r="BI102" s="279"/>
      <c r="BJ102" s="279"/>
    </row>
    <row r="103" spans="1:62" s="434" customFormat="1">
      <c r="A103" s="317" t="s">
        <v>585</v>
      </c>
      <c r="B103" s="317"/>
      <c r="C103" s="317" t="s">
        <v>586</v>
      </c>
      <c r="D103" s="317" t="s">
        <v>587</v>
      </c>
      <c r="E103" s="317" t="s">
        <v>408</v>
      </c>
      <c r="F103" s="318">
        <v>31.5</v>
      </c>
      <c r="G103" s="318">
        <v>0</v>
      </c>
      <c r="H103" s="318">
        <f>F103*AO103</f>
        <v>0</v>
      </c>
      <c r="I103" s="318">
        <f>F103*AP103</f>
        <v>0</v>
      </c>
      <c r="J103" s="318">
        <f>F103*G103</f>
        <v>0</v>
      </c>
      <c r="K103" s="318">
        <v>8.4999999999999995E-4</v>
      </c>
      <c r="L103" s="318">
        <f>F103*K103</f>
        <v>2.6775E-2</v>
      </c>
      <c r="M103" s="319" t="s">
        <v>409</v>
      </c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318">
        <f>IF(AQ103="5",BJ103,0)</f>
        <v>0</v>
      </c>
      <c r="AA103" s="279"/>
      <c r="AB103" s="318">
        <f>IF(AQ103="1",BH103,0)</f>
        <v>0</v>
      </c>
      <c r="AC103" s="318">
        <f>IF(AQ103="1",BI103,0)</f>
        <v>0</v>
      </c>
      <c r="AD103" s="318">
        <f>IF(AQ103="7",BH103,0)</f>
        <v>0</v>
      </c>
      <c r="AE103" s="318">
        <f>IF(AQ103="7",BI103,0)</f>
        <v>0</v>
      </c>
      <c r="AF103" s="318">
        <f>IF(AQ103="2",BH103,0)</f>
        <v>0</v>
      </c>
      <c r="AG103" s="318">
        <f>IF(AQ103="2",BI103,0)</f>
        <v>0</v>
      </c>
      <c r="AH103" s="318">
        <f>IF(AQ103="0",BJ103,0)</f>
        <v>0</v>
      </c>
      <c r="AI103" s="311"/>
      <c r="AJ103" s="318">
        <f>IF(AN103=0,J103,0)</f>
        <v>0</v>
      </c>
      <c r="AK103" s="318">
        <f>IF(AN103=15,J103,0)</f>
        <v>0</v>
      </c>
      <c r="AL103" s="318">
        <f>IF(AN103=21,J103,0)</f>
        <v>0</v>
      </c>
      <c r="AM103" s="279"/>
      <c r="AN103" s="318">
        <v>21</v>
      </c>
      <c r="AO103" s="318">
        <f>G103*0.912408759124088</f>
        <v>0</v>
      </c>
      <c r="AP103" s="318">
        <f>G103*(1-0.912408759124088)</f>
        <v>0</v>
      </c>
      <c r="AQ103" s="319" t="s">
        <v>83</v>
      </c>
      <c r="AR103" s="279"/>
      <c r="AS103" s="279"/>
      <c r="AT103" s="279"/>
      <c r="AU103" s="279"/>
      <c r="AV103" s="318">
        <f>AW103+AX103</f>
        <v>0</v>
      </c>
      <c r="AW103" s="318">
        <f>F103*AO103</f>
        <v>0</v>
      </c>
      <c r="AX103" s="318">
        <f>F103*AP103</f>
        <v>0</v>
      </c>
      <c r="AY103" s="319" t="s">
        <v>583</v>
      </c>
      <c r="AZ103" s="319" t="s">
        <v>576</v>
      </c>
      <c r="BA103" s="311" t="s">
        <v>412</v>
      </c>
      <c r="BB103" s="279"/>
      <c r="BC103" s="318">
        <f>AW103+AX103</f>
        <v>0</v>
      </c>
      <c r="BD103" s="318">
        <f>G103/(100-BE103)*100</f>
        <v>0</v>
      </c>
      <c r="BE103" s="318">
        <v>0</v>
      </c>
      <c r="BF103" s="318">
        <f>L103</f>
        <v>2.6775E-2</v>
      </c>
      <c r="BG103" s="279"/>
      <c r="BH103" s="318">
        <f>F103*AO103</f>
        <v>0</v>
      </c>
      <c r="BI103" s="318">
        <f>F103*AP103</f>
        <v>0</v>
      </c>
      <c r="BJ103" s="318">
        <f>F103*G103</f>
        <v>0</v>
      </c>
    </row>
    <row r="104" spans="1:62" s="434" customFormat="1">
      <c r="A104" s="279"/>
      <c r="B104" s="279"/>
      <c r="C104" s="279"/>
      <c r="D104" s="320" t="s">
        <v>588</v>
      </c>
      <c r="E104" s="279"/>
      <c r="F104" s="321">
        <v>31.5</v>
      </c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79"/>
      <c r="BG104" s="279"/>
      <c r="BH104" s="279"/>
      <c r="BI104" s="279"/>
      <c r="BJ104" s="279"/>
    </row>
    <row r="105" spans="1:62" s="434" customFormat="1">
      <c r="A105" s="317" t="s">
        <v>589</v>
      </c>
      <c r="B105" s="317"/>
      <c r="C105" s="317" t="s">
        <v>590</v>
      </c>
      <c r="D105" s="317" t="s">
        <v>591</v>
      </c>
      <c r="E105" s="317" t="s">
        <v>408</v>
      </c>
      <c r="F105" s="318">
        <v>31.5</v>
      </c>
      <c r="G105" s="318">
        <v>0</v>
      </c>
      <c r="H105" s="318">
        <f>F105*AO105</f>
        <v>0</v>
      </c>
      <c r="I105" s="318">
        <f>F105*AP105</f>
        <v>0</v>
      </c>
      <c r="J105" s="318">
        <f>F105*G105</f>
        <v>0</v>
      </c>
      <c r="K105" s="318">
        <v>0</v>
      </c>
      <c r="L105" s="318">
        <f>F105*K105</f>
        <v>0</v>
      </c>
      <c r="M105" s="319" t="s">
        <v>409</v>
      </c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318">
        <f>IF(AQ105="5",BJ105,0)</f>
        <v>0</v>
      </c>
      <c r="AA105" s="279"/>
      <c r="AB105" s="318">
        <f>IF(AQ105="1",BH105,0)</f>
        <v>0</v>
      </c>
      <c r="AC105" s="318">
        <f>IF(AQ105="1",BI105,0)</f>
        <v>0</v>
      </c>
      <c r="AD105" s="318">
        <f>IF(AQ105="7",BH105,0)</f>
        <v>0</v>
      </c>
      <c r="AE105" s="318">
        <f>IF(AQ105="7",BI105,0)</f>
        <v>0</v>
      </c>
      <c r="AF105" s="318">
        <f>IF(AQ105="2",BH105,0)</f>
        <v>0</v>
      </c>
      <c r="AG105" s="318">
        <f>IF(AQ105="2",BI105,0)</f>
        <v>0</v>
      </c>
      <c r="AH105" s="318">
        <f>IF(AQ105="0",BJ105,0)</f>
        <v>0</v>
      </c>
      <c r="AI105" s="311"/>
      <c r="AJ105" s="318">
        <f>IF(AN105=0,J105,0)</f>
        <v>0</v>
      </c>
      <c r="AK105" s="318">
        <f>IF(AN105=15,J105,0)</f>
        <v>0</v>
      </c>
      <c r="AL105" s="318">
        <f>IF(AN105=21,J105,0)</f>
        <v>0</v>
      </c>
      <c r="AM105" s="279"/>
      <c r="AN105" s="318">
        <v>21</v>
      </c>
      <c r="AO105" s="318">
        <f>G105*0</f>
        <v>0</v>
      </c>
      <c r="AP105" s="318">
        <f>G105*(1-0)</f>
        <v>0</v>
      </c>
      <c r="AQ105" s="319" t="s">
        <v>83</v>
      </c>
      <c r="AR105" s="279"/>
      <c r="AS105" s="279"/>
      <c r="AT105" s="279"/>
      <c r="AU105" s="279"/>
      <c r="AV105" s="318">
        <f>AW105+AX105</f>
        <v>0</v>
      </c>
      <c r="AW105" s="318">
        <f>F105*AO105</f>
        <v>0</v>
      </c>
      <c r="AX105" s="318">
        <f>F105*AP105</f>
        <v>0</v>
      </c>
      <c r="AY105" s="319" t="s">
        <v>583</v>
      </c>
      <c r="AZ105" s="319" t="s">
        <v>576</v>
      </c>
      <c r="BA105" s="311" t="s">
        <v>412</v>
      </c>
      <c r="BB105" s="279"/>
      <c r="BC105" s="318">
        <f>AW105+AX105</f>
        <v>0</v>
      </c>
      <c r="BD105" s="318">
        <f>G105/(100-BE105)*100</f>
        <v>0</v>
      </c>
      <c r="BE105" s="318">
        <v>0</v>
      </c>
      <c r="BF105" s="318">
        <f>L105</f>
        <v>0</v>
      </c>
      <c r="BG105" s="279"/>
      <c r="BH105" s="318">
        <f>F105*AO105</f>
        <v>0</v>
      </c>
      <c r="BI105" s="318">
        <f>F105*AP105</f>
        <v>0</v>
      </c>
      <c r="BJ105" s="318">
        <f>F105*G105</f>
        <v>0</v>
      </c>
    </row>
    <row r="106" spans="1:62" s="434" customFormat="1">
      <c r="A106" s="279"/>
      <c r="B106" s="279"/>
      <c r="C106" s="279"/>
      <c r="D106" s="320" t="s">
        <v>588</v>
      </c>
      <c r="E106" s="279"/>
      <c r="F106" s="321">
        <v>31.5</v>
      </c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  <c r="AM106" s="279"/>
      <c r="AN106" s="279"/>
      <c r="AO106" s="279"/>
      <c r="AP106" s="279"/>
      <c r="AQ106" s="279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  <c r="BC106" s="279"/>
      <c r="BD106" s="279"/>
      <c r="BE106" s="279"/>
      <c r="BF106" s="279"/>
      <c r="BG106" s="279"/>
      <c r="BH106" s="279"/>
      <c r="BI106" s="279"/>
      <c r="BJ106" s="279"/>
    </row>
    <row r="107" spans="1:62" s="434" customFormat="1">
      <c r="A107" s="317" t="s">
        <v>592</v>
      </c>
      <c r="B107" s="317"/>
      <c r="C107" s="317" t="s">
        <v>593</v>
      </c>
      <c r="D107" s="317" t="s">
        <v>594</v>
      </c>
      <c r="E107" s="317" t="s">
        <v>432</v>
      </c>
      <c r="F107" s="318">
        <v>0.60573999999999995</v>
      </c>
      <c r="G107" s="318">
        <v>0</v>
      </c>
      <c r="H107" s="318">
        <f>F107*AO107</f>
        <v>0</v>
      </c>
      <c r="I107" s="318">
        <f>F107*AP107</f>
        <v>0</v>
      </c>
      <c r="J107" s="318">
        <f>F107*G107</f>
        <v>0</v>
      </c>
      <c r="K107" s="318">
        <v>0</v>
      </c>
      <c r="L107" s="318">
        <f>F107*K107</f>
        <v>0</v>
      </c>
      <c r="M107" s="319" t="s">
        <v>409</v>
      </c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318">
        <f>IF(AQ107="5",BJ107,0)</f>
        <v>0</v>
      </c>
      <c r="AA107" s="279"/>
      <c r="AB107" s="318">
        <f>IF(AQ107="1",BH107,0)</f>
        <v>0</v>
      </c>
      <c r="AC107" s="318">
        <f>IF(AQ107="1",BI107,0)</f>
        <v>0</v>
      </c>
      <c r="AD107" s="318">
        <f>IF(AQ107="7",BH107,0)</f>
        <v>0</v>
      </c>
      <c r="AE107" s="318">
        <f>IF(AQ107="7",BI107,0)</f>
        <v>0</v>
      </c>
      <c r="AF107" s="318">
        <f>IF(AQ107="2",BH107,0)</f>
        <v>0</v>
      </c>
      <c r="AG107" s="318">
        <f>IF(AQ107="2",BI107,0)</f>
        <v>0</v>
      </c>
      <c r="AH107" s="318">
        <f>IF(AQ107="0",BJ107,0)</f>
        <v>0</v>
      </c>
      <c r="AI107" s="311"/>
      <c r="AJ107" s="318">
        <f>IF(AN107=0,J107,0)</f>
        <v>0</v>
      </c>
      <c r="AK107" s="318">
        <f>IF(AN107=15,J107,0)</f>
        <v>0</v>
      </c>
      <c r="AL107" s="318">
        <f>IF(AN107=21,J107,0)</f>
        <v>0</v>
      </c>
      <c r="AM107" s="279"/>
      <c r="AN107" s="318">
        <v>21</v>
      </c>
      <c r="AO107" s="318">
        <f>G107*0</f>
        <v>0</v>
      </c>
      <c r="AP107" s="318">
        <f>G107*(1-0)</f>
        <v>0</v>
      </c>
      <c r="AQ107" s="319" t="s">
        <v>429</v>
      </c>
      <c r="AR107" s="279"/>
      <c r="AS107" s="279"/>
      <c r="AT107" s="279"/>
      <c r="AU107" s="279"/>
      <c r="AV107" s="318">
        <f>AW107+AX107</f>
        <v>0</v>
      </c>
      <c r="AW107" s="318">
        <f>F107*AO107</f>
        <v>0</v>
      </c>
      <c r="AX107" s="318">
        <f>F107*AP107</f>
        <v>0</v>
      </c>
      <c r="AY107" s="319" t="s">
        <v>583</v>
      </c>
      <c r="AZ107" s="319" t="s">
        <v>576</v>
      </c>
      <c r="BA107" s="311" t="s">
        <v>412</v>
      </c>
      <c r="BB107" s="279"/>
      <c r="BC107" s="318">
        <f>AW107+AX107</f>
        <v>0</v>
      </c>
      <c r="BD107" s="318">
        <f>G107/(100-BE107)*100</f>
        <v>0</v>
      </c>
      <c r="BE107" s="318">
        <v>0</v>
      </c>
      <c r="BF107" s="318">
        <f>L107</f>
        <v>0</v>
      </c>
      <c r="BG107" s="279"/>
      <c r="BH107" s="318">
        <f>F107*AO107</f>
        <v>0</v>
      </c>
      <c r="BI107" s="318">
        <f>F107*AP107</f>
        <v>0</v>
      </c>
      <c r="BJ107" s="318">
        <f>F107*G107</f>
        <v>0</v>
      </c>
    </row>
    <row r="108" spans="1:62" s="434" customFormat="1">
      <c r="A108" s="322"/>
      <c r="B108" s="323"/>
      <c r="C108" s="323" t="s">
        <v>595</v>
      </c>
      <c r="D108" s="323" t="s">
        <v>596</v>
      </c>
      <c r="E108" s="322" t="s">
        <v>374</v>
      </c>
      <c r="F108" s="322" t="s">
        <v>374</v>
      </c>
      <c r="G108" s="322" t="s">
        <v>374</v>
      </c>
      <c r="H108" s="316">
        <f>SUM(H109:H117)</f>
        <v>0</v>
      </c>
      <c r="I108" s="316">
        <f>SUM(I109:I117)</f>
        <v>0</v>
      </c>
      <c r="J108" s="316">
        <f>SUM(J109:J117)</f>
        <v>0</v>
      </c>
      <c r="K108" s="311"/>
      <c r="L108" s="316">
        <f>SUM(L109:L117)</f>
        <v>4.0376000000000002E-2</v>
      </c>
      <c r="M108" s="311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311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316">
        <f>SUM(AJ109:AJ117)</f>
        <v>0</v>
      </c>
      <c r="AT108" s="316">
        <f>SUM(AK109:AK117)</f>
        <v>0</v>
      </c>
      <c r="AU108" s="316">
        <f>SUM(AL109:AL117)</f>
        <v>0</v>
      </c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</row>
    <row r="109" spans="1:62" s="434" customFormat="1">
      <c r="A109" s="317" t="s">
        <v>597</v>
      </c>
      <c r="B109" s="317"/>
      <c r="C109" s="317" t="s">
        <v>598</v>
      </c>
      <c r="D109" s="317" t="s">
        <v>599</v>
      </c>
      <c r="E109" s="317" t="s">
        <v>408</v>
      </c>
      <c r="F109" s="318">
        <v>233.9</v>
      </c>
      <c r="G109" s="318">
        <v>0</v>
      </c>
      <c r="H109" s="318">
        <f>F109*AO109</f>
        <v>0</v>
      </c>
      <c r="I109" s="318">
        <f>F109*AP109</f>
        <v>0</v>
      </c>
      <c r="J109" s="318">
        <f>F109*G109</f>
        <v>0</v>
      </c>
      <c r="K109" s="318">
        <v>4.0000000000000003E-5</v>
      </c>
      <c r="L109" s="318">
        <f>F109*K109</f>
        <v>9.3560000000000015E-3</v>
      </c>
      <c r="M109" s="319" t="s">
        <v>409</v>
      </c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  <c r="Z109" s="318">
        <f>IF(AQ109="5",BJ109,0)</f>
        <v>0</v>
      </c>
      <c r="AA109" s="279"/>
      <c r="AB109" s="318">
        <f>IF(AQ109="1",BH109,0)</f>
        <v>0</v>
      </c>
      <c r="AC109" s="318">
        <f>IF(AQ109="1",BI109,0)</f>
        <v>0</v>
      </c>
      <c r="AD109" s="318">
        <f>IF(AQ109="7",BH109,0)</f>
        <v>0</v>
      </c>
      <c r="AE109" s="318">
        <f>IF(AQ109="7",BI109,0)</f>
        <v>0</v>
      </c>
      <c r="AF109" s="318">
        <f>IF(AQ109="2",BH109,0)</f>
        <v>0</v>
      </c>
      <c r="AG109" s="318">
        <f>IF(AQ109="2",BI109,0)</f>
        <v>0</v>
      </c>
      <c r="AH109" s="318">
        <f>IF(AQ109="0",BJ109,0)</f>
        <v>0</v>
      </c>
      <c r="AI109" s="311"/>
      <c r="AJ109" s="318">
        <f>IF(AN109=0,J109,0)</f>
        <v>0</v>
      </c>
      <c r="AK109" s="318">
        <f>IF(AN109=15,J109,0)</f>
        <v>0</v>
      </c>
      <c r="AL109" s="318">
        <f>IF(AN109=21,J109,0)</f>
        <v>0</v>
      </c>
      <c r="AM109" s="279"/>
      <c r="AN109" s="318">
        <v>21</v>
      </c>
      <c r="AO109" s="318">
        <f>G109*0.0123809523809524</f>
        <v>0</v>
      </c>
      <c r="AP109" s="318">
        <f>G109*(1-0.0123809523809524)</f>
        <v>0</v>
      </c>
      <c r="AQ109" s="319" t="s">
        <v>83</v>
      </c>
      <c r="AR109" s="279"/>
      <c r="AS109" s="279"/>
      <c r="AT109" s="279"/>
      <c r="AU109" s="279"/>
      <c r="AV109" s="318">
        <f>AW109+AX109</f>
        <v>0</v>
      </c>
      <c r="AW109" s="318">
        <f>F109*AO109</f>
        <v>0</v>
      </c>
      <c r="AX109" s="318">
        <f>F109*AP109</f>
        <v>0</v>
      </c>
      <c r="AY109" s="319" t="s">
        <v>600</v>
      </c>
      <c r="AZ109" s="319" t="s">
        <v>576</v>
      </c>
      <c r="BA109" s="311" t="s">
        <v>412</v>
      </c>
      <c r="BB109" s="279"/>
      <c r="BC109" s="318">
        <f>AW109+AX109</f>
        <v>0</v>
      </c>
      <c r="BD109" s="318">
        <f>G109/(100-BE109)*100</f>
        <v>0</v>
      </c>
      <c r="BE109" s="318">
        <v>0</v>
      </c>
      <c r="BF109" s="318">
        <f>L109</f>
        <v>9.3560000000000015E-3</v>
      </c>
      <c r="BG109" s="279"/>
      <c r="BH109" s="318">
        <f>F109*AO109</f>
        <v>0</v>
      </c>
      <c r="BI109" s="318">
        <f>F109*AP109</f>
        <v>0</v>
      </c>
      <c r="BJ109" s="318">
        <f>F109*G109</f>
        <v>0</v>
      </c>
    </row>
    <row r="110" spans="1:62" s="434" customFormat="1">
      <c r="A110" s="279"/>
      <c r="B110" s="279"/>
      <c r="C110" s="279"/>
      <c r="D110" s="320" t="s">
        <v>601</v>
      </c>
      <c r="E110" s="279"/>
      <c r="F110" s="321">
        <v>180.9</v>
      </c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</row>
    <row r="111" spans="1:62" s="434" customFormat="1">
      <c r="A111" s="279"/>
      <c r="B111" s="279"/>
      <c r="C111" s="279"/>
      <c r="D111" s="320" t="s">
        <v>602</v>
      </c>
      <c r="E111" s="279"/>
      <c r="F111" s="321">
        <v>28</v>
      </c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79"/>
      <c r="BI111" s="279"/>
      <c r="BJ111" s="279"/>
    </row>
    <row r="112" spans="1:62" s="434" customFormat="1">
      <c r="A112" s="279"/>
      <c r="B112" s="279"/>
      <c r="C112" s="279"/>
      <c r="D112" s="320" t="s">
        <v>603</v>
      </c>
      <c r="E112" s="279"/>
      <c r="F112" s="321">
        <v>25</v>
      </c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  <c r="BD112" s="279"/>
      <c r="BE112" s="279"/>
      <c r="BF112" s="279"/>
      <c r="BG112" s="279"/>
      <c r="BH112" s="279"/>
      <c r="BI112" s="279"/>
      <c r="BJ112" s="279"/>
    </row>
    <row r="113" spans="1:62" s="434" customFormat="1">
      <c r="A113" s="317" t="s">
        <v>604</v>
      </c>
      <c r="B113" s="317"/>
      <c r="C113" s="317" t="s">
        <v>605</v>
      </c>
      <c r="D113" s="317" t="s">
        <v>606</v>
      </c>
      <c r="E113" s="317" t="s">
        <v>439</v>
      </c>
      <c r="F113" s="318">
        <v>24</v>
      </c>
      <c r="G113" s="318">
        <v>0</v>
      </c>
      <c r="H113" s="318">
        <f>F113*AO113</f>
        <v>0</v>
      </c>
      <c r="I113" s="318">
        <f>F113*AP113</f>
        <v>0</v>
      </c>
      <c r="J113" s="318">
        <f>F113*G113</f>
        <v>0</v>
      </c>
      <c r="K113" s="318">
        <v>0</v>
      </c>
      <c r="L113" s="318">
        <f>F113*K113</f>
        <v>0</v>
      </c>
      <c r="M113" s="319" t="s">
        <v>409</v>
      </c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318">
        <f>IF(AQ113="5",BJ113,0)</f>
        <v>0</v>
      </c>
      <c r="AA113" s="279"/>
      <c r="AB113" s="318">
        <f>IF(AQ113="1",BH113,0)</f>
        <v>0</v>
      </c>
      <c r="AC113" s="318">
        <f>IF(AQ113="1",BI113,0)</f>
        <v>0</v>
      </c>
      <c r="AD113" s="318">
        <f>IF(AQ113="7",BH113,0)</f>
        <v>0</v>
      </c>
      <c r="AE113" s="318">
        <f>IF(AQ113="7",BI113,0)</f>
        <v>0</v>
      </c>
      <c r="AF113" s="318">
        <f>IF(AQ113="2",BH113,0)</f>
        <v>0</v>
      </c>
      <c r="AG113" s="318">
        <f>IF(AQ113="2",BI113,0)</f>
        <v>0</v>
      </c>
      <c r="AH113" s="318">
        <f>IF(AQ113="0",BJ113,0)</f>
        <v>0</v>
      </c>
      <c r="AI113" s="311"/>
      <c r="AJ113" s="318">
        <f>IF(AN113=0,J113,0)</f>
        <v>0</v>
      </c>
      <c r="AK113" s="318">
        <f>IF(AN113=15,J113,0)</f>
        <v>0</v>
      </c>
      <c r="AL113" s="318">
        <f>IF(AN113=21,J113,0)</f>
        <v>0</v>
      </c>
      <c r="AM113" s="279"/>
      <c r="AN113" s="318">
        <v>21</v>
      </c>
      <c r="AO113" s="318">
        <f>G113*0.540303951367781</f>
        <v>0</v>
      </c>
      <c r="AP113" s="318">
        <f>G113*(1-0.540303951367781)</f>
        <v>0</v>
      </c>
      <c r="AQ113" s="319" t="s">
        <v>83</v>
      </c>
      <c r="AR113" s="279"/>
      <c r="AS113" s="279"/>
      <c r="AT113" s="279"/>
      <c r="AU113" s="279"/>
      <c r="AV113" s="318">
        <f>AW113+AX113</f>
        <v>0</v>
      </c>
      <c r="AW113" s="318">
        <f>F113*AO113</f>
        <v>0</v>
      </c>
      <c r="AX113" s="318">
        <f>F113*AP113</f>
        <v>0</v>
      </c>
      <c r="AY113" s="319" t="s">
        <v>600</v>
      </c>
      <c r="AZ113" s="319" t="s">
        <v>576</v>
      </c>
      <c r="BA113" s="311" t="s">
        <v>412</v>
      </c>
      <c r="BB113" s="279"/>
      <c r="BC113" s="318">
        <f>AW113+AX113</f>
        <v>0</v>
      </c>
      <c r="BD113" s="318">
        <f>G113/(100-BE113)*100</f>
        <v>0</v>
      </c>
      <c r="BE113" s="318">
        <v>0</v>
      </c>
      <c r="BF113" s="318">
        <f>L113</f>
        <v>0</v>
      </c>
      <c r="BG113" s="279"/>
      <c r="BH113" s="318">
        <f>F113*AO113</f>
        <v>0</v>
      </c>
      <c r="BI113" s="318">
        <f>F113*AP113</f>
        <v>0</v>
      </c>
      <c r="BJ113" s="318">
        <f>F113*G113</f>
        <v>0</v>
      </c>
    </row>
    <row r="114" spans="1:62" s="434" customFormat="1">
      <c r="A114" s="279"/>
      <c r="B114" s="279"/>
      <c r="C114" s="279"/>
      <c r="D114" s="320" t="s">
        <v>607</v>
      </c>
      <c r="E114" s="279"/>
      <c r="F114" s="321">
        <v>24</v>
      </c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79"/>
      <c r="AQ114" s="279"/>
      <c r="AR114" s="279"/>
      <c r="AS114" s="279"/>
      <c r="AT114" s="279"/>
      <c r="AU114" s="279"/>
      <c r="AV114" s="279"/>
      <c r="AW114" s="279"/>
      <c r="AX114" s="279"/>
      <c r="AY114" s="279"/>
      <c r="AZ114" s="279"/>
      <c r="BA114" s="279"/>
      <c r="BB114" s="279"/>
      <c r="BC114" s="279"/>
      <c r="BD114" s="279"/>
      <c r="BE114" s="279"/>
      <c r="BF114" s="279"/>
      <c r="BG114" s="279"/>
      <c r="BH114" s="279"/>
      <c r="BI114" s="279"/>
      <c r="BJ114" s="279"/>
    </row>
    <row r="115" spans="1:62" s="434" customFormat="1">
      <c r="A115" s="317" t="s">
        <v>608</v>
      </c>
      <c r="B115" s="317"/>
      <c r="C115" s="317" t="s">
        <v>609</v>
      </c>
      <c r="D115" s="317" t="s">
        <v>610</v>
      </c>
      <c r="E115" s="317" t="s">
        <v>439</v>
      </c>
      <c r="F115" s="318">
        <v>2</v>
      </c>
      <c r="G115" s="318">
        <v>0</v>
      </c>
      <c r="H115" s="318">
        <f>F115*AO115</f>
        <v>0</v>
      </c>
      <c r="I115" s="318">
        <f>F115*AP115</f>
        <v>0</v>
      </c>
      <c r="J115" s="318">
        <f>F115*G115</f>
        <v>0</v>
      </c>
      <c r="K115" s="318">
        <v>1.0000000000000001E-5</v>
      </c>
      <c r="L115" s="318">
        <f>F115*K115</f>
        <v>2.0000000000000002E-5</v>
      </c>
      <c r="M115" s="319" t="s">
        <v>409</v>
      </c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  <c r="Z115" s="318">
        <f>IF(AQ115="5",BJ115,0)</f>
        <v>0</v>
      </c>
      <c r="AA115" s="279"/>
      <c r="AB115" s="318">
        <f>IF(AQ115="1",BH115,0)</f>
        <v>0</v>
      </c>
      <c r="AC115" s="318">
        <f>IF(AQ115="1",BI115,0)</f>
        <v>0</v>
      </c>
      <c r="AD115" s="318">
        <f>IF(AQ115="7",BH115,0)</f>
        <v>0</v>
      </c>
      <c r="AE115" s="318">
        <f>IF(AQ115="7",BI115,0)</f>
        <v>0</v>
      </c>
      <c r="AF115" s="318">
        <f>IF(AQ115="2",BH115,0)</f>
        <v>0</v>
      </c>
      <c r="AG115" s="318">
        <f>IF(AQ115="2",BI115,0)</f>
        <v>0</v>
      </c>
      <c r="AH115" s="318">
        <f>IF(AQ115="0",BJ115,0)</f>
        <v>0</v>
      </c>
      <c r="AI115" s="311"/>
      <c r="AJ115" s="318">
        <f>IF(AN115=0,J115,0)</f>
        <v>0</v>
      </c>
      <c r="AK115" s="318">
        <f>IF(AN115=15,J115,0)</f>
        <v>0</v>
      </c>
      <c r="AL115" s="318">
        <f>IF(AN115=21,J115,0)</f>
        <v>0</v>
      </c>
      <c r="AM115" s="279"/>
      <c r="AN115" s="318">
        <v>21</v>
      </c>
      <c r="AO115" s="318">
        <f>G115*0.141133896260555</f>
        <v>0</v>
      </c>
      <c r="AP115" s="318">
        <f>G115*(1-0.141133896260555)</f>
        <v>0</v>
      </c>
      <c r="AQ115" s="319" t="s">
        <v>83</v>
      </c>
      <c r="AR115" s="279"/>
      <c r="AS115" s="279"/>
      <c r="AT115" s="279"/>
      <c r="AU115" s="279"/>
      <c r="AV115" s="318">
        <f>AW115+AX115</f>
        <v>0</v>
      </c>
      <c r="AW115" s="318">
        <f>F115*AO115</f>
        <v>0</v>
      </c>
      <c r="AX115" s="318">
        <f>F115*AP115</f>
        <v>0</v>
      </c>
      <c r="AY115" s="319" t="s">
        <v>600</v>
      </c>
      <c r="AZ115" s="319" t="s">
        <v>576</v>
      </c>
      <c r="BA115" s="311" t="s">
        <v>412</v>
      </c>
      <c r="BB115" s="279"/>
      <c r="BC115" s="318">
        <f>AW115+AX115</f>
        <v>0</v>
      </c>
      <c r="BD115" s="318">
        <f>G115/(100-BE115)*100</f>
        <v>0</v>
      </c>
      <c r="BE115" s="318">
        <v>0</v>
      </c>
      <c r="BF115" s="318">
        <f>L115</f>
        <v>2.0000000000000002E-5</v>
      </c>
      <c r="BG115" s="279"/>
      <c r="BH115" s="318">
        <f>F115*AO115</f>
        <v>0</v>
      </c>
      <c r="BI115" s="318">
        <f>F115*AP115</f>
        <v>0</v>
      </c>
      <c r="BJ115" s="318">
        <f>F115*G115</f>
        <v>0</v>
      </c>
    </row>
    <row r="116" spans="1:62" s="434" customFormat="1">
      <c r="A116" s="279"/>
      <c r="B116" s="279"/>
      <c r="C116" s="279"/>
      <c r="D116" s="320" t="s">
        <v>611</v>
      </c>
      <c r="E116" s="279"/>
      <c r="F116" s="321">
        <v>2</v>
      </c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</row>
    <row r="117" spans="1:62" s="434" customFormat="1">
      <c r="A117" s="317" t="s">
        <v>612</v>
      </c>
      <c r="B117" s="317"/>
      <c r="C117" s="317" t="s">
        <v>613</v>
      </c>
      <c r="D117" s="317" t="s">
        <v>614</v>
      </c>
      <c r="E117" s="317" t="s">
        <v>439</v>
      </c>
      <c r="F117" s="318">
        <v>2</v>
      </c>
      <c r="G117" s="318">
        <v>0</v>
      </c>
      <c r="H117" s="318">
        <f>F117*AO117</f>
        <v>0</v>
      </c>
      <c r="I117" s="318">
        <f>F117*AP117</f>
        <v>0</v>
      </c>
      <c r="J117" s="318">
        <f>F117*G117</f>
        <v>0</v>
      </c>
      <c r="K117" s="318">
        <v>1.55E-2</v>
      </c>
      <c r="L117" s="318">
        <f>F117*K117</f>
        <v>3.1E-2</v>
      </c>
      <c r="M117" s="319" t="s">
        <v>409</v>
      </c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318">
        <f>IF(AQ117="5",BJ117,0)</f>
        <v>0</v>
      </c>
      <c r="AA117" s="279"/>
      <c r="AB117" s="318">
        <f>IF(AQ117="1",BH117,0)</f>
        <v>0</v>
      </c>
      <c r="AC117" s="318">
        <f>IF(AQ117="1",BI117,0)</f>
        <v>0</v>
      </c>
      <c r="AD117" s="318">
        <f>IF(AQ117="7",BH117,0)</f>
        <v>0</v>
      </c>
      <c r="AE117" s="318">
        <f>IF(AQ117="7",BI117,0)</f>
        <v>0</v>
      </c>
      <c r="AF117" s="318">
        <f>IF(AQ117="2",BH117,0)</f>
        <v>0</v>
      </c>
      <c r="AG117" s="318">
        <f>IF(AQ117="2",BI117,0)</f>
        <v>0</v>
      </c>
      <c r="AH117" s="318">
        <f>IF(AQ117="0",BJ117,0)</f>
        <v>0</v>
      </c>
      <c r="AI117" s="311"/>
      <c r="AJ117" s="318">
        <f>IF(AN117=0,J117,0)</f>
        <v>0</v>
      </c>
      <c r="AK117" s="318">
        <f>IF(AN117=15,J117,0)</f>
        <v>0</v>
      </c>
      <c r="AL117" s="318">
        <f>IF(AN117=21,J117,0)</f>
        <v>0</v>
      </c>
      <c r="AM117" s="279"/>
      <c r="AN117" s="318">
        <v>21</v>
      </c>
      <c r="AO117" s="318">
        <f>G117*1</f>
        <v>0</v>
      </c>
      <c r="AP117" s="318">
        <f>G117*(1-1)</f>
        <v>0</v>
      </c>
      <c r="AQ117" s="319" t="s">
        <v>83</v>
      </c>
      <c r="AR117" s="279"/>
      <c r="AS117" s="279"/>
      <c r="AT117" s="279"/>
      <c r="AU117" s="279"/>
      <c r="AV117" s="318">
        <f>AW117+AX117</f>
        <v>0</v>
      </c>
      <c r="AW117" s="318">
        <f>F117*AO117</f>
        <v>0</v>
      </c>
      <c r="AX117" s="318">
        <f>F117*AP117</f>
        <v>0</v>
      </c>
      <c r="AY117" s="319" t="s">
        <v>600</v>
      </c>
      <c r="AZ117" s="319" t="s">
        <v>576</v>
      </c>
      <c r="BA117" s="311" t="s">
        <v>412</v>
      </c>
      <c r="BB117" s="279"/>
      <c r="BC117" s="318">
        <f>AW117+AX117</f>
        <v>0</v>
      </c>
      <c r="BD117" s="318">
        <f>G117/(100-BE117)*100</f>
        <v>0</v>
      </c>
      <c r="BE117" s="318">
        <v>0</v>
      </c>
      <c r="BF117" s="318">
        <f>L117</f>
        <v>3.1E-2</v>
      </c>
      <c r="BG117" s="279"/>
      <c r="BH117" s="318">
        <f>F117*AO117</f>
        <v>0</v>
      </c>
      <c r="BI117" s="318">
        <f>F117*AP117</f>
        <v>0</v>
      </c>
      <c r="BJ117" s="318">
        <f>F117*G117</f>
        <v>0</v>
      </c>
    </row>
    <row r="118" spans="1:62" s="434" customFormat="1">
      <c r="A118" s="279"/>
      <c r="B118" s="279"/>
      <c r="C118" s="279"/>
      <c r="D118" s="320" t="s">
        <v>615</v>
      </c>
      <c r="E118" s="279"/>
      <c r="F118" s="321">
        <v>2</v>
      </c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  <c r="AM118" s="279"/>
      <c r="AN118" s="279"/>
      <c r="AO118" s="279"/>
      <c r="AP118" s="279"/>
      <c r="AQ118" s="279"/>
      <c r="AR118" s="279"/>
      <c r="AS118" s="279"/>
      <c r="AT118" s="279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</row>
    <row r="119" spans="1:62" s="434" customFormat="1">
      <c r="A119" s="322"/>
      <c r="B119" s="323"/>
      <c r="C119" s="323" t="s">
        <v>616</v>
      </c>
      <c r="D119" s="323" t="s">
        <v>617</v>
      </c>
      <c r="E119" s="322" t="s">
        <v>374</v>
      </c>
      <c r="F119" s="322" t="s">
        <v>374</v>
      </c>
      <c r="G119" s="322" t="s">
        <v>374</v>
      </c>
      <c r="H119" s="316">
        <f>SUM(H120:H127)</f>
        <v>0</v>
      </c>
      <c r="I119" s="316">
        <f>SUM(I120:I127)</f>
        <v>0</v>
      </c>
      <c r="J119" s="316">
        <f>SUM(J120:J127)</f>
        <v>0</v>
      </c>
      <c r="K119" s="311"/>
      <c r="L119" s="316">
        <f>SUM(L120:L127)</f>
        <v>1.2704E-2</v>
      </c>
      <c r="M119" s="311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311"/>
      <c r="AJ119" s="279"/>
      <c r="AK119" s="279"/>
      <c r="AL119" s="279"/>
      <c r="AM119" s="279"/>
      <c r="AN119" s="279"/>
      <c r="AO119" s="279"/>
      <c r="AP119" s="279"/>
      <c r="AQ119" s="279"/>
      <c r="AR119" s="279"/>
      <c r="AS119" s="316">
        <f>SUM(AJ120:AJ127)</f>
        <v>0</v>
      </c>
      <c r="AT119" s="316">
        <f>SUM(AK120:AK127)</f>
        <v>0</v>
      </c>
      <c r="AU119" s="316">
        <f>SUM(AL120:AL127)</f>
        <v>0</v>
      </c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</row>
    <row r="120" spans="1:62" s="434" customFormat="1">
      <c r="A120" s="317" t="s">
        <v>618</v>
      </c>
      <c r="B120" s="317"/>
      <c r="C120" s="317" t="s">
        <v>619</v>
      </c>
      <c r="D120" s="317" t="s">
        <v>620</v>
      </c>
      <c r="E120" s="317" t="s">
        <v>509</v>
      </c>
      <c r="F120" s="318">
        <v>3.3</v>
      </c>
      <c r="G120" s="318">
        <v>0</v>
      </c>
      <c r="H120" s="318">
        <f>F120*AO120</f>
        <v>0</v>
      </c>
      <c r="I120" s="318">
        <f>F120*AP120</f>
        <v>0</v>
      </c>
      <c r="J120" s="318">
        <f>F120*G120</f>
        <v>0</v>
      </c>
      <c r="K120" s="318">
        <v>5.5999999999999995E-4</v>
      </c>
      <c r="L120" s="318">
        <f>F120*K120</f>
        <v>1.8479999999999998E-3</v>
      </c>
      <c r="M120" s="319" t="s">
        <v>409</v>
      </c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318">
        <f>IF(AQ120="5",BJ120,0)</f>
        <v>0</v>
      </c>
      <c r="AA120" s="279"/>
      <c r="AB120" s="318">
        <f>IF(AQ120="1",BH120,0)</f>
        <v>0</v>
      </c>
      <c r="AC120" s="318">
        <f>IF(AQ120="1",BI120,0)</f>
        <v>0</v>
      </c>
      <c r="AD120" s="318">
        <f>IF(AQ120="7",BH120,0)</f>
        <v>0</v>
      </c>
      <c r="AE120" s="318">
        <f>IF(AQ120="7",BI120,0)</f>
        <v>0</v>
      </c>
      <c r="AF120" s="318">
        <f>IF(AQ120="2",BH120,0)</f>
        <v>0</v>
      </c>
      <c r="AG120" s="318">
        <f>IF(AQ120="2",BI120,0)</f>
        <v>0</v>
      </c>
      <c r="AH120" s="318">
        <f>IF(AQ120="0",BJ120,0)</f>
        <v>0</v>
      </c>
      <c r="AI120" s="311"/>
      <c r="AJ120" s="318">
        <f>IF(AN120=0,J120,0)</f>
        <v>0</v>
      </c>
      <c r="AK120" s="318">
        <f>IF(AN120=15,J120,0)</f>
        <v>0</v>
      </c>
      <c r="AL120" s="318">
        <f>IF(AN120=21,J120,0)</f>
        <v>0</v>
      </c>
      <c r="AM120" s="279"/>
      <c r="AN120" s="318">
        <v>21</v>
      </c>
      <c r="AO120" s="318">
        <f>G120*0.308160348042262</f>
        <v>0</v>
      </c>
      <c r="AP120" s="318">
        <f>G120*(1-0.308160348042262)</f>
        <v>0</v>
      </c>
      <c r="AQ120" s="319" t="s">
        <v>83</v>
      </c>
      <c r="AR120" s="279"/>
      <c r="AS120" s="279"/>
      <c r="AT120" s="279"/>
      <c r="AU120" s="279"/>
      <c r="AV120" s="318">
        <f>AW120+AX120</f>
        <v>0</v>
      </c>
      <c r="AW120" s="318">
        <f>F120*AO120</f>
        <v>0</v>
      </c>
      <c r="AX120" s="318">
        <f>F120*AP120</f>
        <v>0</v>
      </c>
      <c r="AY120" s="319" t="s">
        <v>621</v>
      </c>
      <c r="AZ120" s="319" t="s">
        <v>576</v>
      </c>
      <c r="BA120" s="311" t="s">
        <v>412</v>
      </c>
      <c r="BB120" s="279"/>
      <c r="BC120" s="318">
        <f>AW120+AX120</f>
        <v>0</v>
      </c>
      <c r="BD120" s="318">
        <f>G120/(100-BE120)*100</f>
        <v>0</v>
      </c>
      <c r="BE120" s="318">
        <v>0</v>
      </c>
      <c r="BF120" s="318">
        <f>L120</f>
        <v>1.8479999999999998E-3</v>
      </c>
      <c r="BG120" s="279"/>
      <c r="BH120" s="318">
        <f>F120*AO120</f>
        <v>0</v>
      </c>
      <c r="BI120" s="318">
        <f>F120*AP120</f>
        <v>0</v>
      </c>
      <c r="BJ120" s="318">
        <f>F120*G120</f>
        <v>0</v>
      </c>
    </row>
    <row r="121" spans="1:62" s="434" customFormat="1">
      <c r="A121" s="279"/>
      <c r="B121" s="279"/>
      <c r="C121" s="279"/>
      <c r="D121" s="320" t="s">
        <v>622</v>
      </c>
      <c r="E121" s="279"/>
      <c r="F121" s="321">
        <v>3.2</v>
      </c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  <c r="AU121" s="279"/>
      <c r="AV121" s="279"/>
      <c r="AW121" s="279"/>
      <c r="AX121" s="279"/>
      <c r="AY121" s="279"/>
      <c r="AZ121" s="279"/>
      <c r="BA121" s="279"/>
      <c r="BB121" s="279"/>
      <c r="BC121" s="279"/>
      <c r="BD121" s="279"/>
      <c r="BE121" s="279"/>
      <c r="BF121" s="279"/>
      <c r="BG121" s="279"/>
      <c r="BH121" s="279"/>
      <c r="BI121" s="279"/>
      <c r="BJ121" s="279"/>
    </row>
    <row r="122" spans="1:62" s="434" customFormat="1">
      <c r="A122" s="279"/>
      <c r="B122" s="279"/>
      <c r="C122" s="279"/>
      <c r="D122" s="320" t="s">
        <v>623</v>
      </c>
      <c r="E122" s="279"/>
      <c r="F122" s="321">
        <v>0.1</v>
      </c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  <c r="AU122" s="279"/>
      <c r="AV122" s="279"/>
      <c r="AW122" s="279"/>
      <c r="AX122" s="279"/>
      <c r="AY122" s="279"/>
      <c r="AZ122" s="279"/>
      <c r="BA122" s="279"/>
      <c r="BB122" s="279"/>
      <c r="BC122" s="279"/>
      <c r="BD122" s="279"/>
      <c r="BE122" s="279"/>
      <c r="BF122" s="279"/>
      <c r="BG122" s="279"/>
      <c r="BH122" s="279"/>
      <c r="BI122" s="279"/>
      <c r="BJ122" s="279"/>
    </row>
    <row r="123" spans="1:62" s="434" customFormat="1">
      <c r="A123" s="317" t="s">
        <v>624</v>
      </c>
      <c r="B123" s="317"/>
      <c r="C123" s="317" t="s">
        <v>625</v>
      </c>
      <c r="D123" s="317" t="s">
        <v>626</v>
      </c>
      <c r="E123" s="317" t="s">
        <v>509</v>
      </c>
      <c r="F123" s="318">
        <v>4</v>
      </c>
      <c r="G123" s="318">
        <v>0</v>
      </c>
      <c r="H123" s="318">
        <f>F123*AO123</f>
        <v>0</v>
      </c>
      <c r="I123" s="318">
        <f>F123*AP123</f>
        <v>0</v>
      </c>
      <c r="J123" s="318">
        <f>F123*G123</f>
        <v>0</v>
      </c>
      <c r="K123" s="318">
        <v>2.14E-3</v>
      </c>
      <c r="L123" s="318">
        <f>F123*K123</f>
        <v>8.5599999999999999E-3</v>
      </c>
      <c r="M123" s="319" t="s">
        <v>409</v>
      </c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  <c r="X123" s="279"/>
      <c r="Y123" s="279"/>
      <c r="Z123" s="318">
        <f>IF(AQ123="5",BJ123,0)</f>
        <v>0</v>
      </c>
      <c r="AA123" s="279"/>
      <c r="AB123" s="318">
        <f>IF(AQ123="1",BH123,0)</f>
        <v>0</v>
      </c>
      <c r="AC123" s="318">
        <f>IF(AQ123="1",BI123,0)</f>
        <v>0</v>
      </c>
      <c r="AD123" s="318">
        <f>IF(AQ123="7",BH123,0)</f>
        <v>0</v>
      </c>
      <c r="AE123" s="318">
        <f>IF(AQ123="7",BI123,0)</f>
        <v>0</v>
      </c>
      <c r="AF123" s="318">
        <f>IF(AQ123="2",BH123,0)</f>
        <v>0</v>
      </c>
      <c r="AG123" s="318">
        <f>IF(AQ123="2",BI123,0)</f>
        <v>0</v>
      </c>
      <c r="AH123" s="318">
        <f>IF(AQ123="0",BJ123,0)</f>
        <v>0</v>
      </c>
      <c r="AI123" s="311"/>
      <c r="AJ123" s="318">
        <f>IF(AN123=0,J123,0)</f>
        <v>0</v>
      </c>
      <c r="AK123" s="318">
        <f>IF(AN123=15,J123,0)</f>
        <v>0</v>
      </c>
      <c r="AL123" s="318">
        <f>IF(AN123=21,J123,0)</f>
        <v>0</v>
      </c>
      <c r="AM123" s="279"/>
      <c r="AN123" s="318">
        <v>21</v>
      </c>
      <c r="AO123" s="318">
        <f>G123*0.360196078431373</f>
        <v>0</v>
      </c>
      <c r="AP123" s="318">
        <f>G123*(1-0.360196078431373)</f>
        <v>0</v>
      </c>
      <c r="AQ123" s="319" t="s">
        <v>83</v>
      </c>
      <c r="AR123" s="279"/>
      <c r="AS123" s="279"/>
      <c r="AT123" s="279"/>
      <c r="AU123" s="279"/>
      <c r="AV123" s="318">
        <f>AW123+AX123</f>
        <v>0</v>
      </c>
      <c r="AW123" s="318">
        <f>F123*AO123</f>
        <v>0</v>
      </c>
      <c r="AX123" s="318">
        <f>F123*AP123</f>
        <v>0</v>
      </c>
      <c r="AY123" s="319" t="s">
        <v>621</v>
      </c>
      <c r="AZ123" s="319" t="s">
        <v>576</v>
      </c>
      <c r="BA123" s="311" t="s">
        <v>412</v>
      </c>
      <c r="BB123" s="279"/>
      <c r="BC123" s="318">
        <f>AW123+AX123</f>
        <v>0</v>
      </c>
      <c r="BD123" s="318">
        <f>G123/(100-BE123)*100</f>
        <v>0</v>
      </c>
      <c r="BE123" s="318">
        <v>0</v>
      </c>
      <c r="BF123" s="318">
        <f>L123</f>
        <v>8.5599999999999999E-3</v>
      </c>
      <c r="BG123" s="279"/>
      <c r="BH123" s="318">
        <f>F123*AO123</f>
        <v>0</v>
      </c>
      <c r="BI123" s="318">
        <f>F123*AP123</f>
        <v>0</v>
      </c>
      <c r="BJ123" s="318">
        <f>F123*G123</f>
        <v>0</v>
      </c>
    </row>
    <row r="124" spans="1:62" s="434" customFormat="1">
      <c r="A124" s="279"/>
      <c r="B124" s="279"/>
      <c r="C124" s="279"/>
      <c r="D124" s="320" t="s">
        <v>627</v>
      </c>
      <c r="E124" s="279"/>
      <c r="F124" s="321">
        <v>1.4</v>
      </c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79"/>
      <c r="AQ124" s="279"/>
      <c r="AR124" s="279"/>
      <c r="AS124" s="279"/>
      <c r="AT124" s="279"/>
      <c r="AU124" s="279"/>
      <c r="AV124" s="279"/>
      <c r="AW124" s="279"/>
      <c r="AX124" s="279"/>
      <c r="AY124" s="279"/>
      <c r="AZ124" s="279"/>
      <c r="BA124" s="279"/>
      <c r="BB124" s="279"/>
      <c r="BC124" s="279"/>
      <c r="BD124" s="279"/>
      <c r="BE124" s="279"/>
      <c r="BF124" s="279"/>
      <c r="BG124" s="279"/>
      <c r="BH124" s="279"/>
      <c r="BI124" s="279"/>
      <c r="BJ124" s="279"/>
    </row>
    <row r="125" spans="1:62" s="434" customFormat="1">
      <c r="A125" s="279"/>
      <c r="B125" s="279"/>
      <c r="C125" s="279"/>
      <c r="D125" s="320" t="s">
        <v>628</v>
      </c>
      <c r="E125" s="279"/>
      <c r="F125" s="321">
        <v>1.4</v>
      </c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  <c r="AU125" s="279"/>
      <c r="AV125" s="279"/>
      <c r="AW125" s="279"/>
      <c r="AX125" s="279"/>
      <c r="AY125" s="279"/>
      <c r="AZ125" s="279"/>
      <c r="BA125" s="279"/>
      <c r="BB125" s="279"/>
      <c r="BC125" s="279"/>
      <c r="BD125" s="279"/>
      <c r="BE125" s="279"/>
      <c r="BF125" s="279"/>
      <c r="BG125" s="279"/>
      <c r="BH125" s="279"/>
      <c r="BI125" s="279"/>
      <c r="BJ125" s="279"/>
    </row>
    <row r="126" spans="1:62" s="434" customFormat="1">
      <c r="A126" s="279"/>
      <c r="B126" s="279"/>
      <c r="C126" s="279"/>
      <c r="D126" s="320" t="s">
        <v>629</v>
      </c>
      <c r="E126" s="279"/>
      <c r="F126" s="321">
        <v>1.2</v>
      </c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  <c r="AK126" s="279"/>
      <c r="AL126" s="279"/>
      <c r="AM126" s="279"/>
      <c r="AN126" s="279"/>
      <c r="AO126" s="279"/>
      <c r="AP126" s="279"/>
      <c r="AQ126" s="279"/>
      <c r="AR126" s="279"/>
      <c r="AS126" s="279"/>
      <c r="AT126" s="279"/>
      <c r="AU126" s="279"/>
      <c r="AV126" s="279"/>
      <c r="AW126" s="279"/>
      <c r="AX126" s="279"/>
      <c r="AY126" s="279"/>
      <c r="AZ126" s="279"/>
      <c r="BA126" s="279"/>
      <c r="BB126" s="279"/>
      <c r="BC126" s="279"/>
      <c r="BD126" s="279"/>
      <c r="BE126" s="279"/>
      <c r="BF126" s="279"/>
      <c r="BG126" s="279"/>
      <c r="BH126" s="279"/>
      <c r="BI126" s="279"/>
      <c r="BJ126" s="279"/>
    </row>
    <row r="127" spans="1:62" s="434" customFormat="1">
      <c r="A127" s="317" t="s">
        <v>630</v>
      </c>
      <c r="B127" s="317"/>
      <c r="C127" s="317" t="s">
        <v>631</v>
      </c>
      <c r="D127" s="317" t="s">
        <v>632</v>
      </c>
      <c r="E127" s="317" t="s">
        <v>509</v>
      </c>
      <c r="F127" s="318">
        <v>0.8</v>
      </c>
      <c r="G127" s="318">
        <v>0</v>
      </c>
      <c r="H127" s="318">
        <f>F127*AO127</f>
        <v>0</v>
      </c>
      <c r="I127" s="318">
        <f>F127*AP127</f>
        <v>0</v>
      </c>
      <c r="J127" s="318">
        <f>F127*G127</f>
        <v>0</v>
      </c>
      <c r="K127" s="318">
        <v>2.8700000000000002E-3</v>
      </c>
      <c r="L127" s="318">
        <f>F127*K127</f>
        <v>2.2960000000000003E-3</v>
      </c>
      <c r="M127" s="319" t="s">
        <v>409</v>
      </c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318">
        <f>IF(AQ127="5",BJ127,0)</f>
        <v>0</v>
      </c>
      <c r="AA127" s="279"/>
      <c r="AB127" s="318">
        <f>IF(AQ127="1",BH127,0)</f>
        <v>0</v>
      </c>
      <c r="AC127" s="318">
        <f>IF(AQ127="1",BI127,0)</f>
        <v>0</v>
      </c>
      <c r="AD127" s="318">
        <f>IF(AQ127="7",BH127,0)</f>
        <v>0</v>
      </c>
      <c r="AE127" s="318">
        <f>IF(AQ127="7",BI127,0)</f>
        <v>0</v>
      </c>
      <c r="AF127" s="318">
        <f>IF(AQ127="2",BH127,0)</f>
        <v>0</v>
      </c>
      <c r="AG127" s="318">
        <f>IF(AQ127="2",BI127,0)</f>
        <v>0</v>
      </c>
      <c r="AH127" s="318">
        <f>IF(AQ127="0",BJ127,0)</f>
        <v>0</v>
      </c>
      <c r="AI127" s="311"/>
      <c r="AJ127" s="318">
        <f>IF(AN127=0,J127,0)</f>
        <v>0</v>
      </c>
      <c r="AK127" s="318">
        <f>IF(AN127=15,J127,0)</f>
        <v>0</v>
      </c>
      <c r="AL127" s="318">
        <f>IF(AN127=21,J127,0)</f>
        <v>0</v>
      </c>
      <c r="AM127" s="279"/>
      <c r="AN127" s="318">
        <v>21</v>
      </c>
      <c r="AO127" s="318">
        <f>G127*0.330083621240259</f>
        <v>0</v>
      </c>
      <c r="AP127" s="318">
        <f>G127*(1-0.330083621240259)</f>
        <v>0</v>
      </c>
      <c r="AQ127" s="319" t="s">
        <v>83</v>
      </c>
      <c r="AR127" s="279"/>
      <c r="AS127" s="279"/>
      <c r="AT127" s="279"/>
      <c r="AU127" s="279"/>
      <c r="AV127" s="318">
        <f>AW127+AX127</f>
        <v>0</v>
      </c>
      <c r="AW127" s="318">
        <f>F127*AO127</f>
        <v>0</v>
      </c>
      <c r="AX127" s="318">
        <f>F127*AP127</f>
        <v>0</v>
      </c>
      <c r="AY127" s="319" t="s">
        <v>621</v>
      </c>
      <c r="AZ127" s="319" t="s">
        <v>576</v>
      </c>
      <c r="BA127" s="311" t="s">
        <v>412</v>
      </c>
      <c r="BB127" s="279"/>
      <c r="BC127" s="318">
        <f>AW127+AX127</f>
        <v>0</v>
      </c>
      <c r="BD127" s="318">
        <f>G127/(100-BE127)*100</f>
        <v>0</v>
      </c>
      <c r="BE127" s="318">
        <v>0</v>
      </c>
      <c r="BF127" s="318">
        <f>L127</f>
        <v>2.2960000000000003E-3</v>
      </c>
      <c r="BG127" s="279"/>
      <c r="BH127" s="318">
        <f>F127*AO127</f>
        <v>0</v>
      </c>
      <c r="BI127" s="318">
        <f>F127*AP127</f>
        <v>0</v>
      </c>
      <c r="BJ127" s="318">
        <f>F127*G127</f>
        <v>0</v>
      </c>
    </row>
    <row r="128" spans="1:62" s="434" customFormat="1">
      <c r="A128" s="279"/>
      <c r="B128" s="279"/>
      <c r="C128" s="279"/>
      <c r="D128" s="320" t="s">
        <v>633</v>
      </c>
      <c r="E128" s="279"/>
      <c r="F128" s="321">
        <v>0.4</v>
      </c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279"/>
      <c r="BB128" s="279"/>
      <c r="BC128" s="279"/>
      <c r="BD128" s="279"/>
      <c r="BE128" s="279"/>
      <c r="BF128" s="279"/>
      <c r="BG128" s="279"/>
      <c r="BH128" s="279"/>
      <c r="BI128" s="279"/>
      <c r="BJ128" s="279"/>
    </row>
    <row r="129" spans="1:62" s="434" customFormat="1">
      <c r="A129" s="279"/>
      <c r="B129" s="279"/>
      <c r="C129" s="279"/>
      <c r="D129" s="320" t="s">
        <v>634</v>
      </c>
      <c r="E129" s="279"/>
      <c r="F129" s="321">
        <v>0.4</v>
      </c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279"/>
      <c r="AR129" s="279"/>
      <c r="AS129" s="279"/>
      <c r="AT129" s="279"/>
      <c r="AU129" s="279"/>
      <c r="AV129" s="279"/>
      <c r="AW129" s="279"/>
      <c r="AX129" s="279"/>
      <c r="AY129" s="279"/>
      <c r="AZ129" s="279"/>
      <c r="BA129" s="279"/>
      <c r="BB129" s="279"/>
      <c r="BC129" s="279"/>
      <c r="BD129" s="279"/>
      <c r="BE129" s="279"/>
      <c r="BF129" s="279"/>
      <c r="BG129" s="279"/>
      <c r="BH129" s="279"/>
      <c r="BI129" s="279"/>
      <c r="BJ129" s="279"/>
    </row>
    <row r="130" spans="1:62" s="434" customFormat="1">
      <c r="A130" s="322"/>
      <c r="B130" s="323"/>
      <c r="C130" s="323" t="s">
        <v>635</v>
      </c>
      <c r="D130" s="323" t="s">
        <v>636</v>
      </c>
      <c r="E130" s="322" t="s">
        <v>374</v>
      </c>
      <c r="F130" s="322" t="s">
        <v>374</v>
      </c>
      <c r="G130" s="322" t="s">
        <v>374</v>
      </c>
      <c r="H130" s="316">
        <f>SUM(H131:H131)</f>
        <v>0</v>
      </c>
      <c r="I130" s="316">
        <f>SUM(I131:I131)</f>
        <v>0</v>
      </c>
      <c r="J130" s="316">
        <f>SUM(J131:J131)</f>
        <v>0</v>
      </c>
      <c r="K130" s="311"/>
      <c r="L130" s="316">
        <f>SUM(L131:L131)</f>
        <v>0</v>
      </c>
      <c r="M130" s="311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311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316">
        <f>SUM(AJ131:AJ131)</f>
        <v>0</v>
      </c>
      <c r="AT130" s="316">
        <f>SUM(AK131:AK131)</f>
        <v>0</v>
      </c>
      <c r="AU130" s="316">
        <f>SUM(AL131:AL131)</f>
        <v>0</v>
      </c>
      <c r="AV130" s="279"/>
      <c r="AW130" s="279"/>
      <c r="AX130" s="279"/>
      <c r="AY130" s="279"/>
      <c r="AZ130" s="279"/>
      <c r="BA130" s="279"/>
      <c r="BB130" s="279"/>
      <c r="BC130" s="279"/>
      <c r="BD130" s="279"/>
      <c r="BE130" s="279"/>
      <c r="BF130" s="279"/>
      <c r="BG130" s="279"/>
      <c r="BH130" s="279"/>
      <c r="BI130" s="279"/>
      <c r="BJ130" s="279"/>
    </row>
    <row r="131" spans="1:62" s="434" customFormat="1">
      <c r="A131" s="317" t="s">
        <v>637</v>
      </c>
      <c r="B131" s="317"/>
      <c r="C131" s="317" t="s">
        <v>638</v>
      </c>
      <c r="D131" s="317" t="s">
        <v>639</v>
      </c>
      <c r="E131" s="317" t="s">
        <v>432</v>
      </c>
      <c r="F131" s="318">
        <v>9.4552800000000001</v>
      </c>
      <c r="G131" s="318">
        <v>0</v>
      </c>
      <c r="H131" s="318">
        <f>F131*AO131</f>
        <v>0</v>
      </c>
      <c r="I131" s="318">
        <f>F131*AP131</f>
        <v>0</v>
      </c>
      <c r="J131" s="318">
        <f>F131*G131</f>
        <v>0</v>
      </c>
      <c r="K131" s="318">
        <v>0</v>
      </c>
      <c r="L131" s="318">
        <f>F131*K131</f>
        <v>0</v>
      </c>
      <c r="M131" s="319" t="s">
        <v>409</v>
      </c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318">
        <f>IF(AQ131="5",BJ131,0)</f>
        <v>0</v>
      </c>
      <c r="AA131" s="279"/>
      <c r="AB131" s="318">
        <f>IF(AQ131="1",BH131,0)</f>
        <v>0</v>
      </c>
      <c r="AC131" s="318">
        <f>IF(AQ131="1",BI131,0)</f>
        <v>0</v>
      </c>
      <c r="AD131" s="318">
        <f>IF(AQ131="7",BH131,0)</f>
        <v>0</v>
      </c>
      <c r="AE131" s="318">
        <f>IF(AQ131="7",BI131,0)</f>
        <v>0</v>
      </c>
      <c r="AF131" s="318">
        <f>IF(AQ131="2",BH131,0)</f>
        <v>0</v>
      </c>
      <c r="AG131" s="318">
        <f>IF(AQ131="2",BI131,0)</f>
        <v>0</v>
      </c>
      <c r="AH131" s="318">
        <f>IF(AQ131="0",BJ131,0)</f>
        <v>0</v>
      </c>
      <c r="AI131" s="311"/>
      <c r="AJ131" s="318">
        <f>IF(AN131=0,J131,0)</f>
        <v>0</v>
      </c>
      <c r="AK131" s="318">
        <f>IF(AN131=15,J131,0)</f>
        <v>0</v>
      </c>
      <c r="AL131" s="318">
        <f>IF(AN131=21,J131,0)</f>
        <v>0</v>
      </c>
      <c r="AM131" s="279"/>
      <c r="AN131" s="318">
        <v>21</v>
      </c>
      <c r="AO131" s="318">
        <f>G131*0</f>
        <v>0</v>
      </c>
      <c r="AP131" s="318">
        <f>G131*(1-0)</f>
        <v>0</v>
      </c>
      <c r="AQ131" s="319" t="s">
        <v>429</v>
      </c>
      <c r="AR131" s="279"/>
      <c r="AS131" s="279"/>
      <c r="AT131" s="279"/>
      <c r="AU131" s="279"/>
      <c r="AV131" s="318">
        <f>AW131+AX131</f>
        <v>0</v>
      </c>
      <c r="AW131" s="318">
        <f>F131*AO131</f>
        <v>0</v>
      </c>
      <c r="AX131" s="318">
        <f>F131*AP131</f>
        <v>0</v>
      </c>
      <c r="AY131" s="319" t="s">
        <v>640</v>
      </c>
      <c r="AZ131" s="319" t="s">
        <v>576</v>
      </c>
      <c r="BA131" s="311" t="s">
        <v>412</v>
      </c>
      <c r="BB131" s="279"/>
      <c r="BC131" s="318">
        <f>AW131+AX131</f>
        <v>0</v>
      </c>
      <c r="BD131" s="318">
        <f>G131/(100-BE131)*100</f>
        <v>0</v>
      </c>
      <c r="BE131" s="318">
        <v>0</v>
      </c>
      <c r="BF131" s="318">
        <f>L131</f>
        <v>0</v>
      </c>
      <c r="BG131" s="279"/>
      <c r="BH131" s="318">
        <f>F131*AO131</f>
        <v>0</v>
      </c>
      <c r="BI131" s="318">
        <f>F131*AP131</f>
        <v>0</v>
      </c>
      <c r="BJ131" s="318">
        <f>F131*G131</f>
        <v>0</v>
      </c>
    </row>
    <row r="132" spans="1:62" s="434" customFormat="1">
      <c r="A132" s="279"/>
      <c r="B132" s="279"/>
      <c r="C132" s="279"/>
      <c r="D132" s="320" t="s">
        <v>641</v>
      </c>
      <c r="E132" s="279"/>
      <c r="F132" s="321">
        <v>9.4552800000000001</v>
      </c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79"/>
      <c r="AU132" s="279"/>
      <c r="AV132" s="279"/>
      <c r="AW132" s="279"/>
      <c r="AX132" s="279"/>
      <c r="AY132" s="279"/>
      <c r="AZ132" s="279"/>
      <c r="BA132" s="279"/>
      <c r="BB132" s="279"/>
      <c r="BC132" s="279"/>
      <c r="BD132" s="279"/>
      <c r="BE132" s="279"/>
      <c r="BF132" s="279"/>
      <c r="BG132" s="279"/>
      <c r="BH132" s="279"/>
      <c r="BI132" s="279"/>
      <c r="BJ132" s="279"/>
    </row>
    <row r="133" spans="1:62" s="434" customFormat="1">
      <c r="A133" s="322"/>
      <c r="B133" s="323"/>
      <c r="C133" s="323" t="s">
        <v>642</v>
      </c>
      <c r="D133" s="323" t="s">
        <v>643</v>
      </c>
      <c r="E133" s="322" t="s">
        <v>374</v>
      </c>
      <c r="F133" s="322" t="s">
        <v>374</v>
      </c>
      <c r="G133" s="322" t="s">
        <v>374</v>
      </c>
      <c r="H133" s="316">
        <f>SUM(H134:H146)</f>
        <v>0</v>
      </c>
      <c r="I133" s="316">
        <f>SUM(I134:I146)</f>
        <v>0</v>
      </c>
      <c r="J133" s="316">
        <f>SUM(J134:J146)</f>
        <v>0</v>
      </c>
      <c r="K133" s="311"/>
      <c r="L133" s="316">
        <f>SUM(L134:L146)</f>
        <v>0</v>
      </c>
      <c r="M133" s="311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311"/>
      <c r="AJ133" s="279"/>
      <c r="AK133" s="279"/>
      <c r="AL133" s="279"/>
      <c r="AM133" s="279"/>
      <c r="AN133" s="279"/>
      <c r="AO133" s="279"/>
      <c r="AP133" s="279"/>
      <c r="AQ133" s="279"/>
      <c r="AR133" s="279"/>
      <c r="AS133" s="316">
        <f>SUM(AJ134:AJ146)</f>
        <v>0</v>
      </c>
      <c r="AT133" s="316">
        <f>SUM(AK134:AK146)</f>
        <v>0</v>
      </c>
      <c r="AU133" s="316">
        <f>SUM(AL134:AL146)</f>
        <v>0</v>
      </c>
      <c r="AV133" s="279"/>
      <c r="AW133" s="279"/>
      <c r="AX133" s="279"/>
      <c r="AY133" s="279"/>
      <c r="AZ133" s="279"/>
      <c r="BA133" s="279"/>
      <c r="BB133" s="279"/>
      <c r="BC133" s="279"/>
      <c r="BD133" s="279"/>
      <c r="BE133" s="279"/>
      <c r="BF133" s="279"/>
      <c r="BG133" s="279"/>
      <c r="BH133" s="279"/>
      <c r="BI133" s="279"/>
      <c r="BJ133" s="279"/>
    </row>
    <row r="134" spans="1:62" s="434" customFormat="1">
      <c r="A134" s="317" t="s">
        <v>644</v>
      </c>
      <c r="B134" s="317"/>
      <c r="C134" s="317" t="s">
        <v>645</v>
      </c>
      <c r="D134" s="317" t="s">
        <v>646</v>
      </c>
      <c r="E134" s="317" t="s">
        <v>432</v>
      </c>
      <c r="F134" s="318">
        <v>2.9423699999999999</v>
      </c>
      <c r="G134" s="318">
        <v>0</v>
      </c>
      <c r="H134" s="318">
        <f>F134*AO134</f>
        <v>0</v>
      </c>
      <c r="I134" s="318">
        <f>F134*AP134</f>
        <v>0</v>
      </c>
      <c r="J134" s="318">
        <f>F134*G134</f>
        <v>0</v>
      </c>
      <c r="K134" s="318">
        <v>0</v>
      </c>
      <c r="L134" s="318">
        <f>F134*K134</f>
        <v>0</v>
      </c>
      <c r="M134" s="319" t="s">
        <v>409</v>
      </c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9"/>
      <c r="Y134" s="279"/>
      <c r="Z134" s="318">
        <f>IF(AQ134="5",BJ134,0)</f>
        <v>0</v>
      </c>
      <c r="AA134" s="279"/>
      <c r="AB134" s="318">
        <f>IF(AQ134="1",BH134,0)</f>
        <v>0</v>
      </c>
      <c r="AC134" s="318">
        <f>IF(AQ134="1",BI134,0)</f>
        <v>0</v>
      </c>
      <c r="AD134" s="318">
        <f>IF(AQ134="7",BH134,0)</f>
        <v>0</v>
      </c>
      <c r="AE134" s="318">
        <f>IF(AQ134="7",BI134,0)</f>
        <v>0</v>
      </c>
      <c r="AF134" s="318">
        <f>IF(AQ134="2",BH134,0)</f>
        <v>0</v>
      </c>
      <c r="AG134" s="318">
        <f>IF(AQ134="2",BI134,0)</f>
        <v>0</v>
      </c>
      <c r="AH134" s="318">
        <f>IF(AQ134="0",BJ134,0)</f>
        <v>0</v>
      </c>
      <c r="AI134" s="311"/>
      <c r="AJ134" s="318">
        <f>IF(AN134=0,J134,0)</f>
        <v>0</v>
      </c>
      <c r="AK134" s="318">
        <f>IF(AN134=15,J134,0)</f>
        <v>0</v>
      </c>
      <c r="AL134" s="318">
        <f>IF(AN134=21,J134,0)</f>
        <v>0</v>
      </c>
      <c r="AM134" s="279"/>
      <c r="AN134" s="318">
        <v>21</v>
      </c>
      <c r="AO134" s="318">
        <f>G134*0</f>
        <v>0</v>
      </c>
      <c r="AP134" s="318">
        <f>G134*(1-0)</f>
        <v>0</v>
      </c>
      <c r="AQ134" s="319" t="s">
        <v>429</v>
      </c>
      <c r="AR134" s="279"/>
      <c r="AS134" s="279"/>
      <c r="AT134" s="279"/>
      <c r="AU134" s="279"/>
      <c r="AV134" s="318">
        <f>AW134+AX134</f>
        <v>0</v>
      </c>
      <c r="AW134" s="318">
        <f>F134*AO134</f>
        <v>0</v>
      </c>
      <c r="AX134" s="318">
        <f>F134*AP134</f>
        <v>0</v>
      </c>
      <c r="AY134" s="319" t="s">
        <v>647</v>
      </c>
      <c r="AZ134" s="319" t="s">
        <v>576</v>
      </c>
      <c r="BA134" s="311" t="s">
        <v>412</v>
      </c>
      <c r="BB134" s="279"/>
      <c r="BC134" s="318">
        <f>AW134+AX134</f>
        <v>0</v>
      </c>
      <c r="BD134" s="318">
        <f>G134/(100-BE134)*100</f>
        <v>0</v>
      </c>
      <c r="BE134" s="318">
        <v>0</v>
      </c>
      <c r="BF134" s="318">
        <f>L134</f>
        <v>0</v>
      </c>
      <c r="BG134" s="279"/>
      <c r="BH134" s="318">
        <f>F134*AO134</f>
        <v>0</v>
      </c>
      <c r="BI134" s="318">
        <f>F134*AP134</f>
        <v>0</v>
      </c>
      <c r="BJ134" s="318">
        <f>F134*G134</f>
        <v>0</v>
      </c>
    </row>
    <row r="135" spans="1:62" s="434" customFormat="1">
      <c r="A135" s="279"/>
      <c r="B135" s="279"/>
      <c r="C135" s="279"/>
      <c r="D135" s="320" t="s">
        <v>648</v>
      </c>
      <c r="E135" s="279"/>
      <c r="F135" s="321">
        <v>2.9423699999999999</v>
      </c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79"/>
      <c r="AO135" s="279"/>
      <c r="AP135" s="279"/>
      <c r="AQ135" s="279"/>
      <c r="AR135" s="279"/>
      <c r="AS135" s="279"/>
      <c r="AT135" s="279"/>
      <c r="AU135" s="279"/>
      <c r="AV135" s="279"/>
      <c r="AW135" s="279"/>
      <c r="AX135" s="279"/>
      <c r="AY135" s="279"/>
      <c r="AZ135" s="279"/>
      <c r="BA135" s="279"/>
      <c r="BB135" s="279"/>
      <c r="BC135" s="279"/>
      <c r="BD135" s="279"/>
      <c r="BE135" s="279"/>
      <c r="BF135" s="279"/>
      <c r="BG135" s="279"/>
      <c r="BH135" s="279"/>
      <c r="BI135" s="279"/>
      <c r="BJ135" s="279"/>
    </row>
    <row r="136" spans="1:62" s="434" customFormat="1">
      <c r="A136" s="317" t="s">
        <v>649</v>
      </c>
      <c r="B136" s="317"/>
      <c r="C136" s="317" t="s">
        <v>650</v>
      </c>
      <c r="D136" s="317" t="s">
        <v>651</v>
      </c>
      <c r="E136" s="317" t="s">
        <v>432</v>
      </c>
      <c r="F136" s="318">
        <v>2.9423699999999999</v>
      </c>
      <c r="G136" s="318">
        <v>0</v>
      </c>
      <c r="H136" s="318">
        <f>F136*AO136</f>
        <v>0</v>
      </c>
      <c r="I136" s="318">
        <f>F136*AP136</f>
        <v>0</v>
      </c>
      <c r="J136" s="318">
        <f>F136*G136</f>
        <v>0</v>
      </c>
      <c r="K136" s="318">
        <v>0</v>
      </c>
      <c r="L136" s="318">
        <f>F136*K136</f>
        <v>0</v>
      </c>
      <c r="M136" s="319" t="s">
        <v>409</v>
      </c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318">
        <f>IF(AQ136="5",BJ136,0)</f>
        <v>0</v>
      </c>
      <c r="AA136" s="279"/>
      <c r="AB136" s="318">
        <f>IF(AQ136="1",BH136,0)</f>
        <v>0</v>
      </c>
      <c r="AC136" s="318">
        <f>IF(AQ136="1",BI136,0)</f>
        <v>0</v>
      </c>
      <c r="AD136" s="318">
        <f>IF(AQ136="7",BH136,0)</f>
        <v>0</v>
      </c>
      <c r="AE136" s="318">
        <f>IF(AQ136="7",BI136,0)</f>
        <v>0</v>
      </c>
      <c r="AF136" s="318">
        <f>IF(AQ136="2",BH136,0)</f>
        <v>0</v>
      </c>
      <c r="AG136" s="318">
        <f>IF(AQ136="2",BI136,0)</f>
        <v>0</v>
      </c>
      <c r="AH136" s="318">
        <f>IF(AQ136="0",BJ136,0)</f>
        <v>0</v>
      </c>
      <c r="AI136" s="311"/>
      <c r="AJ136" s="318">
        <f>IF(AN136=0,J136,0)</f>
        <v>0</v>
      </c>
      <c r="AK136" s="318">
        <f>IF(AN136=15,J136,0)</f>
        <v>0</v>
      </c>
      <c r="AL136" s="318">
        <f>IF(AN136=21,J136,0)</f>
        <v>0</v>
      </c>
      <c r="AM136" s="279"/>
      <c r="AN136" s="318">
        <v>21</v>
      </c>
      <c r="AO136" s="318">
        <f>G136*0</f>
        <v>0</v>
      </c>
      <c r="AP136" s="318">
        <f>G136*(1-0)</f>
        <v>0</v>
      </c>
      <c r="AQ136" s="319" t="s">
        <v>429</v>
      </c>
      <c r="AR136" s="279"/>
      <c r="AS136" s="279"/>
      <c r="AT136" s="279"/>
      <c r="AU136" s="279"/>
      <c r="AV136" s="318">
        <f>AW136+AX136</f>
        <v>0</v>
      </c>
      <c r="AW136" s="318">
        <f>F136*AO136</f>
        <v>0</v>
      </c>
      <c r="AX136" s="318">
        <f>F136*AP136</f>
        <v>0</v>
      </c>
      <c r="AY136" s="319" t="s">
        <v>647</v>
      </c>
      <c r="AZ136" s="319" t="s">
        <v>576</v>
      </c>
      <c r="BA136" s="311" t="s">
        <v>412</v>
      </c>
      <c r="BB136" s="279"/>
      <c r="BC136" s="318">
        <f>AW136+AX136</f>
        <v>0</v>
      </c>
      <c r="BD136" s="318">
        <f>G136/(100-BE136)*100</f>
        <v>0</v>
      </c>
      <c r="BE136" s="318">
        <v>0</v>
      </c>
      <c r="BF136" s="318">
        <f>L136</f>
        <v>0</v>
      </c>
      <c r="BG136" s="279"/>
      <c r="BH136" s="318">
        <f>F136*AO136</f>
        <v>0</v>
      </c>
      <c r="BI136" s="318">
        <f>F136*AP136</f>
        <v>0</v>
      </c>
      <c r="BJ136" s="318">
        <f>F136*G136</f>
        <v>0</v>
      </c>
    </row>
    <row r="137" spans="1:62" s="434" customFormat="1">
      <c r="A137" s="279"/>
      <c r="B137" s="279"/>
      <c r="C137" s="279"/>
      <c r="D137" s="320" t="s">
        <v>648</v>
      </c>
      <c r="E137" s="279"/>
      <c r="F137" s="321">
        <v>2.9423699999999999</v>
      </c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79"/>
      <c r="AQ137" s="279"/>
      <c r="AR137" s="279"/>
      <c r="AS137" s="279"/>
      <c r="AT137" s="279"/>
      <c r="AU137" s="279"/>
      <c r="AV137" s="279"/>
      <c r="AW137" s="279"/>
      <c r="AX137" s="279"/>
      <c r="AY137" s="279"/>
      <c r="AZ137" s="279"/>
      <c r="BA137" s="279"/>
      <c r="BB137" s="279"/>
      <c r="BC137" s="279"/>
      <c r="BD137" s="279"/>
      <c r="BE137" s="279"/>
      <c r="BF137" s="279"/>
      <c r="BG137" s="279"/>
      <c r="BH137" s="279"/>
      <c r="BI137" s="279"/>
      <c r="BJ137" s="279"/>
    </row>
    <row r="138" spans="1:62" s="434" customFormat="1">
      <c r="A138" s="317" t="s">
        <v>652</v>
      </c>
      <c r="B138" s="317"/>
      <c r="C138" s="317" t="s">
        <v>653</v>
      </c>
      <c r="D138" s="317" t="s">
        <v>654</v>
      </c>
      <c r="E138" s="317" t="s">
        <v>432</v>
      </c>
      <c r="F138" s="318">
        <v>2.9423699999999999</v>
      </c>
      <c r="G138" s="318">
        <v>0</v>
      </c>
      <c r="H138" s="318">
        <f>F138*AO138</f>
        <v>0</v>
      </c>
      <c r="I138" s="318">
        <f>F138*AP138</f>
        <v>0</v>
      </c>
      <c r="J138" s="318">
        <f>F138*G138</f>
        <v>0</v>
      </c>
      <c r="K138" s="318">
        <v>0</v>
      </c>
      <c r="L138" s="318">
        <f>F138*K138</f>
        <v>0</v>
      </c>
      <c r="M138" s="319" t="s">
        <v>409</v>
      </c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318">
        <f>IF(AQ138="5",BJ138,0)</f>
        <v>0</v>
      </c>
      <c r="AA138" s="279"/>
      <c r="AB138" s="318">
        <f>IF(AQ138="1",BH138,0)</f>
        <v>0</v>
      </c>
      <c r="AC138" s="318">
        <f>IF(AQ138="1",BI138,0)</f>
        <v>0</v>
      </c>
      <c r="AD138" s="318">
        <f>IF(AQ138="7",BH138,0)</f>
        <v>0</v>
      </c>
      <c r="AE138" s="318">
        <f>IF(AQ138="7",BI138,0)</f>
        <v>0</v>
      </c>
      <c r="AF138" s="318">
        <f>IF(AQ138="2",BH138,0)</f>
        <v>0</v>
      </c>
      <c r="AG138" s="318">
        <f>IF(AQ138="2",BI138,0)</f>
        <v>0</v>
      </c>
      <c r="AH138" s="318">
        <f>IF(AQ138="0",BJ138,0)</f>
        <v>0</v>
      </c>
      <c r="AI138" s="311"/>
      <c r="AJ138" s="318">
        <f>IF(AN138=0,J138,0)</f>
        <v>0</v>
      </c>
      <c r="AK138" s="318">
        <f>IF(AN138=15,J138,0)</f>
        <v>0</v>
      </c>
      <c r="AL138" s="318">
        <f>IF(AN138=21,J138,0)</f>
        <v>0</v>
      </c>
      <c r="AM138" s="279"/>
      <c r="AN138" s="318">
        <v>21</v>
      </c>
      <c r="AO138" s="318">
        <f>G138*0</f>
        <v>0</v>
      </c>
      <c r="AP138" s="318">
        <f>G138*(1-0)</f>
        <v>0</v>
      </c>
      <c r="AQ138" s="319" t="s">
        <v>429</v>
      </c>
      <c r="AR138" s="279"/>
      <c r="AS138" s="279"/>
      <c r="AT138" s="279"/>
      <c r="AU138" s="279"/>
      <c r="AV138" s="318">
        <f>AW138+AX138</f>
        <v>0</v>
      </c>
      <c r="AW138" s="318">
        <f>F138*AO138</f>
        <v>0</v>
      </c>
      <c r="AX138" s="318">
        <f>F138*AP138</f>
        <v>0</v>
      </c>
      <c r="AY138" s="319" t="s">
        <v>647</v>
      </c>
      <c r="AZ138" s="319" t="s">
        <v>576</v>
      </c>
      <c r="BA138" s="311" t="s">
        <v>412</v>
      </c>
      <c r="BB138" s="279"/>
      <c r="BC138" s="318">
        <f>AW138+AX138</f>
        <v>0</v>
      </c>
      <c r="BD138" s="318">
        <f>G138/(100-BE138)*100</f>
        <v>0</v>
      </c>
      <c r="BE138" s="318">
        <v>0</v>
      </c>
      <c r="BF138" s="318">
        <f>L138</f>
        <v>0</v>
      </c>
      <c r="BG138" s="279"/>
      <c r="BH138" s="318">
        <f>F138*AO138</f>
        <v>0</v>
      </c>
      <c r="BI138" s="318">
        <f>F138*AP138</f>
        <v>0</v>
      </c>
      <c r="BJ138" s="318">
        <f>F138*G138</f>
        <v>0</v>
      </c>
    </row>
    <row r="139" spans="1:62" s="434" customFormat="1">
      <c r="A139" s="279"/>
      <c r="B139" s="279"/>
      <c r="C139" s="279"/>
      <c r="D139" s="320" t="s">
        <v>648</v>
      </c>
      <c r="E139" s="279"/>
      <c r="F139" s="321">
        <v>2.9423699999999999</v>
      </c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279"/>
      <c r="AR139" s="279"/>
      <c r="AS139" s="279"/>
      <c r="AT139" s="279"/>
      <c r="AU139" s="279"/>
      <c r="AV139" s="279"/>
      <c r="AW139" s="279"/>
      <c r="AX139" s="279"/>
      <c r="AY139" s="279"/>
      <c r="AZ139" s="279"/>
      <c r="BA139" s="279"/>
      <c r="BB139" s="279"/>
      <c r="BC139" s="279"/>
      <c r="BD139" s="279"/>
      <c r="BE139" s="279"/>
      <c r="BF139" s="279"/>
      <c r="BG139" s="279"/>
      <c r="BH139" s="279"/>
      <c r="BI139" s="279"/>
      <c r="BJ139" s="279"/>
    </row>
    <row r="140" spans="1:62" s="434" customFormat="1">
      <c r="A140" s="317" t="s">
        <v>655</v>
      </c>
      <c r="B140" s="317"/>
      <c r="C140" s="317" t="s">
        <v>656</v>
      </c>
      <c r="D140" s="317" t="s">
        <v>657</v>
      </c>
      <c r="E140" s="317" t="s">
        <v>432</v>
      </c>
      <c r="F140" s="318">
        <v>2.9423699999999999</v>
      </c>
      <c r="G140" s="318">
        <v>0</v>
      </c>
      <c r="H140" s="318">
        <f>F140*AO140</f>
        <v>0</v>
      </c>
      <c r="I140" s="318">
        <f>F140*AP140</f>
        <v>0</v>
      </c>
      <c r="J140" s="318">
        <f>F140*G140</f>
        <v>0</v>
      </c>
      <c r="K140" s="318">
        <v>0</v>
      </c>
      <c r="L140" s="318">
        <f>F140*K140</f>
        <v>0</v>
      </c>
      <c r="M140" s="319" t="s">
        <v>409</v>
      </c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318">
        <f>IF(AQ140="5",BJ140,0)</f>
        <v>0</v>
      </c>
      <c r="AA140" s="279"/>
      <c r="AB140" s="318">
        <f>IF(AQ140="1",BH140,0)</f>
        <v>0</v>
      </c>
      <c r="AC140" s="318">
        <f>IF(AQ140="1",BI140,0)</f>
        <v>0</v>
      </c>
      <c r="AD140" s="318">
        <f>IF(AQ140="7",BH140,0)</f>
        <v>0</v>
      </c>
      <c r="AE140" s="318">
        <f>IF(AQ140="7",BI140,0)</f>
        <v>0</v>
      </c>
      <c r="AF140" s="318">
        <f>IF(AQ140="2",BH140,0)</f>
        <v>0</v>
      </c>
      <c r="AG140" s="318">
        <f>IF(AQ140="2",BI140,0)</f>
        <v>0</v>
      </c>
      <c r="AH140" s="318">
        <f>IF(AQ140="0",BJ140,0)</f>
        <v>0</v>
      </c>
      <c r="AI140" s="311"/>
      <c r="AJ140" s="318">
        <f>IF(AN140=0,J140,0)</f>
        <v>0</v>
      </c>
      <c r="AK140" s="318">
        <f>IF(AN140=15,J140,0)</f>
        <v>0</v>
      </c>
      <c r="AL140" s="318">
        <f>IF(AN140=21,J140,0)</f>
        <v>0</v>
      </c>
      <c r="AM140" s="279"/>
      <c r="AN140" s="318">
        <v>21</v>
      </c>
      <c r="AO140" s="318">
        <f>G140*0</f>
        <v>0</v>
      </c>
      <c r="AP140" s="318">
        <f>G140*(1-0)</f>
        <v>0</v>
      </c>
      <c r="AQ140" s="319" t="s">
        <v>429</v>
      </c>
      <c r="AR140" s="279"/>
      <c r="AS140" s="279"/>
      <c r="AT140" s="279"/>
      <c r="AU140" s="279"/>
      <c r="AV140" s="318">
        <f>AW140+AX140</f>
        <v>0</v>
      </c>
      <c r="AW140" s="318">
        <f>F140*AO140</f>
        <v>0</v>
      </c>
      <c r="AX140" s="318">
        <f>F140*AP140</f>
        <v>0</v>
      </c>
      <c r="AY140" s="319" t="s">
        <v>647</v>
      </c>
      <c r="AZ140" s="319" t="s">
        <v>576</v>
      </c>
      <c r="BA140" s="311" t="s">
        <v>412</v>
      </c>
      <c r="BB140" s="279"/>
      <c r="BC140" s="318">
        <f>AW140+AX140</f>
        <v>0</v>
      </c>
      <c r="BD140" s="318">
        <f>G140/(100-BE140)*100</f>
        <v>0</v>
      </c>
      <c r="BE140" s="318">
        <v>0</v>
      </c>
      <c r="BF140" s="318">
        <f>L140</f>
        <v>0</v>
      </c>
      <c r="BG140" s="279"/>
      <c r="BH140" s="318">
        <f>F140*AO140</f>
        <v>0</v>
      </c>
      <c r="BI140" s="318">
        <f>F140*AP140</f>
        <v>0</v>
      </c>
      <c r="BJ140" s="318">
        <f>F140*G140</f>
        <v>0</v>
      </c>
    </row>
    <row r="141" spans="1:62" s="434" customFormat="1">
      <c r="A141" s="279"/>
      <c r="B141" s="279"/>
      <c r="C141" s="279"/>
      <c r="D141" s="320" t="s">
        <v>648</v>
      </c>
      <c r="E141" s="279"/>
      <c r="F141" s="321">
        <v>2.9423699999999999</v>
      </c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279"/>
      <c r="AQ141" s="279"/>
      <c r="AR141" s="279"/>
      <c r="AS141" s="279"/>
      <c r="AT141" s="279"/>
      <c r="AU141" s="279"/>
      <c r="AV141" s="279"/>
      <c r="AW141" s="279"/>
      <c r="AX141" s="279"/>
      <c r="AY141" s="279"/>
      <c r="AZ141" s="279"/>
      <c r="BA141" s="279"/>
      <c r="BB141" s="279"/>
      <c r="BC141" s="279"/>
      <c r="BD141" s="279"/>
      <c r="BE141" s="279"/>
      <c r="BF141" s="279"/>
      <c r="BG141" s="279"/>
      <c r="BH141" s="279"/>
      <c r="BI141" s="279"/>
      <c r="BJ141" s="279"/>
    </row>
    <row r="142" spans="1:62" s="434" customFormat="1">
      <c r="A142" s="317" t="s">
        <v>658</v>
      </c>
      <c r="B142" s="317"/>
      <c r="C142" s="317" t="s">
        <v>659</v>
      </c>
      <c r="D142" s="317" t="s">
        <v>660</v>
      </c>
      <c r="E142" s="317" t="s">
        <v>432</v>
      </c>
      <c r="F142" s="318">
        <v>55.905029999999996</v>
      </c>
      <c r="G142" s="318">
        <v>0</v>
      </c>
      <c r="H142" s="318">
        <f>F142*AO142</f>
        <v>0</v>
      </c>
      <c r="I142" s="318">
        <f>F142*AP142</f>
        <v>0</v>
      </c>
      <c r="J142" s="318">
        <f>F142*G142</f>
        <v>0</v>
      </c>
      <c r="K142" s="318">
        <v>0</v>
      </c>
      <c r="L142" s="318">
        <f>F142*K142</f>
        <v>0</v>
      </c>
      <c r="M142" s="319" t="s">
        <v>409</v>
      </c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  <c r="Z142" s="318">
        <f>IF(AQ142="5",BJ142,0)</f>
        <v>0</v>
      </c>
      <c r="AA142" s="279"/>
      <c r="AB142" s="318">
        <f>IF(AQ142="1",BH142,0)</f>
        <v>0</v>
      </c>
      <c r="AC142" s="318">
        <f>IF(AQ142="1",BI142,0)</f>
        <v>0</v>
      </c>
      <c r="AD142" s="318">
        <f>IF(AQ142="7",BH142,0)</f>
        <v>0</v>
      </c>
      <c r="AE142" s="318">
        <f>IF(AQ142="7",BI142,0)</f>
        <v>0</v>
      </c>
      <c r="AF142" s="318">
        <f>IF(AQ142="2",BH142,0)</f>
        <v>0</v>
      </c>
      <c r="AG142" s="318">
        <f>IF(AQ142="2",BI142,0)</f>
        <v>0</v>
      </c>
      <c r="AH142" s="318">
        <f>IF(AQ142="0",BJ142,0)</f>
        <v>0</v>
      </c>
      <c r="AI142" s="311"/>
      <c r="AJ142" s="318">
        <f>IF(AN142=0,J142,0)</f>
        <v>0</v>
      </c>
      <c r="AK142" s="318">
        <f>IF(AN142=15,J142,0)</f>
        <v>0</v>
      </c>
      <c r="AL142" s="318">
        <f>IF(AN142=21,J142,0)</f>
        <v>0</v>
      </c>
      <c r="AM142" s="279"/>
      <c r="AN142" s="318">
        <v>21</v>
      </c>
      <c r="AO142" s="318">
        <f>G142*0</f>
        <v>0</v>
      </c>
      <c r="AP142" s="318">
        <f>G142*(1-0)</f>
        <v>0</v>
      </c>
      <c r="AQ142" s="319" t="s">
        <v>429</v>
      </c>
      <c r="AR142" s="279"/>
      <c r="AS142" s="279"/>
      <c r="AT142" s="279"/>
      <c r="AU142" s="279"/>
      <c r="AV142" s="318">
        <f>AW142+AX142</f>
        <v>0</v>
      </c>
      <c r="AW142" s="318">
        <f>F142*AO142</f>
        <v>0</v>
      </c>
      <c r="AX142" s="318">
        <f>F142*AP142</f>
        <v>0</v>
      </c>
      <c r="AY142" s="319" t="s">
        <v>647</v>
      </c>
      <c r="AZ142" s="319" t="s">
        <v>576</v>
      </c>
      <c r="BA142" s="311" t="s">
        <v>412</v>
      </c>
      <c r="BB142" s="279"/>
      <c r="BC142" s="318">
        <f>AW142+AX142</f>
        <v>0</v>
      </c>
      <c r="BD142" s="318">
        <f>G142/(100-BE142)*100</f>
        <v>0</v>
      </c>
      <c r="BE142" s="318">
        <v>0</v>
      </c>
      <c r="BF142" s="318">
        <f>L142</f>
        <v>0</v>
      </c>
      <c r="BG142" s="279"/>
      <c r="BH142" s="318">
        <f>F142*AO142</f>
        <v>0</v>
      </c>
      <c r="BI142" s="318">
        <f>F142*AP142</f>
        <v>0</v>
      </c>
      <c r="BJ142" s="318">
        <f>F142*G142</f>
        <v>0</v>
      </c>
    </row>
    <row r="143" spans="1:62" s="434" customFormat="1">
      <c r="A143" s="279"/>
      <c r="B143" s="279"/>
      <c r="C143" s="279"/>
      <c r="D143" s="320" t="s">
        <v>661</v>
      </c>
      <c r="E143" s="279"/>
      <c r="F143" s="321">
        <v>55.905029999999996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279"/>
      <c r="AQ143" s="279"/>
      <c r="AR143" s="279"/>
      <c r="AS143" s="279"/>
      <c r="AT143" s="279"/>
      <c r="AU143" s="279"/>
      <c r="AV143" s="279"/>
      <c r="AW143" s="279"/>
      <c r="AX143" s="279"/>
      <c r="AY143" s="279"/>
      <c r="AZ143" s="279"/>
      <c r="BA143" s="279"/>
      <c r="BB143" s="279"/>
      <c r="BC143" s="279"/>
      <c r="BD143" s="279"/>
      <c r="BE143" s="279"/>
      <c r="BF143" s="279"/>
      <c r="BG143" s="279"/>
      <c r="BH143" s="279"/>
      <c r="BI143" s="279"/>
      <c r="BJ143" s="279"/>
    </row>
    <row r="144" spans="1:62" s="434" customFormat="1">
      <c r="A144" s="317" t="s">
        <v>662</v>
      </c>
      <c r="B144" s="317"/>
      <c r="C144" s="317" t="s">
        <v>663</v>
      </c>
      <c r="D144" s="317" t="s">
        <v>664</v>
      </c>
      <c r="E144" s="317" t="s">
        <v>432</v>
      </c>
      <c r="F144" s="318">
        <v>0.71487000000000001</v>
      </c>
      <c r="G144" s="318">
        <v>0</v>
      </c>
      <c r="H144" s="318">
        <f>F144*AO144</f>
        <v>0</v>
      </c>
      <c r="I144" s="318">
        <f>F144*AP144</f>
        <v>0</v>
      </c>
      <c r="J144" s="318">
        <f>F144*G144</f>
        <v>0</v>
      </c>
      <c r="K144" s="318">
        <v>0</v>
      </c>
      <c r="L144" s="318">
        <f>F144*K144</f>
        <v>0</v>
      </c>
      <c r="M144" s="319" t="s">
        <v>409</v>
      </c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  <c r="X144" s="279"/>
      <c r="Y144" s="279"/>
      <c r="Z144" s="318">
        <f>IF(AQ144="5",BJ144,0)</f>
        <v>0</v>
      </c>
      <c r="AA144" s="279"/>
      <c r="AB144" s="318">
        <f>IF(AQ144="1",BH144,0)</f>
        <v>0</v>
      </c>
      <c r="AC144" s="318">
        <f>IF(AQ144="1",BI144,0)</f>
        <v>0</v>
      </c>
      <c r="AD144" s="318">
        <f>IF(AQ144="7",BH144,0)</f>
        <v>0</v>
      </c>
      <c r="AE144" s="318">
        <f>IF(AQ144="7",BI144,0)</f>
        <v>0</v>
      </c>
      <c r="AF144" s="318">
        <f>IF(AQ144="2",BH144,0)</f>
        <v>0</v>
      </c>
      <c r="AG144" s="318">
        <f>IF(AQ144="2",BI144,0)</f>
        <v>0</v>
      </c>
      <c r="AH144" s="318">
        <f>IF(AQ144="0",BJ144,0)</f>
        <v>0</v>
      </c>
      <c r="AI144" s="311"/>
      <c r="AJ144" s="318">
        <f>IF(AN144=0,J144,0)</f>
        <v>0</v>
      </c>
      <c r="AK144" s="318">
        <f>IF(AN144=15,J144,0)</f>
        <v>0</v>
      </c>
      <c r="AL144" s="318">
        <f>IF(AN144=21,J144,0)</f>
        <v>0</v>
      </c>
      <c r="AM144" s="279"/>
      <c r="AN144" s="318">
        <v>21</v>
      </c>
      <c r="AO144" s="318">
        <f>G144*0</f>
        <v>0</v>
      </c>
      <c r="AP144" s="318">
        <f>G144*(1-0)</f>
        <v>0</v>
      </c>
      <c r="AQ144" s="319" t="s">
        <v>429</v>
      </c>
      <c r="AR144" s="279"/>
      <c r="AS144" s="279"/>
      <c r="AT144" s="279"/>
      <c r="AU144" s="279"/>
      <c r="AV144" s="318">
        <f>AW144+AX144</f>
        <v>0</v>
      </c>
      <c r="AW144" s="318">
        <f>F144*AO144</f>
        <v>0</v>
      </c>
      <c r="AX144" s="318">
        <f>F144*AP144</f>
        <v>0</v>
      </c>
      <c r="AY144" s="319" t="s">
        <v>647</v>
      </c>
      <c r="AZ144" s="319" t="s">
        <v>576</v>
      </c>
      <c r="BA144" s="311" t="s">
        <v>412</v>
      </c>
      <c r="BB144" s="279"/>
      <c r="BC144" s="318">
        <f>AW144+AX144</f>
        <v>0</v>
      </c>
      <c r="BD144" s="318">
        <f>G144/(100-BE144)*100</f>
        <v>0</v>
      </c>
      <c r="BE144" s="318">
        <v>0</v>
      </c>
      <c r="BF144" s="318">
        <f>L144</f>
        <v>0</v>
      </c>
      <c r="BG144" s="279"/>
      <c r="BH144" s="318">
        <f>F144*AO144</f>
        <v>0</v>
      </c>
      <c r="BI144" s="318">
        <f>F144*AP144</f>
        <v>0</v>
      </c>
      <c r="BJ144" s="318">
        <f>F144*G144</f>
        <v>0</v>
      </c>
    </row>
    <row r="145" spans="1:62" s="434" customFormat="1">
      <c r="A145" s="279"/>
      <c r="B145" s="279"/>
      <c r="C145" s="279"/>
      <c r="D145" s="320" t="s">
        <v>665</v>
      </c>
      <c r="E145" s="279"/>
      <c r="F145" s="321">
        <v>0.71487000000000001</v>
      </c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79"/>
      <c r="AQ145" s="279"/>
      <c r="AR145" s="279"/>
      <c r="AS145" s="279"/>
      <c r="AT145" s="279"/>
      <c r="AU145" s="279"/>
      <c r="AV145" s="279"/>
      <c r="AW145" s="279"/>
      <c r="AX145" s="279"/>
      <c r="AY145" s="279"/>
      <c r="AZ145" s="279"/>
      <c r="BA145" s="279"/>
      <c r="BB145" s="279"/>
      <c r="BC145" s="279"/>
      <c r="BD145" s="279"/>
      <c r="BE145" s="279"/>
      <c r="BF145" s="279"/>
      <c r="BG145" s="279"/>
      <c r="BH145" s="279"/>
      <c r="BI145" s="279"/>
      <c r="BJ145" s="279"/>
    </row>
    <row r="146" spans="1:62" s="434" customFormat="1">
      <c r="A146" s="317" t="s">
        <v>330</v>
      </c>
      <c r="B146" s="317"/>
      <c r="C146" s="317" t="s">
        <v>666</v>
      </c>
      <c r="D146" s="317" t="s">
        <v>667</v>
      </c>
      <c r="E146" s="317" t="s">
        <v>432</v>
      </c>
      <c r="F146" s="318">
        <v>2.2275</v>
      </c>
      <c r="G146" s="318">
        <v>0</v>
      </c>
      <c r="H146" s="318">
        <f>F146*AO146</f>
        <v>0</v>
      </c>
      <c r="I146" s="318">
        <f>F146*AP146</f>
        <v>0</v>
      </c>
      <c r="J146" s="318">
        <f>F146*G146</f>
        <v>0</v>
      </c>
      <c r="K146" s="318">
        <v>0</v>
      </c>
      <c r="L146" s="318">
        <f>F146*K146</f>
        <v>0</v>
      </c>
      <c r="M146" s="319" t="s">
        <v>409</v>
      </c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318">
        <f>IF(AQ146="5",BJ146,0)</f>
        <v>0</v>
      </c>
      <c r="AA146" s="279"/>
      <c r="AB146" s="318">
        <f>IF(AQ146="1",BH146,0)</f>
        <v>0</v>
      </c>
      <c r="AC146" s="318">
        <f>IF(AQ146="1",BI146,0)</f>
        <v>0</v>
      </c>
      <c r="AD146" s="318">
        <f>IF(AQ146="7",BH146,0)</f>
        <v>0</v>
      </c>
      <c r="AE146" s="318">
        <f>IF(AQ146="7",BI146,0)</f>
        <v>0</v>
      </c>
      <c r="AF146" s="318">
        <f>IF(AQ146="2",BH146,0)</f>
        <v>0</v>
      </c>
      <c r="AG146" s="318">
        <f>IF(AQ146="2",BI146,0)</f>
        <v>0</v>
      </c>
      <c r="AH146" s="318">
        <f>IF(AQ146="0",BJ146,0)</f>
        <v>0</v>
      </c>
      <c r="AI146" s="311"/>
      <c r="AJ146" s="318">
        <f>IF(AN146=0,J146,0)</f>
        <v>0</v>
      </c>
      <c r="AK146" s="318">
        <f>IF(AN146=15,J146,0)</f>
        <v>0</v>
      </c>
      <c r="AL146" s="318">
        <f>IF(AN146=21,J146,0)</f>
        <v>0</v>
      </c>
      <c r="AM146" s="279"/>
      <c r="AN146" s="318">
        <v>21</v>
      </c>
      <c r="AO146" s="318">
        <f>G146*0</f>
        <v>0</v>
      </c>
      <c r="AP146" s="318">
        <f>G146*(1-0)</f>
        <v>0</v>
      </c>
      <c r="AQ146" s="319" t="s">
        <v>429</v>
      </c>
      <c r="AR146" s="279"/>
      <c r="AS146" s="279"/>
      <c r="AT146" s="279"/>
      <c r="AU146" s="279"/>
      <c r="AV146" s="318">
        <f>AW146+AX146</f>
        <v>0</v>
      </c>
      <c r="AW146" s="318">
        <f>F146*AO146</f>
        <v>0</v>
      </c>
      <c r="AX146" s="318">
        <f>F146*AP146</f>
        <v>0</v>
      </c>
      <c r="AY146" s="319" t="s">
        <v>647</v>
      </c>
      <c r="AZ146" s="319" t="s">
        <v>576</v>
      </c>
      <c r="BA146" s="311" t="s">
        <v>412</v>
      </c>
      <c r="BB146" s="279"/>
      <c r="BC146" s="318">
        <f>AW146+AX146</f>
        <v>0</v>
      </c>
      <c r="BD146" s="318">
        <f>G146/(100-BE146)*100</f>
        <v>0</v>
      </c>
      <c r="BE146" s="318">
        <v>0</v>
      </c>
      <c r="BF146" s="318">
        <f>L146</f>
        <v>0</v>
      </c>
      <c r="BG146" s="279"/>
      <c r="BH146" s="318">
        <f>F146*AO146</f>
        <v>0</v>
      </c>
      <c r="BI146" s="318">
        <f>F146*AP146</f>
        <v>0</v>
      </c>
      <c r="BJ146" s="318">
        <f>F146*G146</f>
        <v>0</v>
      </c>
    </row>
    <row r="147" spans="1:62" s="434" customFormat="1">
      <c r="A147" s="278"/>
      <c r="B147" s="278"/>
      <c r="C147" s="278"/>
      <c r="D147" s="324" t="s">
        <v>668</v>
      </c>
      <c r="E147" s="278"/>
      <c r="F147" s="325">
        <v>2.2275</v>
      </c>
      <c r="G147" s="278"/>
      <c r="H147" s="278"/>
      <c r="I147" s="278"/>
      <c r="J147" s="278"/>
      <c r="K147" s="278"/>
      <c r="L147" s="278"/>
      <c r="M147" s="278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279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279"/>
      <c r="BJ147" s="279"/>
    </row>
    <row r="148" spans="1:62" s="434" customFormat="1">
      <c r="A148" s="287"/>
      <c r="B148" s="287"/>
      <c r="C148" s="287"/>
      <c r="D148" s="287"/>
      <c r="E148" s="287"/>
      <c r="F148" s="287"/>
      <c r="G148" s="287"/>
      <c r="H148" s="513" t="s">
        <v>669</v>
      </c>
      <c r="I148" s="513"/>
      <c r="J148" s="326">
        <f>J12+J15+J24+J27+J37+J40+J43+J83+J89+J92+J97+J100+J108+J119+J130+J133</f>
        <v>0</v>
      </c>
      <c r="K148" s="287"/>
      <c r="L148" s="287"/>
      <c r="M148" s="287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/>
      <c r="BF148" s="279"/>
      <c r="BG148" s="279"/>
      <c r="BH148" s="279"/>
      <c r="BI148" s="279"/>
      <c r="BJ148" s="279"/>
    </row>
    <row r="149" spans="1:62" s="434" customFormat="1" ht="11.25" customHeight="1">
      <c r="A149" s="327" t="s">
        <v>39</v>
      </c>
      <c r="B149" s="279"/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79"/>
      <c r="AQ149" s="279"/>
      <c r="AR149" s="279"/>
      <c r="AS149" s="279"/>
      <c r="AT149" s="279"/>
      <c r="AU149" s="279"/>
      <c r="AV149" s="279"/>
      <c r="AW149" s="279"/>
      <c r="AX149" s="279"/>
      <c r="AY149" s="279"/>
      <c r="AZ149" s="279"/>
      <c r="BA149" s="279"/>
      <c r="BB149" s="279"/>
      <c r="BC149" s="279"/>
      <c r="BD149" s="279"/>
      <c r="BE149" s="279"/>
      <c r="BF149" s="279"/>
      <c r="BG149" s="279"/>
      <c r="BH149" s="279"/>
      <c r="BI149" s="279"/>
      <c r="BJ149" s="279"/>
    </row>
    <row r="150" spans="1:62" s="434" customFormat="1">
      <c r="A150" s="489"/>
      <c r="B150" s="489"/>
      <c r="C150" s="489"/>
      <c r="D150" s="489"/>
      <c r="E150" s="489"/>
      <c r="F150" s="489"/>
      <c r="G150" s="489"/>
      <c r="H150" s="489"/>
      <c r="I150" s="489"/>
      <c r="J150" s="489"/>
      <c r="K150" s="489"/>
      <c r="L150" s="489"/>
      <c r="M150" s="48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79"/>
      <c r="AQ150" s="279"/>
      <c r="AR150" s="279"/>
      <c r="AS150" s="279"/>
      <c r="AT150" s="279"/>
      <c r="AU150" s="279"/>
      <c r="AV150" s="279"/>
      <c r="AW150" s="279"/>
      <c r="AX150" s="279"/>
      <c r="AY150" s="279"/>
      <c r="AZ150" s="279"/>
      <c r="BA150" s="279"/>
      <c r="BB150" s="279"/>
      <c r="BC150" s="279"/>
      <c r="BD150" s="279"/>
      <c r="BE150" s="279"/>
      <c r="BF150" s="279"/>
      <c r="BG150" s="279"/>
      <c r="BH150" s="279"/>
      <c r="BI150" s="279"/>
      <c r="BJ150" s="279"/>
    </row>
  </sheetData>
  <mergeCells count="29">
    <mergeCell ref="A1:M1"/>
    <mergeCell ref="A2:C3"/>
    <mergeCell ref="D2:D3"/>
    <mergeCell ref="E2:F3"/>
    <mergeCell ref="G2:G3"/>
    <mergeCell ref="H2:H3"/>
    <mergeCell ref="I2:M3"/>
    <mergeCell ref="I4:M5"/>
    <mergeCell ref="A6:C7"/>
    <mergeCell ref="D6:D7"/>
    <mergeCell ref="E6:F7"/>
    <mergeCell ref="G6:G7"/>
    <mergeCell ref="H6:H7"/>
    <mergeCell ref="I6:M7"/>
    <mergeCell ref="A4:C5"/>
    <mergeCell ref="D4:D5"/>
    <mergeCell ref="E4:F5"/>
    <mergeCell ref="G4:G5"/>
    <mergeCell ref="H4:H5"/>
    <mergeCell ref="H10:J10"/>
    <mergeCell ref="K10:L10"/>
    <mergeCell ref="H148:I148"/>
    <mergeCell ref="A150:M150"/>
    <mergeCell ref="A8:C9"/>
    <mergeCell ref="D8:D9"/>
    <mergeCell ref="E8:F9"/>
    <mergeCell ref="G8:G9"/>
    <mergeCell ref="H8:H9"/>
    <mergeCell ref="I8:M9"/>
  </mergeCells>
  <pageMargins left="0.39400000000000007" right="0.39400000000000007" top="0.59099999999999997" bottom="0.59099999999999997" header="0.5" footer="0.5"/>
  <pageSetup paperSize="0" fitToWidth="0" fitToHeight="0" orientation="landscape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"/>
  <sheetViews>
    <sheetView showGridLines="0" topLeftCell="A62" workbookViewId="0">
      <selection activeCell="I84" sqref="I8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5" t="s">
        <v>88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8"/>
      <c r="AT3" s="15" t="s">
        <v>85</v>
      </c>
    </row>
    <row r="4" spans="1:46" s="1" customFormat="1" ht="24.95" customHeight="1">
      <c r="B4" s="18"/>
      <c r="D4" s="103" t="s">
        <v>95</v>
      </c>
      <c r="I4" s="99"/>
      <c r="L4" s="18"/>
      <c r="M4" s="104" t="s">
        <v>10</v>
      </c>
      <c r="AT4" s="15" t="s">
        <v>4</v>
      </c>
    </row>
    <row r="5" spans="1:46" s="1" customFormat="1" ht="6.95" customHeight="1">
      <c r="B5" s="18"/>
      <c r="I5" s="99"/>
      <c r="L5" s="18"/>
    </row>
    <row r="6" spans="1:46" s="1" customFormat="1" ht="12" customHeight="1">
      <c r="B6" s="18"/>
      <c r="D6" s="105" t="s">
        <v>16</v>
      </c>
      <c r="I6" s="99"/>
      <c r="L6" s="18"/>
    </row>
    <row r="7" spans="1:46" s="1" customFormat="1" ht="16.5" customHeight="1">
      <c r="B7" s="18"/>
      <c r="E7" s="481" t="str">
        <f>'Rekapitulace stavby'!K6</f>
        <v>Komplexní klimatizace v objektu MZe Žďár n.S.</v>
      </c>
      <c r="F7" s="482"/>
      <c r="G7" s="482"/>
      <c r="H7" s="482"/>
      <c r="I7" s="99"/>
      <c r="L7" s="18"/>
    </row>
    <row r="8" spans="1:46" s="2" customFormat="1" ht="12" customHeight="1">
      <c r="A8" s="32"/>
      <c r="B8" s="37"/>
      <c r="C8" s="32"/>
      <c r="D8" s="105" t="s">
        <v>96</v>
      </c>
      <c r="E8" s="32"/>
      <c r="F8" s="32"/>
      <c r="G8" s="32"/>
      <c r="H8" s="32"/>
      <c r="I8" s="106"/>
      <c r="J8" s="32"/>
      <c r="K8" s="32"/>
      <c r="L8" s="10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483" t="s">
        <v>128</v>
      </c>
      <c r="F9" s="484"/>
      <c r="G9" s="484"/>
      <c r="H9" s="484"/>
      <c r="I9" s="106"/>
      <c r="J9" s="32"/>
      <c r="K9" s="32"/>
      <c r="L9" s="10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06"/>
      <c r="J10" s="32"/>
      <c r="K10" s="32"/>
      <c r="L10" s="10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5" t="s">
        <v>18</v>
      </c>
      <c r="E11" s="32"/>
      <c r="F11" s="108" t="s">
        <v>19</v>
      </c>
      <c r="G11" s="32"/>
      <c r="H11" s="32"/>
      <c r="I11" s="109" t="s">
        <v>20</v>
      </c>
      <c r="J11" s="108" t="s">
        <v>19</v>
      </c>
      <c r="K11" s="32"/>
      <c r="L11" s="10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5" t="s">
        <v>21</v>
      </c>
      <c r="E12" s="32"/>
      <c r="F12" s="108" t="s">
        <v>22</v>
      </c>
      <c r="G12" s="32"/>
      <c r="H12" s="32"/>
      <c r="I12" s="109" t="s">
        <v>23</v>
      </c>
      <c r="J12" s="110" t="str">
        <f>'Rekapitulace stavby'!AN8</f>
        <v>21. 2. 2020</v>
      </c>
      <c r="K12" s="32"/>
      <c r="L12" s="10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06"/>
      <c r="J13" s="32"/>
      <c r="K13" s="32"/>
      <c r="L13" s="10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5" t="s">
        <v>25</v>
      </c>
      <c r="E14" s="32"/>
      <c r="F14" s="32"/>
      <c r="G14" s="32"/>
      <c r="H14" s="32"/>
      <c r="I14" s="109" t="s">
        <v>26</v>
      </c>
      <c r="J14" s="108" t="s">
        <v>27</v>
      </c>
      <c r="K14" s="32"/>
      <c r="L14" s="10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">
        <v>28</v>
      </c>
      <c r="F15" s="32"/>
      <c r="G15" s="32"/>
      <c r="H15" s="32"/>
      <c r="I15" s="109" t="s">
        <v>29</v>
      </c>
      <c r="J15" s="108" t="s">
        <v>30</v>
      </c>
      <c r="K15" s="32"/>
      <c r="L15" s="10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06"/>
      <c r="J16" s="32"/>
      <c r="K16" s="32"/>
      <c r="L16" s="10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5" t="s">
        <v>31</v>
      </c>
      <c r="E17" s="32"/>
      <c r="F17" s="32"/>
      <c r="G17" s="32"/>
      <c r="H17" s="32"/>
      <c r="I17" s="109" t="s">
        <v>26</v>
      </c>
      <c r="J17" s="28" t="str">
        <f>'Rekapitulace stavby'!AN13</f>
        <v>Vyplň údaj</v>
      </c>
      <c r="K17" s="32"/>
      <c r="L17" s="10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485" t="str">
        <f>'Rekapitulace stavby'!E14</f>
        <v>Vyplň údaj</v>
      </c>
      <c r="F18" s="486"/>
      <c r="G18" s="486"/>
      <c r="H18" s="486"/>
      <c r="I18" s="109" t="s">
        <v>29</v>
      </c>
      <c r="J18" s="28" t="str">
        <f>'Rekapitulace stavby'!AN14</f>
        <v>Vyplň údaj</v>
      </c>
      <c r="K18" s="32"/>
      <c r="L18" s="10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06"/>
      <c r="J19" s="32"/>
      <c r="K19" s="32"/>
      <c r="L19" s="10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5" t="s">
        <v>33</v>
      </c>
      <c r="E20" s="32"/>
      <c r="F20" s="32"/>
      <c r="G20" s="32"/>
      <c r="H20" s="32"/>
      <c r="I20" s="109" t="s">
        <v>26</v>
      </c>
      <c r="J20" s="108" t="s">
        <v>34</v>
      </c>
      <c r="K20" s="32"/>
      <c r="L20" s="10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">
        <v>35</v>
      </c>
      <c r="F21" s="32"/>
      <c r="G21" s="32"/>
      <c r="H21" s="32"/>
      <c r="I21" s="109" t="s">
        <v>29</v>
      </c>
      <c r="J21" s="108" t="s">
        <v>36</v>
      </c>
      <c r="K21" s="32"/>
      <c r="L21" s="10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06"/>
      <c r="J22" s="32"/>
      <c r="K22" s="32"/>
      <c r="L22" s="10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5" t="s">
        <v>38</v>
      </c>
      <c r="E23" s="32"/>
      <c r="F23" s="32"/>
      <c r="G23" s="32"/>
      <c r="H23" s="32"/>
      <c r="I23" s="109" t="s">
        <v>26</v>
      </c>
      <c r="J23" s="108" t="s">
        <v>34</v>
      </c>
      <c r="K23" s="32"/>
      <c r="L23" s="10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">
        <v>35</v>
      </c>
      <c r="F24" s="32"/>
      <c r="G24" s="32"/>
      <c r="H24" s="32"/>
      <c r="I24" s="109" t="s">
        <v>29</v>
      </c>
      <c r="J24" s="108" t="s">
        <v>36</v>
      </c>
      <c r="K24" s="32"/>
      <c r="L24" s="10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06"/>
      <c r="J25" s="32"/>
      <c r="K25" s="32"/>
      <c r="L25" s="10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5" t="s">
        <v>39</v>
      </c>
      <c r="E26" s="32"/>
      <c r="F26" s="32"/>
      <c r="G26" s="32"/>
      <c r="H26" s="32"/>
      <c r="I26" s="106"/>
      <c r="J26" s="32"/>
      <c r="K26" s="32"/>
      <c r="L26" s="10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1"/>
      <c r="B27" s="112"/>
      <c r="C27" s="111"/>
      <c r="D27" s="111"/>
      <c r="E27" s="487" t="s">
        <v>19</v>
      </c>
      <c r="F27" s="487"/>
      <c r="G27" s="487"/>
      <c r="H27" s="487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06"/>
      <c r="J28" s="32"/>
      <c r="K28" s="32"/>
      <c r="L28" s="10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5"/>
      <c r="E29" s="115"/>
      <c r="F29" s="115"/>
      <c r="G29" s="115"/>
      <c r="H29" s="115"/>
      <c r="I29" s="116"/>
      <c r="J29" s="115"/>
      <c r="K29" s="115"/>
      <c r="L29" s="10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41</v>
      </c>
      <c r="E30" s="32"/>
      <c r="F30" s="32"/>
      <c r="G30" s="32"/>
      <c r="H30" s="32"/>
      <c r="I30" s="106"/>
      <c r="J30" s="118">
        <f>ROUND(J81, 2)</f>
        <v>0</v>
      </c>
      <c r="K30" s="32"/>
      <c r="L30" s="10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5"/>
      <c r="E31" s="115"/>
      <c r="F31" s="115"/>
      <c r="G31" s="115"/>
      <c r="H31" s="115"/>
      <c r="I31" s="116"/>
      <c r="J31" s="115"/>
      <c r="K31" s="115"/>
      <c r="L31" s="10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43</v>
      </c>
      <c r="G32" s="32"/>
      <c r="H32" s="32"/>
      <c r="I32" s="120" t="s">
        <v>42</v>
      </c>
      <c r="J32" s="119" t="s">
        <v>44</v>
      </c>
      <c r="K32" s="32"/>
      <c r="L32" s="10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1" t="s">
        <v>45</v>
      </c>
      <c r="E33" s="105" t="s">
        <v>46</v>
      </c>
      <c r="F33" s="122">
        <f>ROUND((SUM(BE81:BE84)),  2)</f>
        <v>0</v>
      </c>
      <c r="G33" s="32"/>
      <c r="H33" s="32"/>
      <c r="I33" s="123">
        <v>0.21</v>
      </c>
      <c r="J33" s="122">
        <f>ROUND(((SUM(BE81:BE84))*I33),  2)</f>
        <v>0</v>
      </c>
      <c r="K33" s="32"/>
      <c r="L33" s="10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5" t="s">
        <v>47</v>
      </c>
      <c r="F34" s="122">
        <f>ROUND((SUM(BF81:BF84)),  2)</f>
        <v>0</v>
      </c>
      <c r="G34" s="32"/>
      <c r="H34" s="32"/>
      <c r="I34" s="123">
        <v>0.15</v>
      </c>
      <c r="J34" s="122">
        <f>ROUND(((SUM(BF81:BF84))*I34),  2)</f>
        <v>0</v>
      </c>
      <c r="K34" s="32"/>
      <c r="L34" s="10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5" t="s">
        <v>48</v>
      </c>
      <c r="F35" s="122">
        <f>ROUND((SUM(BG81:BG84)),  2)</f>
        <v>0</v>
      </c>
      <c r="G35" s="32"/>
      <c r="H35" s="32"/>
      <c r="I35" s="123">
        <v>0.21</v>
      </c>
      <c r="J35" s="122">
        <f>0</f>
        <v>0</v>
      </c>
      <c r="K35" s="32"/>
      <c r="L35" s="10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5" t="s">
        <v>49</v>
      </c>
      <c r="F36" s="122">
        <f>ROUND((SUM(BH81:BH84)),  2)</f>
        <v>0</v>
      </c>
      <c r="G36" s="32"/>
      <c r="H36" s="32"/>
      <c r="I36" s="123">
        <v>0.15</v>
      </c>
      <c r="J36" s="122">
        <f>0</f>
        <v>0</v>
      </c>
      <c r="K36" s="32"/>
      <c r="L36" s="10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5" t="s">
        <v>50</v>
      </c>
      <c r="F37" s="122">
        <f>ROUND((SUM(BI81:BI84)),  2)</f>
        <v>0</v>
      </c>
      <c r="G37" s="32"/>
      <c r="H37" s="32"/>
      <c r="I37" s="123">
        <v>0</v>
      </c>
      <c r="J37" s="122">
        <f>0</f>
        <v>0</v>
      </c>
      <c r="K37" s="32"/>
      <c r="L37" s="10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06"/>
      <c r="J38" s="32"/>
      <c r="K38" s="32"/>
      <c r="L38" s="10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4"/>
      <c r="D39" s="125" t="s">
        <v>51</v>
      </c>
      <c r="E39" s="126"/>
      <c r="F39" s="126"/>
      <c r="G39" s="127" t="s">
        <v>52</v>
      </c>
      <c r="H39" s="128" t="s">
        <v>53</v>
      </c>
      <c r="I39" s="129"/>
      <c r="J39" s="130">
        <f>SUM(J30:J37)</f>
        <v>0</v>
      </c>
      <c r="K39" s="131"/>
      <c r="L39" s="10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106"/>
      <c r="J45" s="34"/>
      <c r="K45" s="34"/>
      <c r="L45" s="10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10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106"/>
      <c r="J47" s="34"/>
      <c r="K47" s="34"/>
      <c r="L47" s="10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479" t="str">
        <f>E7</f>
        <v>Komplexní klimatizace v objektu MZe Žďár n.S.</v>
      </c>
      <c r="F48" s="480"/>
      <c r="G48" s="480"/>
      <c r="H48" s="480"/>
      <c r="I48" s="106"/>
      <c r="J48" s="34"/>
      <c r="K48" s="34"/>
      <c r="L48" s="10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96</v>
      </c>
      <c r="D49" s="34"/>
      <c r="E49" s="34"/>
      <c r="F49" s="34"/>
      <c r="G49" s="34"/>
      <c r="H49" s="34"/>
      <c r="I49" s="106"/>
      <c r="J49" s="34"/>
      <c r="K49" s="34"/>
      <c r="L49" s="10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458" t="str">
        <f>E9</f>
        <v>D.1.4.1 - Klimatizace</v>
      </c>
      <c r="F50" s="478"/>
      <c r="G50" s="478"/>
      <c r="H50" s="478"/>
      <c r="I50" s="106"/>
      <c r="J50" s="34"/>
      <c r="K50" s="34"/>
      <c r="L50" s="10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10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4"/>
      <c r="E52" s="34"/>
      <c r="F52" s="25" t="str">
        <f>F12</f>
        <v>Žďár nad Sázavou</v>
      </c>
      <c r="G52" s="34"/>
      <c r="H52" s="34"/>
      <c r="I52" s="109" t="s">
        <v>23</v>
      </c>
      <c r="J52" s="57" t="str">
        <f>IF(J12="","",J12)</f>
        <v>21. 2. 2020</v>
      </c>
      <c r="K52" s="34"/>
      <c r="L52" s="10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10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>
      <c r="A54" s="32"/>
      <c r="B54" s="33"/>
      <c r="C54" s="27" t="s">
        <v>25</v>
      </c>
      <c r="D54" s="34"/>
      <c r="E54" s="34"/>
      <c r="F54" s="25" t="str">
        <f>E15</f>
        <v>Česká republika - Ministerstvo zemědělství</v>
      </c>
      <c r="G54" s="34"/>
      <c r="H54" s="34"/>
      <c r="I54" s="109" t="s">
        <v>33</v>
      </c>
      <c r="J54" s="30" t="str">
        <f>E21</f>
        <v>NCI.CZ ENGINEERING s.r.o.</v>
      </c>
      <c r="K54" s="34"/>
      <c r="L54" s="10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>
      <c r="A55" s="32"/>
      <c r="B55" s="33"/>
      <c r="C55" s="27" t="s">
        <v>31</v>
      </c>
      <c r="D55" s="34"/>
      <c r="E55" s="34"/>
      <c r="F55" s="25" t="str">
        <f>IF(E18="","",E18)</f>
        <v>Vyplň údaj</v>
      </c>
      <c r="G55" s="34"/>
      <c r="H55" s="34"/>
      <c r="I55" s="109" t="s">
        <v>38</v>
      </c>
      <c r="J55" s="30" t="str">
        <f>E24</f>
        <v>NCI.CZ ENGINEERING s.r.o.</v>
      </c>
      <c r="K55" s="34"/>
      <c r="L55" s="10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10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38" t="s">
        <v>99</v>
      </c>
      <c r="D57" s="139"/>
      <c r="E57" s="139"/>
      <c r="F57" s="139"/>
      <c r="G57" s="139"/>
      <c r="H57" s="139"/>
      <c r="I57" s="140"/>
      <c r="J57" s="141" t="s">
        <v>100</v>
      </c>
      <c r="K57" s="139"/>
      <c r="L57" s="10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10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42" t="s">
        <v>73</v>
      </c>
      <c r="D59" s="34"/>
      <c r="E59" s="34"/>
      <c r="F59" s="34"/>
      <c r="G59" s="34"/>
      <c r="H59" s="34"/>
      <c r="I59" s="106"/>
      <c r="J59" s="75">
        <f>J81</f>
        <v>0</v>
      </c>
      <c r="K59" s="34"/>
      <c r="L59" s="10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5" customHeight="1">
      <c r="B60" s="143"/>
      <c r="C60" s="144"/>
      <c r="D60" s="145" t="s">
        <v>102</v>
      </c>
      <c r="E60" s="146"/>
      <c r="F60" s="146"/>
      <c r="G60" s="146"/>
      <c r="H60" s="146"/>
      <c r="I60" s="147"/>
      <c r="J60" s="148">
        <f>J82</f>
        <v>0</v>
      </c>
      <c r="K60" s="144"/>
      <c r="L60" s="149"/>
    </row>
    <row r="61" spans="1:47" s="10" customFormat="1" ht="19.899999999999999" customHeight="1">
      <c r="B61" s="150"/>
      <c r="C61" s="151"/>
      <c r="D61" s="152" t="s">
        <v>103</v>
      </c>
      <c r="E61" s="153"/>
      <c r="F61" s="153"/>
      <c r="G61" s="153"/>
      <c r="H61" s="153"/>
      <c r="I61" s="154"/>
      <c r="J61" s="155">
        <f>J83</f>
        <v>0</v>
      </c>
      <c r="K61" s="151"/>
      <c r="L61" s="156"/>
    </row>
    <row r="62" spans="1:47" s="2" customFormat="1" ht="21.75" customHeight="1">
      <c r="A62" s="32"/>
      <c r="B62" s="33"/>
      <c r="C62" s="34"/>
      <c r="D62" s="34"/>
      <c r="E62" s="34"/>
      <c r="F62" s="34"/>
      <c r="G62" s="34"/>
      <c r="H62" s="34"/>
      <c r="I62" s="106"/>
      <c r="J62" s="34"/>
      <c r="K62" s="34"/>
      <c r="L62" s="10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>
      <c r="A63" s="32"/>
      <c r="B63" s="45"/>
      <c r="C63" s="46"/>
      <c r="D63" s="46"/>
      <c r="E63" s="46"/>
      <c r="F63" s="46"/>
      <c r="G63" s="46"/>
      <c r="H63" s="46"/>
      <c r="I63" s="134"/>
      <c r="J63" s="46"/>
      <c r="K63" s="46"/>
      <c r="L63" s="10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>
      <c r="A67" s="32"/>
      <c r="B67" s="47"/>
      <c r="C67" s="48"/>
      <c r="D67" s="48"/>
      <c r="E67" s="48"/>
      <c r="F67" s="48"/>
      <c r="G67" s="48"/>
      <c r="H67" s="48"/>
      <c r="I67" s="137"/>
      <c r="J67" s="48"/>
      <c r="K67" s="48"/>
      <c r="L67" s="10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106"/>
      <c r="J68" s="34"/>
      <c r="K68" s="34"/>
      <c r="L68" s="10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106"/>
      <c r="J69" s="34"/>
      <c r="K69" s="34"/>
      <c r="L69" s="10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106"/>
      <c r="J70" s="34"/>
      <c r="K70" s="34"/>
      <c r="L70" s="10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4"/>
      <c r="D71" s="34"/>
      <c r="E71" s="479" t="str">
        <f>E7</f>
        <v>Komplexní klimatizace v objektu MZe Žďár n.S.</v>
      </c>
      <c r="F71" s="480"/>
      <c r="G71" s="480"/>
      <c r="H71" s="480"/>
      <c r="I71" s="106"/>
      <c r="J71" s="34"/>
      <c r="K71" s="34"/>
      <c r="L71" s="10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96</v>
      </c>
      <c r="D72" s="34"/>
      <c r="E72" s="34"/>
      <c r="F72" s="34"/>
      <c r="G72" s="34"/>
      <c r="H72" s="34"/>
      <c r="I72" s="106"/>
      <c r="J72" s="34"/>
      <c r="K72" s="34"/>
      <c r="L72" s="10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4"/>
      <c r="D73" s="34"/>
      <c r="E73" s="458" t="str">
        <f>E9</f>
        <v>D.1.4.1 - Klimatizace</v>
      </c>
      <c r="F73" s="478"/>
      <c r="G73" s="478"/>
      <c r="H73" s="478"/>
      <c r="I73" s="106"/>
      <c r="J73" s="34"/>
      <c r="K73" s="34"/>
      <c r="L73" s="10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10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Žďár nad Sázavou</v>
      </c>
      <c r="G75" s="34"/>
      <c r="H75" s="34"/>
      <c r="I75" s="109" t="s">
        <v>23</v>
      </c>
      <c r="J75" s="57" t="str">
        <f>IF(J12="","",J12)</f>
        <v>21. 2. 2020</v>
      </c>
      <c r="K75" s="34"/>
      <c r="L75" s="10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10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15" customHeight="1">
      <c r="A77" s="32"/>
      <c r="B77" s="33"/>
      <c r="C77" s="27" t="s">
        <v>25</v>
      </c>
      <c r="D77" s="34"/>
      <c r="E77" s="34"/>
      <c r="F77" s="25" t="str">
        <f>E15</f>
        <v>Česká republika - Ministerstvo zemědělství</v>
      </c>
      <c r="G77" s="34"/>
      <c r="H77" s="34"/>
      <c r="I77" s="109" t="s">
        <v>33</v>
      </c>
      <c r="J77" s="30" t="str">
        <f>E21</f>
        <v>NCI.CZ ENGINEERING s.r.o.</v>
      </c>
      <c r="K77" s="34"/>
      <c r="L77" s="10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>
      <c r="A78" s="32"/>
      <c r="B78" s="33"/>
      <c r="C78" s="27" t="s">
        <v>31</v>
      </c>
      <c r="D78" s="34"/>
      <c r="E78" s="34"/>
      <c r="F78" s="25" t="str">
        <f>IF(E18="","",E18)</f>
        <v>Vyplň údaj</v>
      </c>
      <c r="G78" s="34"/>
      <c r="H78" s="34"/>
      <c r="I78" s="109" t="s">
        <v>38</v>
      </c>
      <c r="J78" s="30" t="str">
        <f>E24</f>
        <v>NCI.CZ ENGINEERING s.r.o.</v>
      </c>
      <c r="K78" s="34"/>
      <c r="L78" s="10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10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57"/>
      <c r="B80" s="158"/>
      <c r="C80" s="159" t="s">
        <v>105</v>
      </c>
      <c r="D80" s="160" t="s">
        <v>60</v>
      </c>
      <c r="E80" s="160" t="s">
        <v>56</v>
      </c>
      <c r="F80" s="160" t="s">
        <v>57</v>
      </c>
      <c r="G80" s="160" t="s">
        <v>106</v>
      </c>
      <c r="H80" s="160" t="s">
        <v>107</v>
      </c>
      <c r="I80" s="161" t="s">
        <v>108</v>
      </c>
      <c r="J80" s="160" t="s">
        <v>100</v>
      </c>
      <c r="K80" s="162" t="s">
        <v>109</v>
      </c>
      <c r="L80" s="163"/>
      <c r="M80" s="66" t="s">
        <v>19</v>
      </c>
      <c r="N80" s="67" t="s">
        <v>45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</row>
    <row r="81" spans="1:65" s="2" customFormat="1" ht="22.9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106"/>
      <c r="J81" s="164">
        <f>BK81</f>
        <v>0</v>
      </c>
      <c r="K81" s="34"/>
      <c r="L81" s="37"/>
      <c r="M81" s="69"/>
      <c r="N81" s="165"/>
      <c r="O81" s="70"/>
      <c r="P81" s="166">
        <f>P82</f>
        <v>0</v>
      </c>
      <c r="Q81" s="70"/>
      <c r="R81" s="166">
        <f>R82</f>
        <v>0</v>
      </c>
      <c r="S81" s="70"/>
      <c r="T81" s="167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74</v>
      </c>
      <c r="AU81" s="15" t="s">
        <v>101</v>
      </c>
      <c r="BK81" s="168">
        <f>BK82</f>
        <v>0</v>
      </c>
    </row>
    <row r="82" spans="1:65" s="12" customFormat="1" ht="25.9" customHeight="1">
      <c r="B82" s="169"/>
      <c r="C82" s="170"/>
      <c r="D82" s="171" t="s">
        <v>74</v>
      </c>
      <c r="E82" s="172" t="s">
        <v>117</v>
      </c>
      <c r="F82" s="172" t="s">
        <v>118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</f>
        <v>0</v>
      </c>
      <c r="Q82" s="177"/>
      <c r="R82" s="178">
        <f>R83</f>
        <v>0</v>
      </c>
      <c r="S82" s="177"/>
      <c r="T82" s="179">
        <f>T83</f>
        <v>0</v>
      </c>
      <c r="AR82" s="180" t="s">
        <v>119</v>
      </c>
      <c r="AT82" s="181" t="s">
        <v>74</v>
      </c>
      <c r="AU82" s="181" t="s">
        <v>75</v>
      </c>
      <c r="AY82" s="180" t="s">
        <v>120</v>
      </c>
      <c r="BK82" s="182">
        <f>BK83</f>
        <v>0</v>
      </c>
    </row>
    <row r="83" spans="1:65" s="12" customFormat="1" ht="22.9" customHeight="1">
      <c r="B83" s="169"/>
      <c r="C83" s="170"/>
      <c r="D83" s="171" t="s">
        <v>74</v>
      </c>
      <c r="E83" s="183" t="s">
        <v>121</v>
      </c>
      <c r="F83" s="183" t="s">
        <v>122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P84</f>
        <v>0</v>
      </c>
      <c r="Q83" s="177"/>
      <c r="R83" s="178">
        <f>R84</f>
        <v>0</v>
      </c>
      <c r="S83" s="177"/>
      <c r="T83" s="179">
        <f>T84</f>
        <v>0</v>
      </c>
      <c r="AR83" s="180" t="s">
        <v>119</v>
      </c>
      <c r="AT83" s="181" t="s">
        <v>74</v>
      </c>
      <c r="AU83" s="181" t="s">
        <v>83</v>
      </c>
      <c r="AY83" s="180" t="s">
        <v>120</v>
      </c>
      <c r="BK83" s="182">
        <f>BK84</f>
        <v>0</v>
      </c>
    </row>
    <row r="84" spans="1:65" s="2" customFormat="1" ht="16.5" customHeight="1">
      <c r="A84" s="32"/>
      <c r="B84" s="33"/>
      <c r="C84" s="185" t="s">
        <v>83</v>
      </c>
      <c r="D84" s="185" t="s">
        <v>123</v>
      </c>
      <c r="E84" s="186" t="s">
        <v>86</v>
      </c>
      <c r="F84" s="187" t="s">
        <v>87</v>
      </c>
      <c r="G84" s="188" t="s">
        <v>125</v>
      </c>
      <c r="H84" s="189">
        <v>1</v>
      </c>
      <c r="I84" s="190">
        <f>Rekapitulace_klim.!B44</f>
        <v>0</v>
      </c>
      <c r="J84" s="191">
        <f>ROUND(I84*H84,2)</f>
        <v>0</v>
      </c>
      <c r="K84" s="187" t="s">
        <v>19</v>
      </c>
      <c r="L84" s="37"/>
      <c r="M84" s="192" t="s">
        <v>19</v>
      </c>
      <c r="N84" s="193" t="s">
        <v>46</v>
      </c>
      <c r="O84" s="194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7" t="s">
        <v>126</v>
      </c>
      <c r="AT84" s="197" t="s">
        <v>123</v>
      </c>
      <c r="AU84" s="197" t="s">
        <v>85</v>
      </c>
      <c r="AY84" s="15" t="s">
        <v>120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15" t="s">
        <v>83</v>
      </c>
      <c r="BK84" s="198">
        <f>ROUND(I84*H84,2)</f>
        <v>0</v>
      </c>
      <c r="BL84" s="15" t="s">
        <v>126</v>
      </c>
      <c r="BM84" s="197" t="s">
        <v>129</v>
      </c>
    </row>
    <row r="85" spans="1:65" s="2" customFormat="1" ht="6.95" customHeight="1">
      <c r="A85" s="32"/>
      <c r="B85" s="45"/>
      <c r="C85" s="46"/>
      <c r="D85" s="46"/>
      <c r="E85" s="46"/>
      <c r="F85" s="46"/>
      <c r="G85" s="46"/>
      <c r="H85" s="46"/>
      <c r="I85" s="134"/>
      <c r="J85" s="46"/>
      <c r="K85" s="46"/>
      <c r="L85" s="37"/>
      <c r="M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</sheetData>
  <sheetProtection algorithmName="SHA-512" hashValue="4fgP63vupG4ulEIbYEowMeWojxYIG6KWp9U6cb31yVCSdjAnHQYSwaedjm4GkiNYqLsGRBVQr/Jmdw66As8fVw==" saltValue="GBff5bC2YI4qr0aZ8P47gk4I/vR2tAsOGSzbhzWFwQ7TL7sPSmC/yXc49oxLgN4p/PU7INjgReYOJAqZQipzLw==" spinCount="100000" sheet="1" objects="1" scenarios="1" formatColumns="0" formatRows="0" autoFilter="0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7" workbookViewId="0">
      <selection activeCell="B21" sqref="B21:C21"/>
    </sheetView>
  </sheetViews>
  <sheetFormatPr defaultRowHeight="12.75"/>
  <cols>
    <col min="1" max="1" width="2" style="329" customWidth="1"/>
    <col min="2" max="2" width="29" style="329" customWidth="1"/>
    <col min="3" max="3" width="7.33203125" style="329" customWidth="1"/>
    <col min="4" max="4" width="20.1640625" style="329" customWidth="1"/>
    <col min="5" max="5" width="7.33203125" style="329" customWidth="1"/>
    <col min="6" max="6" width="25" style="329" customWidth="1"/>
    <col min="7" max="7" width="7.6640625" style="329" customWidth="1"/>
    <col min="8" max="8" width="18.33203125" style="329" customWidth="1"/>
    <col min="9" max="9" width="2" style="329" customWidth="1"/>
    <col min="10" max="16384" width="9.33203125" style="329"/>
  </cols>
  <sheetData>
    <row r="1" spans="1:9" ht="9" customHeight="1">
      <c r="A1" s="328"/>
      <c r="B1" s="328"/>
      <c r="C1" s="328"/>
      <c r="D1" s="328"/>
      <c r="E1" s="328"/>
      <c r="F1" s="328"/>
      <c r="G1" s="328"/>
      <c r="H1" s="328"/>
      <c r="I1" s="328"/>
    </row>
    <row r="2" spans="1:9" ht="18" customHeight="1">
      <c r="A2" s="328"/>
      <c r="B2" s="556"/>
      <c r="C2" s="562"/>
      <c r="D2" s="562"/>
      <c r="E2" s="562"/>
      <c r="F2" s="562"/>
      <c r="G2" s="559"/>
      <c r="H2" s="560"/>
      <c r="I2" s="328"/>
    </row>
    <row r="3" spans="1:9" ht="18" customHeight="1">
      <c r="A3" s="328"/>
      <c r="B3" s="557"/>
      <c r="C3" s="563" t="s">
        <v>670</v>
      </c>
      <c r="D3" s="563"/>
      <c r="E3" s="563"/>
      <c r="F3" s="563"/>
      <c r="G3" s="561" t="s">
        <v>671</v>
      </c>
      <c r="H3" s="560"/>
      <c r="I3" s="328"/>
    </row>
    <row r="4" spans="1:9" ht="18" customHeight="1">
      <c r="A4" s="328"/>
      <c r="B4" s="557"/>
      <c r="C4" s="564" t="s">
        <v>672</v>
      </c>
      <c r="D4" s="565"/>
      <c r="E4" s="565"/>
      <c r="F4" s="566"/>
      <c r="G4" s="561" t="s">
        <v>673</v>
      </c>
      <c r="H4" s="560"/>
      <c r="I4" s="328"/>
    </row>
    <row r="5" spans="1:9" ht="18" customHeight="1">
      <c r="A5" s="328"/>
      <c r="B5" s="558"/>
      <c r="C5" s="567"/>
      <c r="D5" s="567"/>
      <c r="E5" s="567"/>
      <c r="F5" s="567"/>
      <c r="G5" s="561" t="s">
        <v>674</v>
      </c>
      <c r="H5" s="560"/>
      <c r="I5" s="328"/>
    </row>
    <row r="6" spans="1:9" ht="12.75" customHeight="1">
      <c r="A6" s="328"/>
      <c r="B6" s="572" t="s">
        <v>675</v>
      </c>
      <c r="C6" s="573"/>
      <c r="D6" s="573"/>
      <c r="E6" s="573"/>
      <c r="F6" s="573"/>
      <c r="G6" s="573"/>
      <c r="H6" s="573"/>
      <c r="I6" s="328"/>
    </row>
    <row r="7" spans="1:9" ht="9.9499999999999993" customHeight="1">
      <c r="A7" s="328"/>
      <c r="B7" s="330" t="s">
        <v>676</v>
      </c>
      <c r="C7" s="331"/>
      <c r="D7" s="331"/>
      <c r="E7" s="332" t="s">
        <v>677</v>
      </c>
      <c r="F7" s="333"/>
      <c r="G7" s="547" t="s">
        <v>678</v>
      </c>
      <c r="H7" s="548"/>
      <c r="I7" s="328"/>
    </row>
    <row r="8" spans="1:9" ht="23.25" customHeight="1">
      <c r="A8" s="328"/>
      <c r="B8" s="576" t="s">
        <v>679</v>
      </c>
      <c r="C8" s="578"/>
      <c r="D8" s="577"/>
      <c r="E8" s="574" t="s">
        <v>28</v>
      </c>
      <c r="F8" s="575"/>
      <c r="G8" s="576" t="s">
        <v>680</v>
      </c>
      <c r="H8" s="577"/>
      <c r="I8" s="328"/>
    </row>
    <row r="9" spans="1:9" ht="9.9499999999999993" customHeight="1">
      <c r="A9" s="328"/>
      <c r="B9" s="334" t="s">
        <v>681</v>
      </c>
      <c r="C9" s="335"/>
      <c r="D9" s="336"/>
      <c r="E9" s="334" t="s">
        <v>682</v>
      </c>
      <c r="F9" s="337"/>
      <c r="G9" s="547" t="s">
        <v>683</v>
      </c>
      <c r="H9" s="548"/>
      <c r="I9" s="328"/>
    </row>
    <row r="10" spans="1:9" ht="12.75" customHeight="1">
      <c r="A10" s="328"/>
      <c r="B10" s="582" t="s">
        <v>684</v>
      </c>
      <c r="C10" s="583"/>
      <c r="D10" s="584"/>
      <c r="E10" s="550" t="s">
        <v>685</v>
      </c>
      <c r="F10" s="551"/>
      <c r="G10" s="549" t="s">
        <v>686</v>
      </c>
      <c r="H10" s="549"/>
      <c r="I10" s="328"/>
    </row>
    <row r="11" spans="1:9" ht="12.75" customHeight="1">
      <c r="A11" s="328"/>
      <c r="B11" s="585"/>
      <c r="C11" s="586"/>
      <c r="D11" s="587"/>
      <c r="E11" s="552"/>
      <c r="F11" s="553"/>
      <c r="G11" s="338" t="s">
        <v>687</v>
      </c>
      <c r="H11" s="339" t="s">
        <v>688</v>
      </c>
      <c r="I11" s="328"/>
    </row>
    <row r="12" spans="1:9" ht="12.75" customHeight="1">
      <c r="A12" s="328"/>
      <c r="B12" s="588"/>
      <c r="C12" s="589"/>
      <c r="D12" s="590"/>
      <c r="E12" s="330" t="s">
        <v>689</v>
      </c>
      <c r="F12" s="333"/>
      <c r="G12" s="547" t="s">
        <v>23</v>
      </c>
      <c r="H12" s="548"/>
      <c r="I12" s="328"/>
    </row>
    <row r="13" spans="1:9">
      <c r="A13" s="328"/>
      <c r="B13" s="340" t="s">
        <v>690</v>
      </c>
      <c r="C13" s="591" t="s">
        <v>691</v>
      </c>
      <c r="D13" s="592"/>
      <c r="E13" s="552" t="s">
        <v>691</v>
      </c>
      <c r="F13" s="553"/>
      <c r="G13" s="554">
        <v>43873</v>
      </c>
      <c r="H13" s="555"/>
      <c r="I13" s="328"/>
    </row>
    <row r="14" spans="1:9" ht="12.75" customHeight="1">
      <c r="A14" s="328"/>
      <c r="B14" s="525"/>
      <c r="C14" s="526"/>
      <c r="D14" s="526"/>
      <c r="E14" s="526"/>
      <c r="F14" s="526"/>
      <c r="G14" s="526"/>
      <c r="H14" s="526"/>
      <c r="I14" s="328"/>
    </row>
    <row r="15" spans="1:9" ht="14.1" customHeight="1">
      <c r="A15" s="328"/>
      <c r="B15" s="527" t="s">
        <v>692</v>
      </c>
      <c r="C15" s="528"/>
      <c r="D15" s="528"/>
      <c r="E15" s="528"/>
      <c r="F15" s="528"/>
      <c r="G15" s="528"/>
      <c r="H15" s="529"/>
      <c r="I15" s="328"/>
    </row>
    <row r="16" spans="1:9" ht="12.75" customHeight="1">
      <c r="A16" s="328"/>
      <c r="B16" s="579" t="s">
        <v>693</v>
      </c>
      <c r="C16" s="580"/>
      <c r="D16" s="581" t="s">
        <v>694</v>
      </c>
      <c r="E16" s="568"/>
      <c r="F16" s="341" t="s">
        <v>695</v>
      </c>
      <c r="G16" s="568" t="s">
        <v>696</v>
      </c>
      <c r="H16" s="569"/>
      <c r="I16" s="328"/>
    </row>
    <row r="17" spans="1:9" ht="12.75" customHeight="1">
      <c r="A17" s="342"/>
      <c r="B17" s="536" t="s">
        <v>697</v>
      </c>
      <c r="C17" s="536"/>
      <c r="D17" s="541">
        <f>Rozpočet_klim.!H51</f>
        <v>0</v>
      </c>
      <c r="E17" s="542"/>
      <c r="F17" s="343">
        <f>Rozpočet_klim.!J51</f>
        <v>0</v>
      </c>
      <c r="G17" s="543">
        <f>D17+F17</f>
        <v>0</v>
      </c>
      <c r="H17" s="544"/>
      <c r="I17" s="328"/>
    </row>
    <row r="18" spans="1:9" ht="12.75" customHeight="1">
      <c r="A18" s="342"/>
      <c r="B18" s="523" t="s">
        <v>698</v>
      </c>
      <c r="C18" s="524"/>
      <c r="D18" s="530">
        <f>Rozpočet_klim.!H66</f>
        <v>0</v>
      </c>
      <c r="E18" s="531"/>
      <c r="F18" s="344">
        <f>Rozpočet_klim.!J66</f>
        <v>0</v>
      </c>
      <c r="G18" s="539">
        <f>D18+F18</f>
        <v>0</v>
      </c>
      <c r="H18" s="540"/>
      <c r="I18" s="328"/>
    </row>
    <row r="19" spans="1:9" ht="12.75" customHeight="1">
      <c r="A19" s="342"/>
      <c r="B19" s="536" t="s">
        <v>699</v>
      </c>
      <c r="C19" s="536"/>
      <c r="D19" s="537">
        <f>Rozpočet_klim.!H81</f>
        <v>0</v>
      </c>
      <c r="E19" s="538"/>
      <c r="F19" s="344">
        <f>Rozpočet_klim.!J81</f>
        <v>0</v>
      </c>
      <c r="G19" s="539">
        <f>D19+F19</f>
        <v>0</v>
      </c>
      <c r="H19" s="540"/>
      <c r="I19" s="328"/>
    </row>
    <row r="20" spans="1:9" ht="12.75" customHeight="1">
      <c r="A20" s="342"/>
      <c r="B20" s="545" t="s">
        <v>700</v>
      </c>
      <c r="C20" s="546"/>
      <c r="D20" s="537">
        <f>Rozpočet_klim.!H86</f>
        <v>0</v>
      </c>
      <c r="E20" s="538"/>
      <c r="F20" s="344">
        <f>Rozpočet_klim.!J86</f>
        <v>0</v>
      </c>
      <c r="G20" s="539">
        <f>D20+F20</f>
        <v>0</v>
      </c>
      <c r="H20" s="540"/>
      <c r="I20" s="328"/>
    </row>
    <row r="21" spans="1:9" ht="21" customHeight="1">
      <c r="A21" s="328"/>
      <c r="B21" s="521" t="s">
        <v>701</v>
      </c>
      <c r="C21" s="522"/>
      <c r="D21" s="530">
        <f>Rozpočet_klim.!H99</f>
        <v>0</v>
      </c>
      <c r="E21" s="531"/>
      <c r="F21" s="344">
        <f>Rozpočet_klim.!J99</f>
        <v>0</v>
      </c>
      <c r="G21" s="532">
        <f>D21+F21</f>
        <v>0</v>
      </c>
      <c r="H21" s="533"/>
      <c r="I21" s="328"/>
    </row>
    <row r="22" spans="1:9" ht="12.75" customHeight="1">
      <c r="A22" s="328"/>
      <c r="B22" s="601" t="s">
        <v>702</v>
      </c>
      <c r="C22" s="602"/>
      <c r="D22" s="603"/>
      <c r="E22" s="603"/>
      <c r="F22" s="604"/>
      <c r="G22" s="534">
        <f>SUM(G17:H21)</f>
        <v>0</v>
      </c>
      <c r="H22" s="535"/>
      <c r="I22" s="328"/>
    </row>
    <row r="23" spans="1:9" ht="12.75" customHeight="1">
      <c r="A23" s="328"/>
      <c r="B23" s="525"/>
      <c r="C23" s="526"/>
      <c r="D23" s="526"/>
      <c r="E23" s="526"/>
      <c r="F23" s="526"/>
      <c r="G23" s="526"/>
      <c r="H23" s="526"/>
      <c r="I23" s="328"/>
    </row>
    <row r="24" spans="1:9" ht="14.1" customHeight="1">
      <c r="A24" s="328"/>
      <c r="B24" s="527" t="s">
        <v>703</v>
      </c>
      <c r="C24" s="528"/>
      <c r="D24" s="528"/>
      <c r="E24" s="528"/>
      <c r="F24" s="528"/>
      <c r="G24" s="528"/>
      <c r="H24" s="529"/>
      <c r="I24" s="328"/>
    </row>
    <row r="25" spans="1:9" ht="12.75" customHeight="1">
      <c r="A25" s="328"/>
      <c r="B25" s="345" t="s">
        <v>704</v>
      </c>
      <c r="C25" s="341" t="s">
        <v>106</v>
      </c>
      <c r="D25" s="568" t="s">
        <v>694</v>
      </c>
      <c r="E25" s="568"/>
      <c r="F25" s="341" t="s">
        <v>695</v>
      </c>
      <c r="G25" s="568" t="s">
        <v>696</v>
      </c>
      <c r="H25" s="569"/>
      <c r="I25" s="328"/>
    </row>
    <row r="26" spans="1:9">
      <c r="A26" s="328"/>
      <c r="B26" s="346" t="s">
        <v>705</v>
      </c>
      <c r="C26" s="347" t="s">
        <v>125</v>
      </c>
      <c r="D26" s="570">
        <f>SUM(D17:E21)</f>
        <v>0</v>
      </c>
      <c r="E26" s="571"/>
      <c r="F26" s="343">
        <f>SUM(F17:F21)</f>
        <v>0</v>
      </c>
      <c r="G26" s="543">
        <f>D26+F26</f>
        <v>0</v>
      </c>
      <c r="H26" s="544"/>
      <c r="I26" s="328"/>
    </row>
    <row r="27" spans="1:9" ht="12" customHeight="1">
      <c r="A27" s="328"/>
      <c r="B27" s="348"/>
      <c r="C27" s="349"/>
      <c r="D27" s="593"/>
      <c r="E27" s="594"/>
      <c r="F27" s="350"/>
      <c r="G27" s="595"/>
      <c r="H27" s="596"/>
      <c r="I27" s="328"/>
    </row>
    <row r="28" spans="1:9">
      <c r="A28" s="328"/>
      <c r="B28" s="346" t="s">
        <v>706</v>
      </c>
      <c r="C28" s="347" t="s">
        <v>707</v>
      </c>
      <c r="D28" s="570">
        <f>D26*C29*0.01</f>
        <v>0</v>
      </c>
      <c r="E28" s="571"/>
      <c r="F28" s="343">
        <v>0</v>
      </c>
      <c r="G28" s="543">
        <f>D28+F28</f>
        <v>0</v>
      </c>
      <c r="H28" s="544"/>
      <c r="I28" s="328"/>
    </row>
    <row r="29" spans="1:9" ht="12" customHeight="1">
      <c r="A29" s="328"/>
      <c r="B29" s="348" t="s">
        <v>708</v>
      </c>
      <c r="C29" s="351">
        <v>5</v>
      </c>
      <c r="D29" s="593"/>
      <c r="E29" s="594"/>
      <c r="F29" s="350"/>
      <c r="G29" s="595"/>
      <c r="H29" s="596"/>
      <c r="I29" s="328"/>
    </row>
    <row r="30" spans="1:9">
      <c r="A30" s="328"/>
      <c r="B30" s="346" t="s">
        <v>709</v>
      </c>
      <c r="C30" s="347" t="s">
        <v>707</v>
      </c>
      <c r="D30" s="570">
        <v>0</v>
      </c>
      <c r="E30" s="571"/>
      <c r="F30" s="343">
        <f>F26*C31*0.01</f>
        <v>0</v>
      </c>
      <c r="G30" s="543">
        <f>D30+F30</f>
        <v>0</v>
      </c>
      <c r="H30" s="544"/>
      <c r="I30" s="328"/>
    </row>
    <row r="31" spans="1:9" ht="12" customHeight="1">
      <c r="A31" s="328"/>
      <c r="B31" s="348" t="s">
        <v>710</v>
      </c>
      <c r="C31" s="351">
        <v>6.5</v>
      </c>
      <c r="D31" s="593"/>
      <c r="E31" s="594"/>
      <c r="F31" s="350"/>
      <c r="G31" s="595"/>
      <c r="H31" s="596"/>
      <c r="I31" s="328"/>
    </row>
    <row r="32" spans="1:9">
      <c r="A32" s="328"/>
      <c r="B32" s="346" t="s">
        <v>711</v>
      </c>
      <c r="C32" s="347" t="s">
        <v>707</v>
      </c>
      <c r="D32" s="570">
        <v>0</v>
      </c>
      <c r="E32" s="571"/>
      <c r="F32" s="343">
        <f>F26*C33*0.01</f>
        <v>0</v>
      </c>
      <c r="G32" s="543">
        <f>D32+F32</f>
        <v>0</v>
      </c>
      <c r="H32" s="544"/>
      <c r="I32" s="328"/>
    </row>
    <row r="33" spans="1:9" ht="12" customHeight="1">
      <c r="A33" s="328"/>
      <c r="B33" s="348" t="s">
        <v>710</v>
      </c>
      <c r="C33" s="351">
        <v>3.5</v>
      </c>
      <c r="D33" s="593"/>
      <c r="E33" s="594"/>
      <c r="F33" s="350"/>
      <c r="G33" s="595"/>
      <c r="H33" s="596"/>
      <c r="I33" s="328"/>
    </row>
    <row r="34" spans="1:9">
      <c r="A34" s="328"/>
      <c r="B34" s="346" t="s">
        <v>712</v>
      </c>
      <c r="C34" s="347" t="s">
        <v>707</v>
      </c>
      <c r="D34" s="570">
        <f>D26*C35*0.01</f>
        <v>0</v>
      </c>
      <c r="E34" s="571"/>
      <c r="F34" s="343">
        <v>0</v>
      </c>
      <c r="G34" s="543">
        <f>D34+F34</f>
        <v>0</v>
      </c>
      <c r="H34" s="544"/>
      <c r="I34" s="328"/>
    </row>
    <row r="35" spans="1:9" ht="12" customHeight="1">
      <c r="A35" s="328"/>
      <c r="B35" s="348" t="s">
        <v>713</v>
      </c>
      <c r="C35" s="351">
        <v>0.04</v>
      </c>
      <c r="D35" s="593"/>
      <c r="E35" s="594"/>
      <c r="F35" s="350"/>
      <c r="G35" s="595"/>
      <c r="H35" s="596"/>
      <c r="I35" s="328"/>
    </row>
    <row r="36" spans="1:9">
      <c r="A36" s="328"/>
      <c r="B36" s="346" t="s">
        <v>714</v>
      </c>
      <c r="C36" s="347" t="s">
        <v>707</v>
      </c>
      <c r="D36" s="570">
        <f>D26*C37*0.01</f>
        <v>0</v>
      </c>
      <c r="E36" s="571"/>
      <c r="F36" s="343">
        <v>0</v>
      </c>
      <c r="G36" s="543">
        <f>D36+F36</f>
        <v>0</v>
      </c>
      <c r="H36" s="544"/>
      <c r="I36" s="328"/>
    </row>
    <row r="37" spans="1:9" ht="12" customHeight="1">
      <c r="A37" s="328"/>
      <c r="B37" s="348" t="s">
        <v>713</v>
      </c>
      <c r="C37" s="351">
        <v>0.08</v>
      </c>
      <c r="D37" s="593"/>
      <c r="E37" s="594"/>
      <c r="F37" s="350"/>
      <c r="G37" s="595"/>
      <c r="H37" s="596"/>
      <c r="I37" s="328"/>
    </row>
    <row r="38" spans="1:9">
      <c r="A38" s="328"/>
      <c r="B38" s="346" t="s">
        <v>715</v>
      </c>
      <c r="C38" s="347" t="s">
        <v>707</v>
      </c>
      <c r="D38" s="570">
        <v>0</v>
      </c>
      <c r="E38" s="571"/>
      <c r="F38" s="343">
        <f>F26*C39*0.01</f>
        <v>0</v>
      </c>
      <c r="G38" s="543">
        <f>D38+F38</f>
        <v>0</v>
      </c>
      <c r="H38" s="544"/>
      <c r="I38" s="328"/>
    </row>
    <row r="39" spans="1:9" ht="12" customHeight="1">
      <c r="A39" s="328"/>
      <c r="B39" s="348" t="s">
        <v>716</v>
      </c>
      <c r="C39" s="351">
        <v>5</v>
      </c>
      <c r="D39" s="593"/>
      <c r="E39" s="594"/>
      <c r="F39" s="350"/>
      <c r="G39" s="595"/>
      <c r="H39" s="596"/>
      <c r="I39" s="328"/>
    </row>
    <row r="40" spans="1:9" ht="12.75" customHeight="1">
      <c r="A40" s="328"/>
      <c r="B40" s="601" t="s">
        <v>717</v>
      </c>
      <c r="C40" s="602"/>
      <c r="D40" s="603"/>
      <c r="E40" s="603"/>
      <c r="F40" s="604"/>
      <c r="G40" s="608">
        <f>SUM(G26:H39)</f>
        <v>0</v>
      </c>
      <c r="H40" s="609"/>
      <c r="I40" s="328"/>
    </row>
    <row r="41" spans="1:9" ht="12.75" customHeight="1">
      <c r="A41" s="328"/>
      <c r="B41" s="525"/>
      <c r="C41" s="526"/>
      <c r="D41" s="526"/>
      <c r="E41" s="526"/>
      <c r="F41" s="526"/>
      <c r="G41" s="526"/>
      <c r="H41" s="526"/>
      <c r="I41" s="328"/>
    </row>
    <row r="42" spans="1:9" ht="14.1" customHeight="1">
      <c r="A42" s="328"/>
      <c r="B42" s="527" t="s">
        <v>718</v>
      </c>
      <c r="C42" s="528"/>
      <c r="D42" s="528"/>
      <c r="E42" s="528"/>
      <c r="F42" s="528"/>
      <c r="G42" s="528"/>
      <c r="H42" s="529"/>
      <c r="I42" s="328"/>
    </row>
    <row r="43" spans="1:9">
      <c r="A43" s="328"/>
      <c r="B43" s="605" t="s">
        <v>719</v>
      </c>
      <c r="C43" s="606"/>
      <c r="D43" s="352" t="s">
        <v>45</v>
      </c>
      <c r="E43" s="352" t="s">
        <v>720</v>
      </c>
      <c r="F43" s="607" t="s">
        <v>721</v>
      </c>
      <c r="G43" s="581"/>
      <c r="H43" s="353" t="s">
        <v>722</v>
      </c>
      <c r="I43" s="328"/>
    </row>
    <row r="44" spans="1:9" ht="14.1" customHeight="1">
      <c r="A44" s="328"/>
      <c r="B44" s="597">
        <f>G40</f>
        <v>0</v>
      </c>
      <c r="C44" s="598"/>
      <c r="D44" s="354">
        <f>B44*E44*0.01</f>
        <v>0</v>
      </c>
      <c r="E44" s="355">
        <v>21</v>
      </c>
      <c r="F44" s="599">
        <f>B44+D44</f>
        <v>0</v>
      </c>
      <c r="G44" s="600"/>
      <c r="H44" s="356" t="s">
        <v>691</v>
      </c>
      <c r="I44" s="328"/>
    </row>
    <row r="45" spans="1:9" ht="9" customHeight="1">
      <c r="A45" s="328"/>
      <c r="B45" s="328"/>
      <c r="C45" s="328"/>
      <c r="D45" s="328"/>
      <c r="E45" s="328"/>
      <c r="F45" s="328"/>
      <c r="G45" s="328"/>
      <c r="H45" s="328"/>
      <c r="I45" s="328"/>
    </row>
  </sheetData>
  <dataConsolidate/>
  <mergeCells count="86">
    <mergeCell ref="B40:F40"/>
    <mergeCell ref="D36:E36"/>
    <mergeCell ref="G36:H36"/>
    <mergeCell ref="D37:E37"/>
    <mergeCell ref="G37:H37"/>
    <mergeCell ref="D38:E38"/>
    <mergeCell ref="B44:C44"/>
    <mergeCell ref="F44:G44"/>
    <mergeCell ref="B41:H41"/>
    <mergeCell ref="B22:F22"/>
    <mergeCell ref="B42:H42"/>
    <mergeCell ref="B43:C43"/>
    <mergeCell ref="F43:G43"/>
    <mergeCell ref="D39:E39"/>
    <mergeCell ref="G39:H39"/>
    <mergeCell ref="G40:H40"/>
    <mergeCell ref="G38:H38"/>
    <mergeCell ref="D33:E33"/>
    <mergeCell ref="G33:H33"/>
    <mergeCell ref="D34:E34"/>
    <mergeCell ref="G34:H34"/>
    <mergeCell ref="D35:E35"/>
    <mergeCell ref="G35:H35"/>
    <mergeCell ref="D31:E31"/>
    <mergeCell ref="G31:H31"/>
    <mergeCell ref="D32:E32"/>
    <mergeCell ref="G32:H32"/>
    <mergeCell ref="D29:E29"/>
    <mergeCell ref="G29:H29"/>
    <mergeCell ref="D30:E30"/>
    <mergeCell ref="G30:H30"/>
    <mergeCell ref="D27:E27"/>
    <mergeCell ref="G27:H27"/>
    <mergeCell ref="D28:E28"/>
    <mergeCell ref="G28:H28"/>
    <mergeCell ref="D25:E25"/>
    <mergeCell ref="G25:H25"/>
    <mergeCell ref="D26:E26"/>
    <mergeCell ref="G26:H26"/>
    <mergeCell ref="B6:H6"/>
    <mergeCell ref="G7:H7"/>
    <mergeCell ref="E8:F8"/>
    <mergeCell ref="G8:H8"/>
    <mergeCell ref="B8:D8"/>
    <mergeCell ref="B16:C16"/>
    <mergeCell ref="D16:E16"/>
    <mergeCell ref="G16:H16"/>
    <mergeCell ref="B10:D10"/>
    <mergeCell ref="B11:D11"/>
    <mergeCell ref="B12:D12"/>
    <mergeCell ref="C13:D13"/>
    <mergeCell ref="B2:B5"/>
    <mergeCell ref="G2:H2"/>
    <mergeCell ref="G3:H3"/>
    <mergeCell ref="G4:H4"/>
    <mergeCell ref="G5:H5"/>
    <mergeCell ref="C2:F2"/>
    <mergeCell ref="C3:F3"/>
    <mergeCell ref="C4:F4"/>
    <mergeCell ref="C5:F5"/>
    <mergeCell ref="G9:H9"/>
    <mergeCell ref="G10:H10"/>
    <mergeCell ref="E10:F11"/>
    <mergeCell ref="E13:F13"/>
    <mergeCell ref="G12:H12"/>
    <mergeCell ref="G13:H13"/>
    <mergeCell ref="B14:H14"/>
    <mergeCell ref="B15:H15"/>
    <mergeCell ref="B17:C17"/>
    <mergeCell ref="D17:E17"/>
    <mergeCell ref="G17:H17"/>
    <mergeCell ref="B21:C21"/>
    <mergeCell ref="B18:C18"/>
    <mergeCell ref="B23:H23"/>
    <mergeCell ref="B24:H24"/>
    <mergeCell ref="D21:E21"/>
    <mergeCell ref="G21:H21"/>
    <mergeCell ref="G22:H22"/>
    <mergeCell ref="B19:C19"/>
    <mergeCell ref="D19:E19"/>
    <mergeCell ref="G19:H19"/>
    <mergeCell ref="D18:E18"/>
    <mergeCell ref="G18:H18"/>
    <mergeCell ref="B20:C20"/>
    <mergeCell ref="D20:E20"/>
    <mergeCell ref="G20:H20"/>
  </mergeCells>
  <pageMargins left="0.19685039370078741" right="0.11811023622047245" top="0.59055118110236227" bottom="0.39370078740157483" header="0.19685039370078741" footer="0.19685039370078741"/>
  <pageSetup paperSize="9" orientation="portrait" r:id="rId1"/>
  <headerFooter alignWithMargins="0">
    <oddHeader>&amp;C
&amp;RR&amp;P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5"/>
  <sheetViews>
    <sheetView zoomScale="130" zoomScaleNormal="130" workbookViewId="0">
      <pane xSplit="12" ySplit="16" topLeftCell="M71" activePane="bottomRight" state="frozen"/>
      <selection pane="topRight" activeCell="M1" sqref="M1"/>
      <selection pane="bottomLeft" activeCell="A18" sqref="A18"/>
      <selection pane="bottomRight" activeCell="G80" sqref="G80"/>
    </sheetView>
  </sheetViews>
  <sheetFormatPr defaultRowHeight="12.75"/>
  <cols>
    <col min="1" max="1" width="2" style="357" customWidth="1"/>
    <col min="2" max="2" width="9.5" style="357" customWidth="1"/>
    <col min="3" max="3" width="26.6640625" style="357" customWidth="1"/>
    <col min="4" max="4" width="43.83203125" style="357" customWidth="1"/>
    <col min="5" max="6" width="5.5" style="357" customWidth="1"/>
    <col min="7" max="11" width="14.83203125" style="357" customWidth="1"/>
    <col min="12" max="12" width="2" style="357" customWidth="1"/>
    <col min="13" max="16384" width="9.33203125" style="357"/>
  </cols>
  <sheetData>
    <row r="1" spans="1:12" ht="9" customHeight="1">
      <c r="A1" s="401"/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2" ht="18" customHeight="1">
      <c r="A2" s="401"/>
      <c r="B2" s="621"/>
      <c r="C2" s="622"/>
      <c r="D2" s="630"/>
      <c r="E2" s="562"/>
      <c r="F2" s="562"/>
      <c r="G2" s="562"/>
      <c r="H2" s="562"/>
      <c r="I2" s="622"/>
      <c r="J2" s="629"/>
      <c r="K2" s="560"/>
      <c r="L2" s="328"/>
    </row>
    <row r="3" spans="1:12" ht="18" customHeight="1">
      <c r="A3" s="401"/>
      <c r="B3" s="623"/>
      <c r="C3" s="624"/>
      <c r="D3" s="632" t="s">
        <v>829</v>
      </c>
      <c r="E3" s="632"/>
      <c r="F3" s="632"/>
      <c r="G3" s="632"/>
      <c r="H3" s="632"/>
      <c r="I3" s="633"/>
      <c r="J3" s="561" t="s">
        <v>671</v>
      </c>
      <c r="K3" s="560"/>
      <c r="L3" s="412"/>
    </row>
    <row r="4" spans="1:12" ht="18" customHeight="1">
      <c r="A4" s="401"/>
      <c r="B4" s="623"/>
      <c r="C4" s="624"/>
      <c r="D4" s="634" t="s">
        <v>828</v>
      </c>
      <c r="E4" s="634"/>
      <c r="F4" s="634"/>
      <c r="G4" s="634"/>
      <c r="H4" s="634"/>
      <c r="I4" s="635"/>
      <c r="J4" s="561" t="s">
        <v>673</v>
      </c>
      <c r="K4" s="560"/>
      <c r="L4" s="412"/>
    </row>
    <row r="5" spans="1:12" ht="18" customHeight="1">
      <c r="A5" s="401"/>
      <c r="B5" s="625"/>
      <c r="C5" s="626"/>
      <c r="D5" s="636"/>
      <c r="E5" s="567"/>
      <c r="F5" s="567"/>
      <c r="G5" s="567"/>
      <c r="H5" s="567"/>
      <c r="I5" s="626"/>
      <c r="J5" s="561" t="s">
        <v>674</v>
      </c>
      <c r="K5" s="560"/>
      <c r="L5" s="412"/>
    </row>
    <row r="6" spans="1:12" ht="12.75" customHeight="1">
      <c r="A6" s="401"/>
      <c r="B6" s="572" t="s">
        <v>675</v>
      </c>
      <c r="C6" s="573"/>
      <c r="D6" s="573"/>
      <c r="E6" s="573"/>
      <c r="F6" s="573"/>
      <c r="G6" s="573"/>
      <c r="H6" s="573"/>
      <c r="I6" s="573"/>
      <c r="J6" s="573"/>
      <c r="K6" s="573"/>
      <c r="L6" s="401"/>
    </row>
    <row r="7" spans="1:12" ht="9.9499999999999993" customHeight="1">
      <c r="A7" s="401"/>
      <c r="B7" s="627" t="s">
        <v>676</v>
      </c>
      <c r="C7" s="628"/>
      <c r="D7" s="403"/>
      <c r="E7" s="627" t="s">
        <v>677</v>
      </c>
      <c r="F7" s="631"/>
      <c r="G7" s="411"/>
      <c r="H7" s="411"/>
      <c r="I7" s="410"/>
      <c r="J7" s="638" t="s">
        <v>678</v>
      </c>
      <c r="K7" s="639"/>
      <c r="L7" s="401"/>
    </row>
    <row r="8" spans="1:12" s="408" customFormat="1" ht="12.75" customHeight="1">
      <c r="A8" s="409"/>
      <c r="B8" s="576" t="s">
        <v>679</v>
      </c>
      <c r="C8" s="578"/>
      <c r="D8" s="577"/>
      <c r="E8" s="640" t="s">
        <v>827</v>
      </c>
      <c r="F8" s="640"/>
      <c r="G8" s="640"/>
      <c r="H8" s="640"/>
      <c r="I8" s="640"/>
      <c r="J8" s="549" t="s">
        <v>680</v>
      </c>
      <c r="K8" s="549"/>
      <c r="L8" s="409"/>
    </row>
    <row r="9" spans="1:12" ht="9.9499999999999993" customHeight="1">
      <c r="A9" s="401"/>
      <c r="B9" s="627" t="s">
        <v>681</v>
      </c>
      <c r="C9" s="628"/>
      <c r="D9" s="406"/>
      <c r="E9" s="627" t="s">
        <v>682</v>
      </c>
      <c r="F9" s="631"/>
      <c r="G9" s="631"/>
      <c r="H9" s="407"/>
      <c r="I9" s="406"/>
      <c r="J9" s="638" t="s">
        <v>683</v>
      </c>
      <c r="K9" s="639"/>
      <c r="L9" s="401"/>
    </row>
    <row r="10" spans="1:12" ht="12.75" customHeight="1">
      <c r="A10" s="401"/>
      <c r="B10" s="582" t="s">
        <v>684</v>
      </c>
      <c r="C10" s="583"/>
      <c r="D10" s="584"/>
      <c r="E10" s="637" t="s">
        <v>685</v>
      </c>
      <c r="F10" s="637"/>
      <c r="G10" s="637"/>
      <c r="H10" s="637"/>
      <c r="I10" s="637"/>
      <c r="J10" s="549" t="s">
        <v>686</v>
      </c>
      <c r="K10" s="549"/>
      <c r="L10" s="401"/>
    </row>
    <row r="11" spans="1:12" ht="12.75" customHeight="1">
      <c r="A11" s="401"/>
      <c r="B11" s="637"/>
      <c r="C11" s="637"/>
      <c r="D11" s="637"/>
      <c r="E11" s="643"/>
      <c r="F11" s="643"/>
      <c r="G11" s="643"/>
      <c r="H11" s="643"/>
      <c r="I11" s="643"/>
      <c r="J11" s="338" t="s">
        <v>687</v>
      </c>
      <c r="K11" s="339" t="s">
        <v>688</v>
      </c>
      <c r="L11" s="405"/>
    </row>
    <row r="12" spans="1:12" ht="12.75" customHeight="1">
      <c r="A12" s="401"/>
      <c r="B12" s="637"/>
      <c r="C12" s="637"/>
      <c r="D12" s="637"/>
      <c r="E12" s="628" t="s">
        <v>689</v>
      </c>
      <c r="F12" s="631"/>
      <c r="G12" s="631"/>
      <c r="H12" s="404"/>
      <c r="I12" s="403"/>
      <c r="J12" s="638" t="s">
        <v>23</v>
      </c>
      <c r="K12" s="639"/>
      <c r="L12" s="401"/>
    </row>
    <row r="13" spans="1:12" ht="12.75" customHeight="1">
      <c r="A13" s="401"/>
      <c r="B13" s="645" t="s">
        <v>690</v>
      </c>
      <c r="C13" s="646"/>
      <c r="D13" s="402" t="s">
        <v>691</v>
      </c>
      <c r="E13" s="644" t="s">
        <v>691</v>
      </c>
      <c r="F13" s="644"/>
      <c r="G13" s="644"/>
      <c r="H13" s="644"/>
      <c r="I13" s="644"/>
      <c r="J13" s="554">
        <v>43873</v>
      </c>
      <c r="K13" s="555"/>
      <c r="L13" s="401"/>
    </row>
    <row r="14" spans="1:12" ht="14.1" customHeight="1">
      <c r="A14" s="401"/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</row>
    <row r="15" spans="1:12" s="393" customFormat="1" ht="12" customHeight="1">
      <c r="A15" s="394"/>
      <c r="B15" s="400" t="s">
        <v>826</v>
      </c>
      <c r="C15" s="641" t="s">
        <v>693</v>
      </c>
      <c r="D15" s="642"/>
      <c r="E15" s="399" t="s">
        <v>825</v>
      </c>
      <c r="F15" s="399" t="s">
        <v>106</v>
      </c>
      <c r="G15" s="641" t="s">
        <v>824</v>
      </c>
      <c r="H15" s="641"/>
      <c r="I15" s="641" t="s">
        <v>823</v>
      </c>
      <c r="J15" s="641"/>
      <c r="K15" s="398" t="s">
        <v>822</v>
      </c>
      <c r="L15" s="394"/>
    </row>
    <row r="16" spans="1:12" s="393" customFormat="1" ht="12" customHeight="1">
      <c r="A16" s="394"/>
      <c r="B16" s="397" t="s">
        <v>821</v>
      </c>
      <c r="C16" s="647"/>
      <c r="D16" s="648"/>
      <c r="E16" s="396"/>
      <c r="F16" s="396"/>
      <c r="G16" s="396" t="s">
        <v>820</v>
      </c>
      <c r="H16" s="396" t="s">
        <v>819</v>
      </c>
      <c r="I16" s="396" t="s">
        <v>820</v>
      </c>
      <c r="J16" s="396" t="s">
        <v>819</v>
      </c>
      <c r="K16" s="395" t="s">
        <v>819</v>
      </c>
      <c r="L16" s="394"/>
    </row>
    <row r="17" spans="1:12" s="359" customFormat="1" ht="9.9499999999999993" customHeight="1">
      <c r="A17" s="360"/>
      <c r="B17" s="374" t="s">
        <v>818</v>
      </c>
      <c r="C17" s="614" t="s">
        <v>817</v>
      </c>
      <c r="D17" s="614"/>
      <c r="E17" s="373"/>
      <c r="F17" s="373"/>
      <c r="G17" s="372"/>
      <c r="H17" s="372"/>
      <c r="I17" s="372"/>
      <c r="J17" s="372"/>
      <c r="K17" s="372"/>
      <c r="L17" s="360"/>
    </row>
    <row r="18" spans="1:12" s="359" customFormat="1" ht="9.9499999999999993" customHeight="1">
      <c r="A18" s="360"/>
      <c r="B18" s="383" t="s">
        <v>816</v>
      </c>
      <c r="C18" s="617" t="s">
        <v>815</v>
      </c>
      <c r="D18" s="618"/>
      <c r="E18" s="382">
        <v>1</v>
      </c>
      <c r="F18" s="382" t="s">
        <v>743</v>
      </c>
      <c r="G18" s="381">
        <v>0</v>
      </c>
      <c r="H18" s="381">
        <f>E18*G18</f>
        <v>0</v>
      </c>
      <c r="I18" s="381">
        <v>0</v>
      </c>
      <c r="J18" s="381">
        <f>E18*I18</f>
        <v>0</v>
      </c>
      <c r="K18" s="384">
        <f>H18+J18</f>
        <v>0</v>
      </c>
      <c r="L18" s="361"/>
    </row>
    <row r="19" spans="1:12" s="359" customFormat="1" ht="9.9499999999999993" customHeight="1">
      <c r="A19" s="360"/>
      <c r="B19" s="379"/>
      <c r="C19" s="619" t="s">
        <v>814</v>
      </c>
      <c r="D19" s="620"/>
      <c r="E19" s="378"/>
      <c r="F19" s="378"/>
      <c r="G19" s="377"/>
      <c r="H19" s="376"/>
      <c r="I19" s="377"/>
      <c r="J19" s="376"/>
      <c r="K19" s="375"/>
      <c r="L19" s="361"/>
    </row>
    <row r="20" spans="1:12" s="359" customFormat="1" ht="9.9499999999999993" customHeight="1">
      <c r="A20" s="360"/>
      <c r="B20" s="383" t="s">
        <v>813</v>
      </c>
      <c r="C20" s="617" t="s">
        <v>811</v>
      </c>
      <c r="D20" s="618"/>
      <c r="E20" s="382">
        <v>1</v>
      </c>
      <c r="F20" s="382" t="s">
        <v>743</v>
      </c>
      <c r="G20" s="381">
        <v>0</v>
      </c>
      <c r="H20" s="381">
        <f>E20*G20</f>
        <v>0</v>
      </c>
      <c r="I20" s="381">
        <v>0</v>
      </c>
      <c r="J20" s="381">
        <f>E20*I20</f>
        <v>0</v>
      </c>
      <c r="K20" s="384">
        <f>H20+J20</f>
        <v>0</v>
      </c>
      <c r="L20" s="361"/>
    </row>
    <row r="21" spans="1:12" s="359" customFormat="1" ht="9.9499999999999993" customHeight="1">
      <c r="A21" s="360"/>
      <c r="B21" s="379"/>
      <c r="C21" s="619" t="s">
        <v>810</v>
      </c>
      <c r="D21" s="620"/>
      <c r="E21" s="378"/>
      <c r="F21" s="378"/>
      <c r="G21" s="377"/>
      <c r="H21" s="376"/>
      <c r="I21" s="377"/>
      <c r="J21" s="376"/>
      <c r="K21" s="375"/>
      <c r="L21" s="361"/>
    </row>
    <row r="22" spans="1:12" s="359" customFormat="1" ht="9.9499999999999993" customHeight="1">
      <c r="A22" s="360"/>
      <c r="B22" s="383" t="s">
        <v>812</v>
      </c>
      <c r="C22" s="617" t="s">
        <v>811</v>
      </c>
      <c r="D22" s="618"/>
      <c r="E22" s="382">
        <v>1</v>
      </c>
      <c r="F22" s="382" t="s">
        <v>743</v>
      </c>
      <c r="G22" s="381">
        <v>0</v>
      </c>
      <c r="H22" s="381">
        <f>E22*G22</f>
        <v>0</v>
      </c>
      <c r="I22" s="381">
        <v>0</v>
      </c>
      <c r="J22" s="381">
        <f>E22*I22</f>
        <v>0</v>
      </c>
      <c r="K22" s="384">
        <f>H22+J22</f>
        <v>0</v>
      </c>
      <c r="L22" s="361"/>
    </row>
    <row r="23" spans="1:12" s="359" customFormat="1" ht="9.9499999999999993" customHeight="1">
      <c r="A23" s="360"/>
      <c r="B23" s="379"/>
      <c r="C23" s="619" t="s">
        <v>810</v>
      </c>
      <c r="D23" s="620"/>
      <c r="E23" s="378"/>
      <c r="F23" s="378"/>
      <c r="G23" s="377"/>
      <c r="H23" s="376"/>
      <c r="I23" s="377"/>
      <c r="J23" s="376"/>
      <c r="K23" s="375"/>
      <c r="L23" s="361"/>
    </row>
    <row r="24" spans="1:12" s="359" customFormat="1" ht="9.9499999999999993" customHeight="1">
      <c r="A24" s="360"/>
      <c r="B24" s="383" t="s">
        <v>809</v>
      </c>
      <c r="C24" s="617" t="s">
        <v>808</v>
      </c>
      <c r="D24" s="618"/>
      <c r="E24" s="382">
        <v>25</v>
      </c>
      <c r="F24" s="382" t="s">
        <v>743</v>
      </c>
      <c r="G24" s="381">
        <v>0</v>
      </c>
      <c r="H24" s="381">
        <f>E24*G24</f>
        <v>0</v>
      </c>
      <c r="I24" s="381">
        <f>G24*20/100</f>
        <v>0</v>
      </c>
      <c r="J24" s="381">
        <f>E24*I24</f>
        <v>0</v>
      </c>
      <c r="K24" s="384">
        <f>H24+J24</f>
        <v>0</v>
      </c>
      <c r="L24" s="361"/>
    </row>
    <row r="25" spans="1:12" s="359" customFormat="1" ht="9.9499999999999993" customHeight="1">
      <c r="A25" s="360"/>
      <c r="B25" s="379"/>
      <c r="C25" s="619" t="s">
        <v>807</v>
      </c>
      <c r="D25" s="620"/>
      <c r="E25" s="378"/>
      <c r="F25" s="378"/>
      <c r="G25" s="377"/>
      <c r="H25" s="376"/>
      <c r="I25" s="377"/>
      <c r="J25" s="376"/>
      <c r="K25" s="375"/>
      <c r="L25" s="361"/>
    </row>
    <row r="26" spans="1:12" s="359" customFormat="1" ht="9.9499999999999993" customHeight="1">
      <c r="A26" s="360"/>
      <c r="B26" s="383" t="s">
        <v>806</v>
      </c>
      <c r="C26" s="617" t="s">
        <v>805</v>
      </c>
      <c r="D26" s="618"/>
      <c r="E26" s="382">
        <v>6</v>
      </c>
      <c r="F26" s="382" t="s">
        <v>743</v>
      </c>
      <c r="G26" s="381">
        <v>0</v>
      </c>
      <c r="H26" s="381">
        <f>E26*G26</f>
        <v>0</v>
      </c>
      <c r="I26" s="381">
        <f>G26*20/100</f>
        <v>0</v>
      </c>
      <c r="J26" s="381">
        <f>E26*I26</f>
        <v>0</v>
      </c>
      <c r="K26" s="384">
        <f>H26+J26</f>
        <v>0</v>
      </c>
      <c r="L26" s="361"/>
    </row>
    <row r="27" spans="1:12" s="359" customFormat="1" ht="9.9499999999999993" customHeight="1">
      <c r="A27" s="360"/>
      <c r="B27" s="379"/>
      <c r="C27" s="619" t="s">
        <v>804</v>
      </c>
      <c r="D27" s="620"/>
      <c r="E27" s="378"/>
      <c r="F27" s="378"/>
      <c r="G27" s="377"/>
      <c r="H27" s="376"/>
      <c r="I27" s="377"/>
      <c r="J27" s="376"/>
      <c r="K27" s="375"/>
      <c r="L27" s="361"/>
    </row>
    <row r="28" spans="1:12" s="359" customFormat="1" ht="9.9499999999999993" customHeight="1">
      <c r="A28" s="360"/>
      <c r="B28" s="383" t="s">
        <v>803</v>
      </c>
      <c r="C28" s="617" t="s">
        <v>802</v>
      </c>
      <c r="D28" s="618"/>
      <c r="E28" s="382">
        <v>1</v>
      </c>
      <c r="F28" s="382" t="s">
        <v>743</v>
      </c>
      <c r="G28" s="381">
        <v>0</v>
      </c>
      <c r="H28" s="381">
        <f>E28*G28</f>
        <v>0</v>
      </c>
      <c r="I28" s="381">
        <f>G28*20/100</f>
        <v>0</v>
      </c>
      <c r="J28" s="381">
        <f>E28*I28</f>
        <v>0</v>
      </c>
      <c r="K28" s="384">
        <f>H28+J28</f>
        <v>0</v>
      </c>
      <c r="L28" s="361"/>
    </row>
    <row r="29" spans="1:12" s="359" customFormat="1" ht="9.9499999999999993" customHeight="1">
      <c r="A29" s="360"/>
      <c r="B29" s="379"/>
      <c r="C29" s="619" t="s">
        <v>801</v>
      </c>
      <c r="D29" s="620"/>
      <c r="E29" s="378"/>
      <c r="F29" s="378"/>
      <c r="G29" s="377"/>
      <c r="H29" s="376"/>
      <c r="I29" s="377"/>
      <c r="J29" s="376"/>
      <c r="K29" s="375"/>
      <c r="L29" s="361"/>
    </row>
    <row r="30" spans="1:12" s="359" customFormat="1" ht="9.9499999999999993" customHeight="1">
      <c r="A30" s="360"/>
      <c r="B30" s="383" t="s">
        <v>800</v>
      </c>
      <c r="C30" s="617" t="s">
        <v>754</v>
      </c>
      <c r="D30" s="618"/>
      <c r="E30" s="382">
        <v>32</v>
      </c>
      <c r="F30" s="382" t="s">
        <v>743</v>
      </c>
      <c r="G30" s="381">
        <v>0</v>
      </c>
      <c r="H30" s="381">
        <f>E30*G30</f>
        <v>0</v>
      </c>
      <c r="I30" s="381">
        <f>G30*20/100</f>
        <v>0</v>
      </c>
      <c r="J30" s="381">
        <f>E30*I30</f>
        <v>0</v>
      </c>
      <c r="K30" s="384">
        <f>H30+J30</f>
        <v>0</v>
      </c>
      <c r="L30" s="361"/>
    </row>
    <row r="31" spans="1:12" s="359" customFormat="1" ht="9.9499999999999993" customHeight="1">
      <c r="A31" s="360"/>
      <c r="B31" s="379"/>
      <c r="C31" s="615" t="s">
        <v>753</v>
      </c>
      <c r="D31" s="616"/>
      <c r="E31" s="378"/>
      <c r="F31" s="378"/>
      <c r="G31" s="377"/>
      <c r="H31" s="376"/>
      <c r="I31" s="377"/>
      <c r="J31" s="376"/>
      <c r="K31" s="375"/>
      <c r="L31" s="361"/>
    </row>
    <row r="32" spans="1:12" s="359" customFormat="1" ht="9.9499999999999993" customHeight="1">
      <c r="A32" s="360"/>
      <c r="B32" s="383"/>
      <c r="C32" s="617" t="s">
        <v>799</v>
      </c>
      <c r="D32" s="618"/>
      <c r="E32" s="382"/>
      <c r="F32" s="382"/>
      <c r="G32" s="381"/>
      <c r="H32" s="381"/>
      <c r="I32" s="381"/>
      <c r="J32" s="381"/>
      <c r="K32" s="384"/>
      <c r="L32" s="361"/>
    </row>
    <row r="33" spans="1:12" s="359" customFormat="1" ht="9.9499999999999993" customHeight="1">
      <c r="A33" s="360"/>
      <c r="B33" s="387"/>
      <c r="C33" s="619" t="s">
        <v>798</v>
      </c>
      <c r="D33" s="620"/>
      <c r="E33" s="386"/>
      <c r="F33" s="386"/>
      <c r="G33" s="385"/>
      <c r="H33" s="392"/>
      <c r="I33" s="385"/>
      <c r="J33" s="392"/>
      <c r="K33" s="391"/>
      <c r="L33" s="361"/>
    </row>
    <row r="34" spans="1:12" s="359" customFormat="1" ht="9.9499999999999993" customHeight="1">
      <c r="A34" s="390"/>
      <c r="B34" s="389" t="s">
        <v>797</v>
      </c>
      <c r="C34" s="649" t="s">
        <v>796</v>
      </c>
      <c r="D34" s="650"/>
      <c r="E34" s="388">
        <v>59</v>
      </c>
      <c r="F34" s="388" t="s">
        <v>750</v>
      </c>
      <c r="G34" s="381">
        <v>0</v>
      </c>
      <c r="H34" s="381">
        <f t="shared" ref="H34:H39" si="0">E34*G34</f>
        <v>0</v>
      </c>
      <c r="I34" s="381">
        <f t="shared" ref="I34:I39" si="1">G34*20/100</f>
        <v>0</v>
      </c>
      <c r="J34" s="381">
        <f t="shared" ref="J34:J39" si="2">E34*I34</f>
        <v>0</v>
      </c>
      <c r="K34" s="384">
        <f t="shared" ref="K34:K39" si="3">H34+J34</f>
        <v>0</v>
      </c>
      <c r="L34" s="361"/>
    </row>
    <row r="35" spans="1:12" s="359" customFormat="1" ht="9.9499999999999993" customHeight="1">
      <c r="A35" s="390"/>
      <c r="B35" s="389" t="s">
        <v>795</v>
      </c>
      <c r="C35" s="649" t="s">
        <v>794</v>
      </c>
      <c r="D35" s="650"/>
      <c r="E35" s="388">
        <v>124</v>
      </c>
      <c r="F35" s="388" t="s">
        <v>750</v>
      </c>
      <c r="G35" s="381">
        <v>0</v>
      </c>
      <c r="H35" s="381">
        <f t="shared" si="0"/>
        <v>0</v>
      </c>
      <c r="I35" s="381">
        <f t="shared" si="1"/>
        <v>0</v>
      </c>
      <c r="J35" s="381">
        <f t="shared" si="2"/>
        <v>0</v>
      </c>
      <c r="K35" s="384">
        <f t="shared" si="3"/>
        <v>0</v>
      </c>
      <c r="L35" s="361"/>
    </row>
    <row r="36" spans="1:12" s="359" customFormat="1" ht="9.9499999999999993" customHeight="1">
      <c r="A36" s="390"/>
      <c r="B36" s="389" t="s">
        <v>793</v>
      </c>
      <c r="C36" s="649" t="s">
        <v>792</v>
      </c>
      <c r="D36" s="650"/>
      <c r="E36" s="388">
        <v>63</v>
      </c>
      <c r="F36" s="388" t="s">
        <v>750</v>
      </c>
      <c r="G36" s="381">
        <v>0</v>
      </c>
      <c r="H36" s="381">
        <f t="shared" si="0"/>
        <v>0</v>
      </c>
      <c r="I36" s="381">
        <f t="shared" si="1"/>
        <v>0</v>
      </c>
      <c r="J36" s="381">
        <f t="shared" si="2"/>
        <v>0</v>
      </c>
      <c r="K36" s="384">
        <f t="shared" si="3"/>
        <v>0</v>
      </c>
      <c r="L36" s="361"/>
    </row>
    <row r="37" spans="1:12" s="359" customFormat="1" ht="9.9499999999999993" customHeight="1">
      <c r="A37" s="390"/>
      <c r="B37" s="389" t="s">
        <v>791</v>
      </c>
      <c r="C37" s="649" t="s">
        <v>790</v>
      </c>
      <c r="D37" s="650"/>
      <c r="E37" s="388">
        <v>45</v>
      </c>
      <c r="F37" s="388" t="s">
        <v>750</v>
      </c>
      <c r="G37" s="381">
        <v>0</v>
      </c>
      <c r="H37" s="381">
        <f t="shared" si="0"/>
        <v>0</v>
      </c>
      <c r="I37" s="381">
        <f t="shared" si="1"/>
        <v>0</v>
      </c>
      <c r="J37" s="381">
        <f t="shared" si="2"/>
        <v>0</v>
      </c>
      <c r="K37" s="384">
        <f t="shared" si="3"/>
        <v>0</v>
      </c>
      <c r="L37" s="361"/>
    </row>
    <row r="38" spans="1:12" s="359" customFormat="1" ht="9.9499999999999993" customHeight="1">
      <c r="A38" s="390"/>
      <c r="B38" s="389" t="s">
        <v>789</v>
      </c>
      <c r="C38" s="649" t="s">
        <v>788</v>
      </c>
      <c r="D38" s="650"/>
      <c r="E38" s="388">
        <v>59</v>
      </c>
      <c r="F38" s="388" t="s">
        <v>750</v>
      </c>
      <c r="G38" s="381">
        <v>0</v>
      </c>
      <c r="H38" s="381">
        <f t="shared" si="0"/>
        <v>0</v>
      </c>
      <c r="I38" s="381">
        <f t="shared" si="1"/>
        <v>0</v>
      </c>
      <c r="J38" s="381">
        <f t="shared" si="2"/>
        <v>0</v>
      </c>
      <c r="K38" s="384">
        <f t="shared" si="3"/>
        <v>0</v>
      </c>
      <c r="L38" s="361"/>
    </row>
    <row r="39" spans="1:12" s="359" customFormat="1" ht="9.9499999999999993" customHeight="1">
      <c r="A39" s="360"/>
      <c r="B39" s="383" t="s">
        <v>787</v>
      </c>
      <c r="C39" s="617" t="s">
        <v>784</v>
      </c>
      <c r="D39" s="618"/>
      <c r="E39" s="382">
        <v>13</v>
      </c>
      <c r="F39" s="382" t="s">
        <v>743</v>
      </c>
      <c r="G39" s="381">
        <v>0</v>
      </c>
      <c r="H39" s="381">
        <f t="shared" si="0"/>
        <v>0</v>
      </c>
      <c r="I39" s="381">
        <f t="shared" si="1"/>
        <v>0</v>
      </c>
      <c r="J39" s="381">
        <f t="shared" si="2"/>
        <v>0</v>
      </c>
      <c r="K39" s="384">
        <f t="shared" si="3"/>
        <v>0</v>
      </c>
      <c r="L39" s="361"/>
    </row>
    <row r="40" spans="1:12" s="359" customFormat="1" ht="9.9499999999999993" customHeight="1">
      <c r="A40" s="360"/>
      <c r="B40" s="379"/>
      <c r="C40" s="615" t="s">
        <v>786</v>
      </c>
      <c r="D40" s="616"/>
      <c r="E40" s="378"/>
      <c r="F40" s="378"/>
      <c r="G40" s="377"/>
      <c r="H40" s="376"/>
      <c r="I40" s="377"/>
      <c r="J40" s="376"/>
      <c r="K40" s="375"/>
      <c r="L40" s="361"/>
    </row>
    <row r="41" spans="1:12" s="359" customFormat="1" ht="9.9499999999999993" customHeight="1">
      <c r="A41" s="360"/>
      <c r="B41" s="383" t="s">
        <v>785</v>
      </c>
      <c r="C41" s="617" t="s">
        <v>784</v>
      </c>
      <c r="D41" s="618"/>
      <c r="E41" s="382">
        <v>19</v>
      </c>
      <c r="F41" s="382" t="s">
        <v>743</v>
      </c>
      <c r="G41" s="381">
        <v>0</v>
      </c>
      <c r="H41" s="381">
        <f>E41*G41</f>
        <v>0</v>
      </c>
      <c r="I41" s="381">
        <f>G41*20/100</f>
        <v>0</v>
      </c>
      <c r="J41" s="381">
        <f>E41*I41</f>
        <v>0</v>
      </c>
      <c r="K41" s="384">
        <f>H41+J41</f>
        <v>0</v>
      </c>
      <c r="L41" s="361"/>
    </row>
    <row r="42" spans="1:12" s="359" customFormat="1" ht="9.9499999999999993" customHeight="1">
      <c r="A42" s="360"/>
      <c r="B42" s="379"/>
      <c r="C42" s="615" t="s">
        <v>783</v>
      </c>
      <c r="D42" s="616"/>
      <c r="E42" s="378"/>
      <c r="F42" s="378"/>
      <c r="G42" s="377"/>
      <c r="H42" s="376"/>
      <c r="I42" s="377"/>
      <c r="J42" s="376"/>
      <c r="K42" s="375"/>
      <c r="L42" s="361"/>
    </row>
    <row r="43" spans="1:12" s="359" customFormat="1" ht="9.9499999999999993" customHeight="1">
      <c r="A43" s="360"/>
      <c r="B43" s="383" t="s">
        <v>782</v>
      </c>
      <c r="C43" s="617" t="s">
        <v>747</v>
      </c>
      <c r="D43" s="618"/>
      <c r="E43" s="382">
        <v>68</v>
      </c>
      <c r="F43" s="382" t="s">
        <v>743</v>
      </c>
      <c r="G43" s="381">
        <v>0</v>
      </c>
      <c r="H43" s="381">
        <f>E43*G43</f>
        <v>0</v>
      </c>
      <c r="I43" s="381">
        <f>G43*20/100</f>
        <v>0</v>
      </c>
      <c r="J43" s="381">
        <f>E43*I43</f>
        <v>0</v>
      </c>
      <c r="K43" s="384">
        <f>H43+J43</f>
        <v>0</v>
      </c>
      <c r="L43" s="361"/>
    </row>
    <row r="44" spans="1:12" s="359" customFormat="1" ht="9.9499999999999993" customHeight="1">
      <c r="A44" s="360"/>
      <c r="B44" s="379"/>
      <c r="C44" s="619" t="s">
        <v>746</v>
      </c>
      <c r="D44" s="620"/>
      <c r="E44" s="378"/>
      <c r="F44" s="378"/>
      <c r="G44" s="377"/>
      <c r="H44" s="376"/>
      <c r="I44" s="377"/>
      <c r="J44" s="376"/>
      <c r="K44" s="375"/>
      <c r="L44" s="361"/>
    </row>
    <row r="45" spans="1:12" s="359" customFormat="1" ht="9.9499999999999993" customHeight="1">
      <c r="A45" s="360"/>
      <c r="B45" s="383" t="s">
        <v>781</v>
      </c>
      <c r="C45" s="617" t="s">
        <v>780</v>
      </c>
      <c r="D45" s="618"/>
      <c r="E45" s="382">
        <v>20</v>
      </c>
      <c r="F45" s="382" t="s">
        <v>492</v>
      </c>
      <c r="G45" s="381">
        <v>0</v>
      </c>
      <c r="H45" s="381">
        <f>E45*G45</f>
        <v>0</v>
      </c>
      <c r="I45" s="381">
        <f>G45*20/100</f>
        <v>0</v>
      </c>
      <c r="J45" s="381">
        <f>E45*I45</f>
        <v>0</v>
      </c>
      <c r="K45" s="384">
        <f>H45+J45</f>
        <v>0</v>
      </c>
      <c r="L45" s="361"/>
    </row>
    <row r="46" spans="1:12" s="359" customFormat="1" ht="9.9499999999999993" customHeight="1">
      <c r="A46" s="360"/>
      <c r="B46" s="379"/>
      <c r="C46" s="619"/>
      <c r="D46" s="620"/>
      <c r="E46" s="378"/>
      <c r="F46" s="378"/>
      <c r="G46" s="377"/>
      <c r="H46" s="376"/>
      <c r="I46" s="377"/>
      <c r="J46" s="376"/>
      <c r="K46" s="375"/>
      <c r="L46" s="361"/>
    </row>
    <row r="47" spans="1:12" s="359" customFormat="1" ht="9.9499999999999993" customHeight="1">
      <c r="A47" s="360"/>
      <c r="B47" s="383" t="s">
        <v>779</v>
      </c>
      <c r="C47" s="617" t="s">
        <v>778</v>
      </c>
      <c r="D47" s="618"/>
      <c r="E47" s="382">
        <v>3</v>
      </c>
      <c r="F47" s="382" t="s">
        <v>743</v>
      </c>
      <c r="G47" s="381">
        <v>0</v>
      </c>
      <c r="H47" s="381">
        <f>E47*G47</f>
        <v>0</v>
      </c>
      <c r="I47" s="381">
        <f>G47*20/100</f>
        <v>0</v>
      </c>
      <c r="J47" s="381">
        <f>E47*I47</f>
        <v>0</v>
      </c>
      <c r="K47" s="384">
        <f>H47+J47</f>
        <v>0</v>
      </c>
      <c r="L47" s="361"/>
    </row>
    <row r="48" spans="1:12" s="359" customFormat="1" ht="9.9499999999999993" customHeight="1">
      <c r="A48" s="360"/>
      <c r="B48" s="379"/>
      <c r="C48" s="615"/>
      <c r="D48" s="616"/>
      <c r="E48" s="378"/>
      <c r="F48" s="378"/>
      <c r="G48" s="377"/>
      <c r="H48" s="376"/>
      <c r="I48" s="377"/>
      <c r="J48" s="376"/>
      <c r="K48" s="375"/>
      <c r="L48" s="361"/>
    </row>
    <row r="49" spans="1:12" s="359" customFormat="1" ht="9.9499999999999993" customHeight="1">
      <c r="A49" s="360"/>
      <c r="B49" s="383" t="s">
        <v>777</v>
      </c>
      <c r="C49" s="617" t="s">
        <v>776</v>
      </c>
      <c r="D49" s="618"/>
      <c r="E49" s="382">
        <v>3</v>
      </c>
      <c r="F49" s="382" t="s">
        <v>743</v>
      </c>
      <c r="G49" s="381">
        <v>0</v>
      </c>
      <c r="H49" s="381">
        <f>E49*G49</f>
        <v>0</v>
      </c>
      <c r="I49" s="381">
        <f>G49*20/100</f>
        <v>0</v>
      </c>
      <c r="J49" s="381">
        <f>E49*I49</f>
        <v>0</v>
      </c>
      <c r="K49" s="384">
        <f>H49+J49</f>
        <v>0</v>
      </c>
      <c r="L49" s="361"/>
    </row>
    <row r="50" spans="1:12" s="359" customFormat="1" ht="9.9499999999999993" customHeight="1">
      <c r="A50" s="360"/>
      <c r="B50" s="379"/>
      <c r="C50" s="651" t="s">
        <v>775</v>
      </c>
      <c r="D50" s="652"/>
      <c r="E50" s="378"/>
      <c r="F50" s="378"/>
      <c r="G50" s="377"/>
      <c r="H50" s="376"/>
      <c r="I50" s="377"/>
      <c r="J50" s="376"/>
      <c r="K50" s="375"/>
      <c r="L50" s="361"/>
    </row>
    <row r="51" spans="1:12" s="359" customFormat="1" ht="9.9499999999999993" customHeight="1">
      <c r="A51" s="360"/>
      <c r="B51" s="371"/>
      <c r="C51" s="610" t="s">
        <v>725</v>
      </c>
      <c r="D51" s="611"/>
      <c r="E51" s="370"/>
      <c r="F51" s="370"/>
      <c r="G51" s="369"/>
      <c r="H51" s="368">
        <f>SUM(H18:H48)</f>
        <v>0</v>
      </c>
      <c r="I51" s="368"/>
      <c r="J51" s="368">
        <f>SUM(J18:J48)</f>
        <v>0</v>
      </c>
      <c r="K51" s="367">
        <f>SUM(K18:K48)</f>
        <v>0</v>
      </c>
      <c r="L51" s="361"/>
    </row>
    <row r="52" spans="1:12" s="359" customFormat="1" ht="9.9499999999999993" customHeight="1">
      <c r="A52" s="360"/>
      <c r="B52" s="366"/>
      <c r="C52" s="612"/>
      <c r="D52" s="613"/>
      <c r="E52" s="365"/>
      <c r="F52" s="365"/>
      <c r="G52" s="364"/>
      <c r="H52" s="363"/>
      <c r="I52" s="363"/>
      <c r="J52" s="363"/>
      <c r="K52" s="362"/>
      <c r="L52" s="361"/>
    </row>
    <row r="53" spans="1:12" s="359" customFormat="1" ht="9.9499999999999993" customHeight="1">
      <c r="A53" s="360"/>
      <c r="B53" s="374" t="s">
        <v>774</v>
      </c>
      <c r="C53" s="614" t="s">
        <v>773</v>
      </c>
      <c r="D53" s="614"/>
      <c r="E53" s="373"/>
      <c r="F53" s="373"/>
      <c r="G53" s="372"/>
      <c r="H53" s="372"/>
      <c r="I53" s="372"/>
      <c r="J53" s="372"/>
      <c r="K53" s="372"/>
      <c r="L53" s="360"/>
    </row>
    <row r="54" spans="1:12" s="359" customFormat="1" ht="9.9499999999999993" customHeight="1">
      <c r="A54" s="360"/>
      <c r="B54" s="383" t="s">
        <v>772</v>
      </c>
      <c r="C54" s="617" t="s">
        <v>771</v>
      </c>
      <c r="D54" s="618"/>
      <c r="E54" s="382">
        <v>1</v>
      </c>
      <c r="F54" s="382" t="s">
        <v>743</v>
      </c>
      <c r="G54" s="381">
        <v>0</v>
      </c>
      <c r="H54" s="381">
        <f>E54*G54</f>
        <v>0</v>
      </c>
      <c r="I54" s="381">
        <f>G54*20/100</f>
        <v>0</v>
      </c>
      <c r="J54" s="381">
        <f>E54*I54</f>
        <v>0</v>
      </c>
      <c r="K54" s="384">
        <f>H54+J54</f>
        <v>0</v>
      </c>
      <c r="L54" s="361"/>
    </row>
    <row r="55" spans="1:12" s="359" customFormat="1" ht="9.9499999999999993" customHeight="1">
      <c r="A55" s="360"/>
      <c r="B55" s="379"/>
      <c r="C55" s="619" t="s">
        <v>770</v>
      </c>
      <c r="D55" s="620"/>
      <c r="E55" s="378"/>
      <c r="F55" s="378"/>
      <c r="G55" s="377"/>
      <c r="H55" s="376"/>
      <c r="I55" s="377"/>
      <c r="J55" s="376"/>
      <c r="K55" s="375"/>
      <c r="L55" s="361"/>
    </row>
    <row r="56" spans="1:12" s="359" customFormat="1" ht="9.9499999999999993" customHeight="1">
      <c r="A56" s="360"/>
      <c r="B56" s="383" t="s">
        <v>769</v>
      </c>
      <c r="C56" s="617" t="s">
        <v>757</v>
      </c>
      <c r="D56" s="618"/>
      <c r="E56" s="382">
        <v>3</v>
      </c>
      <c r="F56" s="382" t="s">
        <v>743</v>
      </c>
      <c r="G56" s="381">
        <v>0</v>
      </c>
      <c r="H56" s="381">
        <f>E56*G56</f>
        <v>0</v>
      </c>
      <c r="I56" s="381">
        <f>G56*20/100</f>
        <v>0</v>
      </c>
      <c r="J56" s="381">
        <f>E56*I56</f>
        <v>0</v>
      </c>
      <c r="K56" s="384">
        <f>H56+J56</f>
        <v>0</v>
      </c>
      <c r="L56" s="361"/>
    </row>
    <row r="57" spans="1:12" s="359" customFormat="1" ht="9.9499999999999993" customHeight="1">
      <c r="A57" s="360"/>
      <c r="B57" s="379"/>
      <c r="C57" s="619" t="s">
        <v>768</v>
      </c>
      <c r="D57" s="620"/>
      <c r="E57" s="378"/>
      <c r="F57" s="378"/>
      <c r="G57" s="377"/>
      <c r="H57" s="376"/>
      <c r="I57" s="377"/>
      <c r="J57" s="376"/>
      <c r="K57" s="375"/>
      <c r="L57" s="361"/>
    </row>
    <row r="58" spans="1:12" s="359" customFormat="1" ht="9.9499999999999993" customHeight="1">
      <c r="A58" s="360"/>
      <c r="B58" s="383" t="s">
        <v>767</v>
      </c>
      <c r="C58" s="617" t="s">
        <v>754</v>
      </c>
      <c r="D58" s="618"/>
      <c r="E58" s="382">
        <v>3</v>
      </c>
      <c r="F58" s="382" t="s">
        <v>743</v>
      </c>
      <c r="G58" s="381">
        <v>0</v>
      </c>
      <c r="H58" s="381">
        <f>E58*G58</f>
        <v>0</v>
      </c>
      <c r="I58" s="381">
        <f>G58*20/100</f>
        <v>0</v>
      </c>
      <c r="J58" s="381">
        <f>E58*I58</f>
        <v>0</v>
      </c>
      <c r="K58" s="384">
        <f>H58+J58</f>
        <v>0</v>
      </c>
      <c r="L58" s="361"/>
    </row>
    <row r="59" spans="1:12" s="359" customFormat="1" ht="9.9499999999999993" customHeight="1">
      <c r="A59" s="360"/>
      <c r="B59" s="379"/>
      <c r="C59" s="615" t="s">
        <v>753</v>
      </c>
      <c r="D59" s="616"/>
      <c r="E59" s="378"/>
      <c r="F59" s="378"/>
      <c r="G59" s="377"/>
      <c r="H59" s="376"/>
      <c r="I59" s="377"/>
      <c r="J59" s="376"/>
      <c r="K59" s="375"/>
      <c r="L59" s="361"/>
    </row>
    <row r="60" spans="1:12" s="359" customFormat="1" ht="9.9499999999999993" customHeight="1">
      <c r="A60" s="360"/>
      <c r="B60" s="383" t="s">
        <v>766</v>
      </c>
      <c r="C60" s="617" t="s">
        <v>751</v>
      </c>
      <c r="D60" s="618"/>
      <c r="E60" s="382">
        <v>29</v>
      </c>
      <c r="F60" s="382" t="s">
        <v>750</v>
      </c>
      <c r="G60" s="381">
        <v>0</v>
      </c>
      <c r="H60" s="381">
        <f>E60*G60</f>
        <v>0</v>
      </c>
      <c r="I60" s="381">
        <f>G60*20/100</f>
        <v>0</v>
      </c>
      <c r="J60" s="381">
        <f>E60*I60</f>
        <v>0</v>
      </c>
      <c r="K60" s="384">
        <f>H60+J60</f>
        <v>0</v>
      </c>
      <c r="L60" s="361"/>
    </row>
    <row r="61" spans="1:12" s="359" customFormat="1" ht="9.9499999999999993" customHeight="1">
      <c r="A61" s="360"/>
      <c r="B61" s="387"/>
      <c r="C61" s="619" t="s">
        <v>749</v>
      </c>
      <c r="D61" s="620"/>
      <c r="E61" s="386"/>
      <c r="F61" s="386"/>
      <c r="G61" s="385"/>
      <c r="H61" s="376"/>
      <c r="I61" s="377"/>
      <c r="J61" s="376"/>
      <c r="K61" s="375"/>
      <c r="L61" s="361"/>
    </row>
    <row r="62" spans="1:12" s="359" customFormat="1" ht="9.9499999999999993" customHeight="1">
      <c r="A62" s="360"/>
      <c r="B62" s="383" t="s">
        <v>765</v>
      </c>
      <c r="C62" s="617" t="s">
        <v>747</v>
      </c>
      <c r="D62" s="618"/>
      <c r="E62" s="382">
        <v>6</v>
      </c>
      <c r="F62" s="382" t="s">
        <v>743</v>
      </c>
      <c r="G62" s="381">
        <v>0</v>
      </c>
      <c r="H62" s="381">
        <f>E62*G62</f>
        <v>0</v>
      </c>
      <c r="I62" s="381">
        <f>G62*20/100</f>
        <v>0</v>
      </c>
      <c r="J62" s="381">
        <f>E62*I62</f>
        <v>0</v>
      </c>
      <c r="K62" s="384">
        <f>H62+J62</f>
        <v>0</v>
      </c>
      <c r="L62" s="361"/>
    </row>
    <row r="63" spans="1:12" s="359" customFormat="1" ht="9.9499999999999993" customHeight="1">
      <c r="A63" s="360"/>
      <c r="B63" s="379"/>
      <c r="C63" s="619" t="s">
        <v>746</v>
      </c>
      <c r="D63" s="620"/>
      <c r="E63" s="378"/>
      <c r="F63" s="378"/>
      <c r="G63" s="377"/>
      <c r="H63" s="376"/>
      <c r="I63" s="377"/>
      <c r="J63" s="376"/>
      <c r="K63" s="375"/>
      <c r="L63" s="361"/>
    </row>
    <row r="64" spans="1:12" s="359" customFormat="1" ht="9.9499999999999993" customHeight="1">
      <c r="A64" s="360"/>
      <c r="B64" s="383" t="s">
        <v>764</v>
      </c>
      <c r="C64" s="617" t="s">
        <v>744</v>
      </c>
      <c r="D64" s="618"/>
      <c r="E64" s="382">
        <v>2</v>
      </c>
      <c r="F64" s="382" t="s">
        <v>743</v>
      </c>
      <c r="G64" s="381">
        <v>0</v>
      </c>
      <c r="H64" s="381">
        <f>E64*G64</f>
        <v>0</v>
      </c>
      <c r="I64" s="381">
        <f>G64*20/100</f>
        <v>0</v>
      </c>
      <c r="J64" s="381">
        <f>E64*I64</f>
        <v>0</v>
      </c>
      <c r="K64" s="384">
        <f>H64+J64</f>
        <v>0</v>
      </c>
      <c r="L64" s="361"/>
    </row>
    <row r="65" spans="1:12" s="359" customFormat="1" ht="9.9499999999999993" customHeight="1">
      <c r="A65" s="360"/>
      <c r="B65" s="379"/>
      <c r="C65" s="615"/>
      <c r="D65" s="616"/>
      <c r="E65" s="378"/>
      <c r="F65" s="378"/>
      <c r="G65" s="377"/>
      <c r="H65" s="376"/>
      <c r="I65" s="377"/>
      <c r="J65" s="376"/>
      <c r="K65" s="375"/>
      <c r="L65" s="361"/>
    </row>
    <row r="66" spans="1:12" s="359" customFormat="1" ht="9.9499999999999993" customHeight="1">
      <c r="A66" s="360"/>
      <c r="B66" s="371"/>
      <c r="C66" s="610" t="s">
        <v>725</v>
      </c>
      <c r="D66" s="611"/>
      <c r="E66" s="370"/>
      <c r="F66" s="370"/>
      <c r="G66" s="369"/>
      <c r="H66" s="368">
        <f>SUM(H54:H65)</f>
        <v>0</v>
      </c>
      <c r="I66" s="368"/>
      <c r="J66" s="368">
        <f>SUM(J54:J65)</f>
        <v>0</v>
      </c>
      <c r="K66" s="367">
        <f>SUM(K54:K65)</f>
        <v>0</v>
      </c>
      <c r="L66" s="361"/>
    </row>
    <row r="67" spans="1:12" s="359" customFormat="1" ht="9.9499999999999993" customHeight="1">
      <c r="A67" s="360"/>
      <c r="B67" s="366"/>
      <c r="C67" s="612"/>
      <c r="D67" s="613"/>
      <c r="E67" s="365"/>
      <c r="F67" s="365"/>
      <c r="G67" s="364"/>
      <c r="H67" s="363"/>
      <c r="I67" s="363"/>
      <c r="J67" s="363"/>
      <c r="K67" s="362"/>
      <c r="L67" s="361"/>
    </row>
    <row r="68" spans="1:12" s="359" customFormat="1" ht="9.9499999999999993" customHeight="1">
      <c r="A68" s="360"/>
      <c r="B68" s="374" t="s">
        <v>763</v>
      </c>
      <c r="C68" s="614" t="s">
        <v>762</v>
      </c>
      <c r="D68" s="614"/>
      <c r="E68" s="373"/>
      <c r="F68" s="373"/>
      <c r="G68" s="372"/>
      <c r="H68" s="372"/>
      <c r="I68" s="372"/>
      <c r="J68" s="372"/>
      <c r="K68" s="372"/>
      <c r="L68" s="360"/>
    </row>
    <row r="69" spans="1:12" s="359" customFormat="1" ht="9.9499999999999993" customHeight="1">
      <c r="A69" s="360"/>
      <c r="B69" s="383" t="s">
        <v>761</v>
      </c>
      <c r="C69" s="617" t="s">
        <v>760</v>
      </c>
      <c r="D69" s="618"/>
      <c r="E69" s="382">
        <v>1</v>
      </c>
      <c r="F69" s="382" t="s">
        <v>743</v>
      </c>
      <c r="G69" s="381">
        <v>0</v>
      </c>
      <c r="H69" s="381">
        <f>E69*G69</f>
        <v>0</v>
      </c>
      <c r="I69" s="381">
        <f>G69*20/100</f>
        <v>0</v>
      </c>
      <c r="J69" s="381">
        <f>E69*I69</f>
        <v>0</v>
      </c>
      <c r="K69" s="384">
        <f>H69+J69</f>
        <v>0</v>
      </c>
      <c r="L69" s="361"/>
    </row>
    <row r="70" spans="1:12" s="359" customFormat="1" ht="9.9499999999999993" customHeight="1">
      <c r="A70" s="360"/>
      <c r="B70" s="379"/>
      <c r="C70" s="619" t="s">
        <v>759</v>
      </c>
      <c r="D70" s="620"/>
      <c r="E70" s="378"/>
      <c r="F70" s="378"/>
      <c r="G70" s="377"/>
      <c r="H70" s="376"/>
      <c r="I70" s="377"/>
      <c r="J70" s="376"/>
      <c r="K70" s="375"/>
      <c r="L70" s="361"/>
    </row>
    <row r="71" spans="1:12" s="359" customFormat="1" ht="9.9499999999999993" customHeight="1">
      <c r="A71" s="360"/>
      <c r="B71" s="383" t="s">
        <v>758</v>
      </c>
      <c r="C71" s="617" t="s">
        <v>757</v>
      </c>
      <c r="D71" s="618"/>
      <c r="E71" s="382">
        <v>1</v>
      </c>
      <c r="F71" s="382" t="s">
        <v>743</v>
      </c>
      <c r="G71" s="381">
        <v>0</v>
      </c>
      <c r="H71" s="381">
        <f>E71*G71</f>
        <v>0</v>
      </c>
      <c r="I71" s="381">
        <f>G71*20/100</f>
        <v>0</v>
      </c>
      <c r="J71" s="381">
        <f>E71*I71</f>
        <v>0</v>
      </c>
      <c r="K71" s="384">
        <f>H71+J71</f>
        <v>0</v>
      </c>
      <c r="L71" s="361"/>
    </row>
    <row r="72" spans="1:12" s="359" customFormat="1" ht="9.9499999999999993" customHeight="1">
      <c r="A72" s="360"/>
      <c r="B72" s="379"/>
      <c r="C72" s="619" t="s">
        <v>756</v>
      </c>
      <c r="D72" s="620"/>
      <c r="E72" s="378"/>
      <c r="F72" s="378"/>
      <c r="G72" s="377"/>
      <c r="H72" s="376"/>
      <c r="I72" s="377"/>
      <c r="J72" s="376"/>
      <c r="K72" s="375"/>
      <c r="L72" s="361"/>
    </row>
    <row r="73" spans="1:12" s="359" customFormat="1" ht="9.9499999999999993" customHeight="1">
      <c r="A73" s="360"/>
      <c r="B73" s="383" t="s">
        <v>755</v>
      </c>
      <c r="C73" s="617" t="s">
        <v>754</v>
      </c>
      <c r="D73" s="618"/>
      <c r="E73" s="382">
        <v>1</v>
      </c>
      <c r="F73" s="382" t="s">
        <v>743</v>
      </c>
      <c r="G73" s="381">
        <v>0</v>
      </c>
      <c r="H73" s="381">
        <f>E73*G73</f>
        <v>0</v>
      </c>
      <c r="I73" s="381">
        <f>G73*20/100</f>
        <v>0</v>
      </c>
      <c r="J73" s="381">
        <f>E73*I73</f>
        <v>0</v>
      </c>
      <c r="K73" s="384">
        <f>H73+J73</f>
        <v>0</v>
      </c>
      <c r="L73" s="361"/>
    </row>
    <row r="74" spans="1:12" s="359" customFormat="1" ht="9.9499999999999993" customHeight="1">
      <c r="A74" s="360"/>
      <c r="B74" s="379"/>
      <c r="C74" s="615" t="s">
        <v>753</v>
      </c>
      <c r="D74" s="616"/>
      <c r="E74" s="378"/>
      <c r="F74" s="378"/>
      <c r="G74" s="377"/>
      <c r="H74" s="376"/>
      <c r="I74" s="377"/>
      <c r="J74" s="376"/>
      <c r="K74" s="375"/>
      <c r="L74" s="361"/>
    </row>
    <row r="75" spans="1:12" s="359" customFormat="1" ht="9.9499999999999993" customHeight="1">
      <c r="A75" s="360"/>
      <c r="B75" s="383" t="s">
        <v>752</v>
      </c>
      <c r="C75" s="617" t="s">
        <v>751</v>
      </c>
      <c r="D75" s="618"/>
      <c r="E75" s="382">
        <v>12</v>
      </c>
      <c r="F75" s="382" t="s">
        <v>750</v>
      </c>
      <c r="G75" s="381">
        <v>0</v>
      </c>
      <c r="H75" s="381">
        <f>E75*G75</f>
        <v>0</v>
      </c>
      <c r="I75" s="381">
        <f>G75*20/100</f>
        <v>0</v>
      </c>
      <c r="J75" s="381">
        <f>E75*I75</f>
        <v>0</v>
      </c>
      <c r="K75" s="384">
        <f>H75+J75</f>
        <v>0</v>
      </c>
      <c r="L75" s="361"/>
    </row>
    <row r="76" spans="1:12" s="359" customFormat="1" ht="9.9499999999999993" customHeight="1">
      <c r="A76" s="360"/>
      <c r="B76" s="387"/>
      <c r="C76" s="619" t="s">
        <v>749</v>
      </c>
      <c r="D76" s="620"/>
      <c r="E76" s="386"/>
      <c r="F76" s="386"/>
      <c r="G76" s="385"/>
      <c r="H76" s="376"/>
      <c r="I76" s="377"/>
      <c r="J76" s="376"/>
      <c r="K76" s="375"/>
      <c r="L76" s="361"/>
    </row>
    <row r="77" spans="1:12" s="359" customFormat="1" ht="9.9499999999999993" customHeight="1">
      <c r="A77" s="360"/>
      <c r="B77" s="383" t="s">
        <v>748</v>
      </c>
      <c r="C77" s="617" t="s">
        <v>747</v>
      </c>
      <c r="D77" s="618"/>
      <c r="E77" s="382">
        <v>1</v>
      </c>
      <c r="F77" s="382" t="s">
        <v>743</v>
      </c>
      <c r="G77" s="381">
        <v>0</v>
      </c>
      <c r="H77" s="381">
        <f>E77*G77</f>
        <v>0</v>
      </c>
      <c r="I77" s="381">
        <f>G77*20/100</f>
        <v>0</v>
      </c>
      <c r="J77" s="381">
        <f>E77*I77</f>
        <v>0</v>
      </c>
      <c r="K77" s="384">
        <f>H77+J77</f>
        <v>0</v>
      </c>
      <c r="L77" s="361"/>
    </row>
    <row r="78" spans="1:12" s="359" customFormat="1" ht="9.9499999999999993" customHeight="1">
      <c r="A78" s="360"/>
      <c r="B78" s="379"/>
      <c r="C78" s="619" t="s">
        <v>746</v>
      </c>
      <c r="D78" s="620"/>
      <c r="E78" s="378"/>
      <c r="F78" s="378"/>
      <c r="G78" s="377"/>
      <c r="H78" s="376"/>
      <c r="I78" s="377"/>
      <c r="J78" s="376"/>
      <c r="K78" s="375"/>
      <c r="L78" s="361"/>
    </row>
    <row r="79" spans="1:12" s="359" customFormat="1" ht="9.9499999999999993" customHeight="1">
      <c r="A79" s="360"/>
      <c r="B79" s="383" t="s">
        <v>745</v>
      </c>
      <c r="C79" s="617" t="s">
        <v>744</v>
      </c>
      <c r="D79" s="618"/>
      <c r="E79" s="382">
        <v>2</v>
      </c>
      <c r="F79" s="382" t="s">
        <v>743</v>
      </c>
      <c r="G79" s="381">
        <v>0</v>
      </c>
      <c r="H79" s="381">
        <f>E79*G79</f>
        <v>0</v>
      </c>
      <c r="I79" s="381">
        <f>G79*20/100</f>
        <v>0</v>
      </c>
      <c r="J79" s="381">
        <f>E79*I79</f>
        <v>0</v>
      </c>
      <c r="K79" s="384">
        <f>H79+J79</f>
        <v>0</v>
      </c>
      <c r="L79" s="361"/>
    </row>
    <row r="80" spans="1:12" s="359" customFormat="1" ht="9.9499999999999993" customHeight="1">
      <c r="A80" s="360"/>
      <c r="B80" s="379"/>
      <c r="C80" s="615"/>
      <c r="D80" s="616"/>
      <c r="E80" s="378"/>
      <c r="F80" s="378"/>
      <c r="G80" s="377"/>
      <c r="H80" s="376"/>
      <c r="I80" s="377"/>
      <c r="J80" s="376"/>
      <c r="K80" s="375"/>
      <c r="L80" s="361"/>
    </row>
    <row r="81" spans="1:12" s="359" customFormat="1" ht="9.9499999999999993" customHeight="1">
      <c r="A81" s="360"/>
      <c r="B81" s="371"/>
      <c r="C81" s="610" t="s">
        <v>725</v>
      </c>
      <c r="D81" s="611"/>
      <c r="E81" s="370"/>
      <c r="F81" s="370"/>
      <c r="G81" s="369"/>
      <c r="H81" s="368">
        <f>SUM(H69:H80)</f>
        <v>0</v>
      </c>
      <c r="I81" s="368"/>
      <c r="J81" s="368">
        <f>SUM(J69:J80)</f>
        <v>0</v>
      </c>
      <c r="K81" s="367">
        <f>SUM(K69:K80)</f>
        <v>0</v>
      </c>
      <c r="L81" s="361"/>
    </row>
    <row r="82" spans="1:12" s="359" customFormat="1" ht="9.9499999999999993" customHeight="1">
      <c r="A82" s="360"/>
      <c r="B82" s="366"/>
      <c r="C82" s="612"/>
      <c r="D82" s="613"/>
      <c r="E82" s="365"/>
      <c r="F82" s="365"/>
      <c r="G82" s="364"/>
      <c r="H82" s="363"/>
      <c r="I82" s="363"/>
      <c r="J82" s="363"/>
      <c r="K82" s="362"/>
      <c r="L82" s="361"/>
    </row>
    <row r="83" spans="1:12" s="359" customFormat="1" ht="9.9499999999999993" customHeight="1">
      <c r="A83" s="360"/>
      <c r="B83" s="374" t="s">
        <v>742</v>
      </c>
      <c r="C83" s="614" t="s">
        <v>741</v>
      </c>
      <c r="D83" s="614"/>
      <c r="E83" s="373"/>
      <c r="F83" s="373"/>
      <c r="G83" s="372"/>
      <c r="H83" s="372"/>
      <c r="I83" s="372"/>
      <c r="J83" s="372"/>
      <c r="K83" s="372"/>
      <c r="L83" s="360"/>
    </row>
    <row r="84" spans="1:12" s="359" customFormat="1" ht="9.9499999999999993" customHeight="1">
      <c r="A84" s="360"/>
      <c r="B84" s="383" t="s">
        <v>740</v>
      </c>
      <c r="C84" s="617" t="s">
        <v>739</v>
      </c>
      <c r="D84" s="618"/>
      <c r="E84" s="382">
        <v>36</v>
      </c>
      <c r="F84" s="382" t="s">
        <v>738</v>
      </c>
      <c r="G84" s="381">
        <v>0</v>
      </c>
      <c r="H84" s="381">
        <f>E84*G84</f>
        <v>0</v>
      </c>
      <c r="I84" s="381">
        <f>G84*20/100</f>
        <v>0</v>
      </c>
      <c r="J84" s="381">
        <f>E84*I84</f>
        <v>0</v>
      </c>
      <c r="K84" s="380">
        <f>H84+J84</f>
        <v>0</v>
      </c>
      <c r="L84" s="360"/>
    </row>
    <row r="85" spans="1:12" s="359" customFormat="1" ht="9.9499999999999993" customHeight="1">
      <c r="A85" s="360"/>
      <c r="B85" s="379"/>
      <c r="C85" s="615"/>
      <c r="D85" s="616"/>
      <c r="E85" s="378"/>
      <c r="F85" s="378"/>
      <c r="G85" s="377"/>
      <c r="H85" s="376"/>
      <c r="I85" s="377"/>
      <c r="J85" s="376"/>
      <c r="K85" s="375"/>
      <c r="L85" s="360"/>
    </row>
    <row r="86" spans="1:12" s="359" customFormat="1" ht="9.9499999999999993" customHeight="1">
      <c r="A86" s="360"/>
      <c r="B86" s="371"/>
      <c r="C86" s="610" t="s">
        <v>725</v>
      </c>
      <c r="D86" s="611"/>
      <c r="E86" s="370"/>
      <c r="F86" s="370"/>
      <c r="G86" s="369"/>
      <c r="H86" s="368">
        <f>SUM(H84:H85)</f>
        <v>0</v>
      </c>
      <c r="I86" s="368"/>
      <c r="J86" s="368">
        <f>SUM(J84:J85)</f>
        <v>0</v>
      </c>
      <c r="K86" s="367">
        <f>SUM(K84:K85)</f>
        <v>0</v>
      </c>
      <c r="L86" s="360"/>
    </row>
    <row r="87" spans="1:12" s="359" customFormat="1" ht="9.9499999999999993" customHeight="1">
      <c r="A87" s="360"/>
      <c r="B87" s="366"/>
      <c r="C87" s="612"/>
      <c r="D87" s="613"/>
      <c r="E87" s="365"/>
      <c r="F87" s="365"/>
      <c r="G87" s="364"/>
      <c r="H87" s="363"/>
      <c r="I87" s="363"/>
      <c r="J87" s="363"/>
      <c r="K87" s="362"/>
      <c r="L87" s="361"/>
    </row>
    <row r="88" spans="1:12" s="359" customFormat="1" ht="9.9499999999999993" customHeight="1">
      <c r="A88" s="360"/>
      <c r="B88" s="374" t="s">
        <v>737</v>
      </c>
      <c r="C88" s="614" t="s">
        <v>736</v>
      </c>
      <c r="D88" s="614"/>
      <c r="E88" s="373"/>
      <c r="F88" s="373"/>
      <c r="G88" s="372"/>
      <c r="H88" s="372"/>
      <c r="I88" s="372"/>
      <c r="J88" s="372"/>
      <c r="K88" s="372"/>
      <c r="L88" s="360"/>
    </row>
    <row r="89" spans="1:12" s="359" customFormat="1" ht="9.9499999999999993" customHeight="1">
      <c r="A89" s="360"/>
      <c r="B89" s="383" t="s">
        <v>735</v>
      </c>
      <c r="C89" s="617" t="s">
        <v>734</v>
      </c>
      <c r="D89" s="618"/>
      <c r="E89" s="382">
        <v>1</v>
      </c>
      <c r="F89" s="382" t="s">
        <v>125</v>
      </c>
      <c r="G89" s="381">
        <v>0</v>
      </c>
      <c r="H89" s="381">
        <f>E89*G89</f>
        <v>0</v>
      </c>
      <c r="I89" s="381">
        <v>0</v>
      </c>
      <c r="J89" s="381">
        <f>E89*I89</f>
        <v>0</v>
      </c>
      <c r="K89" s="380">
        <f>H89+J89</f>
        <v>0</v>
      </c>
      <c r="L89" s="360"/>
    </row>
    <row r="90" spans="1:12" s="359" customFormat="1" ht="9.9499999999999993" customHeight="1">
      <c r="A90" s="360"/>
      <c r="B90" s="379"/>
      <c r="C90" s="615"/>
      <c r="D90" s="616"/>
      <c r="E90" s="378"/>
      <c r="F90" s="378"/>
      <c r="G90" s="377"/>
      <c r="H90" s="376"/>
      <c r="I90" s="377"/>
      <c r="J90" s="376"/>
      <c r="K90" s="375"/>
      <c r="L90" s="360"/>
    </row>
    <row r="91" spans="1:12" s="359" customFormat="1" ht="9.9499999999999993" customHeight="1">
      <c r="A91" s="360"/>
      <c r="B91" s="383" t="s">
        <v>733</v>
      </c>
      <c r="C91" s="617" t="s">
        <v>732</v>
      </c>
      <c r="D91" s="618"/>
      <c r="E91" s="382">
        <v>1</v>
      </c>
      <c r="F91" s="382" t="s">
        <v>125</v>
      </c>
      <c r="G91" s="381">
        <v>0</v>
      </c>
      <c r="H91" s="381">
        <f>E91*G91</f>
        <v>0</v>
      </c>
      <c r="I91" s="381">
        <v>0</v>
      </c>
      <c r="J91" s="381">
        <f>E91*I91</f>
        <v>0</v>
      </c>
      <c r="K91" s="380">
        <f>H91+J91</f>
        <v>0</v>
      </c>
      <c r="L91" s="360"/>
    </row>
    <row r="92" spans="1:12" s="359" customFormat="1" ht="9.9499999999999993" customHeight="1">
      <c r="A92" s="360"/>
      <c r="B92" s="379"/>
      <c r="C92" s="615"/>
      <c r="D92" s="616"/>
      <c r="E92" s="378"/>
      <c r="F92" s="378"/>
      <c r="G92" s="377"/>
      <c r="H92" s="376"/>
      <c r="I92" s="377"/>
      <c r="J92" s="376"/>
      <c r="K92" s="375"/>
      <c r="L92" s="360"/>
    </row>
    <row r="93" spans="1:12" s="359" customFormat="1" ht="9.9499999999999993" customHeight="1">
      <c r="A93" s="360"/>
      <c r="B93" s="383" t="s">
        <v>731</v>
      </c>
      <c r="C93" s="617" t="s">
        <v>730</v>
      </c>
      <c r="D93" s="618"/>
      <c r="E93" s="382">
        <v>1</v>
      </c>
      <c r="F93" s="382" t="s">
        <v>125</v>
      </c>
      <c r="G93" s="381">
        <v>0</v>
      </c>
      <c r="H93" s="381">
        <f>E93*G93</f>
        <v>0</v>
      </c>
      <c r="I93" s="381">
        <v>0</v>
      </c>
      <c r="J93" s="381">
        <f>E93*I93</f>
        <v>0</v>
      </c>
      <c r="K93" s="380">
        <f>H93+J93</f>
        <v>0</v>
      </c>
      <c r="L93" s="360"/>
    </row>
    <row r="94" spans="1:12" s="359" customFormat="1" ht="9.9499999999999993" customHeight="1">
      <c r="A94" s="360"/>
      <c r="B94" s="379"/>
      <c r="C94" s="615"/>
      <c r="D94" s="616"/>
      <c r="E94" s="378"/>
      <c r="F94" s="378"/>
      <c r="G94" s="377"/>
      <c r="H94" s="376"/>
      <c r="I94" s="377"/>
      <c r="J94" s="376"/>
      <c r="K94" s="375"/>
      <c r="L94" s="360"/>
    </row>
    <row r="95" spans="1:12" s="359" customFormat="1" ht="9.9499999999999993" customHeight="1">
      <c r="A95" s="360"/>
      <c r="B95" s="383" t="s">
        <v>729</v>
      </c>
      <c r="C95" s="617" t="s">
        <v>728</v>
      </c>
      <c r="D95" s="618"/>
      <c r="E95" s="382">
        <v>1</v>
      </c>
      <c r="F95" s="382" t="s">
        <v>125</v>
      </c>
      <c r="G95" s="381">
        <v>0</v>
      </c>
      <c r="H95" s="381">
        <f>E95*G95</f>
        <v>0</v>
      </c>
      <c r="I95" s="381">
        <v>0</v>
      </c>
      <c r="J95" s="381">
        <f>E95*I95</f>
        <v>0</v>
      </c>
      <c r="K95" s="380">
        <f>H95+J95</f>
        <v>0</v>
      </c>
      <c r="L95" s="360"/>
    </row>
    <row r="96" spans="1:12" s="359" customFormat="1" ht="9.9499999999999993" customHeight="1">
      <c r="A96" s="360"/>
      <c r="B96" s="379"/>
      <c r="C96" s="615"/>
      <c r="D96" s="616"/>
      <c r="E96" s="378"/>
      <c r="F96" s="378"/>
      <c r="G96" s="377"/>
      <c r="H96" s="376"/>
      <c r="I96" s="377"/>
      <c r="J96" s="376"/>
      <c r="K96" s="375"/>
      <c r="L96" s="360"/>
    </row>
    <row r="97" spans="1:12" s="359" customFormat="1" ht="9.9499999999999993" customHeight="1">
      <c r="A97" s="360"/>
      <c r="B97" s="383" t="s">
        <v>727</v>
      </c>
      <c r="C97" s="617" t="s">
        <v>726</v>
      </c>
      <c r="D97" s="618"/>
      <c r="E97" s="382">
        <v>1</v>
      </c>
      <c r="F97" s="382" t="s">
        <v>125</v>
      </c>
      <c r="G97" s="381">
        <v>0</v>
      </c>
      <c r="H97" s="381">
        <f>E97*G97</f>
        <v>0</v>
      </c>
      <c r="I97" s="381">
        <v>0</v>
      </c>
      <c r="J97" s="381">
        <f>E97*I97</f>
        <v>0</v>
      </c>
      <c r="K97" s="380">
        <f>H97+J97</f>
        <v>0</v>
      </c>
      <c r="L97" s="360"/>
    </row>
    <row r="98" spans="1:12" s="359" customFormat="1" ht="9.9499999999999993" customHeight="1">
      <c r="A98" s="360"/>
      <c r="B98" s="379"/>
      <c r="C98" s="615"/>
      <c r="D98" s="616"/>
      <c r="E98" s="378"/>
      <c r="F98" s="378"/>
      <c r="G98" s="377"/>
      <c r="H98" s="376"/>
      <c r="I98" s="377"/>
      <c r="J98" s="376"/>
      <c r="K98" s="375"/>
      <c r="L98" s="360"/>
    </row>
    <row r="99" spans="1:12" s="359" customFormat="1" ht="9.9499999999999993" customHeight="1">
      <c r="A99" s="360"/>
      <c r="B99" s="371"/>
      <c r="C99" s="610" t="s">
        <v>725</v>
      </c>
      <c r="D99" s="611"/>
      <c r="E99" s="370"/>
      <c r="F99" s="370"/>
      <c r="G99" s="369"/>
      <c r="H99" s="368">
        <f>SUM(H89:H98)</f>
        <v>0</v>
      </c>
      <c r="I99" s="368"/>
      <c r="J99" s="368">
        <f>SUM(J89:J98)</f>
        <v>0</v>
      </c>
      <c r="K99" s="367">
        <f>SUM(K89:K98)</f>
        <v>0</v>
      </c>
      <c r="L99" s="360"/>
    </row>
    <row r="100" spans="1:12" s="359" customFormat="1" ht="9.9499999999999993" customHeight="1">
      <c r="A100" s="360"/>
      <c r="B100" s="366"/>
      <c r="C100" s="612"/>
      <c r="D100" s="613"/>
      <c r="E100" s="365"/>
      <c r="F100" s="365"/>
      <c r="G100" s="364"/>
      <c r="H100" s="363"/>
      <c r="I100" s="363"/>
      <c r="J100" s="363"/>
      <c r="K100" s="362"/>
      <c r="L100" s="361"/>
    </row>
    <row r="101" spans="1:12" s="359" customFormat="1" ht="9.9499999999999993" customHeight="1">
      <c r="A101" s="360"/>
      <c r="B101" s="374"/>
      <c r="C101" s="614" t="s">
        <v>724</v>
      </c>
      <c r="D101" s="614"/>
      <c r="E101" s="373"/>
      <c r="F101" s="373"/>
      <c r="G101" s="372"/>
      <c r="H101" s="372"/>
      <c r="I101" s="372"/>
      <c r="J101" s="372"/>
      <c r="K101" s="372"/>
      <c r="L101" s="360"/>
    </row>
    <row r="102" spans="1:12" s="359" customFormat="1" ht="9.9499999999999993" customHeight="1">
      <c r="A102" s="360"/>
      <c r="B102" s="371"/>
      <c r="C102" s="610" t="s">
        <v>723</v>
      </c>
      <c r="D102" s="611"/>
      <c r="E102" s="370"/>
      <c r="F102" s="370"/>
      <c r="G102" s="369"/>
      <c r="H102" s="368">
        <f>H99+H86+H81+H66+H51</f>
        <v>0</v>
      </c>
      <c r="I102" s="368"/>
      <c r="J102" s="368">
        <f>J99+J86+J81+J66+J51</f>
        <v>0</v>
      </c>
      <c r="K102" s="367">
        <f>K99+K86+K81+K66+K51</f>
        <v>0</v>
      </c>
      <c r="L102" s="360"/>
    </row>
    <row r="103" spans="1:12" s="359" customFormat="1" ht="9.9499999999999993" customHeight="1">
      <c r="A103" s="360"/>
      <c r="B103" s="366"/>
      <c r="C103" s="612"/>
      <c r="D103" s="613"/>
      <c r="E103" s="365"/>
      <c r="F103" s="365"/>
      <c r="G103" s="364"/>
      <c r="H103" s="363"/>
      <c r="I103" s="363"/>
      <c r="J103" s="363"/>
      <c r="K103" s="362"/>
      <c r="L103" s="361"/>
    </row>
    <row r="104" spans="1:12" s="359" customFormat="1" ht="9.9499999999999993" customHeight="1">
      <c r="A104" s="360"/>
      <c r="B104" s="360"/>
      <c r="C104" s="360"/>
      <c r="D104" s="360"/>
      <c r="E104" s="360"/>
      <c r="F104" s="360"/>
      <c r="G104" s="360"/>
      <c r="H104" s="360"/>
      <c r="I104" s="360"/>
      <c r="J104" s="360"/>
      <c r="K104" s="360"/>
      <c r="L104" s="360"/>
    </row>
    <row r="105" spans="1:12" s="359" customFormat="1" ht="9.9499999999999993" customHeight="1"/>
    <row r="106" spans="1:12" s="359" customFormat="1" ht="9.9499999999999993" customHeight="1"/>
    <row r="107" spans="1:12" s="359" customFormat="1" ht="9.9499999999999993" customHeight="1"/>
    <row r="108" spans="1:12" s="359" customFormat="1" ht="9.9499999999999993" customHeight="1"/>
    <row r="109" spans="1:12" s="359" customFormat="1" ht="9.9499999999999993" customHeight="1"/>
    <row r="110" spans="1:12" s="359" customFormat="1" ht="9.9499999999999993" customHeight="1"/>
    <row r="111" spans="1:12" s="359" customFormat="1" ht="9.9499999999999993" customHeight="1"/>
    <row r="112" spans="1:12" s="359" customFormat="1" ht="9.9499999999999993" customHeight="1"/>
    <row r="113" s="359" customFormat="1" ht="9.9499999999999993" customHeight="1"/>
    <row r="114" s="359" customFormat="1" ht="9.9499999999999993" customHeight="1"/>
    <row r="115" s="359" customFormat="1" ht="9.9499999999999993" customHeight="1"/>
    <row r="116" s="359" customFormat="1" ht="9.9499999999999993" customHeight="1"/>
    <row r="117" s="359" customFormat="1" ht="9.9499999999999993" customHeight="1"/>
    <row r="118" s="359" customFormat="1" ht="9.9499999999999993" customHeight="1"/>
    <row r="119" s="359" customFormat="1" ht="9.9499999999999993" customHeight="1"/>
    <row r="120" s="359" customFormat="1" ht="9.9499999999999993" customHeight="1"/>
    <row r="121" s="359" customFormat="1" ht="9.9499999999999993" customHeight="1"/>
    <row r="122" s="359" customFormat="1" ht="9.9499999999999993" customHeight="1"/>
    <row r="123" s="359" customFormat="1" ht="9.9499999999999993" customHeight="1"/>
    <row r="124" s="359" customFormat="1" ht="9.9499999999999993" customHeight="1"/>
    <row r="125" s="359" customFormat="1" ht="9.9499999999999993" customHeight="1"/>
    <row r="126" s="359" customFormat="1" ht="9.9499999999999993" customHeight="1"/>
    <row r="127" s="359" customFormat="1" ht="9.9499999999999993" customHeight="1"/>
    <row r="128" s="359" customFormat="1" ht="9.9499999999999993" customHeight="1"/>
    <row r="129" s="359" customFormat="1" ht="9.9499999999999993" customHeight="1"/>
    <row r="130" s="359" customFormat="1" ht="9.9499999999999993" customHeight="1"/>
    <row r="131" s="359" customFormat="1" ht="9.9499999999999993" customHeight="1"/>
    <row r="132" s="359" customFormat="1" ht="9.9499999999999993" customHeight="1"/>
    <row r="133" s="359" customFormat="1" ht="9.9499999999999993" customHeight="1"/>
    <row r="134" s="359" customFormat="1" ht="9.9499999999999993" customHeight="1"/>
    <row r="135" s="359" customFormat="1" ht="9.9499999999999993" customHeight="1"/>
    <row r="136" s="359" customFormat="1" ht="9.9499999999999993" customHeight="1"/>
    <row r="137" s="359" customFormat="1" ht="9.9499999999999993" customHeight="1"/>
    <row r="138" s="359" customFormat="1" ht="9.9499999999999993" customHeight="1"/>
    <row r="139" s="359" customFormat="1" ht="9.9499999999999993" customHeight="1"/>
    <row r="140" s="359" customFormat="1" ht="9.9499999999999993" customHeight="1"/>
    <row r="141" s="359" customFormat="1" ht="9.9499999999999993" customHeight="1"/>
    <row r="142" s="359" customFormat="1" ht="9.9499999999999993" customHeight="1"/>
    <row r="143" s="359" customFormat="1" ht="9.9499999999999993" customHeight="1"/>
    <row r="144" s="359" customFormat="1" ht="9.9499999999999993" customHeight="1"/>
    <row r="145" s="359" customFormat="1" ht="9.9499999999999993" customHeight="1"/>
    <row r="146" s="359" customFormat="1" ht="9.9499999999999993" customHeight="1"/>
    <row r="147" s="359" customFormat="1" ht="9.9499999999999993" customHeight="1"/>
    <row r="148" s="359" customFormat="1" ht="9.9499999999999993" customHeight="1"/>
    <row r="149" s="359" customFormat="1" ht="9.9499999999999993" customHeight="1"/>
    <row r="150" s="359" customFormat="1" ht="9.9499999999999993" customHeight="1"/>
    <row r="151" s="359" customFormat="1" ht="9.9499999999999993" customHeight="1"/>
    <row r="152" s="359" customFormat="1" ht="9.9499999999999993" customHeight="1"/>
    <row r="153" s="359" customFormat="1" ht="9.9499999999999993" customHeight="1"/>
    <row r="154" s="359" customFormat="1" ht="9.9499999999999993" customHeight="1"/>
    <row r="155" s="359" customFormat="1" ht="9.9499999999999993" customHeight="1"/>
    <row r="156" s="359" customFormat="1" ht="9.9499999999999993" customHeight="1"/>
    <row r="157" s="359" customFormat="1" ht="9.9499999999999993" customHeight="1"/>
    <row r="158" s="359" customFormat="1" ht="9.9499999999999993" customHeight="1"/>
    <row r="159" s="359" customFormat="1" ht="9.9499999999999993" customHeight="1"/>
    <row r="160" s="359" customFormat="1" ht="9.9499999999999993" customHeight="1"/>
    <row r="161" s="359" customFormat="1" ht="9.9499999999999993" customHeight="1"/>
    <row r="162" s="359" customFormat="1" ht="9.9499999999999993" customHeight="1"/>
    <row r="163" s="359" customFormat="1" ht="9.9499999999999993" customHeight="1"/>
    <row r="164" s="359" customFormat="1" ht="9.9499999999999993" customHeight="1"/>
    <row r="165" s="359" customFormat="1" ht="9.9499999999999993" customHeight="1"/>
    <row r="166" s="359" customFormat="1" ht="9.9499999999999993" customHeight="1"/>
    <row r="167" s="359" customFormat="1" ht="9.9499999999999993" customHeight="1"/>
    <row r="168" s="359" customFormat="1" ht="9.9499999999999993" customHeight="1"/>
    <row r="169" s="359" customFormat="1" ht="9.9499999999999993" customHeight="1"/>
    <row r="170" s="359" customFormat="1" ht="9.9499999999999993" customHeight="1"/>
    <row r="171" s="359" customFormat="1" ht="9.9499999999999993" customHeight="1"/>
    <row r="172" s="359" customFormat="1" ht="9.9499999999999993" customHeight="1"/>
    <row r="173" s="359" customFormat="1" ht="9.9499999999999993" customHeight="1"/>
    <row r="174" s="359" customFormat="1" ht="9.9499999999999993" customHeight="1"/>
    <row r="175" s="359" customFormat="1" ht="9.9499999999999993" customHeight="1"/>
    <row r="176" s="359" customFormat="1" ht="9.9499999999999993" customHeight="1"/>
    <row r="177" s="359" customFormat="1" ht="9.9499999999999993" customHeight="1"/>
    <row r="178" s="359" customFormat="1" ht="9.9499999999999993" customHeight="1"/>
    <row r="179" s="359" customFormat="1" ht="9.9499999999999993" customHeight="1"/>
    <row r="180" s="359" customFormat="1" ht="9.9499999999999993" customHeight="1"/>
    <row r="181" s="359" customFormat="1" ht="9.9499999999999993" customHeight="1"/>
    <row r="182" s="359" customFormat="1" ht="9.9499999999999993" customHeight="1"/>
    <row r="183" s="359" customFormat="1" ht="9.9499999999999993" customHeight="1"/>
    <row r="184" s="359" customFormat="1" ht="9.9499999999999993" customHeight="1"/>
    <row r="185" s="359" customFormat="1" ht="9.9499999999999993" customHeight="1"/>
    <row r="186" s="359" customFormat="1" ht="9.9499999999999993" customHeight="1"/>
    <row r="187" s="359" customFormat="1" ht="9.9499999999999993" customHeight="1"/>
    <row r="188" s="359" customFormat="1" ht="9.9499999999999993" customHeight="1"/>
    <row r="189" s="359" customFormat="1" ht="9.9499999999999993" customHeight="1"/>
    <row r="190" s="359" customFormat="1" ht="9.9499999999999993" customHeight="1"/>
    <row r="191" s="359" customFormat="1" ht="9.9499999999999993" customHeight="1"/>
    <row r="192" s="359" customFormat="1" ht="9.9499999999999993" customHeight="1"/>
    <row r="193" s="359" customFormat="1" ht="9.9499999999999993" customHeight="1"/>
    <row r="194" s="359" customFormat="1" ht="9.9499999999999993" customHeight="1"/>
    <row r="195" s="359" customFormat="1" ht="9.9499999999999993" customHeight="1"/>
    <row r="196" s="359" customFormat="1" ht="9.9499999999999993" customHeight="1"/>
    <row r="197" s="359" customFormat="1" ht="9.9499999999999993" customHeight="1"/>
    <row r="198" s="359" customFormat="1" ht="9.9499999999999993" customHeight="1"/>
    <row r="199" s="359" customFormat="1" ht="9.9499999999999993" customHeight="1"/>
    <row r="200" s="359" customFormat="1" ht="9.9499999999999993" customHeight="1"/>
    <row r="201" s="359" customFormat="1" ht="9.9499999999999993" customHeight="1"/>
    <row r="202" s="359" customFormat="1" ht="9.9499999999999993" customHeight="1"/>
    <row r="203" s="359" customFormat="1" ht="9.9499999999999993" customHeight="1"/>
    <row r="204" s="359" customFormat="1" ht="9.9499999999999993" customHeight="1"/>
    <row r="205" s="359" customFormat="1" ht="9.9499999999999993" customHeight="1"/>
    <row r="206" s="359" customFormat="1" ht="9.9499999999999993" customHeight="1"/>
    <row r="207" s="359" customFormat="1" ht="9.9499999999999993" customHeight="1"/>
    <row r="208" s="359" customFormat="1" ht="9.9499999999999993" customHeight="1"/>
    <row r="209" s="359" customFormat="1" ht="9.9499999999999993" customHeight="1"/>
    <row r="210" s="359" customFormat="1" ht="9.9499999999999993" customHeight="1"/>
    <row r="211" s="359" customFormat="1" ht="9.9499999999999993" customHeight="1"/>
    <row r="212" s="359" customFormat="1" ht="9.9499999999999993" customHeight="1"/>
    <row r="213" s="359" customFormat="1" ht="9.9499999999999993" customHeight="1"/>
    <row r="214" s="359" customFormat="1" ht="9.9499999999999993" customHeight="1"/>
    <row r="215" s="359" customFormat="1" ht="9.9499999999999993" customHeight="1"/>
    <row r="216" s="359" customFormat="1" ht="9.9499999999999993" customHeight="1"/>
    <row r="217" s="359" customFormat="1" ht="9.9499999999999993" customHeight="1"/>
    <row r="218" s="359" customFormat="1" ht="9.9499999999999993" customHeight="1"/>
    <row r="219" s="359" customFormat="1" ht="9.9499999999999993" customHeight="1"/>
    <row r="220" s="359" customFormat="1" ht="9.9499999999999993" customHeight="1"/>
    <row r="221" s="359" customFormat="1" ht="9.9499999999999993" customHeight="1"/>
    <row r="222" s="359" customFormat="1" ht="9.9499999999999993" customHeight="1"/>
    <row r="223" s="359" customFormat="1" ht="9.9499999999999993" customHeight="1"/>
    <row r="224" s="359" customFormat="1" ht="9.9499999999999993" customHeight="1"/>
    <row r="225" s="359" customFormat="1" ht="9.9499999999999993" customHeight="1"/>
    <row r="226" s="359" customFormat="1" ht="9.9499999999999993" customHeight="1"/>
    <row r="227" s="359" customFormat="1" ht="9.9499999999999993" customHeight="1"/>
    <row r="228" s="359" customFormat="1" ht="9.9499999999999993" customHeight="1"/>
    <row r="229" s="359" customFormat="1" ht="9.9499999999999993" customHeight="1"/>
    <row r="230" s="359" customFormat="1" ht="9.9499999999999993" customHeight="1"/>
    <row r="231" s="359" customFormat="1" ht="9.9499999999999993" customHeight="1"/>
    <row r="232" s="359" customFormat="1" ht="9.9499999999999993" customHeight="1"/>
    <row r="233" s="359" customFormat="1" ht="9.9499999999999993" customHeight="1"/>
    <row r="234" s="359" customFormat="1" ht="9.9499999999999993" customHeight="1"/>
    <row r="235" s="359" customFormat="1" ht="9.9499999999999993" customHeight="1"/>
    <row r="236" s="359" customFormat="1" ht="9.9499999999999993" customHeight="1"/>
    <row r="237" s="359" customFormat="1" ht="9.9499999999999993" customHeight="1"/>
    <row r="238" s="359" customFormat="1" ht="9.9499999999999993" customHeight="1"/>
    <row r="239" s="359" customFormat="1" ht="9.9499999999999993" customHeight="1"/>
    <row r="240" s="359" customFormat="1" ht="9.9499999999999993" customHeight="1"/>
    <row r="241" s="359" customFormat="1" ht="9.9499999999999993" customHeight="1"/>
    <row r="242" s="359" customFormat="1" ht="9.9499999999999993" customHeight="1"/>
    <row r="243" s="359" customFormat="1" ht="9.9499999999999993" customHeight="1"/>
    <row r="244" s="359" customFormat="1" ht="9.9499999999999993" customHeight="1"/>
    <row r="245" s="359" customFormat="1" ht="9.9499999999999993" customHeight="1"/>
    <row r="246" s="359" customFormat="1" ht="9.9499999999999993" customHeight="1"/>
    <row r="247" s="359" customFormat="1" ht="9.9499999999999993" customHeight="1"/>
    <row r="248" s="359" customFormat="1" ht="9.9499999999999993" customHeight="1"/>
    <row r="249" s="359" customFormat="1" ht="9.9499999999999993" customHeight="1"/>
    <row r="250" s="359" customFormat="1" ht="9.9499999999999993" customHeight="1"/>
    <row r="251" s="359" customFormat="1" ht="9.9499999999999993" customHeight="1"/>
    <row r="252" s="359" customFormat="1" ht="9.9499999999999993" customHeight="1"/>
    <row r="253" s="359" customFormat="1" ht="9.9499999999999993" customHeight="1"/>
    <row r="254" s="359" customFormat="1" ht="9.9499999999999993" customHeight="1"/>
    <row r="255" s="359" customFormat="1" ht="9.9499999999999993" customHeight="1"/>
    <row r="256" s="359" customFormat="1" ht="9.9499999999999993" customHeight="1"/>
    <row r="257" s="359" customFormat="1" ht="9.9499999999999993" customHeight="1"/>
    <row r="258" s="359" customFormat="1" ht="9.9499999999999993" customHeight="1"/>
    <row r="259" s="359" customFormat="1" ht="9.9499999999999993" customHeight="1"/>
    <row r="260" s="359" customFormat="1" ht="9.9499999999999993" customHeight="1"/>
    <row r="261" s="359" customFormat="1" ht="9.9499999999999993" customHeight="1"/>
    <row r="262" s="359" customFormat="1" ht="9.9499999999999993" customHeight="1"/>
    <row r="263" s="359" customFormat="1" ht="9.9499999999999993" customHeight="1"/>
    <row r="264" s="359" customFormat="1" ht="9.9499999999999993" customHeight="1"/>
    <row r="265" s="359" customFormat="1" ht="9.9499999999999993" customHeight="1"/>
    <row r="266" s="359" customFormat="1" ht="9.9499999999999993" customHeight="1"/>
    <row r="267" s="359" customFormat="1" ht="9.9499999999999993" customHeight="1"/>
    <row r="268" s="359" customFormat="1" ht="9.9499999999999993" customHeight="1"/>
    <row r="269" s="359" customFormat="1" ht="9.9499999999999993" customHeight="1"/>
    <row r="270" s="359" customFormat="1" ht="9.9499999999999993" customHeight="1"/>
    <row r="271" s="359" customFormat="1" ht="9.9499999999999993" customHeight="1"/>
    <row r="272" s="359" customFormat="1" ht="9.9499999999999993" customHeight="1"/>
    <row r="273" s="359" customFormat="1" ht="9.9499999999999993" customHeight="1"/>
    <row r="274" s="359" customFormat="1" ht="9.9499999999999993" customHeight="1"/>
    <row r="275" s="359" customFormat="1" ht="9.9499999999999993" customHeight="1"/>
    <row r="276" s="359" customFormat="1" ht="9.9499999999999993" customHeight="1"/>
    <row r="277" s="359" customFormat="1" ht="9.9499999999999993" customHeight="1"/>
    <row r="278" s="359" customFormat="1" ht="9.9499999999999993" customHeight="1"/>
    <row r="279" s="359" customFormat="1" ht="9.9499999999999993" customHeight="1"/>
    <row r="280" s="359" customFormat="1" ht="9.9499999999999993" customHeight="1"/>
    <row r="281" s="359" customFormat="1" ht="9.9499999999999993" customHeight="1"/>
    <row r="282" s="359" customFormat="1" ht="9.9499999999999993" customHeight="1"/>
    <row r="283" s="359" customFormat="1" ht="9.9499999999999993" customHeight="1"/>
    <row r="284" s="359" customFormat="1" ht="9.9499999999999993" customHeight="1"/>
    <row r="285" s="359" customFormat="1" ht="9.9499999999999993" customHeight="1"/>
    <row r="286" s="359" customFormat="1" ht="9.9499999999999993" customHeight="1"/>
    <row r="287" s="359" customFormat="1" ht="9.9499999999999993" customHeight="1"/>
    <row r="288" s="359" customFormat="1" ht="9.9499999999999993" customHeight="1"/>
    <row r="289" s="359" customFormat="1" ht="9.9499999999999993" customHeight="1"/>
    <row r="290" s="359" customFormat="1" ht="9.9499999999999993" customHeight="1"/>
    <row r="291" s="359" customFormat="1" ht="9.9499999999999993" customHeight="1"/>
    <row r="292" s="359" customFormat="1" ht="9.9499999999999993" customHeight="1"/>
    <row r="293" s="359" customFormat="1" ht="9.9499999999999993" customHeight="1"/>
    <row r="294" s="359" customFormat="1" ht="9.9499999999999993" customHeight="1"/>
    <row r="295" s="359" customFormat="1" ht="9.9499999999999993" customHeight="1"/>
    <row r="296" s="359" customFormat="1" ht="9.9499999999999993" customHeight="1"/>
    <row r="297" s="359" customFormat="1" ht="9.9499999999999993" customHeight="1"/>
    <row r="298" s="359" customFormat="1" ht="9.9499999999999993" customHeight="1"/>
    <row r="299" s="359" customFormat="1" ht="9.9499999999999993" customHeight="1"/>
    <row r="300" s="359" customFormat="1" ht="9.9499999999999993" customHeight="1"/>
    <row r="301" s="359" customFormat="1" ht="9.9499999999999993" customHeight="1"/>
    <row r="302" s="359" customFormat="1" ht="9.9499999999999993" customHeight="1"/>
    <row r="303" s="359" customFormat="1" ht="9.9499999999999993" customHeight="1"/>
    <row r="304" s="359" customFormat="1" ht="9.9499999999999993" customHeight="1"/>
    <row r="305" s="359" customFormat="1" ht="9.9499999999999993" customHeight="1"/>
    <row r="306" s="359" customFormat="1" ht="9.9499999999999993" customHeight="1"/>
    <row r="307" s="359" customFormat="1" ht="9.9499999999999993" customHeight="1"/>
    <row r="308" s="359" customFormat="1" ht="9.9499999999999993" customHeight="1"/>
    <row r="309" s="359" customFormat="1" ht="9.9499999999999993" customHeight="1"/>
    <row r="310" s="359" customFormat="1" ht="9.9499999999999993" customHeight="1"/>
    <row r="311" s="359" customFormat="1" ht="9.9499999999999993" customHeight="1"/>
    <row r="312" s="359" customFormat="1" ht="9.9499999999999993" customHeight="1"/>
    <row r="313" s="359" customFormat="1" ht="9.9499999999999993" customHeight="1"/>
    <row r="314" s="359" customFormat="1" ht="9.9499999999999993" customHeight="1"/>
    <row r="315" s="359" customFormat="1" ht="9.9499999999999993" customHeight="1"/>
    <row r="316" s="359" customFormat="1" ht="9.9499999999999993" customHeight="1"/>
    <row r="317" s="359" customFormat="1" ht="9.9499999999999993" customHeight="1"/>
    <row r="318" s="359" customFormat="1" ht="9.9499999999999993" customHeight="1"/>
    <row r="319" s="359" customFormat="1" ht="9.9499999999999993" customHeight="1"/>
    <row r="320" s="359" customFormat="1" ht="9.9499999999999993" customHeight="1"/>
    <row r="321" s="359" customFormat="1" ht="9.9499999999999993" customHeight="1"/>
    <row r="322" s="359" customFormat="1" ht="9.9499999999999993" customHeight="1"/>
    <row r="323" s="359" customFormat="1" ht="9.9499999999999993" customHeight="1"/>
    <row r="324" s="359" customFormat="1" ht="9.9499999999999993" customHeight="1"/>
    <row r="325" s="359" customFormat="1" ht="9.9499999999999993" customHeight="1"/>
    <row r="326" s="359" customFormat="1" ht="9.9499999999999993" customHeight="1"/>
    <row r="327" s="359" customFormat="1" ht="9.9499999999999993" customHeight="1"/>
    <row r="328" s="359" customFormat="1" ht="9.9499999999999993" customHeight="1"/>
    <row r="329" s="359" customFormat="1" ht="9.9499999999999993" customHeight="1"/>
    <row r="330" s="359" customFormat="1" ht="9.9499999999999993" customHeight="1"/>
    <row r="331" s="359" customFormat="1" ht="9.9499999999999993" customHeight="1"/>
    <row r="332" s="359" customFormat="1" ht="9.9499999999999993" customHeight="1"/>
    <row r="333" s="359" customFormat="1" ht="9.9499999999999993" customHeight="1"/>
    <row r="334" s="359" customFormat="1" ht="9.9499999999999993" customHeight="1"/>
    <row r="335" s="359" customFormat="1" ht="9.9499999999999993" customHeight="1"/>
    <row r="336" s="359" customFormat="1" ht="9.9499999999999993" customHeight="1"/>
    <row r="337" s="359" customFormat="1" ht="9.9499999999999993" customHeight="1"/>
    <row r="338" s="359" customFormat="1" ht="9.9499999999999993" customHeight="1"/>
    <row r="339" s="359" customFormat="1" ht="9.9499999999999993" customHeight="1"/>
    <row r="340" s="359" customFormat="1" ht="9.9499999999999993" customHeight="1"/>
    <row r="341" s="359" customFormat="1" ht="9.9499999999999993" customHeight="1"/>
    <row r="342" s="359" customFormat="1" ht="9.9499999999999993" customHeight="1"/>
    <row r="343" s="359" customFormat="1" ht="9.9499999999999993" customHeight="1"/>
    <row r="344" s="359" customFormat="1" ht="9.9499999999999993" customHeight="1"/>
    <row r="345" s="359" customFormat="1" ht="9.9499999999999993" customHeight="1"/>
    <row r="346" s="359" customFormat="1" ht="9.9499999999999993" customHeight="1"/>
    <row r="347" s="359" customFormat="1" ht="9.9499999999999993" customHeight="1"/>
    <row r="348" s="359" customFormat="1" ht="9.9499999999999993" customHeight="1"/>
    <row r="349" s="359" customFormat="1" ht="9.9499999999999993" customHeight="1"/>
    <row r="350" s="359" customFormat="1" ht="9.9499999999999993" customHeight="1"/>
    <row r="351" s="359" customFormat="1" ht="9.9499999999999993" customHeight="1"/>
    <row r="352" s="358" customFormat="1" ht="9.9499999999999993" customHeight="1"/>
    <row r="353" s="358" customFormat="1" ht="9.9499999999999993" customHeight="1"/>
    <row r="354" s="358" customFormat="1" ht="9.9499999999999993" customHeight="1"/>
    <row r="355" s="358" customFormat="1" ht="9.9499999999999993" customHeight="1"/>
    <row r="356" s="358" customFormat="1" ht="9.9499999999999993" customHeight="1"/>
    <row r="357" s="358" customFormat="1" ht="9.9499999999999993" customHeight="1"/>
    <row r="358" s="358" customFormat="1" ht="9.9499999999999993" customHeight="1"/>
    <row r="359" s="358" customFormat="1" ht="9.9499999999999993" customHeight="1"/>
    <row r="360" s="358" customFormat="1" ht="9.9499999999999993" customHeight="1"/>
    <row r="361" s="358" customFormat="1" ht="9.9499999999999993" customHeight="1"/>
    <row r="362" s="358" customFormat="1" ht="9.9499999999999993" customHeight="1"/>
    <row r="363" s="358" customFormat="1" ht="9.9499999999999993" customHeight="1"/>
    <row r="364" s="358" customFormat="1" ht="9.9499999999999993" customHeight="1"/>
    <row r="365" s="358" customFormat="1" ht="9.9499999999999993" customHeight="1"/>
    <row r="366" s="358" customFormat="1" ht="9.9499999999999993" customHeight="1"/>
    <row r="367" s="358" customFormat="1" ht="9.9499999999999993" customHeight="1"/>
    <row r="368" s="358" customFormat="1" ht="9.9499999999999993" customHeight="1"/>
    <row r="369" s="358" customFormat="1" ht="9.9499999999999993" customHeight="1"/>
    <row r="370" s="358" customFormat="1" ht="9.9499999999999993" customHeight="1"/>
    <row r="371" s="358" customFormat="1" ht="9.9499999999999993" customHeight="1"/>
    <row r="372" s="358" customFormat="1" ht="9.9499999999999993" customHeight="1"/>
    <row r="373" s="358" customFormat="1" ht="9.9499999999999993" customHeight="1"/>
    <row r="374" s="358" customFormat="1" ht="9.9499999999999993" customHeight="1"/>
    <row r="375" s="358" customFormat="1" ht="9.9499999999999993" customHeight="1"/>
    <row r="376" s="358" customFormat="1" ht="9.9499999999999993" customHeight="1"/>
    <row r="377" s="358" customFormat="1" ht="9.9499999999999993" customHeight="1"/>
    <row r="378" s="358" customFormat="1" ht="9.9499999999999993" customHeight="1"/>
    <row r="379" s="358" customFormat="1" ht="9.9499999999999993" customHeight="1"/>
    <row r="380" s="358" customFormat="1" ht="9.9499999999999993" customHeight="1"/>
    <row r="381" s="358" customFormat="1" ht="9.9499999999999993" customHeight="1"/>
    <row r="382" s="358" customFormat="1" ht="9.9499999999999993" customHeight="1"/>
    <row r="383" s="358" customFormat="1" ht="9.9499999999999993" customHeight="1"/>
    <row r="384" s="358" customFormat="1" ht="9.9499999999999993" customHeight="1"/>
    <row r="385" s="358" customFormat="1" ht="9.9499999999999993" customHeight="1"/>
    <row r="386" s="358" customFormat="1" ht="9.9499999999999993" customHeight="1"/>
    <row r="387" s="358" customFormat="1" ht="9.9499999999999993" customHeight="1"/>
    <row r="388" s="358" customFormat="1" ht="9.9499999999999993" customHeight="1"/>
    <row r="389" s="358" customFormat="1" ht="9.9499999999999993" customHeight="1"/>
    <row r="390" s="358" customFormat="1" ht="9.9499999999999993" customHeight="1"/>
    <row r="391" s="358" customFormat="1" ht="9.9499999999999993" customHeight="1"/>
    <row r="392" s="358" customFormat="1" ht="9.9499999999999993" customHeight="1"/>
    <row r="393" s="358" customFormat="1" ht="9.9499999999999993" customHeight="1"/>
    <row r="394" s="358" customFormat="1" ht="9.9499999999999993" customHeight="1"/>
    <row r="395" s="358" customFormat="1" ht="9.9499999999999993" customHeight="1"/>
    <row r="396" s="358" customFormat="1" ht="9.9499999999999993" customHeight="1"/>
    <row r="397" s="358" customFormat="1" ht="9.9499999999999993" customHeight="1"/>
    <row r="398" s="358" customFormat="1" ht="9.9499999999999993" customHeight="1"/>
    <row r="399" s="358" customFormat="1" ht="9.9499999999999993" customHeight="1"/>
    <row r="400" s="358" customFormat="1" ht="9.9499999999999993" customHeight="1"/>
    <row r="401" s="358" customFormat="1" ht="9.9499999999999993" customHeight="1"/>
    <row r="402" s="358" customFormat="1" ht="9.9499999999999993" customHeight="1"/>
    <row r="403" s="358" customFormat="1" ht="9.9499999999999993" customHeight="1"/>
    <row r="404" s="358" customFormat="1" ht="9.9499999999999993" customHeight="1"/>
    <row r="405" s="358" customFormat="1" ht="9.9499999999999993" customHeight="1"/>
    <row r="406" s="358" customFormat="1" ht="9.9499999999999993" customHeight="1"/>
    <row r="407" s="358" customFormat="1" ht="9.9499999999999993" customHeight="1"/>
    <row r="408" s="358" customFormat="1" ht="9.9499999999999993" customHeight="1"/>
    <row r="409" s="358" customFormat="1" ht="9.9499999999999993" customHeight="1"/>
    <row r="410" s="358" customFormat="1" ht="9.9499999999999993" customHeight="1"/>
    <row r="411" s="358" customFormat="1" ht="9.9499999999999993" customHeight="1"/>
    <row r="412" s="358" customFormat="1" ht="9.9499999999999993" customHeight="1"/>
    <row r="413" s="358" customFormat="1" ht="9.9499999999999993" customHeight="1"/>
    <row r="414" s="358" customFormat="1" ht="9.9499999999999993" customHeight="1"/>
    <row r="415" s="358" customFormat="1" ht="9.9499999999999993" customHeight="1"/>
    <row r="416" s="358" customFormat="1" ht="9.9499999999999993" customHeight="1"/>
    <row r="417" s="358" customFormat="1" ht="9.9499999999999993" customHeight="1"/>
    <row r="418" s="358" customFormat="1" ht="9.9499999999999993" customHeight="1"/>
    <row r="419" s="358" customFormat="1" ht="9.9499999999999993" customHeight="1"/>
    <row r="420" s="358" customFormat="1" ht="9.9499999999999993" customHeight="1"/>
    <row r="421" s="358" customFormat="1" ht="9.9499999999999993" customHeight="1"/>
    <row r="422" s="358" customFormat="1" ht="9.9499999999999993" customHeight="1"/>
    <row r="423" s="358" customFormat="1" ht="9.9499999999999993" customHeight="1"/>
    <row r="424" s="358" customFormat="1" ht="9.9499999999999993" customHeight="1"/>
    <row r="425" s="358" customFormat="1" ht="9.9499999999999993" customHeight="1"/>
    <row r="426" s="358" customFormat="1" ht="9.9499999999999993" customHeight="1"/>
    <row r="427" s="358" customFormat="1" ht="9.9499999999999993" customHeight="1"/>
    <row r="428" s="358" customFormat="1" ht="9.9499999999999993" customHeight="1"/>
    <row r="429" s="358" customFormat="1" ht="9.9499999999999993" customHeight="1"/>
    <row r="430" s="358" customFormat="1" ht="9.9499999999999993" customHeight="1"/>
    <row r="431" s="358" customFormat="1" ht="9.9499999999999993" customHeight="1"/>
    <row r="432" s="358" customFormat="1" ht="9.9499999999999993" customHeight="1"/>
    <row r="433" s="358" customFormat="1" ht="9.9499999999999993" customHeight="1"/>
    <row r="434" s="358" customFormat="1" ht="9.9499999999999993" customHeight="1"/>
    <row r="435" s="358" customFormat="1" ht="9.9499999999999993" customHeight="1"/>
    <row r="436" s="358" customFormat="1" ht="9.9499999999999993" customHeight="1"/>
    <row r="437" s="358" customFormat="1" ht="9.9499999999999993" customHeight="1"/>
    <row r="438" s="358" customFormat="1" ht="9.9499999999999993" customHeight="1"/>
    <row r="439" s="358" customFormat="1" ht="9.9499999999999993" customHeight="1"/>
    <row r="440" s="358" customFormat="1" ht="9.9499999999999993" customHeight="1"/>
    <row r="441" s="358" customFormat="1" ht="9.9499999999999993" customHeight="1"/>
    <row r="442" s="358" customFormat="1" ht="9.9499999999999993" customHeight="1"/>
    <row r="443" s="358" customFormat="1" ht="9.9499999999999993" customHeight="1"/>
    <row r="444" s="358" customFormat="1" ht="9.9499999999999993" customHeight="1"/>
    <row r="445" s="358" customFormat="1" ht="9.9499999999999993" customHeight="1"/>
    <row r="446" s="358" customFormat="1" ht="9.9499999999999993" customHeight="1"/>
    <row r="447" s="358" customFormat="1" ht="9.9499999999999993" customHeight="1"/>
    <row r="448" s="358" customFormat="1" ht="9.9499999999999993" customHeight="1"/>
    <row r="449" s="358" customFormat="1" ht="9.9499999999999993" customHeight="1"/>
    <row r="450" s="358" customFormat="1" ht="9.9499999999999993" customHeight="1"/>
    <row r="451" s="358" customFormat="1" ht="9.9499999999999993" customHeight="1"/>
    <row r="452" s="358" customFormat="1" ht="9.9499999999999993" customHeight="1"/>
    <row r="453" s="358" customFormat="1" ht="9.9499999999999993" customHeight="1"/>
    <row r="454" s="358" customFormat="1" ht="9.9499999999999993" customHeight="1"/>
    <row r="455" s="358" customFormat="1" ht="9.9499999999999993" customHeight="1"/>
    <row r="456" s="358" customFormat="1" ht="9.9499999999999993" customHeight="1"/>
    <row r="457" s="358" customFormat="1" ht="9.9499999999999993" customHeight="1"/>
    <row r="458" s="358" customFormat="1" ht="9.9499999999999993" customHeight="1"/>
    <row r="459" s="358" customFormat="1" ht="9.9499999999999993" customHeight="1"/>
    <row r="460" s="358" customFormat="1" ht="9.9499999999999993" customHeight="1"/>
    <row r="461" s="358" customFormat="1" ht="9.9499999999999993" customHeight="1"/>
    <row r="462" s="358" customFormat="1" ht="9.9499999999999993" customHeight="1"/>
    <row r="463" s="358" customFormat="1" ht="9.9499999999999993" customHeight="1"/>
    <row r="464" s="358" customFormat="1" ht="9.9499999999999993" customHeight="1"/>
    <row r="465" s="358" customFormat="1" ht="9.9499999999999993" customHeight="1"/>
    <row r="466" s="358" customFormat="1" ht="9.9499999999999993" customHeight="1"/>
    <row r="467" s="358" customFormat="1" ht="9.9499999999999993" customHeight="1"/>
    <row r="468" s="358" customFormat="1" ht="9.9499999999999993" customHeight="1"/>
    <row r="469" s="358" customFormat="1" ht="9.9499999999999993" customHeight="1"/>
    <row r="470" s="358" customFormat="1" ht="9.9499999999999993" customHeight="1"/>
    <row r="471" s="358" customFormat="1" ht="9.9499999999999993" customHeight="1"/>
    <row r="472" s="358" customFormat="1" ht="9.9499999999999993" customHeight="1"/>
    <row r="473" s="358" customFormat="1" ht="9.9499999999999993" customHeight="1"/>
    <row r="474" s="358" customFormat="1" ht="9.9499999999999993" customHeight="1"/>
    <row r="475" s="358" customFormat="1" ht="9.9499999999999993" customHeight="1"/>
    <row r="476" s="358" customFormat="1" ht="9.9499999999999993" customHeight="1"/>
    <row r="477" s="358" customFormat="1" ht="9.9499999999999993" customHeight="1"/>
    <row r="478" s="358" customFormat="1" ht="9.9499999999999993" customHeight="1"/>
    <row r="479" s="358" customFormat="1" ht="9.9499999999999993" customHeight="1"/>
    <row r="480" s="358" customFormat="1" ht="9.9499999999999993" customHeight="1"/>
    <row r="481" s="358" customFormat="1" ht="9.9499999999999993" customHeight="1"/>
    <row r="482" s="358" customFormat="1" ht="9.9499999999999993" customHeight="1"/>
    <row r="483" s="358" customFormat="1" ht="9.9499999999999993" customHeight="1"/>
    <row r="484" s="358" customFormat="1" ht="9.9499999999999993" customHeight="1"/>
    <row r="485" s="358" customFormat="1" ht="9.9499999999999993" customHeight="1"/>
    <row r="486" s="358" customFormat="1" ht="9.9499999999999993" customHeight="1"/>
    <row r="487" s="358" customFormat="1" ht="9.9499999999999993" customHeight="1"/>
    <row r="488" s="358" customFormat="1" ht="9.9499999999999993" customHeight="1"/>
    <row r="489" s="358" customFormat="1" ht="9.9499999999999993" customHeight="1"/>
    <row r="490" s="358" customFormat="1" ht="9.9499999999999993" customHeight="1"/>
    <row r="491" s="358" customFormat="1" ht="9.9499999999999993" customHeight="1"/>
    <row r="492" s="358" customFormat="1" ht="9.9499999999999993" customHeight="1"/>
    <row r="493" s="358" customFormat="1" ht="9.9499999999999993" customHeight="1"/>
    <row r="494" s="358" customFormat="1" ht="9.9499999999999993" customHeight="1"/>
    <row r="495" s="358" customFormat="1" ht="9.9499999999999993" customHeight="1"/>
    <row r="496" s="358" customFormat="1" ht="9.9499999999999993" customHeight="1"/>
    <row r="497" s="358" customFormat="1" ht="9.9499999999999993" customHeight="1"/>
    <row r="498" s="358" customFormat="1" ht="9.9499999999999993" customHeight="1"/>
    <row r="499" s="358" customFormat="1" ht="9.9499999999999993" customHeight="1"/>
    <row r="500" s="358" customFormat="1" ht="9.9499999999999993" customHeight="1"/>
    <row r="501" s="358" customFormat="1" ht="9.9499999999999993" customHeight="1"/>
    <row r="502" s="358" customFormat="1" ht="9.9499999999999993" customHeight="1"/>
    <row r="503" s="358" customFormat="1" ht="9.9499999999999993" customHeight="1"/>
    <row r="504" s="358" customFormat="1" ht="9.9499999999999993" customHeight="1"/>
    <row r="505" s="358" customFormat="1" ht="9.9499999999999993" customHeight="1"/>
    <row r="506" s="358" customFormat="1" ht="9.9499999999999993" customHeight="1"/>
    <row r="507" s="358" customFormat="1" ht="9.9499999999999993" customHeight="1"/>
    <row r="508" s="358" customFormat="1" ht="9.9499999999999993" customHeight="1"/>
    <row r="509" s="358" customFormat="1" ht="9.9499999999999993" customHeight="1"/>
    <row r="510" s="358" customFormat="1" ht="9.9499999999999993" customHeight="1"/>
    <row r="511" s="358" customFormat="1" ht="9.9499999999999993" customHeight="1"/>
    <row r="512" s="358" customFormat="1" ht="9.9499999999999993" customHeight="1"/>
    <row r="513" s="358" customFormat="1" ht="9.9499999999999993" customHeight="1"/>
    <row r="514" s="358" customFormat="1" ht="9.9499999999999993" customHeight="1"/>
    <row r="515" s="358" customFormat="1" ht="9.9499999999999993" customHeight="1"/>
    <row r="516" s="358" customFormat="1" ht="9.9499999999999993" customHeight="1"/>
    <row r="517" s="358" customFormat="1" ht="9.9499999999999993" customHeight="1"/>
    <row r="518" s="358" customFormat="1" ht="9.9499999999999993" customHeight="1"/>
    <row r="519" s="358" customFormat="1" ht="9.9499999999999993" customHeight="1"/>
    <row r="520" s="358" customFormat="1" ht="9.9499999999999993" customHeight="1"/>
    <row r="521" s="358" customFormat="1" ht="9.9499999999999993" customHeight="1"/>
    <row r="522" s="358" customFormat="1" ht="9.9499999999999993" customHeight="1"/>
    <row r="523" s="358" customFormat="1" ht="9.9499999999999993" customHeight="1"/>
    <row r="524" s="358" customFormat="1" ht="9.9499999999999993" customHeight="1"/>
    <row r="525" s="358" customFormat="1" ht="9.9499999999999993" customHeight="1"/>
    <row r="526" s="358" customFormat="1" ht="9.9499999999999993" customHeight="1"/>
    <row r="527" s="358" customFormat="1" ht="9.9499999999999993" customHeight="1"/>
    <row r="528" s="358" customFormat="1" ht="9.9499999999999993" customHeight="1"/>
    <row r="529" s="358" customFormat="1" ht="9.9499999999999993" customHeight="1"/>
    <row r="530" s="358" customFormat="1" ht="9.9499999999999993" customHeight="1"/>
    <row r="531" s="358" customFormat="1" ht="9.9499999999999993" customHeight="1"/>
    <row r="532" s="358" customFormat="1" ht="9.9499999999999993" customHeight="1"/>
    <row r="533" s="358" customFormat="1" ht="9.9499999999999993" customHeight="1"/>
    <row r="534" s="358" customFormat="1" ht="9.9499999999999993" customHeight="1"/>
    <row r="535" s="358" customFormat="1" ht="9.9499999999999993" customHeight="1"/>
    <row r="536" s="358" customFormat="1" ht="9.9499999999999993" customHeight="1"/>
    <row r="537" s="358" customFormat="1" ht="9.9499999999999993" customHeight="1"/>
    <row r="538" s="358" customFormat="1" ht="9.9499999999999993" customHeight="1"/>
    <row r="539" s="358" customFormat="1" ht="9.9499999999999993" customHeight="1"/>
    <row r="540" s="358" customFormat="1" ht="9.9499999999999993" customHeight="1"/>
    <row r="541" s="358" customFormat="1" ht="9.9499999999999993" customHeight="1"/>
    <row r="542" s="358" customFormat="1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</sheetData>
  <mergeCells count="120">
    <mergeCell ref="C70:D70"/>
    <mergeCell ref="C71:D71"/>
    <mergeCell ref="C72:D72"/>
    <mergeCell ref="C73:D73"/>
    <mergeCell ref="C65:D65"/>
    <mergeCell ref="C66:D66"/>
    <mergeCell ref="C67:D67"/>
    <mergeCell ref="C69:D69"/>
    <mergeCell ref="C68:D68"/>
    <mergeCell ref="C54:D54"/>
    <mergeCell ref="C55:D55"/>
    <mergeCell ref="C56:D56"/>
    <mergeCell ref="C57:D57"/>
    <mergeCell ref="C64:D64"/>
    <mergeCell ref="C58:D58"/>
    <mergeCell ref="C59:D59"/>
    <mergeCell ref="C60:D60"/>
    <mergeCell ref="C61:D61"/>
    <mergeCell ref="C62:D62"/>
    <mergeCell ref="C63:D63"/>
    <mergeCell ref="C52:D52"/>
    <mergeCell ref="C53:D53"/>
    <mergeCell ref="C34:D34"/>
    <mergeCell ref="C35:D35"/>
    <mergeCell ref="C36:D36"/>
    <mergeCell ref="C37:D37"/>
    <mergeCell ref="C38:D38"/>
    <mergeCell ref="C33:D33"/>
    <mergeCell ref="C50:D50"/>
    <mergeCell ref="C45:D45"/>
    <mergeCell ref="C46:D46"/>
    <mergeCell ref="C47:D47"/>
    <mergeCell ref="C48:D48"/>
    <mergeCell ref="C49:D49"/>
    <mergeCell ref="C39:D39"/>
    <mergeCell ref="C40:D40"/>
    <mergeCell ref="C41:D41"/>
    <mergeCell ref="C42:D42"/>
    <mergeCell ref="C43:D43"/>
    <mergeCell ref="C44:D44"/>
    <mergeCell ref="C29:D29"/>
    <mergeCell ref="C20:D20"/>
    <mergeCell ref="C21:D21"/>
    <mergeCell ref="C22:D22"/>
    <mergeCell ref="C23:D23"/>
    <mergeCell ref="C24:D24"/>
    <mergeCell ref="C30:D30"/>
    <mergeCell ref="C31:D31"/>
    <mergeCell ref="C51:D51"/>
    <mergeCell ref="C19:D19"/>
    <mergeCell ref="C32:D32"/>
    <mergeCell ref="B8:D8"/>
    <mergeCell ref="E8:I8"/>
    <mergeCell ref="C15:D15"/>
    <mergeCell ref="B9:C9"/>
    <mergeCell ref="B10:D10"/>
    <mergeCell ref="E9:G9"/>
    <mergeCell ref="J10:K10"/>
    <mergeCell ref="E10:I11"/>
    <mergeCell ref="E12:G12"/>
    <mergeCell ref="J12:K12"/>
    <mergeCell ref="E13:I13"/>
    <mergeCell ref="B13:C13"/>
    <mergeCell ref="B12:D12"/>
    <mergeCell ref="C16:D16"/>
    <mergeCell ref="C17:D17"/>
    <mergeCell ref="G15:H15"/>
    <mergeCell ref="I15:J15"/>
    <mergeCell ref="C18:D18"/>
    <mergeCell ref="C25:D25"/>
    <mergeCell ref="C26:D26"/>
    <mergeCell ref="C27:D27"/>
    <mergeCell ref="C28:D28"/>
    <mergeCell ref="B2:C5"/>
    <mergeCell ref="B6:K6"/>
    <mergeCell ref="B7:C7"/>
    <mergeCell ref="J2:K2"/>
    <mergeCell ref="D2:I2"/>
    <mergeCell ref="E7:F7"/>
    <mergeCell ref="J13:K13"/>
    <mergeCell ref="J3:K3"/>
    <mergeCell ref="J4:K4"/>
    <mergeCell ref="J5:K5"/>
    <mergeCell ref="D3:I3"/>
    <mergeCell ref="D4:I4"/>
    <mergeCell ref="D5:I5"/>
    <mergeCell ref="B11:D11"/>
    <mergeCell ref="J8:K8"/>
    <mergeCell ref="J9:K9"/>
    <mergeCell ref="J7:K7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89:D89"/>
    <mergeCell ref="C90:D90"/>
    <mergeCell ref="C91:D91"/>
    <mergeCell ref="C92:D92"/>
    <mergeCell ref="C93:D93"/>
    <mergeCell ref="C84:D84"/>
    <mergeCell ref="C85:D85"/>
    <mergeCell ref="C86:D86"/>
    <mergeCell ref="C87:D87"/>
    <mergeCell ref="C88:D88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</mergeCells>
  <pageMargins left="0.19685039370078741" right="0.11811023622047245" top="0.59055118110236227" bottom="0.39370078740157483" header="0.19685039370078741" footer="0.19685039370078741"/>
  <pageSetup paperSize="9" orientation="landscape" useFirstPageNumber="1" horizontalDpi="4294967294" verticalDpi="300" r:id="rId1"/>
  <headerFooter alignWithMargins="0">
    <oddHeader>&amp;L&amp;"Tahoma,Kurzíva"&amp;G&amp;C&amp;"Arial,Tučné"&amp;9ROZPOČET&amp;"Arial CE,Obyčejné"&amp;10
&amp;"Arial,Kurzíva"&amp;7Budget&amp;R&amp;"Arial,Obyčejné"&amp;9&amp;P/&amp;N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"/>
  <sheetViews>
    <sheetView showGridLines="0" topLeftCell="A65" workbookViewId="0">
      <selection activeCell="I84" sqref="I8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5" t="s">
        <v>91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8"/>
      <c r="AT3" s="15" t="s">
        <v>85</v>
      </c>
    </row>
    <row r="4" spans="1:46" s="1" customFormat="1" ht="24.95" customHeight="1">
      <c r="B4" s="18"/>
      <c r="D4" s="103" t="s">
        <v>95</v>
      </c>
      <c r="I4" s="99"/>
      <c r="L4" s="18"/>
      <c r="M4" s="104" t="s">
        <v>10</v>
      </c>
      <c r="AT4" s="15" t="s">
        <v>4</v>
      </c>
    </row>
    <row r="5" spans="1:46" s="1" customFormat="1" ht="6.95" customHeight="1">
      <c r="B5" s="18"/>
      <c r="I5" s="99"/>
      <c r="L5" s="18"/>
    </row>
    <row r="6" spans="1:46" s="1" customFormat="1" ht="12" customHeight="1">
      <c r="B6" s="18"/>
      <c r="D6" s="105" t="s">
        <v>16</v>
      </c>
      <c r="I6" s="99"/>
      <c r="L6" s="18"/>
    </row>
    <row r="7" spans="1:46" s="1" customFormat="1" ht="16.5" customHeight="1">
      <c r="B7" s="18"/>
      <c r="E7" s="481" t="str">
        <f>'Rekapitulace stavby'!K6</f>
        <v>Komplexní klimatizace v objektu MZe Žďár n.S.</v>
      </c>
      <c r="F7" s="482"/>
      <c r="G7" s="482"/>
      <c r="H7" s="482"/>
      <c r="I7" s="99"/>
      <c r="L7" s="18"/>
    </row>
    <row r="8" spans="1:46" s="2" customFormat="1" ht="12" customHeight="1">
      <c r="A8" s="32"/>
      <c r="B8" s="37"/>
      <c r="C8" s="32"/>
      <c r="D8" s="105" t="s">
        <v>96</v>
      </c>
      <c r="E8" s="32"/>
      <c r="F8" s="32"/>
      <c r="G8" s="32"/>
      <c r="H8" s="32"/>
      <c r="I8" s="106"/>
      <c r="J8" s="32"/>
      <c r="K8" s="32"/>
      <c r="L8" s="10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483" t="s">
        <v>130</v>
      </c>
      <c r="F9" s="484"/>
      <c r="G9" s="484"/>
      <c r="H9" s="484"/>
      <c r="I9" s="106"/>
      <c r="J9" s="32"/>
      <c r="K9" s="32"/>
      <c r="L9" s="10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06"/>
      <c r="J10" s="32"/>
      <c r="K10" s="32"/>
      <c r="L10" s="10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5" t="s">
        <v>18</v>
      </c>
      <c r="E11" s="32"/>
      <c r="F11" s="108" t="s">
        <v>19</v>
      </c>
      <c r="G11" s="32"/>
      <c r="H11" s="32"/>
      <c r="I11" s="109" t="s">
        <v>20</v>
      </c>
      <c r="J11" s="108" t="s">
        <v>19</v>
      </c>
      <c r="K11" s="32"/>
      <c r="L11" s="10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5" t="s">
        <v>21</v>
      </c>
      <c r="E12" s="32"/>
      <c r="F12" s="108" t="s">
        <v>22</v>
      </c>
      <c r="G12" s="32"/>
      <c r="H12" s="32"/>
      <c r="I12" s="109" t="s">
        <v>23</v>
      </c>
      <c r="J12" s="110" t="str">
        <f>'Rekapitulace stavby'!AN8</f>
        <v>21. 2. 2020</v>
      </c>
      <c r="K12" s="32"/>
      <c r="L12" s="10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06"/>
      <c r="J13" s="32"/>
      <c r="K13" s="32"/>
      <c r="L13" s="10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5" t="s">
        <v>25</v>
      </c>
      <c r="E14" s="32"/>
      <c r="F14" s="32"/>
      <c r="G14" s="32"/>
      <c r="H14" s="32"/>
      <c r="I14" s="109" t="s">
        <v>26</v>
      </c>
      <c r="J14" s="108" t="s">
        <v>27</v>
      </c>
      <c r="K14" s="32"/>
      <c r="L14" s="10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">
        <v>28</v>
      </c>
      <c r="F15" s="32"/>
      <c r="G15" s="32"/>
      <c r="H15" s="32"/>
      <c r="I15" s="109" t="s">
        <v>29</v>
      </c>
      <c r="J15" s="108" t="s">
        <v>30</v>
      </c>
      <c r="K15" s="32"/>
      <c r="L15" s="10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06"/>
      <c r="J16" s="32"/>
      <c r="K16" s="32"/>
      <c r="L16" s="10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5" t="s">
        <v>31</v>
      </c>
      <c r="E17" s="32"/>
      <c r="F17" s="32"/>
      <c r="G17" s="32"/>
      <c r="H17" s="32"/>
      <c r="I17" s="109" t="s">
        <v>26</v>
      </c>
      <c r="J17" s="28" t="str">
        <f>'Rekapitulace stavby'!AN13</f>
        <v>Vyplň údaj</v>
      </c>
      <c r="K17" s="32"/>
      <c r="L17" s="10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485" t="str">
        <f>'Rekapitulace stavby'!E14</f>
        <v>Vyplň údaj</v>
      </c>
      <c r="F18" s="486"/>
      <c r="G18" s="486"/>
      <c r="H18" s="486"/>
      <c r="I18" s="109" t="s">
        <v>29</v>
      </c>
      <c r="J18" s="28" t="str">
        <f>'Rekapitulace stavby'!AN14</f>
        <v>Vyplň údaj</v>
      </c>
      <c r="K18" s="32"/>
      <c r="L18" s="10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06"/>
      <c r="J19" s="32"/>
      <c r="K19" s="32"/>
      <c r="L19" s="10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5" t="s">
        <v>33</v>
      </c>
      <c r="E20" s="32"/>
      <c r="F20" s="32"/>
      <c r="G20" s="32"/>
      <c r="H20" s="32"/>
      <c r="I20" s="109" t="s">
        <v>26</v>
      </c>
      <c r="J20" s="108" t="s">
        <v>34</v>
      </c>
      <c r="K20" s="32"/>
      <c r="L20" s="10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">
        <v>35</v>
      </c>
      <c r="F21" s="32"/>
      <c r="G21" s="32"/>
      <c r="H21" s="32"/>
      <c r="I21" s="109" t="s">
        <v>29</v>
      </c>
      <c r="J21" s="108" t="s">
        <v>36</v>
      </c>
      <c r="K21" s="32"/>
      <c r="L21" s="10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06"/>
      <c r="J22" s="32"/>
      <c r="K22" s="32"/>
      <c r="L22" s="10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5" t="s">
        <v>38</v>
      </c>
      <c r="E23" s="32"/>
      <c r="F23" s="32"/>
      <c r="G23" s="32"/>
      <c r="H23" s="32"/>
      <c r="I23" s="109" t="s">
        <v>26</v>
      </c>
      <c r="J23" s="108" t="s">
        <v>34</v>
      </c>
      <c r="K23" s="32"/>
      <c r="L23" s="10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">
        <v>35</v>
      </c>
      <c r="F24" s="32"/>
      <c r="G24" s="32"/>
      <c r="H24" s="32"/>
      <c r="I24" s="109" t="s">
        <v>29</v>
      </c>
      <c r="J24" s="108" t="s">
        <v>36</v>
      </c>
      <c r="K24" s="32"/>
      <c r="L24" s="10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06"/>
      <c r="J25" s="32"/>
      <c r="K25" s="32"/>
      <c r="L25" s="10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5" t="s">
        <v>39</v>
      </c>
      <c r="E26" s="32"/>
      <c r="F26" s="32"/>
      <c r="G26" s="32"/>
      <c r="H26" s="32"/>
      <c r="I26" s="106"/>
      <c r="J26" s="32"/>
      <c r="K26" s="32"/>
      <c r="L26" s="10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1"/>
      <c r="B27" s="112"/>
      <c r="C27" s="111"/>
      <c r="D27" s="111"/>
      <c r="E27" s="487" t="s">
        <v>19</v>
      </c>
      <c r="F27" s="487"/>
      <c r="G27" s="487"/>
      <c r="H27" s="487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06"/>
      <c r="J28" s="32"/>
      <c r="K28" s="32"/>
      <c r="L28" s="10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5"/>
      <c r="E29" s="115"/>
      <c r="F29" s="115"/>
      <c r="G29" s="115"/>
      <c r="H29" s="115"/>
      <c r="I29" s="116"/>
      <c r="J29" s="115"/>
      <c r="K29" s="115"/>
      <c r="L29" s="10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41</v>
      </c>
      <c r="E30" s="32"/>
      <c r="F30" s="32"/>
      <c r="G30" s="32"/>
      <c r="H30" s="32"/>
      <c r="I30" s="106"/>
      <c r="J30" s="118">
        <f>ROUND(J81, 2)</f>
        <v>0</v>
      </c>
      <c r="K30" s="32"/>
      <c r="L30" s="10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5"/>
      <c r="E31" s="115"/>
      <c r="F31" s="115"/>
      <c r="G31" s="115"/>
      <c r="H31" s="115"/>
      <c r="I31" s="116"/>
      <c r="J31" s="115"/>
      <c r="K31" s="115"/>
      <c r="L31" s="10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43</v>
      </c>
      <c r="G32" s="32"/>
      <c r="H32" s="32"/>
      <c r="I32" s="120" t="s">
        <v>42</v>
      </c>
      <c r="J32" s="119" t="s">
        <v>44</v>
      </c>
      <c r="K32" s="32"/>
      <c r="L32" s="10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1" t="s">
        <v>45</v>
      </c>
      <c r="E33" s="105" t="s">
        <v>46</v>
      </c>
      <c r="F33" s="122">
        <f>ROUND((SUM(BE81:BE84)),  2)</f>
        <v>0</v>
      </c>
      <c r="G33" s="32"/>
      <c r="H33" s="32"/>
      <c r="I33" s="123">
        <v>0.21</v>
      </c>
      <c r="J33" s="122">
        <f>ROUND(((SUM(BE81:BE84))*I33),  2)</f>
        <v>0</v>
      </c>
      <c r="K33" s="32"/>
      <c r="L33" s="10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5" t="s">
        <v>47</v>
      </c>
      <c r="F34" s="122">
        <f>ROUND((SUM(BF81:BF84)),  2)</f>
        <v>0</v>
      </c>
      <c r="G34" s="32"/>
      <c r="H34" s="32"/>
      <c r="I34" s="123">
        <v>0.15</v>
      </c>
      <c r="J34" s="122">
        <f>ROUND(((SUM(BF81:BF84))*I34),  2)</f>
        <v>0</v>
      </c>
      <c r="K34" s="32"/>
      <c r="L34" s="10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5" t="s">
        <v>48</v>
      </c>
      <c r="F35" s="122">
        <f>ROUND((SUM(BG81:BG84)),  2)</f>
        <v>0</v>
      </c>
      <c r="G35" s="32"/>
      <c r="H35" s="32"/>
      <c r="I35" s="123">
        <v>0.21</v>
      </c>
      <c r="J35" s="122">
        <f>0</f>
        <v>0</v>
      </c>
      <c r="K35" s="32"/>
      <c r="L35" s="10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5" t="s">
        <v>49</v>
      </c>
      <c r="F36" s="122">
        <f>ROUND((SUM(BH81:BH84)),  2)</f>
        <v>0</v>
      </c>
      <c r="G36" s="32"/>
      <c r="H36" s="32"/>
      <c r="I36" s="123">
        <v>0.15</v>
      </c>
      <c r="J36" s="122">
        <f>0</f>
        <v>0</v>
      </c>
      <c r="K36" s="32"/>
      <c r="L36" s="10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5" t="s">
        <v>50</v>
      </c>
      <c r="F37" s="122">
        <f>ROUND((SUM(BI81:BI84)),  2)</f>
        <v>0</v>
      </c>
      <c r="G37" s="32"/>
      <c r="H37" s="32"/>
      <c r="I37" s="123">
        <v>0</v>
      </c>
      <c r="J37" s="122">
        <f>0</f>
        <v>0</v>
      </c>
      <c r="K37" s="32"/>
      <c r="L37" s="10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06"/>
      <c r="J38" s="32"/>
      <c r="K38" s="32"/>
      <c r="L38" s="10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4"/>
      <c r="D39" s="125" t="s">
        <v>51</v>
      </c>
      <c r="E39" s="126"/>
      <c r="F39" s="126"/>
      <c r="G39" s="127" t="s">
        <v>52</v>
      </c>
      <c r="H39" s="128" t="s">
        <v>53</v>
      </c>
      <c r="I39" s="129"/>
      <c r="J39" s="130">
        <f>SUM(J30:J37)</f>
        <v>0</v>
      </c>
      <c r="K39" s="131"/>
      <c r="L39" s="10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106"/>
      <c r="J45" s="34"/>
      <c r="K45" s="34"/>
      <c r="L45" s="10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10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106"/>
      <c r="J47" s="34"/>
      <c r="K47" s="34"/>
      <c r="L47" s="10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479" t="str">
        <f>E7</f>
        <v>Komplexní klimatizace v objektu MZe Žďár n.S.</v>
      </c>
      <c r="F48" s="480"/>
      <c r="G48" s="480"/>
      <c r="H48" s="480"/>
      <c r="I48" s="106"/>
      <c r="J48" s="34"/>
      <c r="K48" s="34"/>
      <c r="L48" s="10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96</v>
      </c>
      <c r="D49" s="34"/>
      <c r="E49" s="34"/>
      <c r="F49" s="34"/>
      <c r="G49" s="34"/>
      <c r="H49" s="34"/>
      <c r="I49" s="106"/>
      <c r="J49" s="34"/>
      <c r="K49" s="34"/>
      <c r="L49" s="10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458" t="str">
        <f>E9</f>
        <v>D.1.4.2 - Zařízení silnoproudé elektrotechniky</v>
      </c>
      <c r="F50" s="478"/>
      <c r="G50" s="478"/>
      <c r="H50" s="478"/>
      <c r="I50" s="106"/>
      <c r="J50" s="34"/>
      <c r="K50" s="34"/>
      <c r="L50" s="10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10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4"/>
      <c r="E52" s="34"/>
      <c r="F52" s="25" t="str">
        <f>F12</f>
        <v>Žďár nad Sázavou</v>
      </c>
      <c r="G52" s="34"/>
      <c r="H52" s="34"/>
      <c r="I52" s="109" t="s">
        <v>23</v>
      </c>
      <c r="J52" s="57" t="str">
        <f>IF(J12="","",J12)</f>
        <v>21. 2. 2020</v>
      </c>
      <c r="K52" s="34"/>
      <c r="L52" s="10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10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>
      <c r="A54" s="32"/>
      <c r="B54" s="33"/>
      <c r="C54" s="27" t="s">
        <v>25</v>
      </c>
      <c r="D54" s="34"/>
      <c r="E54" s="34"/>
      <c r="F54" s="25" t="str">
        <f>E15</f>
        <v>Česká republika - Ministerstvo zemědělství</v>
      </c>
      <c r="G54" s="34"/>
      <c r="H54" s="34"/>
      <c r="I54" s="109" t="s">
        <v>33</v>
      </c>
      <c r="J54" s="30" t="str">
        <f>E21</f>
        <v>NCI.CZ ENGINEERING s.r.o.</v>
      </c>
      <c r="K54" s="34"/>
      <c r="L54" s="10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>
      <c r="A55" s="32"/>
      <c r="B55" s="33"/>
      <c r="C55" s="27" t="s">
        <v>31</v>
      </c>
      <c r="D55" s="34"/>
      <c r="E55" s="34"/>
      <c r="F55" s="25" t="str">
        <f>IF(E18="","",E18)</f>
        <v>Vyplň údaj</v>
      </c>
      <c r="G55" s="34"/>
      <c r="H55" s="34"/>
      <c r="I55" s="109" t="s">
        <v>38</v>
      </c>
      <c r="J55" s="30" t="str">
        <f>E24</f>
        <v>NCI.CZ ENGINEERING s.r.o.</v>
      </c>
      <c r="K55" s="34"/>
      <c r="L55" s="10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10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38" t="s">
        <v>99</v>
      </c>
      <c r="D57" s="139"/>
      <c r="E57" s="139"/>
      <c r="F57" s="139"/>
      <c r="G57" s="139"/>
      <c r="H57" s="139"/>
      <c r="I57" s="140"/>
      <c r="J57" s="141" t="s">
        <v>100</v>
      </c>
      <c r="K57" s="139"/>
      <c r="L57" s="10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10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42" t="s">
        <v>73</v>
      </c>
      <c r="D59" s="34"/>
      <c r="E59" s="34"/>
      <c r="F59" s="34"/>
      <c r="G59" s="34"/>
      <c r="H59" s="34"/>
      <c r="I59" s="106"/>
      <c r="J59" s="75">
        <f>J81</f>
        <v>0</v>
      </c>
      <c r="K59" s="34"/>
      <c r="L59" s="10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5" customHeight="1">
      <c r="B60" s="143"/>
      <c r="C60" s="144"/>
      <c r="D60" s="145" t="s">
        <v>102</v>
      </c>
      <c r="E60" s="146"/>
      <c r="F60" s="146"/>
      <c r="G60" s="146"/>
      <c r="H60" s="146"/>
      <c r="I60" s="147"/>
      <c r="J60" s="148">
        <f>J82</f>
        <v>0</v>
      </c>
      <c r="K60" s="144"/>
      <c r="L60" s="149"/>
    </row>
    <row r="61" spans="1:47" s="10" customFormat="1" ht="19.899999999999999" customHeight="1">
      <c r="B61" s="150"/>
      <c r="C61" s="151"/>
      <c r="D61" s="152" t="s">
        <v>103</v>
      </c>
      <c r="E61" s="153"/>
      <c r="F61" s="153"/>
      <c r="G61" s="153"/>
      <c r="H61" s="153"/>
      <c r="I61" s="154"/>
      <c r="J61" s="155">
        <f>J83</f>
        <v>0</v>
      </c>
      <c r="K61" s="151"/>
      <c r="L61" s="156"/>
    </row>
    <row r="62" spans="1:47" s="2" customFormat="1" ht="21.75" customHeight="1">
      <c r="A62" s="32"/>
      <c r="B62" s="33"/>
      <c r="C62" s="34"/>
      <c r="D62" s="34"/>
      <c r="E62" s="34"/>
      <c r="F62" s="34"/>
      <c r="G62" s="34"/>
      <c r="H62" s="34"/>
      <c r="I62" s="106"/>
      <c r="J62" s="34"/>
      <c r="K62" s="34"/>
      <c r="L62" s="10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>
      <c r="A63" s="32"/>
      <c r="B63" s="45"/>
      <c r="C63" s="46"/>
      <c r="D63" s="46"/>
      <c r="E63" s="46"/>
      <c r="F63" s="46"/>
      <c r="G63" s="46"/>
      <c r="H63" s="46"/>
      <c r="I63" s="134"/>
      <c r="J63" s="46"/>
      <c r="K63" s="46"/>
      <c r="L63" s="10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>
      <c r="A67" s="32"/>
      <c r="B67" s="47"/>
      <c r="C67" s="48"/>
      <c r="D67" s="48"/>
      <c r="E67" s="48"/>
      <c r="F67" s="48"/>
      <c r="G67" s="48"/>
      <c r="H67" s="48"/>
      <c r="I67" s="137"/>
      <c r="J67" s="48"/>
      <c r="K67" s="48"/>
      <c r="L67" s="10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106"/>
      <c r="J68" s="34"/>
      <c r="K68" s="34"/>
      <c r="L68" s="10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106"/>
      <c r="J69" s="34"/>
      <c r="K69" s="34"/>
      <c r="L69" s="10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106"/>
      <c r="J70" s="34"/>
      <c r="K70" s="34"/>
      <c r="L70" s="10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4"/>
      <c r="D71" s="34"/>
      <c r="E71" s="479" t="str">
        <f>E7</f>
        <v>Komplexní klimatizace v objektu MZe Žďár n.S.</v>
      </c>
      <c r="F71" s="480"/>
      <c r="G71" s="480"/>
      <c r="H71" s="480"/>
      <c r="I71" s="106"/>
      <c r="J71" s="34"/>
      <c r="K71" s="34"/>
      <c r="L71" s="10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96</v>
      </c>
      <c r="D72" s="34"/>
      <c r="E72" s="34"/>
      <c r="F72" s="34"/>
      <c r="G72" s="34"/>
      <c r="H72" s="34"/>
      <c r="I72" s="106"/>
      <c r="J72" s="34"/>
      <c r="K72" s="34"/>
      <c r="L72" s="10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4"/>
      <c r="D73" s="34"/>
      <c r="E73" s="458" t="str">
        <f>E9</f>
        <v>D.1.4.2 - Zařízení silnoproudé elektrotechniky</v>
      </c>
      <c r="F73" s="478"/>
      <c r="G73" s="478"/>
      <c r="H73" s="478"/>
      <c r="I73" s="106"/>
      <c r="J73" s="34"/>
      <c r="K73" s="34"/>
      <c r="L73" s="10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10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Žďár nad Sázavou</v>
      </c>
      <c r="G75" s="34"/>
      <c r="H75" s="34"/>
      <c r="I75" s="109" t="s">
        <v>23</v>
      </c>
      <c r="J75" s="57" t="str">
        <f>IF(J12="","",J12)</f>
        <v>21. 2. 2020</v>
      </c>
      <c r="K75" s="34"/>
      <c r="L75" s="10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10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15" customHeight="1">
      <c r="A77" s="32"/>
      <c r="B77" s="33"/>
      <c r="C77" s="27" t="s">
        <v>25</v>
      </c>
      <c r="D77" s="34"/>
      <c r="E77" s="34"/>
      <c r="F77" s="25" t="str">
        <f>E15</f>
        <v>Česká republika - Ministerstvo zemědělství</v>
      </c>
      <c r="G77" s="34"/>
      <c r="H77" s="34"/>
      <c r="I77" s="109" t="s">
        <v>33</v>
      </c>
      <c r="J77" s="30" t="str">
        <f>E21</f>
        <v>NCI.CZ ENGINEERING s.r.o.</v>
      </c>
      <c r="K77" s="34"/>
      <c r="L77" s="10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>
      <c r="A78" s="32"/>
      <c r="B78" s="33"/>
      <c r="C78" s="27" t="s">
        <v>31</v>
      </c>
      <c r="D78" s="34"/>
      <c r="E78" s="34"/>
      <c r="F78" s="25" t="str">
        <f>IF(E18="","",E18)</f>
        <v>Vyplň údaj</v>
      </c>
      <c r="G78" s="34"/>
      <c r="H78" s="34"/>
      <c r="I78" s="109" t="s">
        <v>38</v>
      </c>
      <c r="J78" s="30" t="str">
        <f>E24</f>
        <v>NCI.CZ ENGINEERING s.r.o.</v>
      </c>
      <c r="K78" s="34"/>
      <c r="L78" s="10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10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57"/>
      <c r="B80" s="158"/>
      <c r="C80" s="159" t="s">
        <v>105</v>
      </c>
      <c r="D80" s="160" t="s">
        <v>60</v>
      </c>
      <c r="E80" s="160" t="s">
        <v>56</v>
      </c>
      <c r="F80" s="160" t="s">
        <v>57</v>
      </c>
      <c r="G80" s="160" t="s">
        <v>106</v>
      </c>
      <c r="H80" s="160" t="s">
        <v>107</v>
      </c>
      <c r="I80" s="161" t="s">
        <v>108</v>
      </c>
      <c r="J80" s="160" t="s">
        <v>100</v>
      </c>
      <c r="K80" s="162" t="s">
        <v>109</v>
      </c>
      <c r="L80" s="163"/>
      <c r="M80" s="66" t="s">
        <v>19</v>
      </c>
      <c r="N80" s="67" t="s">
        <v>45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</row>
    <row r="81" spans="1:65" s="2" customFormat="1" ht="22.9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106"/>
      <c r="J81" s="164">
        <f>BK81</f>
        <v>0</v>
      </c>
      <c r="K81" s="34"/>
      <c r="L81" s="37"/>
      <c r="M81" s="69"/>
      <c r="N81" s="165"/>
      <c r="O81" s="70"/>
      <c r="P81" s="166">
        <f>P82</f>
        <v>0</v>
      </c>
      <c r="Q81" s="70"/>
      <c r="R81" s="166">
        <f>R82</f>
        <v>0</v>
      </c>
      <c r="S81" s="70"/>
      <c r="T81" s="167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74</v>
      </c>
      <c r="AU81" s="15" t="s">
        <v>101</v>
      </c>
      <c r="BK81" s="168">
        <f>BK82</f>
        <v>0</v>
      </c>
    </row>
    <row r="82" spans="1:65" s="12" customFormat="1" ht="25.9" customHeight="1">
      <c r="B82" s="169"/>
      <c r="C82" s="170"/>
      <c r="D82" s="171" t="s">
        <v>74</v>
      </c>
      <c r="E82" s="172" t="s">
        <v>117</v>
      </c>
      <c r="F82" s="172" t="s">
        <v>118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</f>
        <v>0</v>
      </c>
      <c r="Q82" s="177"/>
      <c r="R82" s="178">
        <f>R83</f>
        <v>0</v>
      </c>
      <c r="S82" s="177"/>
      <c r="T82" s="179">
        <f>T83</f>
        <v>0</v>
      </c>
      <c r="AR82" s="180" t="s">
        <v>119</v>
      </c>
      <c r="AT82" s="181" t="s">
        <v>74</v>
      </c>
      <c r="AU82" s="181" t="s">
        <v>75</v>
      </c>
      <c r="AY82" s="180" t="s">
        <v>120</v>
      </c>
      <c r="BK82" s="182">
        <f>BK83</f>
        <v>0</v>
      </c>
    </row>
    <row r="83" spans="1:65" s="12" customFormat="1" ht="22.9" customHeight="1">
      <c r="B83" s="169"/>
      <c r="C83" s="170"/>
      <c r="D83" s="171" t="s">
        <v>74</v>
      </c>
      <c r="E83" s="183" t="s">
        <v>121</v>
      </c>
      <c r="F83" s="183" t="s">
        <v>122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P84</f>
        <v>0</v>
      </c>
      <c r="Q83" s="177"/>
      <c r="R83" s="178">
        <f>R84</f>
        <v>0</v>
      </c>
      <c r="S83" s="177"/>
      <c r="T83" s="179">
        <f>T84</f>
        <v>0</v>
      </c>
      <c r="AR83" s="180" t="s">
        <v>119</v>
      </c>
      <c r="AT83" s="181" t="s">
        <v>74</v>
      </c>
      <c r="AU83" s="181" t="s">
        <v>83</v>
      </c>
      <c r="AY83" s="180" t="s">
        <v>120</v>
      </c>
      <c r="BK83" s="182">
        <f>BK84</f>
        <v>0</v>
      </c>
    </row>
    <row r="84" spans="1:65" s="2" customFormat="1" ht="16.5" customHeight="1">
      <c r="A84" s="32"/>
      <c r="B84" s="33"/>
      <c r="C84" s="185" t="s">
        <v>83</v>
      </c>
      <c r="D84" s="185" t="s">
        <v>123</v>
      </c>
      <c r="E84" s="186" t="s">
        <v>89</v>
      </c>
      <c r="F84" s="187" t="s">
        <v>90</v>
      </c>
      <c r="G84" s="188" t="s">
        <v>125</v>
      </c>
      <c r="H84" s="189">
        <v>1</v>
      </c>
      <c r="I84" s="190">
        <f>Rekapitulace_silnoproud!C24</f>
        <v>0</v>
      </c>
      <c r="J84" s="191">
        <f>ROUND(I84*H84,2)</f>
        <v>0</v>
      </c>
      <c r="K84" s="187" t="s">
        <v>19</v>
      </c>
      <c r="L84" s="37"/>
      <c r="M84" s="192" t="s">
        <v>19</v>
      </c>
      <c r="N84" s="193" t="s">
        <v>46</v>
      </c>
      <c r="O84" s="194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7" t="s">
        <v>126</v>
      </c>
      <c r="AT84" s="197" t="s">
        <v>123</v>
      </c>
      <c r="AU84" s="197" t="s">
        <v>85</v>
      </c>
      <c r="AY84" s="15" t="s">
        <v>120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15" t="s">
        <v>83</v>
      </c>
      <c r="BK84" s="198">
        <f>ROUND(I84*H84,2)</f>
        <v>0</v>
      </c>
      <c r="BL84" s="15" t="s">
        <v>126</v>
      </c>
      <c r="BM84" s="197" t="s">
        <v>131</v>
      </c>
    </row>
    <row r="85" spans="1:65" s="2" customFormat="1" ht="6.95" customHeight="1">
      <c r="A85" s="32"/>
      <c r="B85" s="45"/>
      <c r="C85" s="46"/>
      <c r="D85" s="46"/>
      <c r="E85" s="46"/>
      <c r="F85" s="46"/>
      <c r="G85" s="46"/>
      <c r="H85" s="46"/>
      <c r="I85" s="134"/>
      <c r="J85" s="46"/>
      <c r="K85" s="46"/>
      <c r="L85" s="37"/>
      <c r="M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</sheetData>
  <sheetProtection algorithmName="SHA-512" hashValue="VFu/AtV/Dfn+1ItUdBT4hdt7rOtiro1pr27iticZc1H95hzVU0lC/1ge0DYFOFEblCwvEy3PONeVpSPrCiotiA==" saltValue="y+zg6N4W1b79EfDjzC5Gi1tiEyaRH8nHcm8VE2Xag0rh9kb7iMwsI/OmUZsnGRK0UWEa9R2gd3ozeo2IIC1bTQ==" spinCount="100000" sheet="1" objects="1" scenarios="1" formatColumns="0" formatRows="0" autoFilter="0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I16" sqref="I16"/>
    </sheetView>
  </sheetViews>
  <sheetFormatPr defaultRowHeight="15"/>
  <cols>
    <col min="1" max="1" width="45.83203125" style="415" bestFit="1" customWidth="1"/>
    <col min="2" max="2" width="17.5" style="414" bestFit="1" customWidth="1"/>
    <col min="3" max="3" width="13.1640625" style="414" bestFit="1" customWidth="1"/>
    <col min="4" max="5" width="9.33203125" style="413"/>
    <col min="6" max="6" width="0" style="413" hidden="1" customWidth="1"/>
    <col min="7" max="16384" width="9.33203125" style="413"/>
  </cols>
  <sheetData>
    <row r="1" spans="1:4">
      <c r="A1" s="429" t="s">
        <v>200</v>
      </c>
      <c r="B1" s="428" t="s">
        <v>866</v>
      </c>
      <c r="C1" s="428" t="s">
        <v>865</v>
      </c>
      <c r="D1" s="416"/>
    </row>
    <row r="2" spans="1:4">
      <c r="A2" s="422" t="s">
        <v>864</v>
      </c>
      <c r="B2" s="425"/>
      <c r="C2" s="425"/>
      <c r="D2" s="416"/>
    </row>
    <row r="3" spans="1:4">
      <c r="A3" s="418" t="s">
        <v>388</v>
      </c>
      <c r="B3" s="417">
        <f>(Rozpočet_silnoproud!F60)</f>
        <v>0</v>
      </c>
      <c r="C3" s="417"/>
      <c r="D3" s="416"/>
    </row>
    <row r="4" spans="1:4">
      <c r="A4" s="418" t="s">
        <v>863</v>
      </c>
      <c r="B4" s="433">
        <f>B3 * [1]Parametry!B16 / 100</f>
        <v>0</v>
      </c>
      <c r="C4" s="433">
        <f>B3 * [1]Parametry!B17 / 100</f>
        <v>0</v>
      </c>
      <c r="D4" s="416"/>
    </row>
    <row r="5" spans="1:4">
      <c r="A5" s="418" t="s">
        <v>862</v>
      </c>
      <c r="B5" s="417"/>
      <c r="C5" s="417">
        <f>0 + 0</f>
        <v>0</v>
      </c>
      <c r="D5" s="416"/>
    </row>
    <row r="6" spans="1:4">
      <c r="A6" s="418" t="s">
        <v>861</v>
      </c>
      <c r="B6" s="417"/>
      <c r="C6" s="417">
        <f>(Rozpočet_silnoproud!I60) + 0 + 0</f>
        <v>0</v>
      </c>
      <c r="D6" s="416"/>
    </row>
    <row r="7" spans="1:4">
      <c r="A7" s="427" t="s">
        <v>860</v>
      </c>
      <c r="B7" s="426">
        <f>B3 + B4</f>
        <v>0</v>
      </c>
      <c r="C7" s="426">
        <f>C3 + C4 + C5 + C6</f>
        <v>0</v>
      </c>
      <c r="D7" s="416"/>
    </row>
    <row r="8" spans="1:4">
      <c r="A8" s="418" t="s">
        <v>859</v>
      </c>
      <c r="B8" s="417"/>
      <c r="C8" s="433">
        <f>(C5 + C6) * [1]Parametry!B18 / 100</f>
        <v>0</v>
      </c>
      <c r="D8" s="416"/>
    </row>
    <row r="9" spans="1:4">
      <c r="A9" s="418" t="s">
        <v>545</v>
      </c>
      <c r="B9" s="417"/>
      <c r="C9" s="417">
        <f>0 + 0</f>
        <v>0</v>
      </c>
      <c r="D9" s="416"/>
    </row>
    <row r="10" spans="1:4">
      <c r="A10" s="418" t="s">
        <v>858</v>
      </c>
      <c r="B10" s="417"/>
      <c r="C10" s="417">
        <f>0 + 0</f>
        <v>0</v>
      </c>
      <c r="D10" s="416"/>
    </row>
    <row r="11" spans="1:4">
      <c r="A11" s="418" t="s">
        <v>857</v>
      </c>
      <c r="B11" s="417"/>
      <c r="C11" s="433">
        <f>(C9 + C10) * [1]Parametry!B19 / 100</f>
        <v>0</v>
      </c>
      <c r="D11" s="416"/>
    </row>
    <row r="12" spans="1:4">
      <c r="A12" s="427" t="s">
        <v>856</v>
      </c>
      <c r="B12" s="426">
        <f>B7</f>
        <v>0</v>
      </c>
      <c r="C12" s="426">
        <f>C7 + C8 + C9 + C10 + C11</f>
        <v>0</v>
      </c>
      <c r="D12" s="416"/>
    </row>
    <row r="13" spans="1:4">
      <c r="A13" s="418" t="s">
        <v>855</v>
      </c>
      <c r="B13" s="417"/>
      <c r="C13" s="433">
        <f>(C11 + C12) * [1]Parametry!B21 / 100</f>
        <v>0</v>
      </c>
      <c r="D13" s="416"/>
    </row>
    <row r="14" spans="1:4">
      <c r="A14" s="418" t="s">
        <v>854</v>
      </c>
      <c r="B14" s="417"/>
      <c r="C14" s="433">
        <f>(C12 + C13) * [1]Parametry!B22 / 100</f>
        <v>0</v>
      </c>
      <c r="D14" s="416"/>
    </row>
    <row r="15" spans="1:4">
      <c r="A15" s="418" t="s">
        <v>853</v>
      </c>
      <c r="B15" s="417"/>
      <c r="C15" s="433">
        <f>(C13 + C14) * [1]Parametry!B23 / 100</f>
        <v>0</v>
      </c>
      <c r="D15" s="416"/>
    </row>
    <row r="16" spans="1:4">
      <c r="A16" s="422" t="s">
        <v>852</v>
      </c>
      <c r="B16" s="425"/>
      <c r="C16" s="425">
        <f>B12 + C12 + C13 + C14 + C15</f>
        <v>0</v>
      </c>
      <c r="D16" s="416"/>
    </row>
    <row r="17" spans="1:4">
      <c r="A17" s="418" t="s">
        <v>19</v>
      </c>
      <c r="B17" s="417"/>
      <c r="C17" s="417"/>
      <c r="D17" s="416"/>
    </row>
    <row r="18" spans="1:4">
      <c r="A18" s="422" t="s">
        <v>851</v>
      </c>
      <c r="B18" s="425"/>
      <c r="C18" s="425"/>
      <c r="D18" s="416"/>
    </row>
    <row r="19" spans="1:4">
      <c r="A19" s="418" t="s">
        <v>850</v>
      </c>
      <c r="B19" s="417"/>
      <c r="C19" s="433">
        <f>C12 * [1]Parametry!B23 / 100</f>
        <v>0</v>
      </c>
      <c r="D19" s="416"/>
    </row>
    <row r="20" spans="1:4">
      <c r="A20" s="418" t="s">
        <v>849</v>
      </c>
      <c r="B20" s="417"/>
      <c r="C20" s="433">
        <f>C12 * [1]Parametry!B24 / 100</f>
        <v>0</v>
      </c>
      <c r="D20" s="416"/>
    </row>
    <row r="21" spans="1:4">
      <c r="A21" s="422" t="s">
        <v>848</v>
      </c>
      <c r="B21" s="425"/>
      <c r="C21" s="425">
        <f>C19 + C20</f>
        <v>0</v>
      </c>
      <c r="D21" s="416"/>
    </row>
    <row r="22" spans="1:4">
      <c r="A22" s="418" t="s">
        <v>847</v>
      </c>
      <c r="B22" s="417"/>
      <c r="C22" s="433">
        <f>[1]Parametry!B25 * [1]Parametry!B28 * (C16 * [1]Parametry!B27)^[1]Parametry!B26</f>
        <v>0</v>
      </c>
      <c r="D22" s="416"/>
    </row>
    <row r="23" spans="1:4">
      <c r="A23" s="418" t="s">
        <v>19</v>
      </c>
      <c r="B23" s="417"/>
      <c r="C23" s="417"/>
      <c r="D23" s="416"/>
    </row>
    <row r="24" spans="1:4">
      <c r="A24" s="424" t="s">
        <v>846</v>
      </c>
      <c r="B24" s="423"/>
      <c r="C24" s="423">
        <f>C16 + C21 + C22</f>
        <v>0</v>
      </c>
      <c r="D24" s="416"/>
    </row>
    <row r="25" spans="1:4">
      <c r="A25" s="418" t="s">
        <v>845</v>
      </c>
      <c r="B25" s="417">
        <f>(SUM(Rozpočet_silnoproud!F3:F59)) + (SUM(Rozpočet_silnoproud!I3:I59)) + B4 + C4 + C8 + C11 + C13 + C14 + C15 + C21 + C22</f>
        <v>0</v>
      </c>
      <c r="C25" s="433">
        <f>B25 * [1]Parametry!B31 / 100</f>
        <v>0</v>
      </c>
      <c r="D25" s="416"/>
    </row>
    <row r="26" spans="1:4">
      <c r="A26" s="418" t="s">
        <v>844</v>
      </c>
      <c r="B26" s="417">
        <f>(SUM(Rozpočet_silnoproud!F13,Rozpočet_silnoproud!F15,Rozpočet_silnoproud!F17,Rozpočet_silnoproud!F19:F20,Rozpočet_silnoproud!F24:F26,Rozpočet_silnoproud!F33,Rozpočet_silnoproud!F36,Rozpočet_silnoproud!F41:F42,Rozpočet_silnoproud!F50,Rozpočet_silnoproud!F52,Rozpočet_silnoproud!F54,Rozpočet_silnoproud!F56,Rozpočet_silnoproud!F58)) + (SUM(Rozpočet_silnoproud!I13,Rozpočet_silnoproud!I15,Rozpočet_silnoproud!I17,Rozpočet_silnoproud!I19:I20,Rozpočet_silnoproud!I24:I26,Rozpočet_silnoproud!I33,Rozpočet_silnoproud!I36,Rozpočet_silnoproud!I41:I42,Rozpočet_silnoproud!I50,Rozpočet_silnoproud!I52,Rozpočet_silnoproud!I54,Rozpočet_silnoproud!I56,Rozpočet_silnoproud!I58))</f>
        <v>0</v>
      </c>
      <c r="C26" s="433">
        <f>B26 * [1]Parametry!B32 / 100</f>
        <v>0</v>
      </c>
      <c r="D26" s="416"/>
    </row>
    <row r="27" spans="1:4">
      <c r="A27" s="424" t="s">
        <v>843</v>
      </c>
      <c r="B27" s="423"/>
      <c r="C27" s="423">
        <f>C24 + C25 + C26</f>
        <v>0</v>
      </c>
      <c r="D27" s="416"/>
    </row>
    <row r="28" spans="1:4">
      <c r="A28" s="418" t="s">
        <v>19</v>
      </c>
      <c r="B28" s="417"/>
      <c r="C28" s="417"/>
      <c r="D28" s="416"/>
    </row>
    <row r="29" spans="1:4">
      <c r="A29" s="418" t="s">
        <v>842</v>
      </c>
      <c r="B29" s="417"/>
      <c r="C29" s="433">
        <f>C24 * [1]Parametry!B29 / 100</f>
        <v>0</v>
      </c>
      <c r="D29" s="416"/>
    </row>
    <row r="30" spans="1:4">
      <c r="A30" s="418" t="s">
        <v>842</v>
      </c>
      <c r="B30" s="417"/>
      <c r="C30" s="433">
        <f>C24 * [1]Parametry!B30 / 100</f>
        <v>0</v>
      </c>
      <c r="D30" s="416"/>
    </row>
    <row r="31" spans="1:4">
      <c r="A31" s="422" t="s">
        <v>841</v>
      </c>
      <c r="B31" s="421" t="s">
        <v>840</v>
      </c>
      <c r="C31" s="421" t="s">
        <v>343</v>
      </c>
      <c r="D31" s="416"/>
    </row>
    <row r="32" spans="1:4">
      <c r="A32" s="418" t="s">
        <v>839</v>
      </c>
      <c r="B32" s="417">
        <f>(Rozpočet_silnoproud!F60)</f>
        <v>0</v>
      </c>
      <c r="C32" s="417">
        <f>(Rozpočet_silnoproud!I60)</f>
        <v>0</v>
      </c>
      <c r="D32" s="416"/>
    </row>
    <row r="33" spans="1:4">
      <c r="A33" s="418" t="s">
        <v>19</v>
      </c>
      <c r="B33" s="417"/>
      <c r="C33" s="417"/>
      <c r="D33" s="416"/>
    </row>
    <row r="34" spans="1:4">
      <c r="A34" s="422" t="s">
        <v>838</v>
      </c>
      <c r="B34" s="421"/>
      <c r="C34" s="420"/>
      <c r="D34" s="416"/>
    </row>
    <row r="35" spans="1:4">
      <c r="A35" s="418" t="s">
        <v>837</v>
      </c>
      <c r="B35" s="419"/>
      <c r="C35" s="417"/>
      <c r="D35" s="416"/>
    </row>
    <row r="36" spans="1:4">
      <c r="A36" s="418" t="s">
        <v>836</v>
      </c>
      <c r="B36" s="419"/>
      <c r="C36" s="417"/>
      <c r="D36" s="416"/>
    </row>
    <row r="37" spans="1:4">
      <c r="A37" s="418" t="s">
        <v>835</v>
      </c>
      <c r="B37" s="419"/>
      <c r="C37" s="417"/>
      <c r="D37" s="416"/>
    </row>
    <row r="38" spans="1:4">
      <c r="A38" s="418" t="s">
        <v>834</v>
      </c>
      <c r="B38" s="419"/>
      <c r="C38" s="417"/>
      <c r="D38" s="416"/>
    </row>
    <row r="39" spans="1:4">
      <c r="A39" s="418" t="s">
        <v>833</v>
      </c>
      <c r="B39" s="419"/>
      <c r="C39" s="417"/>
      <c r="D39" s="416"/>
    </row>
    <row r="40" spans="1:4">
      <c r="A40" s="418" t="s">
        <v>832</v>
      </c>
      <c r="B40" s="419"/>
      <c r="C40" s="417"/>
      <c r="D40" s="416"/>
    </row>
    <row r="41" spans="1:4">
      <c r="A41" s="418" t="s">
        <v>831</v>
      </c>
      <c r="B41" s="419"/>
      <c r="C41" s="417"/>
      <c r="D41" s="416"/>
    </row>
    <row r="42" spans="1:4">
      <c r="A42" s="418" t="s">
        <v>830</v>
      </c>
      <c r="B42" s="419"/>
      <c r="C42" s="417"/>
      <c r="D42" s="416"/>
    </row>
    <row r="43" spans="1:4">
      <c r="A43" s="418" t="s">
        <v>19</v>
      </c>
      <c r="B43" s="417"/>
      <c r="C43" s="417"/>
      <c r="D43" s="416"/>
    </row>
    <row r="44" spans="1:4">
      <c r="A44" s="418" t="s">
        <v>19</v>
      </c>
      <c r="B44" s="417"/>
      <c r="C44" s="417"/>
      <c r="D44" s="416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C16" workbookViewId="0">
      <selection activeCell="L47" sqref="L47"/>
    </sheetView>
  </sheetViews>
  <sheetFormatPr defaultRowHeight="15"/>
  <cols>
    <col min="1" max="1" width="7.1640625" style="415" bestFit="1" customWidth="1"/>
    <col min="2" max="2" width="128.5" style="415" bestFit="1" customWidth="1"/>
    <col min="3" max="3" width="4.6640625" style="415" bestFit="1" customWidth="1"/>
    <col min="4" max="4" width="7.5" style="414" bestFit="1" customWidth="1"/>
    <col min="5" max="5" width="9.1640625" style="414" bestFit="1" customWidth="1"/>
    <col min="6" max="6" width="15.6640625" style="414" bestFit="1" customWidth="1"/>
    <col min="7" max="7" width="16.83203125" style="415" bestFit="1" customWidth="1"/>
    <col min="8" max="8" width="9.1640625" style="414" bestFit="1" customWidth="1"/>
    <col min="9" max="9" width="14.6640625" style="414" bestFit="1" customWidth="1"/>
    <col min="10" max="10" width="9.1640625" style="414" bestFit="1" customWidth="1"/>
    <col min="11" max="11" width="13.33203125" style="414" bestFit="1" customWidth="1"/>
    <col min="12" max="12" width="30" style="415" bestFit="1" customWidth="1"/>
    <col min="13" max="13" width="12.5" style="415" bestFit="1" customWidth="1"/>
    <col min="14" max="15" width="9.33203125" style="413"/>
    <col min="16" max="16" width="0" style="413" hidden="1" customWidth="1"/>
    <col min="17" max="16384" width="9.33203125" style="413"/>
  </cols>
  <sheetData>
    <row r="1" spans="1:15">
      <c r="A1" s="429" t="s">
        <v>947</v>
      </c>
      <c r="B1" s="429" t="s">
        <v>200</v>
      </c>
      <c r="C1" s="429" t="s">
        <v>946</v>
      </c>
      <c r="D1" s="428" t="s">
        <v>945</v>
      </c>
      <c r="E1" s="428" t="s">
        <v>840</v>
      </c>
      <c r="F1" s="428" t="s">
        <v>944</v>
      </c>
      <c r="G1" s="429" t="s">
        <v>943</v>
      </c>
      <c r="H1" s="428" t="s">
        <v>343</v>
      </c>
      <c r="I1" s="428" t="s">
        <v>942</v>
      </c>
      <c r="J1" s="428" t="s">
        <v>941</v>
      </c>
      <c r="K1" s="428" t="s">
        <v>270</v>
      </c>
      <c r="L1" s="429" t="s">
        <v>940</v>
      </c>
      <c r="M1" s="429" t="s">
        <v>939</v>
      </c>
      <c r="N1" s="416"/>
      <c r="O1" s="416"/>
    </row>
    <row r="2" spans="1:15">
      <c r="A2" s="424" t="s">
        <v>19</v>
      </c>
      <c r="B2" s="424" t="s">
        <v>839</v>
      </c>
      <c r="C2" s="424" t="s">
        <v>19</v>
      </c>
      <c r="D2" s="423"/>
      <c r="E2" s="423"/>
      <c r="F2" s="423"/>
      <c r="G2" s="424" t="s">
        <v>19</v>
      </c>
      <c r="H2" s="423"/>
      <c r="I2" s="423"/>
      <c r="J2" s="423"/>
      <c r="K2" s="423"/>
      <c r="L2" s="424" t="s">
        <v>19</v>
      </c>
      <c r="M2" s="424" t="s">
        <v>19</v>
      </c>
      <c r="N2" s="416"/>
      <c r="O2" s="416"/>
    </row>
    <row r="3" spans="1:15">
      <c r="A3" s="418" t="s">
        <v>83</v>
      </c>
      <c r="B3" s="418" t="s">
        <v>938</v>
      </c>
      <c r="C3" s="418" t="s">
        <v>882</v>
      </c>
      <c r="D3" s="417">
        <v>1</v>
      </c>
      <c r="E3" s="417">
        <v>0</v>
      </c>
      <c r="F3" s="417">
        <f t="shared" ref="F3:F12" si="0">D3*E3</f>
        <v>0</v>
      </c>
      <c r="G3" s="418" t="s">
        <v>19</v>
      </c>
      <c r="H3" s="417">
        <v>0</v>
      </c>
      <c r="I3" s="417">
        <f t="shared" ref="I3:I12" si="1">D3*H3</f>
        <v>0</v>
      </c>
      <c r="J3" s="417">
        <f t="shared" ref="J3:J12" si="2">E3+H3</f>
        <v>0</v>
      </c>
      <c r="K3" s="417">
        <f t="shared" ref="K3:K12" si="3">F3+I3</f>
        <v>0</v>
      </c>
      <c r="L3" s="435" t="s">
        <v>937</v>
      </c>
      <c r="M3" s="418" t="s">
        <v>19</v>
      </c>
      <c r="N3" s="416"/>
      <c r="O3" s="416"/>
    </row>
    <row r="4" spans="1:15">
      <c r="A4" s="418" t="s">
        <v>85</v>
      </c>
      <c r="B4" s="418" t="s">
        <v>936</v>
      </c>
      <c r="C4" s="418" t="s">
        <v>882</v>
      </c>
      <c r="D4" s="417">
        <v>3</v>
      </c>
      <c r="E4" s="417">
        <v>0</v>
      </c>
      <c r="F4" s="417">
        <f t="shared" si="0"/>
        <v>0</v>
      </c>
      <c r="G4" s="418" t="s">
        <v>19</v>
      </c>
      <c r="H4" s="417">
        <v>0</v>
      </c>
      <c r="I4" s="417">
        <f t="shared" si="1"/>
        <v>0</v>
      </c>
      <c r="J4" s="417">
        <f t="shared" si="2"/>
        <v>0</v>
      </c>
      <c r="K4" s="417">
        <f t="shared" si="3"/>
        <v>0</v>
      </c>
      <c r="L4" s="435" t="s">
        <v>19</v>
      </c>
      <c r="M4" s="418" t="s">
        <v>19</v>
      </c>
      <c r="N4" s="416"/>
      <c r="O4" s="416"/>
    </row>
    <row r="5" spans="1:15">
      <c r="A5" s="418" t="s">
        <v>422</v>
      </c>
      <c r="B5" s="418" t="s">
        <v>935</v>
      </c>
      <c r="C5" s="418" t="s">
        <v>882</v>
      </c>
      <c r="D5" s="417">
        <v>1</v>
      </c>
      <c r="E5" s="417">
        <v>0</v>
      </c>
      <c r="F5" s="417">
        <f t="shared" si="0"/>
        <v>0</v>
      </c>
      <c r="G5" s="418" t="s">
        <v>19</v>
      </c>
      <c r="H5" s="417">
        <v>0</v>
      </c>
      <c r="I5" s="417">
        <f t="shared" si="1"/>
        <v>0</v>
      </c>
      <c r="J5" s="417">
        <f t="shared" si="2"/>
        <v>0</v>
      </c>
      <c r="K5" s="417">
        <f t="shared" si="3"/>
        <v>0</v>
      </c>
      <c r="L5" s="435" t="s">
        <v>934</v>
      </c>
      <c r="M5" s="418" t="s">
        <v>19</v>
      </c>
      <c r="N5" s="416"/>
      <c r="O5" s="416"/>
    </row>
    <row r="6" spans="1:15">
      <c r="A6" s="418" t="s">
        <v>119</v>
      </c>
      <c r="B6" s="418" t="s">
        <v>933</v>
      </c>
      <c r="C6" s="418" t="s">
        <v>882</v>
      </c>
      <c r="D6" s="417">
        <v>1</v>
      </c>
      <c r="E6" s="417">
        <v>0</v>
      </c>
      <c r="F6" s="417">
        <f t="shared" si="0"/>
        <v>0</v>
      </c>
      <c r="G6" s="418" t="s">
        <v>19</v>
      </c>
      <c r="H6" s="417">
        <v>0</v>
      </c>
      <c r="I6" s="417">
        <f t="shared" si="1"/>
        <v>0</v>
      </c>
      <c r="J6" s="417">
        <f t="shared" si="2"/>
        <v>0</v>
      </c>
      <c r="K6" s="417">
        <f t="shared" si="3"/>
        <v>0</v>
      </c>
      <c r="L6" s="435" t="s">
        <v>932</v>
      </c>
      <c r="M6" s="418" t="s">
        <v>19</v>
      </c>
      <c r="N6" s="416"/>
      <c r="O6" s="416"/>
    </row>
    <row r="7" spans="1:15">
      <c r="A7" s="418" t="s">
        <v>429</v>
      </c>
      <c r="B7" s="418" t="s">
        <v>931</v>
      </c>
      <c r="C7" s="418" t="s">
        <v>882</v>
      </c>
      <c r="D7" s="417">
        <v>2</v>
      </c>
      <c r="E7" s="417">
        <v>0</v>
      </c>
      <c r="F7" s="417">
        <f t="shared" si="0"/>
        <v>0</v>
      </c>
      <c r="G7" s="418" t="s">
        <v>19</v>
      </c>
      <c r="H7" s="417">
        <v>0</v>
      </c>
      <c r="I7" s="417">
        <f t="shared" si="1"/>
        <v>0</v>
      </c>
      <c r="J7" s="417">
        <f t="shared" si="2"/>
        <v>0</v>
      </c>
      <c r="K7" s="417">
        <f t="shared" si="3"/>
        <v>0</v>
      </c>
      <c r="L7" s="435" t="s">
        <v>930</v>
      </c>
      <c r="M7" s="418" t="s">
        <v>19</v>
      </c>
      <c r="N7" s="416"/>
      <c r="O7" s="416"/>
    </row>
    <row r="8" spans="1:15">
      <c r="A8" s="418" t="s">
        <v>436</v>
      </c>
      <c r="B8" s="418" t="s">
        <v>929</v>
      </c>
      <c r="C8" s="418" t="s">
        <v>882</v>
      </c>
      <c r="D8" s="417">
        <v>1</v>
      </c>
      <c r="E8" s="417">
        <v>0</v>
      </c>
      <c r="F8" s="417">
        <f t="shared" si="0"/>
        <v>0</v>
      </c>
      <c r="G8" s="418" t="s">
        <v>19</v>
      </c>
      <c r="H8" s="417">
        <v>0</v>
      </c>
      <c r="I8" s="417">
        <f t="shared" si="1"/>
        <v>0</v>
      </c>
      <c r="J8" s="417">
        <f t="shared" si="2"/>
        <v>0</v>
      </c>
      <c r="K8" s="417">
        <f t="shared" si="3"/>
        <v>0</v>
      </c>
      <c r="L8" s="435" t="s">
        <v>928</v>
      </c>
      <c r="M8" s="418" t="s">
        <v>19</v>
      </c>
      <c r="N8" s="416"/>
      <c r="O8" s="416"/>
    </row>
    <row r="9" spans="1:15">
      <c r="A9" s="418" t="s">
        <v>445</v>
      </c>
      <c r="B9" s="418" t="s">
        <v>927</v>
      </c>
      <c r="C9" s="418" t="s">
        <v>882</v>
      </c>
      <c r="D9" s="417">
        <v>1</v>
      </c>
      <c r="E9" s="417">
        <v>0</v>
      </c>
      <c r="F9" s="417">
        <f t="shared" si="0"/>
        <v>0</v>
      </c>
      <c r="G9" s="418" t="s">
        <v>19</v>
      </c>
      <c r="H9" s="417">
        <v>0</v>
      </c>
      <c r="I9" s="417">
        <f t="shared" si="1"/>
        <v>0</v>
      </c>
      <c r="J9" s="417">
        <f t="shared" si="2"/>
        <v>0</v>
      </c>
      <c r="K9" s="417">
        <f t="shared" si="3"/>
        <v>0</v>
      </c>
      <c r="L9" s="435" t="s">
        <v>926</v>
      </c>
      <c r="M9" s="418" t="s">
        <v>19</v>
      </c>
      <c r="N9" s="416"/>
      <c r="O9" s="416"/>
    </row>
    <row r="10" spans="1:15">
      <c r="A10" s="418" t="s">
        <v>453</v>
      </c>
      <c r="B10" s="418" t="s">
        <v>903</v>
      </c>
      <c r="C10" s="418" t="s">
        <v>882</v>
      </c>
      <c r="D10" s="417">
        <v>1</v>
      </c>
      <c r="E10" s="417">
        <v>0</v>
      </c>
      <c r="F10" s="417">
        <f t="shared" si="0"/>
        <v>0</v>
      </c>
      <c r="G10" s="418" t="s">
        <v>19</v>
      </c>
      <c r="H10" s="417">
        <v>0</v>
      </c>
      <c r="I10" s="417">
        <f t="shared" si="1"/>
        <v>0</v>
      </c>
      <c r="J10" s="417">
        <f t="shared" si="2"/>
        <v>0</v>
      </c>
      <c r="K10" s="417">
        <f t="shared" si="3"/>
        <v>0</v>
      </c>
      <c r="L10" s="435" t="s">
        <v>925</v>
      </c>
      <c r="M10" s="418" t="s">
        <v>19</v>
      </c>
      <c r="N10" s="416"/>
      <c r="O10" s="416"/>
    </row>
    <row r="11" spans="1:15">
      <c r="A11" s="418" t="s">
        <v>458</v>
      </c>
      <c r="B11" s="418" t="s">
        <v>924</v>
      </c>
      <c r="C11" s="418" t="s">
        <v>882</v>
      </c>
      <c r="D11" s="417">
        <v>2</v>
      </c>
      <c r="E11" s="417">
        <v>0</v>
      </c>
      <c r="F11" s="417">
        <f t="shared" si="0"/>
        <v>0</v>
      </c>
      <c r="G11" s="418" t="s">
        <v>19</v>
      </c>
      <c r="H11" s="417">
        <v>0</v>
      </c>
      <c r="I11" s="417">
        <f t="shared" si="1"/>
        <v>0</v>
      </c>
      <c r="J11" s="417">
        <f t="shared" si="2"/>
        <v>0</v>
      </c>
      <c r="K11" s="417">
        <f t="shared" si="3"/>
        <v>0</v>
      </c>
      <c r="L11" s="435" t="s">
        <v>923</v>
      </c>
      <c r="M11" s="418" t="s">
        <v>19</v>
      </c>
      <c r="N11" s="416"/>
      <c r="O11" s="416"/>
    </row>
    <row r="12" spans="1:15">
      <c r="A12" s="418" t="s">
        <v>464</v>
      </c>
      <c r="B12" s="418" t="s">
        <v>922</v>
      </c>
      <c r="C12" s="418" t="s">
        <v>882</v>
      </c>
      <c r="D12" s="417">
        <v>3</v>
      </c>
      <c r="E12" s="417">
        <v>0</v>
      </c>
      <c r="F12" s="417">
        <f t="shared" si="0"/>
        <v>0</v>
      </c>
      <c r="G12" s="418" t="s">
        <v>19</v>
      </c>
      <c r="H12" s="417">
        <v>0</v>
      </c>
      <c r="I12" s="417">
        <f t="shared" si="1"/>
        <v>0</v>
      </c>
      <c r="J12" s="417">
        <f t="shared" si="2"/>
        <v>0</v>
      </c>
      <c r="K12" s="417">
        <f t="shared" si="3"/>
        <v>0</v>
      </c>
      <c r="L12" s="435" t="s">
        <v>921</v>
      </c>
      <c r="M12" s="418" t="s">
        <v>19</v>
      </c>
      <c r="N12" s="416"/>
      <c r="O12" s="416"/>
    </row>
    <row r="13" spans="1:15">
      <c r="A13" s="430" t="s">
        <v>19</v>
      </c>
      <c r="B13" s="430" t="s">
        <v>920</v>
      </c>
      <c r="C13" s="430" t="s">
        <v>19</v>
      </c>
      <c r="D13" s="432"/>
      <c r="E13" s="432"/>
      <c r="F13" s="432"/>
      <c r="G13" s="430" t="s">
        <v>19</v>
      </c>
      <c r="H13" s="432"/>
      <c r="I13" s="432"/>
      <c r="J13" s="432"/>
      <c r="K13" s="432"/>
      <c r="L13" s="436" t="s">
        <v>19</v>
      </c>
      <c r="M13" s="430" t="s">
        <v>19</v>
      </c>
      <c r="N13" s="416"/>
      <c r="O13" s="416"/>
    </row>
    <row r="14" spans="1:15">
      <c r="A14" s="418" t="s">
        <v>404</v>
      </c>
      <c r="B14" s="418" t="s">
        <v>919</v>
      </c>
      <c r="C14" s="418" t="s">
        <v>743</v>
      </c>
      <c r="D14" s="417">
        <v>4</v>
      </c>
      <c r="E14" s="417">
        <v>0</v>
      </c>
      <c r="F14" s="417">
        <f>D14*E14</f>
        <v>0</v>
      </c>
      <c r="G14" s="418" t="s">
        <v>19</v>
      </c>
      <c r="H14" s="417">
        <v>0</v>
      </c>
      <c r="I14" s="417">
        <f>D14*H14</f>
        <v>0</v>
      </c>
      <c r="J14" s="417">
        <f>E14+H14</f>
        <v>0</v>
      </c>
      <c r="K14" s="417">
        <f>F14+I14</f>
        <v>0</v>
      </c>
      <c r="L14" s="435" t="s">
        <v>19</v>
      </c>
      <c r="M14" s="418" t="s">
        <v>19</v>
      </c>
      <c r="N14" s="416"/>
      <c r="O14" s="416"/>
    </row>
    <row r="15" spans="1:15">
      <c r="A15" s="430" t="s">
        <v>19</v>
      </c>
      <c r="B15" s="430" t="s">
        <v>918</v>
      </c>
      <c r="C15" s="430" t="s">
        <v>19</v>
      </c>
      <c r="D15" s="432"/>
      <c r="E15" s="432"/>
      <c r="F15" s="432"/>
      <c r="G15" s="430" t="s">
        <v>19</v>
      </c>
      <c r="H15" s="432"/>
      <c r="I15" s="432"/>
      <c r="J15" s="432"/>
      <c r="K15" s="432"/>
      <c r="L15" s="436" t="s">
        <v>19</v>
      </c>
      <c r="M15" s="430" t="s">
        <v>19</v>
      </c>
      <c r="N15" s="416"/>
      <c r="O15" s="416"/>
    </row>
    <row r="16" spans="1:15">
      <c r="A16" s="418" t="s">
        <v>478</v>
      </c>
      <c r="B16" s="418" t="s">
        <v>917</v>
      </c>
      <c r="C16" s="418" t="s">
        <v>743</v>
      </c>
      <c r="D16" s="417">
        <v>8</v>
      </c>
      <c r="E16" s="417">
        <v>0</v>
      </c>
      <c r="F16" s="417">
        <f>D16*E16</f>
        <v>0</v>
      </c>
      <c r="G16" s="418" t="s">
        <v>19</v>
      </c>
      <c r="H16" s="417">
        <v>0</v>
      </c>
      <c r="I16" s="417">
        <f>D16*H16</f>
        <v>0</v>
      </c>
      <c r="J16" s="417">
        <f>E16+H16</f>
        <v>0</v>
      </c>
      <c r="K16" s="417">
        <f>F16+I16</f>
        <v>0</v>
      </c>
      <c r="L16" s="435" t="s">
        <v>19</v>
      </c>
      <c r="M16" s="418" t="s">
        <v>19</v>
      </c>
      <c r="N16" s="416"/>
      <c r="O16" s="416"/>
    </row>
    <row r="17" spans="1:15">
      <c r="A17" s="430" t="s">
        <v>19</v>
      </c>
      <c r="B17" s="430" t="s">
        <v>916</v>
      </c>
      <c r="C17" s="430" t="s">
        <v>19</v>
      </c>
      <c r="D17" s="431"/>
      <c r="E17" s="431"/>
      <c r="F17" s="431"/>
      <c r="G17" s="430" t="s">
        <v>19</v>
      </c>
      <c r="H17" s="431"/>
      <c r="I17" s="431"/>
      <c r="J17" s="431"/>
      <c r="K17" s="431"/>
      <c r="L17" s="436" t="s">
        <v>19</v>
      </c>
      <c r="M17" s="430" t="s">
        <v>19</v>
      </c>
      <c r="N17" s="416"/>
      <c r="O17" s="416"/>
    </row>
    <row r="18" spans="1:15">
      <c r="A18" s="418" t="s">
        <v>485</v>
      </c>
      <c r="B18" s="418" t="s">
        <v>915</v>
      </c>
      <c r="C18" s="418" t="s">
        <v>743</v>
      </c>
      <c r="D18" s="417">
        <v>8</v>
      </c>
      <c r="E18" s="417">
        <v>0</v>
      </c>
      <c r="F18" s="417">
        <f>D18*E18</f>
        <v>0</v>
      </c>
      <c r="G18" s="418" t="s">
        <v>19</v>
      </c>
      <c r="H18" s="417">
        <v>0</v>
      </c>
      <c r="I18" s="417">
        <f>D18*H18</f>
        <v>0</v>
      </c>
      <c r="J18" s="417">
        <f>E18+H18</f>
        <v>0</v>
      </c>
      <c r="K18" s="417">
        <f>F18+I18</f>
        <v>0</v>
      </c>
      <c r="L18" s="435" t="s">
        <v>19</v>
      </c>
      <c r="M18" s="418" t="s">
        <v>19</v>
      </c>
      <c r="N18" s="416"/>
      <c r="O18" s="416"/>
    </row>
    <row r="19" spans="1:15">
      <c r="A19" s="430" t="s">
        <v>19</v>
      </c>
      <c r="B19" s="430" t="s">
        <v>914</v>
      </c>
      <c r="C19" s="430" t="s">
        <v>19</v>
      </c>
      <c r="D19" s="431"/>
      <c r="E19" s="431"/>
      <c r="F19" s="431"/>
      <c r="G19" s="430" t="s">
        <v>19</v>
      </c>
      <c r="H19" s="431"/>
      <c r="I19" s="431"/>
      <c r="J19" s="431"/>
      <c r="K19" s="431"/>
      <c r="L19" s="436" t="s">
        <v>19</v>
      </c>
      <c r="M19" s="430" t="s">
        <v>19</v>
      </c>
      <c r="N19" s="416"/>
      <c r="O19" s="416"/>
    </row>
    <row r="20" spans="1:15">
      <c r="A20" s="430" t="s">
        <v>19</v>
      </c>
      <c r="B20" s="430" t="s">
        <v>913</v>
      </c>
      <c r="C20" s="430" t="s">
        <v>19</v>
      </c>
      <c r="D20" s="431"/>
      <c r="E20" s="431"/>
      <c r="F20" s="431"/>
      <c r="G20" s="430" t="s">
        <v>19</v>
      </c>
      <c r="H20" s="431"/>
      <c r="I20" s="431"/>
      <c r="J20" s="431"/>
      <c r="K20" s="431"/>
      <c r="L20" s="436" t="s">
        <v>19</v>
      </c>
      <c r="M20" s="430" t="s">
        <v>19</v>
      </c>
      <c r="N20" s="416"/>
      <c r="O20" s="416"/>
    </row>
    <row r="21" spans="1:15">
      <c r="A21" s="418" t="s">
        <v>489</v>
      </c>
      <c r="B21" s="418" t="s">
        <v>912</v>
      </c>
      <c r="C21" s="418" t="s">
        <v>743</v>
      </c>
      <c r="D21" s="417">
        <v>1</v>
      </c>
      <c r="E21" s="417">
        <v>0</v>
      </c>
      <c r="F21" s="417">
        <f>D21*E21</f>
        <v>0</v>
      </c>
      <c r="G21" s="418" t="s">
        <v>19</v>
      </c>
      <c r="H21" s="417">
        <v>0</v>
      </c>
      <c r="I21" s="417">
        <f>D21*H21</f>
        <v>0</v>
      </c>
      <c r="J21" s="417">
        <f t="shared" ref="J21:K23" si="4">E21+H21</f>
        <v>0</v>
      </c>
      <c r="K21" s="417">
        <f t="shared" si="4"/>
        <v>0</v>
      </c>
      <c r="L21" s="435" t="s">
        <v>19</v>
      </c>
      <c r="M21" s="418" t="s">
        <v>19</v>
      </c>
      <c r="N21" s="416"/>
      <c r="O21" s="416"/>
    </row>
    <row r="22" spans="1:15">
      <c r="A22" s="418" t="s">
        <v>8</v>
      </c>
      <c r="B22" s="418" t="s">
        <v>911</v>
      </c>
      <c r="C22" s="418" t="s">
        <v>743</v>
      </c>
      <c r="D22" s="417">
        <v>2</v>
      </c>
      <c r="E22" s="417">
        <v>0</v>
      </c>
      <c r="F22" s="417">
        <f>D22*E22</f>
        <v>0</v>
      </c>
      <c r="G22" s="418" t="s">
        <v>19</v>
      </c>
      <c r="H22" s="417">
        <v>0</v>
      </c>
      <c r="I22" s="417">
        <f>D22*H22</f>
        <v>0</v>
      </c>
      <c r="J22" s="417">
        <f t="shared" si="4"/>
        <v>0</v>
      </c>
      <c r="K22" s="417">
        <f t="shared" si="4"/>
        <v>0</v>
      </c>
      <c r="L22" s="435" t="s">
        <v>19</v>
      </c>
      <c r="M22" s="418" t="s">
        <v>19</v>
      </c>
      <c r="N22" s="416"/>
      <c r="O22" s="416"/>
    </row>
    <row r="23" spans="1:15">
      <c r="A23" s="418" t="s">
        <v>501</v>
      </c>
      <c r="B23" s="418" t="s">
        <v>910</v>
      </c>
      <c r="C23" s="418" t="s">
        <v>743</v>
      </c>
      <c r="D23" s="417">
        <v>3</v>
      </c>
      <c r="E23" s="417">
        <v>0</v>
      </c>
      <c r="F23" s="417">
        <f>D23*E23</f>
        <v>0</v>
      </c>
      <c r="G23" s="418" t="s">
        <v>19</v>
      </c>
      <c r="H23" s="417">
        <v>0</v>
      </c>
      <c r="I23" s="417">
        <f>D23*H23</f>
        <v>0</v>
      </c>
      <c r="J23" s="417">
        <f t="shared" si="4"/>
        <v>0</v>
      </c>
      <c r="K23" s="417">
        <f t="shared" si="4"/>
        <v>0</v>
      </c>
      <c r="L23" s="435" t="s">
        <v>19</v>
      </c>
      <c r="M23" s="418" t="s">
        <v>19</v>
      </c>
      <c r="N23" s="416"/>
      <c r="O23" s="416"/>
    </row>
    <row r="24" spans="1:15">
      <c r="A24" s="430" t="s">
        <v>19</v>
      </c>
      <c r="B24" s="430" t="s">
        <v>909</v>
      </c>
      <c r="C24" s="430" t="s">
        <v>19</v>
      </c>
      <c r="D24" s="431"/>
      <c r="E24" s="431"/>
      <c r="F24" s="431"/>
      <c r="G24" s="430" t="s">
        <v>19</v>
      </c>
      <c r="H24" s="431"/>
      <c r="I24" s="431"/>
      <c r="J24" s="431"/>
      <c r="K24" s="431"/>
      <c r="L24" s="436" t="s">
        <v>19</v>
      </c>
      <c r="M24" s="430" t="s">
        <v>19</v>
      </c>
      <c r="N24" s="416"/>
      <c r="O24" s="416"/>
    </row>
    <row r="25" spans="1:15">
      <c r="A25" s="430" t="s">
        <v>19</v>
      </c>
      <c r="B25" s="430" t="s">
        <v>908</v>
      </c>
      <c r="C25" s="430" t="s">
        <v>19</v>
      </c>
      <c r="D25" s="431"/>
      <c r="E25" s="431"/>
      <c r="F25" s="431"/>
      <c r="G25" s="430" t="s">
        <v>19</v>
      </c>
      <c r="H25" s="431"/>
      <c r="I25" s="431"/>
      <c r="J25" s="431"/>
      <c r="K25" s="431"/>
      <c r="L25" s="436" t="s">
        <v>19</v>
      </c>
      <c r="M25" s="430" t="s">
        <v>19</v>
      </c>
      <c r="N25" s="416"/>
      <c r="O25" s="416"/>
    </row>
    <row r="26" spans="1:15">
      <c r="A26" s="430" t="s">
        <v>19</v>
      </c>
      <c r="B26" s="430" t="s">
        <v>907</v>
      </c>
      <c r="C26" s="430" t="s">
        <v>19</v>
      </c>
      <c r="D26" s="431"/>
      <c r="E26" s="431"/>
      <c r="F26" s="431"/>
      <c r="G26" s="430" t="s">
        <v>19</v>
      </c>
      <c r="H26" s="431"/>
      <c r="I26" s="431"/>
      <c r="J26" s="431"/>
      <c r="K26" s="431"/>
      <c r="L26" s="436" t="s">
        <v>19</v>
      </c>
      <c r="M26" s="430" t="s">
        <v>19</v>
      </c>
      <c r="N26" s="416"/>
      <c r="O26" s="416"/>
    </row>
    <row r="27" spans="1:15">
      <c r="A27" s="418" t="s">
        <v>506</v>
      </c>
      <c r="B27" s="418" t="s">
        <v>906</v>
      </c>
      <c r="C27" s="418" t="s">
        <v>743</v>
      </c>
      <c r="D27" s="417">
        <v>1</v>
      </c>
      <c r="E27" s="417">
        <v>0</v>
      </c>
      <c r="F27" s="417">
        <f t="shared" ref="F27:F32" si="5">D27*E27</f>
        <v>0</v>
      </c>
      <c r="G27" s="418" t="s">
        <v>19</v>
      </c>
      <c r="H27" s="417">
        <v>0</v>
      </c>
      <c r="I27" s="417">
        <f t="shared" ref="I27:I32" si="6">D27*H27</f>
        <v>0</v>
      </c>
      <c r="J27" s="417">
        <f t="shared" ref="J27:K32" si="7">E27+H27</f>
        <v>0</v>
      </c>
      <c r="K27" s="417">
        <f t="shared" si="7"/>
        <v>0</v>
      </c>
      <c r="L27" s="435" t="s">
        <v>19</v>
      </c>
      <c r="M27" s="418" t="s">
        <v>19</v>
      </c>
      <c r="N27" s="416"/>
      <c r="O27" s="416"/>
    </row>
    <row r="28" spans="1:15">
      <c r="A28" s="418" t="s">
        <v>512</v>
      </c>
      <c r="B28" s="418" t="s">
        <v>905</v>
      </c>
      <c r="C28" s="418" t="s">
        <v>743</v>
      </c>
      <c r="D28" s="417">
        <v>3</v>
      </c>
      <c r="E28" s="417">
        <v>0</v>
      </c>
      <c r="F28" s="417">
        <f t="shared" si="5"/>
        <v>0</v>
      </c>
      <c r="G28" s="418" t="s">
        <v>19</v>
      </c>
      <c r="H28" s="417">
        <v>0</v>
      </c>
      <c r="I28" s="417">
        <f t="shared" si="6"/>
        <v>0</v>
      </c>
      <c r="J28" s="417">
        <f t="shared" si="7"/>
        <v>0</v>
      </c>
      <c r="K28" s="417">
        <f t="shared" si="7"/>
        <v>0</v>
      </c>
      <c r="L28" s="435" t="s">
        <v>19</v>
      </c>
      <c r="M28" s="418" t="s">
        <v>19</v>
      </c>
      <c r="N28" s="416"/>
      <c r="O28" s="416"/>
    </row>
    <row r="29" spans="1:15">
      <c r="A29" s="418" t="s">
        <v>517</v>
      </c>
      <c r="B29" s="418" t="s">
        <v>904</v>
      </c>
      <c r="C29" s="418" t="s">
        <v>743</v>
      </c>
      <c r="D29" s="417">
        <v>2</v>
      </c>
      <c r="E29" s="417">
        <v>0</v>
      </c>
      <c r="F29" s="417">
        <f t="shared" si="5"/>
        <v>0</v>
      </c>
      <c r="G29" s="418" t="s">
        <v>19</v>
      </c>
      <c r="H29" s="417">
        <v>0</v>
      </c>
      <c r="I29" s="417">
        <f t="shared" si="6"/>
        <v>0</v>
      </c>
      <c r="J29" s="417">
        <f t="shared" si="7"/>
        <v>0</v>
      </c>
      <c r="K29" s="417">
        <f t="shared" si="7"/>
        <v>0</v>
      </c>
      <c r="L29" s="435" t="s">
        <v>19</v>
      </c>
      <c r="M29" s="418" t="s">
        <v>19</v>
      </c>
      <c r="N29" s="416"/>
      <c r="O29" s="416"/>
    </row>
    <row r="30" spans="1:15">
      <c r="A30" s="418" t="s">
        <v>522</v>
      </c>
      <c r="B30" s="418" t="s">
        <v>903</v>
      </c>
      <c r="C30" s="418" t="s">
        <v>882</v>
      </c>
      <c r="D30" s="417">
        <v>6</v>
      </c>
      <c r="E30" s="417">
        <v>0</v>
      </c>
      <c r="F30" s="417">
        <f t="shared" si="5"/>
        <v>0</v>
      </c>
      <c r="G30" s="418" t="s">
        <v>19</v>
      </c>
      <c r="H30" s="417">
        <v>0</v>
      </c>
      <c r="I30" s="417">
        <f t="shared" si="6"/>
        <v>0</v>
      </c>
      <c r="J30" s="417">
        <f t="shared" si="7"/>
        <v>0</v>
      </c>
      <c r="K30" s="417">
        <f t="shared" si="7"/>
        <v>0</v>
      </c>
      <c r="L30" s="435" t="s">
        <v>902</v>
      </c>
      <c r="M30" s="418" t="s">
        <v>19</v>
      </c>
      <c r="N30" s="416"/>
      <c r="O30" s="416"/>
    </row>
    <row r="31" spans="1:15">
      <c r="A31" s="418" t="s">
        <v>7</v>
      </c>
      <c r="B31" s="418" t="s">
        <v>901</v>
      </c>
      <c r="C31" s="418" t="s">
        <v>743</v>
      </c>
      <c r="D31" s="417">
        <v>27</v>
      </c>
      <c r="E31" s="417">
        <v>0</v>
      </c>
      <c r="F31" s="417">
        <f t="shared" si="5"/>
        <v>0</v>
      </c>
      <c r="G31" s="418" t="s">
        <v>19</v>
      </c>
      <c r="H31" s="417">
        <v>0</v>
      </c>
      <c r="I31" s="417">
        <f t="shared" si="6"/>
        <v>0</v>
      </c>
      <c r="J31" s="417">
        <f t="shared" si="7"/>
        <v>0</v>
      </c>
      <c r="K31" s="417">
        <f t="shared" si="7"/>
        <v>0</v>
      </c>
      <c r="L31" s="435" t="s">
        <v>206</v>
      </c>
      <c r="M31" s="418" t="s">
        <v>19</v>
      </c>
      <c r="N31" s="416"/>
      <c r="O31" s="416"/>
    </row>
    <row r="32" spans="1:15">
      <c r="A32" s="418" t="s">
        <v>529</v>
      </c>
      <c r="B32" s="418" t="s">
        <v>900</v>
      </c>
      <c r="C32" s="418" t="s">
        <v>743</v>
      </c>
      <c r="D32" s="417">
        <v>82</v>
      </c>
      <c r="E32" s="417">
        <v>0</v>
      </c>
      <c r="F32" s="417">
        <f t="shared" si="5"/>
        <v>0</v>
      </c>
      <c r="G32" s="418" t="s">
        <v>19</v>
      </c>
      <c r="H32" s="417">
        <v>0</v>
      </c>
      <c r="I32" s="417">
        <f t="shared" si="6"/>
        <v>0</v>
      </c>
      <c r="J32" s="417">
        <f t="shared" si="7"/>
        <v>0</v>
      </c>
      <c r="K32" s="417">
        <f t="shared" si="7"/>
        <v>0</v>
      </c>
      <c r="L32" s="435" t="s">
        <v>19</v>
      </c>
      <c r="M32" s="418" t="s">
        <v>19</v>
      </c>
      <c r="N32" s="416"/>
      <c r="O32" s="416"/>
    </row>
    <row r="33" spans="1:15">
      <c r="A33" s="430" t="s">
        <v>19</v>
      </c>
      <c r="B33" s="430" t="s">
        <v>899</v>
      </c>
      <c r="C33" s="430" t="s">
        <v>19</v>
      </c>
      <c r="D33" s="431"/>
      <c r="E33" s="431"/>
      <c r="F33" s="431"/>
      <c r="G33" s="430" t="s">
        <v>19</v>
      </c>
      <c r="H33" s="431"/>
      <c r="I33" s="431"/>
      <c r="J33" s="431"/>
      <c r="K33" s="431"/>
      <c r="L33" s="436" t="s">
        <v>19</v>
      </c>
      <c r="M33" s="430" t="s">
        <v>19</v>
      </c>
      <c r="N33" s="416"/>
      <c r="O33" s="416"/>
    </row>
    <row r="34" spans="1:15">
      <c r="A34" s="418" t="s">
        <v>532</v>
      </c>
      <c r="B34" s="418" t="s">
        <v>898</v>
      </c>
      <c r="C34" s="418" t="s">
        <v>509</v>
      </c>
      <c r="D34" s="417">
        <v>30</v>
      </c>
      <c r="E34" s="417">
        <v>0</v>
      </c>
      <c r="F34" s="417">
        <f>D34*E34</f>
        <v>0</v>
      </c>
      <c r="G34" s="418" t="s">
        <v>19</v>
      </c>
      <c r="H34" s="417">
        <v>0</v>
      </c>
      <c r="I34" s="417">
        <f>D34*H34</f>
        <v>0</v>
      </c>
      <c r="J34" s="417">
        <f>E34+H34</f>
        <v>0</v>
      </c>
      <c r="K34" s="417">
        <f>F34+I34</f>
        <v>0</v>
      </c>
      <c r="L34" s="435" t="s">
        <v>19</v>
      </c>
      <c r="M34" s="418" t="s">
        <v>19</v>
      </c>
      <c r="N34" s="416"/>
      <c r="O34" s="416"/>
    </row>
    <row r="35" spans="1:15">
      <c r="A35" s="418" t="s">
        <v>537</v>
      </c>
      <c r="B35" s="418" t="s">
        <v>897</v>
      </c>
      <c r="C35" s="418" t="s">
        <v>509</v>
      </c>
      <c r="D35" s="417">
        <v>700</v>
      </c>
      <c r="E35" s="417">
        <v>0</v>
      </c>
      <c r="F35" s="417">
        <f>D35*E35</f>
        <v>0</v>
      </c>
      <c r="G35" s="418" t="s">
        <v>19</v>
      </c>
      <c r="H35" s="417">
        <v>0</v>
      </c>
      <c r="I35" s="417">
        <f>D35*H35</f>
        <v>0</v>
      </c>
      <c r="J35" s="417">
        <f>E35+H35</f>
        <v>0</v>
      </c>
      <c r="K35" s="417">
        <f>F35+I35</f>
        <v>0</v>
      </c>
      <c r="L35" s="435" t="s">
        <v>19</v>
      </c>
      <c r="M35" s="418" t="s">
        <v>19</v>
      </c>
      <c r="N35" s="416"/>
      <c r="O35" s="416"/>
    </row>
    <row r="36" spans="1:15">
      <c r="A36" s="430" t="s">
        <v>19</v>
      </c>
      <c r="B36" s="430" t="s">
        <v>896</v>
      </c>
      <c r="C36" s="430" t="s">
        <v>19</v>
      </c>
      <c r="D36" s="432"/>
      <c r="E36" s="432"/>
      <c r="F36" s="432"/>
      <c r="G36" s="430" t="s">
        <v>19</v>
      </c>
      <c r="H36" s="432"/>
      <c r="I36" s="432"/>
      <c r="J36" s="432"/>
      <c r="K36" s="432"/>
      <c r="L36" s="436" t="s">
        <v>19</v>
      </c>
      <c r="M36" s="430" t="s">
        <v>19</v>
      </c>
      <c r="N36" s="416"/>
      <c r="O36" s="416"/>
    </row>
    <row r="37" spans="1:15">
      <c r="A37" s="418" t="s">
        <v>540</v>
      </c>
      <c r="B37" s="418" t="s">
        <v>895</v>
      </c>
      <c r="C37" s="418" t="s">
        <v>509</v>
      </c>
      <c r="D37" s="417">
        <v>80</v>
      </c>
      <c r="E37" s="417">
        <v>0</v>
      </c>
      <c r="F37" s="417">
        <f>D37*E37</f>
        <v>0</v>
      </c>
      <c r="G37" s="418" t="s">
        <v>19</v>
      </c>
      <c r="H37" s="417">
        <v>0</v>
      </c>
      <c r="I37" s="417">
        <f>D37*H37</f>
        <v>0</v>
      </c>
      <c r="J37" s="417">
        <f t="shared" ref="J37:K40" si="8">E37+H37</f>
        <v>0</v>
      </c>
      <c r="K37" s="417">
        <f t="shared" si="8"/>
        <v>0</v>
      </c>
      <c r="L37" s="435" t="s">
        <v>962</v>
      </c>
      <c r="M37" s="418" t="s">
        <v>19</v>
      </c>
      <c r="N37" s="416"/>
      <c r="O37" s="416"/>
    </row>
    <row r="38" spans="1:15">
      <c r="A38" s="418" t="s">
        <v>546</v>
      </c>
      <c r="B38" s="418" t="s">
        <v>894</v>
      </c>
      <c r="C38" s="418" t="s">
        <v>509</v>
      </c>
      <c r="D38" s="417">
        <v>40</v>
      </c>
      <c r="E38" s="417">
        <v>0</v>
      </c>
      <c r="F38" s="417">
        <f>D38*E38</f>
        <v>0</v>
      </c>
      <c r="G38" s="418" t="s">
        <v>19</v>
      </c>
      <c r="H38" s="417">
        <v>0</v>
      </c>
      <c r="I38" s="417">
        <f>D38*H38</f>
        <v>0</v>
      </c>
      <c r="J38" s="417">
        <f t="shared" si="8"/>
        <v>0</v>
      </c>
      <c r="K38" s="417">
        <f t="shared" si="8"/>
        <v>0</v>
      </c>
      <c r="L38" s="435" t="s">
        <v>962</v>
      </c>
      <c r="M38" s="418" t="s">
        <v>19</v>
      </c>
      <c r="N38" s="416"/>
      <c r="O38" s="416"/>
    </row>
    <row r="39" spans="1:15">
      <c r="A39" s="418" t="s">
        <v>414</v>
      </c>
      <c r="B39" s="418" t="s">
        <v>893</v>
      </c>
      <c r="C39" s="418" t="s">
        <v>509</v>
      </c>
      <c r="D39" s="417">
        <v>40</v>
      </c>
      <c r="E39" s="417">
        <v>0</v>
      </c>
      <c r="F39" s="417">
        <f>D39*E39</f>
        <v>0</v>
      </c>
      <c r="G39" s="418" t="s">
        <v>19</v>
      </c>
      <c r="H39" s="417">
        <v>0</v>
      </c>
      <c r="I39" s="417">
        <f>D39*H39</f>
        <v>0</v>
      </c>
      <c r="J39" s="417">
        <f t="shared" si="8"/>
        <v>0</v>
      </c>
      <c r="K39" s="417">
        <f t="shared" si="8"/>
        <v>0</v>
      </c>
      <c r="L39" s="435" t="s">
        <v>962</v>
      </c>
      <c r="M39" s="418" t="s">
        <v>19</v>
      </c>
      <c r="N39" s="416"/>
      <c r="O39" s="416"/>
    </row>
    <row r="40" spans="1:15">
      <c r="A40" s="418" t="s">
        <v>563</v>
      </c>
      <c r="B40" s="418" t="s">
        <v>892</v>
      </c>
      <c r="C40" s="418" t="s">
        <v>509</v>
      </c>
      <c r="D40" s="417">
        <v>550</v>
      </c>
      <c r="E40" s="417">
        <v>0</v>
      </c>
      <c r="F40" s="417">
        <f>D40*E40</f>
        <v>0</v>
      </c>
      <c r="G40" s="418" t="s">
        <v>19</v>
      </c>
      <c r="H40" s="417">
        <v>0</v>
      </c>
      <c r="I40" s="417">
        <f>D40*H40</f>
        <v>0</v>
      </c>
      <c r="J40" s="417">
        <f t="shared" si="8"/>
        <v>0</v>
      </c>
      <c r="K40" s="417">
        <f t="shared" si="8"/>
        <v>0</v>
      </c>
      <c r="L40" s="435" t="s">
        <v>962</v>
      </c>
      <c r="M40" s="418" t="s">
        <v>19</v>
      </c>
      <c r="N40" s="416"/>
      <c r="O40" s="416"/>
    </row>
    <row r="41" spans="1:15">
      <c r="A41" s="430" t="s">
        <v>19</v>
      </c>
      <c r="B41" s="430" t="s">
        <v>891</v>
      </c>
      <c r="C41" s="430" t="s">
        <v>19</v>
      </c>
      <c r="D41" s="431"/>
      <c r="E41" s="431"/>
      <c r="F41" s="431"/>
      <c r="G41" s="430" t="s">
        <v>19</v>
      </c>
      <c r="H41" s="431"/>
      <c r="I41" s="431"/>
      <c r="J41" s="431"/>
      <c r="K41" s="431"/>
      <c r="L41" s="436" t="s">
        <v>19</v>
      </c>
      <c r="M41" s="430" t="s">
        <v>19</v>
      </c>
      <c r="N41" s="416"/>
      <c r="O41" s="416"/>
    </row>
    <row r="42" spans="1:15">
      <c r="A42" s="430" t="s">
        <v>19</v>
      </c>
      <c r="B42" s="430" t="s">
        <v>890</v>
      </c>
      <c r="C42" s="430" t="s">
        <v>19</v>
      </c>
      <c r="D42" s="432"/>
      <c r="E42" s="432"/>
      <c r="F42" s="432"/>
      <c r="G42" s="430" t="s">
        <v>19</v>
      </c>
      <c r="H42" s="432"/>
      <c r="I42" s="432"/>
      <c r="J42" s="432"/>
      <c r="K42" s="432"/>
      <c r="L42" s="436" t="s">
        <v>19</v>
      </c>
      <c r="M42" s="430" t="s">
        <v>19</v>
      </c>
      <c r="N42" s="416"/>
      <c r="O42" s="416"/>
    </row>
    <row r="43" spans="1:15">
      <c r="A43" s="418" t="s">
        <v>572</v>
      </c>
      <c r="B43" s="418" t="s">
        <v>889</v>
      </c>
      <c r="C43" s="418" t="s">
        <v>509</v>
      </c>
      <c r="D43" s="417">
        <v>70</v>
      </c>
      <c r="E43" s="417">
        <v>0</v>
      </c>
      <c r="F43" s="417">
        <f t="shared" ref="F43:F49" si="9">D43*E43</f>
        <v>0</v>
      </c>
      <c r="G43" s="418" t="s">
        <v>19</v>
      </c>
      <c r="H43" s="417">
        <v>0</v>
      </c>
      <c r="I43" s="417">
        <f t="shared" ref="I43:I49" si="10">D43*H43</f>
        <v>0</v>
      </c>
      <c r="J43" s="417">
        <f t="shared" ref="J43:K49" si="11">E43+H43</f>
        <v>0</v>
      </c>
      <c r="K43" s="417">
        <f t="shared" si="11"/>
        <v>0</v>
      </c>
      <c r="L43" s="435" t="s">
        <v>962</v>
      </c>
      <c r="M43" s="418" t="s">
        <v>19</v>
      </c>
      <c r="N43" s="416"/>
      <c r="O43" s="416"/>
    </row>
    <row r="44" spans="1:15">
      <c r="A44" s="418" t="s">
        <v>580</v>
      </c>
      <c r="B44" s="418" t="s">
        <v>888</v>
      </c>
      <c r="C44" s="418" t="s">
        <v>509</v>
      </c>
      <c r="D44" s="417">
        <v>10</v>
      </c>
      <c r="E44" s="417">
        <v>0</v>
      </c>
      <c r="F44" s="417">
        <f t="shared" si="9"/>
        <v>0</v>
      </c>
      <c r="G44" s="418" t="s">
        <v>19</v>
      </c>
      <c r="H44" s="417">
        <v>0</v>
      </c>
      <c r="I44" s="417">
        <f t="shared" si="10"/>
        <v>0</v>
      </c>
      <c r="J44" s="417">
        <f t="shared" si="11"/>
        <v>0</v>
      </c>
      <c r="K44" s="417">
        <f t="shared" si="11"/>
        <v>0</v>
      </c>
      <c r="L44" s="435" t="s">
        <v>19</v>
      </c>
      <c r="M44" s="418" t="s">
        <v>19</v>
      </c>
      <c r="N44" s="416"/>
      <c r="O44" s="416"/>
    </row>
    <row r="45" spans="1:15">
      <c r="A45" s="418" t="s">
        <v>585</v>
      </c>
      <c r="B45" s="418" t="s">
        <v>887</v>
      </c>
      <c r="C45" s="418" t="s">
        <v>509</v>
      </c>
      <c r="D45" s="417">
        <v>700</v>
      </c>
      <c r="E45" s="417">
        <v>0</v>
      </c>
      <c r="F45" s="417">
        <f t="shared" si="9"/>
        <v>0</v>
      </c>
      <c r="G45" s="418" t="s">
        <v>19</v>
      </c>
      <c r="H45" s="417">
        <v>0</v>
      </c>
      <c r="I45" s="417">
        <f t="shared" si="10"/>
        <v>0</v>
      </c>
      <c r="J45" s="417">
        <f t="shared" si="11"/>
        <v>0</v>
      </c>
      <c r="K45" s="417">
        <f t="shared" si="11"/>
        <v>0</v>
      </c>
      <c r="L45" s="435" t="s">
        <v>19</v>
      </c>
      <c r="M45" s="418" t="s">
        <v>19</v>
      </c>
      <c r="N45" s="416"/>
      <c r="O45" s="416"/>
    </row>
    <row r="46" spans="1:15">
      <c r="A46" s="418" t="s">
        <v>589</v>
      </c>
      <c r="B46" s="418" t="s">
        <v>886</v>
      </c>
      <c r="C46" s="418" t="s">
        <v>743</v>
      </c>
      <c r="D46" s="417">
        <v>39</v>
      </c>
      <c r="E46" s="417">
        <v>0</v>
      </c>
      <c r="F46" s="417">
        <f t="shared" si="9"/>
        <v>0</v>
      </c>
      <c r="G46" s="418" t="s">
        <v>19</v>
      </c>
      <c r="H46" s="417">
        <v>0</v>
      </c>
      <c r="I46" s="417">
        <f t="shared" si="10"/>
        <v>0</v>
      </c>
      <c r="J46" s="417">
        <f t="shared" si="11"/>
        <v>0</v>
      </c>
      <c r="K46" s="417">
        <f t="shared" si="11"/>
        <v>0</v>
      </c>
      <c r="L46" s="435" t="s">
        <v>19</v>
      </c>
      <c r="M46" s="418" t="s">
        <v>19</v>
      </c>
      <c r="N46" s="416"/>
      <c r="O46" s="416"/>
    </row>
    <row r="47" spans="1:15">
      <c r="A47" s="418" t="s">
        <v>592</v>
      </c>
      <c r="B47" s="418" t="s">
        <v>885</v>
      </c>
      <c r="C47" s="418" t="s">
        <v>743</v>
      </c>
      <c r="D47" s="417">
        <v>121</v>
      </c>
      <c r="E47" s="417">
        <v>0</v>
      </c>
      <c r="F47" s="417">
        <f t="shared" si="9"/>
        <v>0</v>
      </c>
      <c r="G47" s="418" t="s">
        <v>19</v>
      </c>
      <c r="H47" s="417">
        <v>0</v>
      </c>
      <c r="I47" s="417">
        <f t="shared" si="10"/>
        <v>0</v>
      </c>
      <c r="J47" s="417">
        <f t="shared" si="11"/>
        <v>0</v>
      </c>
      <c r="K47" s="417">
        <f t="shared" si="11"/>
        <v>0</v>
      </c>
      <c r="L47" s="435" t="s">
        <v>19</v>
      </c>
      <c r="M47" s="418" t="s">
        <v>19</v>
      </c>
      <c r="N47" s="416"/>
      <c r="O47" s="416"/>
    </row>
    <row r="48" spans="1:15">
      <c r="A48" s="418" t="s">
        <v>597</v>
      </c>
      <c r="B48" s="418" t="s">
        <v>884</v>
      </c>
      <c r="C48" s="418" t="s">
        <v>509</v>
      </c>
      <c r="D48" s="417">
        <v>50</v>
      </c>
      <c r="E48" s="417">
        <v>0</v>
      </c>
      <c r="F48" s="417">
        <f t="shared" si="9"/>
        <v>0</v>
      </c>
      <c r="G48" s="418" t="s">
        <v>19</v>
      </c>
      <c r="H48" s="417">
        <v>0</v>
      </c>
      <c r="I48" s="417">
        <f t="shared" si="10"/>
        <v>0</v>
      </c>
      <c r="J48" s="417">
        <f t="shared" si="11"/>
        <v>0</v>
      </c>
      <c r="K48" s="417">
        <f t="shared" si="11"/>
        <v>0</v>
      </c>
      <c r="L48" s="435" t="s">
        <v>19</v>
      </c>
      <c r="M48" s="418" t="s">
        <v>19</v>
      </c>
      <c r="N48" s="416"/>
      <c r="O48" s="416"/>
    </row>
    <row r="49" spans="1:15">
      <c r="A49" s="418" t="s">
        <v>604</v>
      </c>
      <c r="B49" s="418" t="s">
        <v>883</v>
      </c>
      <c r="C49" s="418" t="s">
        <v>882</v>
      </c>
      <c r="D49" s="417">
        <v>3</v>
      </c>
      <c r="E49" s="417">
        <v>0</v>
      </c>
      <c r="F49" s="417">
        <f t="shared" si="9"/>
        <v>0</v>
      </c>
      <c r="G49" s="418" t="s">
        <v>19</v>
      </c>
      <c r="H49" s="417">
        <v>0</v>
      </c>
      <c r="I49" s="417">
        <f t="shared" si="10"/>
        <v>0</v>
      </c>
      <c r="J49" s="417">
        <f t="shared" si="11"/>
        <v>0</v>
      </c>
      <c r="K49" s="417">
        <f t="shared" si="11"/>
        <v>0</v>
      </c>
      <c r="L49" s="435" t="s">
        <v>19</v>
      </c>
      <c r="M49" s="418" t="s">
        <v>19</v>
      </c>
      <c r="N49" s="416"/>
      <c r="O49" s="416"/>
    </row>
    <row r="50" spans="1:15">
      <c r="A50" s="430" t="s">
        <v>19</v>
      </c>
      <c r="B50" s="430" t="s">
        <v>881</v>
      </c>
      <c r="C50" s="430" t="s">
        <v>19</v>
      </c>
      <c r="D50" s="431"/>
      <c r="E50" s="431"/>
      <c r="F50" s="431"/>
      <c r="G50" s="430" t="s">
        <v>19</v>
      </c>
      <c r="H50" s="431"/>
      <c r="I50" s="431"/>
      <c r="J50" s="431"/>
      <c r="K50" s="431"/>
      <c r="L50" s="436" t="s">
        <v>19</v>
      </c>
      <c r="M50" s="430" t="s">
        <v>19</v>
      </c>
      <c r="N50" s="416"/>
      <c r="O50" s="416"/>
    </row>
    <row r="51" spans="1:15">
      <c r="A51" s="418" t="s">
        <v>608</v>
      </c>
      <c r="B51" s="418" t="s">
        <v>878</v>
      </c>
      <c r="C51" s="418" t="s">
        <v>743</v>
      </c>
      <c r="D51" s="417">
        <v>2</v>
      </c>
      <c r="E51" s="417">
        <v>0</v>
      </c>
      <c r="F51" s="417">
        <f>D51*E51</f>
        <v>0</v>
      </c>
      <c r="G51" s="418" t="s">
        <v>880</v>
      </c>
      <c r="H51" s="417">
        <v>0</v>
      </c>
      <c r="I51" s="417">
        <f>D51*H51</f>
        <v>0</v>
      </c>
      <c r="J51" s="417">
        <f>E51+H51</f>
        <v>0</v>
      </c>
      <c r="K51" s="417">
        <f>F51+I51</f>
        <v>0</v>
      </c>
      <c r="L51" s="435" t="s">
        <v>19</v>
      </c>
      <c r="M51" s="418" t="s">
        <v>19</v>
      </c>
      <c r="N51" s="416"/>
      <c r="O51" s="416"/>
    </row>
    <row r="52" spans="1:15">
      <c r="A52" s="430" t="s">
        <v>19</v>
      </c>
      <c r="B52" s="430" t="s">
        <v>879</v>
      </c>
      <c r="C52" s="430" t="s">
        <v>19</v>
      </c>
      <c r="D52" s="431"/>
      <c r="E52" s="431"/>
      <c r="F52" s="431"/>
      <c r="G52" s="430" t="s">
        <v>19</v>
      </c>
      <c r="H52" s="431"/>
      <c r="I52" s="431"/>
      <c r="J52" s="431"/>
      <c r="K52" s="431"/>
      <c r="L52" s="436" t="s">
        <v>19</v>
      </c>
      <c r="M52" s="430" t="s">
        <v>19</v>
      </c>
      <c r="N52" s="416"/>
      <c r="O52" s="416"/>
    </row>
    <row r="53" spans="1:15">
      <c r="A53" s="418" t="s">
        <v>612</v>
      </c>
      <c r="B53" s="418" t="s">
        <v>878</v>
      </c>
      <c r="C53" s="418" t="s">
        <v>743</v>
      </c>
      <c r="D53" s="417">
        <v>3</v>
      </c>
      <c r="E53" s="417">
        <v>0</v>
      </c>
      <c r="F53" s="417">
        <f>D53*E53</f>
        <v>0</v>
      </c>
      <c r="G53" s="418" t="s">
        <v>877</v>
      </c>
      <c r="H53" s="417">
        <v>0</v>
      </c>
      <c r="I53" s="417">
        <f>D53*H53</f>
        <v>0</v>
      </c>
      <c r="J53" s="417">
        <f>E53+H53</f>
        <v>0</v>
      </c>
      <c r="K53" s="417">
        <f>F53+I53</f>
        <v>0</v>
      </c>
      <c r="L53" s="435" t="s">
        <v>19</v>
      </c>
      <c r="M53" s="418" t="s">
        <v>19</v>
      </c>
      <c r="N53" s="416"/>
      <c r="O53" s="416"/>
    </row>
    <row r="54" spans="1:15">
      <c r="A54" s="430" t="s">
        <v>19</v>
      </c>
      <c r="B54" s="430" t="s">
        <v>876</v>
      </c>
      <c r="C54" s="430" t="s">
        <v>19</v>
      </c>
      <c r="D54" s="431"/>
      <c r="E54" s="431"/>
      <c r="F54" s="431"/>
      <c r="G54" s="430" t="s">
        <v>19</v>
      </c>
      <c r="H54" s="431"/>
      <c r="I54" s="431"/>
      <c r="J54" s="431"/>
      <c r="K54" s="431"/>
      <c r="L54" s="436" t="s">
        <v>19</v>
      </c>
      <c r="M54" s="430" t="s">
        <v>19</v>
      </c>
      <c r="N54" s="416"/>
      <c r="O54" s="416"/>
    </row>
    <row r="55" spans="1:15">
      <c r="A55" s="418" t="s">
        <v>618</v>
      </c>
      <c r="B55" s="418" t="s">
        <v>875</v>
      </c>
      <c r="C55" s="418" t="s">
        <v>743</v>
      </c>
      <c r="D55" s="417">
        <v>27</v>
      </c>
      <c r="E55" s="417">
        <v>0</v>
      </c>
      <c r="F55" s="417">
        <f>D55*E55</f>
        <v>0</v>
      </c>
      <c r="G55" s="418" t="s">
        <v>874</v>
      </c>
      <c r="H55" s="417">
        <v>0</v>
      </c>
      <c r="I55" s="417">
        <f>D55*H55</f>
        <v>0</v>
      </c>
      <c r="J55" s="417">
        <f>E55+H55</f>
        <v>0</v>
      </c>
      <c r="K55" s="417">
        <f>F55+I55</f>
        <v>0</v>
      </c>
      <c r="L55" s="435" t="s">
        <v>19</v>
      </c>
      <c r="M55" s="418" t="s">
        <v>19</v>
      </c>
      <c r="N55" s="416"/>
      <c r="O55" s="416"/>
    </row>
    <row r="56" spans="1:15">
      <c r="A56" s="430" t="s">
        <v>19</v>
      </c>
      <c r="B56" s="430" t="s">
        <v>873</v>
      </c>
      <c r="C56" s="430" t="s">
        <v>19</v>
      </c>
      <c r="D56" s="431"/>
      <c r="E56" s="431"/>
      <c r="F56" s="431"/>
      <c r="G56" s="430" t="s">
        <v>19</v>
      </c>
      <c r="H56" s="431"/>
      <c r="I56" s="431"/>
      <c r="J56" s="431"/>
      <c r="K56" s="431"/>
      <c r="L56" s="436" t="s">
        <v>19</v>
      </c>
      <c r="M56" s="430" t="s">
        <v>19</v>
      </c>
      <c r="N56" s="416"/>
      <c r="O56" s="416"/>
    </row>
    <row r="57" spans="1:15">
      <c r="A57" s="418" t="s">
        <v>624</v>
      </c>
      <c r="B57" s="418" t="s">
        <v>872</v>
      </c>
      <c r="C57" s="418" t="s">
        <v>871</v>
      </c>
      <c r="D57" s="417">
        <v>48</v>
      </c>
      <c r="E57" s="417">
        <v>0</v>
      </c>
      <c r="F57" s="417">
        <f>D57*E57</f>
        <v>0</v>
      </c>
      <c r="G57" s="418" t="s">
        <v>19</v>
      </c>
      <c r="H57" s="417">
        <v>0</v>
      </c>
      <c r="I57" s="417">
        <f>D57*H57</f>
        <v>0</v>
      </c>
      <c r="J57" s="417">
        <f>E57+H57</f>
        <v>0</v>
      </c>
      <c r="K57" s="417">
        <f>F57+I57</f>
        <v>0</v>
      </c>
      <c r="L57" s="435" t="s">
        <v>19</v>
      </c>
      <c r="M57" s="418" t="s">
        <v>19</v>
      </c>
      <c r="N57" s="416"/>
      <c r="O57" s="416"/>
    </row>
    <row r="58" spans="1:15">
      <c r="A58" s="430" t="s">
        <v>19</v>
      </c>
      <c r="B58" s="430" t="s">
        <v>870</v>
      </c>
      <c r="C58" s="430" t="s">
        <v>19</v>
      </c>
      <c r="D58" s="431"/>
      <c r="E58" s="431"/>
      <c r="F58" s="431"/>
      <c r="G58" s="430" t="s">
        <v>19</v>
      </c>
      <c r="H58" s="431"/>
      <c r="I58" s="431"/>
      <c r="J58" s="431"/>
      <c r="K58" s="431"/>
      <c r="L58" s="436" t="s">
        <v>19</v>
      </c>
      <c r="M58" s="430" t="s">
        <v>19</v>
      </c>
      <c r="N58" s="416"/>
      <c r="O58" s="416"/>
    </row>
    <row r="59" spans="1:15">
      <c r="A59" s="418" t="s">
        <v>630</v>
      </c>
      <c r="B59" s="418" t="s">
        <v>869</v>
      </c>
      <c r="C59" s="418" t="s">
        <v>743</v>
      </c>
      <c r="D59" s="417">
        <v>1</v>
      </c>
      <c r="E59" s="417">
        <v>0</v>
      </c>
      <c r="F59" s="417">
        <f>D59*E59</f>
        <v>0</v>
      </c>
      <c r="G59" s="418" t="s">
        <v>868</v>
      </c>
      <c r="H59" s="417">
        <v>0</v>
      </c>
      <c r="I59" s="417">
        <f>D59*H59</f>
        <v>0</v>
      </c>
      <c r="J59" s="417">
        <f>E59+H59</f>
        <v>0</v>
      </c>
      <c r="K59" s="417">
        <f>F59+I59</f>
        <v>0</v>
      </c>
      <c r="L59" s="435" t="s">
        <v>19</v>
      </c>
      <c r="M59" s="418" t="s">
        <v>19</v>
      </c>
      <c r="N59" s="416"/>
      <c r="O59" s="416"/>
    </row>
    <row r="60" spans="1:15">
      <c r="A60" s="424" t="s">
        <v>19</v>
      </c>
      <c r="B60" s="424" t="s">
        <v>867</v>
      </c>
      <c r="C60" s="424" t="s">
        <v>19</v>
      </c>
      <c r="D60" s="423"/>
      <c r="E60" s="423"/>
      <c r="F60" s="423">
        <f>SUM(F3:F59)</f>
        <v>0</v>
      </c>
      <c r="G60" s="424" t="s">
        <v>19</v>
      </c>
      <c r="H60" s="423"/>
      <c r="I60" s="423">
        <f>SUM(I3:I59)</f>
        <v>0</v>
      </c>
      <c r="J60" s="423"/>
      <c r="K60" s="423">
        <f>SUM(K3:K59)</f>
        <v>0</v>
      </c>
      <c r="L60" s="437" t="s">
        <v>19</v>
      </c>
      <c r="M60" s="424" t="s">
        <v>19</v>
      </c>
      <c r="N60" s="416"/>
      <c r="O60" s="416"/>
    </row>
    <row r="61" spans="1:15">
      <c r="A61" s="418" t="s">
        <v>19</v>
      </c>
      <c r="B61" s="418" t="s">
        <v>19</v>
      </c>
      <c r="C61" s="418" t="s">
        <v>19</v>
      </c>
      <c r="D61" s="417"/>
      <c r="E61" s="417"/>
      <c r="F61" s="417"/>
      <c r="G61" s="418" t="s">
        <v>19</v>
      </c>
      <c r="H61" s="417"/>
      <c r="I61" s="417"/>
      <c r="J61" s="417">
        <f>E61+H61</f>
        <v>0</v>
      </c>
      <c r="K61" s="417">
        <f>F61+I61</f>
        <v>0</v>
      </c>
      <c r="L61" s="435" t="s">
        <v>19</v>
      </c>
      <c r="M61" s="418" t="s">
        <v>19</v>
      </c>
      <c r="N61" s="416"/>
      <c r="O61" s="416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"/>
  <sheetViews>
    <sheetView showGridLines="0" topLeftCell="A71" workbookViewId="0">
      <selection activeCell="I92" sqref="I9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5" t="s">
        <v>94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8"/>
      <c r="AT3" s="15" t="s">
        <v>85</v>
      </c>
    </row>
    <row r="4" spans="1:46" s="1" customFormat="1" ht="24.95" customHeight="1">
      <c r="B4" s="18"/>
      <c r="D4" s="103" t="s">
        <v>95</v>
      </c>
      <c r="I4" s="99"/>
      <c r="L4" s="18"/>
      <c r="M4" s="104" t="s">
        <v>10</v>
      </c>
      <c r="AT4" s="15" t="s">
        <v>4</v>
      </c>
    </row>
    <row r="5" spans="1:46" s="1" customFormat="1" ht="6.95" customHeight="1">
      <c r="B5" s="18"/>
      <c r="I5" s="99"/>
      <c r="L5" s="18"/>
    </row>
    <row r="6" spans="1:46" s="1" customFormat="1" ht="12" customHeight="1">
      <c r="B6" s="18"/>
      <c r="D6" s="105" t="s">
        <v>16</v>
      </c>
      <c r="I6" s="99"/>
      <c r="L6" s="18"/>
    </row>
    <row r="7" spans="1:46" s="1" customFormat="1" ht="16.5" customHeight="1">
      <c r="B7" s="18"/>
      <c r="E7" s="481" t="str">
        <f>'Rekapitulace stavby'!K6</f>
        <v>Komplexní klimatizace v objektu MZe Žďár n.S.</v>
      </c>
      <c r="F7" s="482"/>
      <c r="G7" s="482"/>
      <c r="H7" s="482"/>
      <c r="I7" s="99"/>
      <c r="L7" s="18"/>
    </row>
    <row r="8" spans="1:46" s="2" customFormat="1" ht="12" customHeight="1">
      <c r="A8" s="32"/>
      <c r="B8" s="37"/>
      <c r="C8" s="32"/>
      <c r="D8" s="105" t="s">
        <v>96</v>
      </c>
      <c r="E8" s="32"/>
      <c r="F8" s="32"/>
      <c r="G8" s="32"/>
      <c r="H8" s="32"/>
      <c r="I8" s="106"/>
      <c r="J8" s="32"/>
      <c r="K8" s="32"/>
      <c r="L8" s="10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483" t="s">
        <v>132</v>
      </c>
      <c r="F9" s="484"/>
      <c r="G9" s="484"/>
      <c r="H9" s="484"/>
      <c r="I9" s="106"/>
      <c r="J9" s="32"/>
      <c r="K9" s="32"/>
      <c r="L9" s="10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06"/>
      <c r="J10" s="32"/>
      <c r="K10" s="32"/>
      <c r="L10" s="10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5" t="s">
        <v>18</v>
      </c>
      <c r="E11" s="32"/>
      <c r="F11" s="108" t="s">
        <v>19</v>
      </c>
      <c r="G11" s="32"/>
      <c r="H11" s="32"/>
      <c r="I11" s="109" t="s">
        <v>20</v>
      </c>
      <c r="J11" s="108" t="s">
        <v>19</v>
      </c>
      <c r="K11" s="32"/>
      <c r="L11" s="10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5" t="s">
        <v>21</v>
      </c>
      <c r="E12" s="32"/>
      <c r="F12" s="108" t="s">
        <v>22</v>
      </c>
      <c r="G12" s="32"/>
      <c r="H12" s="32"/>
      <c r="I12" s="109" t="s">
        <v>23</v>
      </c>
      <c r="J12" s="110" t="str">
        <f>'Rekapitulace stavby'!AN8</f>
        <v>21. 2. 2020</v>
      </c>
      <c r="K12" s="32"/>
      <c r="L12" s="10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06"/>
      <c r="J13" s="32"/>
      <c r="K13" s="32"/>
      <c r="L13" s="10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5" t="s">
        <v>25</v>
      </c>
      <c r="E14" s="32"/>
      <c r="F14" s="32"/>
      <c r="G14" s="32"/>
      <c r="H14" s="32"/>
      <c r="I14" s="109" t="s">
        <v>26</v>
      </c>
      <c r="J14" s="108" t="s">
        <v>27</v>
      </c>
      <c r="K14" s="32"/>
      <c r="L14" s="10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">
        <v>28</v>
      </c>
      <c r="F15" s="32"/>
      <c r="G15" s="32"/>
      <c r="H15" s="32"/>
      <c r="I15" s="109" t="s">
        <v>29</v>
      </c>
      <c r="J15" s="108" t="s">
        <v>30</v>
      </c>
      <c r="K15" s="32"/>
      <c r="L15" s="10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06"/>
      <c r="J16" s="32"/>
      <c r="K16" s="32"/>
      <c r="L16" s="10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5" t="s">
        <v>31</v>
      </c>
      <c r="E17" s="32"/>
      <c r="F17" s="32"/>
      <c r="G17" s="32"/>
      <c r="H17" s="32"/>
      <c r="I17" s="109" t="s">
        <v>26</v>
      </c>
      <c r="J17" s="28" t="str">
        <f>'Rekapitulace stavby'!AN13</f>
        <v>Vyplň údaj</v>
      </c>
      <c r="K17" s="32"/>
      <c r="L17" s="10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485" t="str">
        <f>'Rekapitulace stavby'!E14</f>
        <v>Vyplň údaj</v>
      </c>
      <c r="F18" s="486"/>
      <c r="G18" s="486"/>
      <c r="H18" s="486"/>
      <c r="I18" s="109" t="s">
        <v>29</v>
      </c>
      <c r="J18" s="28" t="str">
        <f>'Rekapitulace stavby'!AN14</f>
        <v>Vyplň údaj</v>
      </c>
      <c r="K18" s="32"/>
      <c r="L18" s="10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06"/>
      <c r="J19" s="32"/>
      <c r="K19" s="32"/>
      <c r="L19" s="10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5" t="s">
        <v>33</v>
      </c>
      <c r="E20" s="32"/>
      <c r="F20" s="32"/>
      <c r="G20" s="32"/>
      <c r="H20" s="32"/>
      <c r="I20" s="109" t="s">
        <v>26</v>
      </c>
      <c r="J20" s="108" t="s">
        <v>34</v>
      </c>
      <c r="K20" s="32"/>
      <c r="L20" s="10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">
        <v>35</v>
      </c>
      <c r="F21" s="32"/>
      <c r="G21" s="32"/>
      <c r="H21" s="32"/>
      <c r="I21" s="109" t="s">
        <v>29</v>
      </c>
      <c r="J21" s="108" t="s">
        <v>36</v>
      </c>
      <c r="K21" s="32"/>
      <c r="L21" s="10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06"/>
      <c r="J22" s="32"/>
      <c r="K22" s="32"/>
      <c r="L22" s="10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5" t="s">
        <v>38</v>
      </c>
      <c r="E23" s="32"/>
      <c r="F23" s="32"/>
      <c r="G23" s="32"/>
      <c r="H23" s="32"/>
      <c r="I23" s="109" t="s">
        <v>26</v>
      </c>
      <c r="J23" s="108" t="s">
        <v>34</v>
      </c>
      <c r="K23" s="32"/>
      <c r="L23" s="10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">
        <v>35</v>
      </c>
      <c r="F24" s="32"/>
      <c r="G24" s="32"/>
      <c r="H24" s="32"/>
      <c r="I24" s="109" t="s">
        <v>29</v>
      </c>
      <c r="J24" s="108" t="s">
        <v>36</v>
      </c>
      <c r="K24" s="32"/>
      <c r="L24" s="10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06"/>
      <c r="J25" s="32"/>
      <c r="K25" s="32"/>
      <c r="L25" s="10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5" t="s">
        <v>39</v>
      </c>
      <c r="E26" s="32"/>
      <c r="F26" s="32"/>
      <c r="G26" s="32"/>
      <c r="H26" s="32"/>
      <c r="I26" s="106"/>
      <c r="J26" s="32"/>
      <c r="K26" s="32"/>
      <c r="L26" s="10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1"/>
      <c r="B27" s="112"/>
      <c r="C27" s="111"/>
      <c r="D27" s="111"/>
      <c r="E27" s="487" t="s">
        <v>19</v>
      </c>
      <c r="F27" s="487"/>
      <c r="G27" s="487"/>
      <c r="H27" s="487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06"/>
      <c r="J28" s="32"/>
      <c r="K28" s="32"/>
      <c r="L28" s="10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5"/>
      <c r="E29" s="115"/>
      <c r="F29" s="115"/>
      <c r="G29" s="115"/>
      <c r="H29" s="115"/>
      <c r="I29" s="116"/>
      <c r="J29" s="115"/>
      <c r="K29" s="115"/>
      <c r="L29" s="10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41</v>
      </c>
      <c r="E30" s="32"/>
      <c r="F30" s="32"/>
      <c r="G30" s="32"/>
      <c r="H30" s="32"/>
      <c r="I30" s="106"/>
      <c r="J30" s="118">
        <f>ROUND(J81, 2)</f>
        <v>0</v>
      </c>
      <c r="K30" s="32"/>
      <c r="L30" s="10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5"/>
      <c r="E31" s="115"/>
      <c r="F31" s="115"/>
      <c r="G31" s="115"/>
      <c r="H31" s="115"/>
      <c r="I31" s="116"/>
      <c r="J31" s="115"/>
      <c r="K31" s="115"/>
      <c r="L31" s="10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43</v>
      </c>
      <c r="G32" s="32"/>
      <c r="H32" s="32"/>
      <c r="I32" s="120" t="s">
        <v>42</v>
      </c>
      <c r="J32" s="119" t="s">
        <v>44</v>
      </c>
      <c r="K32" s="32"/>
      <c r="L32" s="10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1" t="s">
        <v>45</v>
      </c>
      <c r="E33" s="105" t="s">
        <v>46</v>
      </c>
      <c r="F33" s="122">
        <f>ROUND((SUM(BE81:BE84)),  2)</f>
        <v>0</v>
      </c>
      <c r="G33" s="32"/>
      <c r="H33" s="32"/>
      <c r="I33" s="123">
        <v>0.21</v>
      </c>
      <c r="J33" s="122">
        <f>ROUND(((SUM(BE81:BE84))*I33),  2)</f>
        <v>0</v>
      </c>
      <c r="K33" s="32"/>
      <c r="L33" s="10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5" t="s">
        <v>47</v>
      </c>
      <c r="F34" s="122">
        <f>ROUND((SUM(BF81:BF84)),  2)</f>
        <v>0</v>
      </c>
      <c r="G34" s="32"/>
      <c r="H34" s="32"/>
      <c r="I34" s="123">
        <v>0.15</v>
      </c>
      <c r="J34" s="122">
        <f>ROUND(((SUM(BF81:BF84))*I34),  2)</f>
        <v>0</v>
      </c>
      <c r="K34" s="32"/>
      <c r="L34" s="10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5" t="s">
        <v>48</v>
      </c>
      <c r="F35" s="122">
        <f>ROUND((SUM(BG81:BG84)),  2)</f>
        <v>0</v>
      </c>
      <c r="G35" s="32"/>
      <c r="H35" s="32"/>
      <c r="I35" s="123">
        <v>0.21</v>
      </c>
      <c r="J35" s="122">
        <f>0</f>
        <v>0</v>
      </c>
      <c r="K35" s="32"/>
      <c r="L35" s="10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5" t="s">
        <v>49</v>
      </c>
      <c r="F36" s="122">
        <f>ROUND((SUM(BH81:BH84)),  2)</f>
        <v>0</v>
      </c>
      <c r="G36" s="32"/>
      <c r="H36" s="32"/>
      <c r="I36" s="123">
        <v>0.15</v>
      </c>
      <c r="J36" s="122">
        <f>0</f>
        <v>0</v>
      </c>
      <c r="K36" s="32"/>
      <c r="L36" s="10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5" t="s">
        <v>50</v>
      </c>
      <c r="F37" s="122">
        <f>ROUND((SUM(BI81:BI84)),  2)</f>
        <v>0</v>
      </c>
      <c r="G37" s="32"/>
      <c r="H37" s="32"/>
      <c r="I37" s="123">
        <v>0</v>
      </c>
      <c r="J37" s="122">
        <f>0</f>
        <v>0</v>
      </c>
      <c r="K37" s="32"/>
      <c r="L37" s="10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06"/>
      <c r="J38" s="32"/>
      <c r="K38" s="32"/>
      <c r="L38" s="10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4"/>
      <c r="D39" s="125" t="s">
        <v>51</v>
      </c>
      <c r="E39" s="126"/>
      <c r="F39" s="126"/>
      <c r="G39" s="127" t="s">
        <v>52</v>
      </c>
      <c r="H39" s="128" t="s">
        <v>53</v>
      </c>
      <c r="I39" s="129"/>
      <c r="J39" s="130">
        <f>SUM(J30:J37)</f>
        <v>0</v>
      </c>
      <c r="K39" s="131"/>
      <c r="L39" s="10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106"/>
      <c r="J45" s="34"/>
      <c r="K45" s="34"/>
      <c r="L45" s="10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10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106"/>
      <c r="J47" s="34"/>
      <c r="K47" s="34"/>
      <c r="L47" s="10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479" t="str">
        <f>E7</f>
        <v>Komplexní klimatizace v objektu MZe Žďár n.S.</v>
      </c>
      <c r="F48" s="480"/>
      <c r="G48" s="480"/>
      <c r="H48" s="480"/>
      <c r="I48" s="106"/>
      <c r="J48" s="34"/>
      <c r="K48" s="34"/>
      <c r="L48" s="10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96</v>
      </c>
      <c r="D49" s="34"/>
      <c r="E49" s="34"/>
      <c r="F49" s="34"/>
      <c r="G49" s="34"/>
      <c r="H49" s="34"/>
      <c r="I49" s="106"/>
      <c r="J49" s="34"/>
      <c r="K49" s="34"/>
      <c r="L49" s="10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458" t="str">
        <f>E9</f>
        <v>D.1.4.3 - Zdravotnětechnické instalace</v>
      </c>
      <c r="F50" s="478"/>
      <c r="G50" s="478"/>
      <c r="H50" s="478"/>
      <c r="I50" s="106"/>
      <c r="J50" s="34"/>
      <c r="K50" s="34"/>
      <c r="L50" s="10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10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4"/>
      <c r="E52" s="34"/>
      <c r="F52" s="25" t="str">
        <f>F12</f>
        <v>Žďár nad Sázavou</v>
      </c>
      <c r="G52" s="34"/>
      <c r="H52" s="34"/>
      <c r="I52" s="109" t="s">
        <v>23</v>
      </c>
      <c r="J52" s="57" t="str">
        <f>IF(J12="","",J12)</f>
        <v>21. 2. 2020</v>
      </c>
      <c r="K52" s="34"/>
      <c r="L52" s="10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10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>
      <c r="A54" s="32"/>
      <c r="B54" s="33"/>
      <c r="C54" s="27" t="s">
        <v>25</v>
      </c>
      <c r="D54" s="34"/>
      <c r="E54" s="34"/>
      <c r="F54" s="25" t="str">
        <f>E15</f>
        <v>Česká republika - Ministerstvo zemědělství</v>
      </c>
      <c r="G54" s="34"/>
      <c r="H54" s="34"/>
      <c r="I54" s="109" t="s">
        <v>33</v>
      </c>
      <c r="J54" s="30" t="str">
        <f>E21</f>
        <v>NCI.CZ ENGINEERING s.r.o.</v>
      </c>
      <c r="K54" s="34"/>
      <c r="L54" s="10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>
      <c r="A55" s="32"/>
      <c r="B55" s="33"/>
      <c r="C55" s="27" t="s">
        <v>31</v>
      </c>
      <c r="D55" s="34"/>
      <c r="E55" s="34"/>
      <c r="F55" s="25" t="str">
        <f>IF(E18="","",E18)</f>
        <v>Vyplň údaj</v>
      </c>
      <c r="G55" s="34"/>
      <c r="H55" s="34"/>
      <c r="I55" s="109" t="s">
        <v>38</v>
      </c>
      <c r="J55" s="30" t="str">
        <f>E24</f>
        <v>NCI.CZ ENGINEERING s.r.o.</v>
      </c>
      <c r="K55" s="34"/>
      <c r="L55" s="10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10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38" t="s">
        <v>99</v>
      </c>
      <c r="D57" s="139"/>
      <c r="E57" s="139"/>
      <c r="F57" s="139"/>
      <c r="G57" s="139"/>
      <c r="H57" s="139"/>
      <c r="I57" s="140"/>
      <c r="J57" s="141" t="s">
        <v>100</v>
      </c>
      <c r="K57" s="139"/>
      <c r="L57" s="10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10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42" t="s">
        <v>73</v>
      </c>
      <c r="D59" s="34"/>
      <c r="E59" s="34"/>
      <c r="F59" s="34"/>
      <c r="G59" s="34"/>
      <c r="H59" s="34"/>
      <c r="I59" s="106"/>
      <c r="J59" s="75">
        <f>J81</f>
        <v>0</v>
      </c>
      <c r="K59" s="34"/>
      <c r="L59" s="10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5" customHeight="1">
      <c r="B60" s="143"/>
      <c r="C60" s="144"/>
      <c r="D60" s="145" t="s">
        <v>102</v>
      </c>
      <c r="E60" s="146"/>
      <c r="F60" s="146"/>
      <c r="G60" s="146"/>
      <c r="H60" s="146"/>
      <c r="I60" s="147"/>
      <c r="J60" s="148">
        <f>J82</f>
        <v>0</v>
      </c>
      <c r="K60" s="144"/>
      <c r="L60" s="149"/>
    </row>
    <row r="61" spans="1:47" s="10" customFormat="1" ht="19.899999999999999" customHeight="1">
      <c r="B61" s="150"/>
      <c r="C61" s="151"/>
      <c r="D61" s="152" t="s">
        <v>103</v>
      </c>
      <c r="E61" s="153"/>
      <c r="F61" s="153"/>
      <c r="G61" s="153"/>
      <c r="H61" s="153"/>
      <c r="I61" s="154"/>
      <c r="J61" s="155">
        <f>J83</f>
        <v>0</v>
      </c>
      <c r="K61" s="151"/>
      <c r="L61" s="156"/>
    </row>
    <row r="62" spans="1:47" s="2" customFormat="1" ht="21.75" customHeight="1">
      <c r="A62" s="32"/>
      <c r="B62" s="33"/>
      <c r="C62" s="34"/>
      <c r="D62" s="34"/>
      <c r="E62" s="34"/>
      <c r="F62" s="34"/>
      <c r="G62" s="34"/>
      <c r="H62" s="34"/>
      <c r="I62" s="106"/>
      <c r="J62" s="34"/>
      <c r="K62" s="34"/>
      <c r="L62" s="10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>
      <c r="A63" s="32"/>
      <c r="B63" s="45"/>
      <c r="C63" s="46"/>
      <c r="D63" s="46"/>
      <c r="E63" s="46"/>
      <c r="F63" s="46"/>
      <c r="G63" s="46"/>
      <c r="H63" s="46"/>
      <c r="I63" s="134"/>
      <c r="J63" s="46"/>
      <c r="K63" s="46"/>
      <c r="L63" s="10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>
      <c r="A67" s="32"/>
      <c r="B67" s="47"/>
      <c r="C67" s="48"/>
      <c r="D67" s="48"/>
      <c r="E67" s="48"/>
      <c r="F67" s="48"/>
      <c r="G67" s="48"/>
      <c r="H67" s="48"/>
      <c r="I67" s="137"/>
      <c r="J67" s="48"/>
      <c r="K67" s="48"/>
      <c r="L67" s="10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106"/>
      <c r="J68" s="34"/>
      <c r="K68" s="34"/>
      <c r="L68" s="10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106"/>
      <c r="J69" s="34"/>
      <c r="K69" s="34"/>
      <c r="L69" s="10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106"/>
      <c r="J70" s="34"/>
      <c r="K70" s="34"/>
      <c r="L70" s="10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4"/>
      <c r="D71" s="34"/>
      <c r="E71" s="479" t="str">
        <f>E7</f>
        <v>Komplexní klimatizace v objektu MZe Žďár n.S.</v>
      </c>
      <c r="F71" s="480"/>
      <c r="G71" s="480"/>
      <c r="H71" s="480"/>
      <c r="I71" s="106"/>
      <c r="J71" s="34"/>
      <c r="K71" s="34"/>
      <c r="L71" s="10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96</v>
      </c>
      <c r="D72" s="34"/>
      <c r="E72" s="34"/>
      <c r="F72" s="34"/>
      <c r="G72" s="34"/>
      <c r="H72" s="34"/>
      <c r="I72" s="106"/>
      <c r="J72" s="34"/>
      <c r="K72" s="34"/>
      <c r="L72" s="10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4"/>
      <c r="D73" s="34"/>
      <c r="E73" s="458" t="str">
        <f>E9</f>
        <v>D.1.4.3 - Zdravotnětechnické instalace</v>
      </c>
      <c r="F73" s="478"/>
      <c r="G73" s="478"/>
      <c r="H73" s="478"/>
      <c r="I73" s="106"/>
      <c r="J73" s="34"/>
      <c r="K73" s="34"/>
      <c r="L73" s="10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10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Žďár nad Sázavou</v>
      </c>
      <c r="G75" s="34"/>
      <c r="H75" s="34"/>
      <c r="I75" s="109" t="s">
        <v>23</v>
      </c>
      <c r="J75" s="57" t="str">
        <f>IF(J12="","",J12)</f>
        <v>21. 2. 2020</v>
      </c>
      <c r="K75" s="34"/>
      <c r="L75" s="10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10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15" customHeight="1">
      <c r="A77" s="32"/>
      <c r="B77" s="33"/>
      <c r="C77" s="27" t="s">
        <v>25</v>
      </c>
      <c r="D77" s="34"/>
      <c r="E77" s="34"/>
      <c r="F77" s="25" t="str">
        <f>E15</f>
        <v>Česká republika - Ministerstvo zemědělství</v>
      </c>
      <c r="G77" s="34"/>
      <c r="H77" s="34"/>
      <c r="I77" s="109" t="s">
        <v>33</v>
      </c>
      <c r="J77" s="30" t="str">
        <f>E21</f>
        <v>NCI.CZ ENGINEERING s.r.o.</v>
      </c>
      <c r="K77" s="34"/>
      <c r="L77" s="10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>
      <c r="A78" s="32"/>
      <c r="B78" s="33"/>
      <c r="C78" s="27" t="s">
        <v>31</v>
      </c>
      <c r="D78" s="34"/>
      <c r="E78" s="34"/>
      <c r="F78" s="25" t="str">
        <f>IF(E18="","",E18)</f>
        <v>Vyplň údaj</v>
      </c>
      <c r="G78" s="34"/>
      <c r="H78" s="34"/>
      <c r="I78" s="109" t="s">
        <v>38</v>
      </c>
      <c r="J78" s="30" t="str">
        <f>E24</f>
        <v>NCI.CZ ENGINEERING s.r.o.</v>
      </c>
      <c r="K78" s="34"/>
      <c r="L78" s="10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10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57"/>
      <c r="B80" s="158"/>
      <c r="C80" s="159" t="s">
        <v>105</v>
      </c>
      <c r="D80" s="160" t="s">
        <v>60</v>
      </c>
      <c r="E80" s="160" t="s">
        <v>56</v>
      </c>
      <c r="F80" s="160" t="s">
        <v>57</v>
      </c>
      <c r="G80" s="160" t="s">
        <v>106</v>
      </c>
      <c r="H80" s="160" t="s">
        <v>107</v>
      </c>
      <c r="I80" s="161" t="s">
        <v>108</v>
      </c>
      <c r="J80" s="160" t="s">
        <v>100</v>
      </c>
      <c r="K80" s="162" t="s">
        <v>109</v>
      </c>
      <c r="L80" s="163"/>
      <c r="M80" s="66" t="s">
        <v>19</v>
      </c>
      <c r="N80" s="67" t="s">
        <v>45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</row>
    <row r="81" spans="1:65" s="2" customFormat="1" ht="22.9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106"/>
      <c r="J81" s="164">
        <f>BK81</f>
        <v>0</v>
      </c>
      <c r="K81" s="34"/>
      <c r="L81" s="37"/>
      <c r="M81" s="69"/>
      <c r="N81" s="165"/>
      <c r="O81" s="70"/>
      <c r="P81" s="166">
        <f>P82</f>
        <v>0</v>
      </c>
      <c r="Q81" s="70"/>
      <c r="R81" s="166">
        <f>R82</f>
        <v>0</v>
      </c>
      <c r="S81" s="70"/>
      <c r="T81" s="167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74</v>
      </c>
      <c r="AU81" s="15" t="s">
        <v>101</v>
      </c>
      <c r="BK81" s="168">
        <f>BK82</f>
        <v>0</v>
      </c>
    </row>
    <row r="82" spans="1:65" s="12" customFormat="1" ht="25.9" customHeight="1">
      <c r="B82" s="169"/>
      <c r="C82" s="170"/>
      <c r="D82" s="171" t="s">
        <v>74</v>
      </c>
      <c r="E82" s="172" t="s">
        <v>117</v>
      </c>
      <c r="F82" s="172" t="s">
        <v>118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</f>
        <v>0</v>
      </c>
      <c r="Q82" s="177"/>
      <c r="R82" s="178">
        <f>R83</f>
        <v>0</v>
      </c>
      <c r="S82" s="177"/>
      <c r="T82" s="179">
        <f>T83</f>
        <v>0</v>
      </c>
      <c r="AR82" s="180" t="s">
        <v>119</v>
      </c>
      <c r="AT82" s="181" t="s">
        <v>74</v>
      </c>
      <c r="AU82" s="181" t="s">
        <v>75</v>
      </c>
      <c r="AY82" s="180" t="s">
        <v>120</v>
      </c>
      <c r="BK82" s="182">
        <f>BK83</f>
        <v>0</v>
      </c>
    </row>
    <row r="83" spans="1:65" s="12" customFormat="1" ht="22.9" customHeight="1">
      <c r="B83" s="169"/>
      <c r="C83" s="170"/>
      <c r="D83" s="171" t="s">
        <v>74</v>
      </c>
      <c r="E83" s="183" t="s">
        <v>121</v>
      </c>
      <c r="F83" s="183" t="s">
        <v>122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P84</f>
        <v>0</v>
      </c>
      <c r="Q83" s="177"/>
      <c r="R83" s="178">
        <f>R84</f>
        <v>0</v>
      </c>
      <c r="S83" s="177"/>
      <c r="T83" s="179">
        <f>T84</f>
        <v>0</v>
      </c>
      <c r="AR83" s="180" t="s">
        <v>119</v>
      </c>
      <c r="AT83" s="181" t="s">
        <v>74</v>
      </c>
      <c r="AU83" s="181" t="s">
        <v>83</v>
      </c>
      <c r="AY83" s="180" t="s">
        <v>120</v>
      </c>
      <c r="BK83" s="182">
        <f>BK84</f>
        <v>0</v>
      </c>
    </row>
    <row r="84" spans="1:65" s="2" customFormat="1" ht="16.5" customHeight="1">
      <c r="A84" s="32"/>
      <c r="B84" s="33"/>
      <c r="C84" s="185" t="s">
        <v>83</v>
      </c>
      <c r="D84" s="185" t="s">
        <v>123</v>
      </c>
      <c r="E84" s="186" t="s">
        <v>92</v>
      </c>
      <c r="F84" s="187" t="s">
        <v>93</v>
      </c>
      <c r="G84" s="188" t="s">
        <v>125</v>
      </c>
      <c r="H84" s="189">
        <v>1</v>
      </c>
      <c r="I84" s="190">
        <f>Rekapitulace_ZTI!B40</f>
        <v>0</v>
      </c>
      <c r="J84" s="191">
        <f>ROUND(I84*H84,2)</f>
        <v>0</v>
      </c>
      <c r="K84" s="187" t="s">
        <v>19</v>
      </c>
      <c r="L84" s="37"/>
      <c r="M84" s="192" t="s">
        <v>19</v>
      </c>
      <c r="N84" s="193" t="s">
        <v>46</v>
      </c>
      <c r="O84" s="194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7" t="s">
        <v>126</v>
      </c>
      <c r="AT84" s="197" t="s">
        <v>123</v>
      </c>
      <c r="AU84" s="197" t="s">
        <v>85</v>
      </c>
      <c r="AY84" s="15" t="s">
        <v>120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15" t="s">
        <v>83</v>
      </c>
      <c r="BK84" s="198">
        <f>ROUND(I84*H84,2)</f>
        <v>0</v>
      </c>
      <c r="BL84" s="15" t="s">
        <v>126</v>
      </c>
      <c r="BM84" s="197" t="s">
        <v>133</v>
      </c>
    </row>
    <row r="85" spans="1:65" s="2" customFormat="1" ht="6.95" customHeight="1">
      <c r="A85" s="32"/>
      <c r="B85" s="45"/>
      <c r="C85" s="46"/>
      <c r="D85" s="46"/>
      <c r="E85" s="46"/>
      <c r="F85" s="46"/>
      <c r="G85" s="46"/>
      <c r="H85" s="46"/>
      <c r="I85" s="134"/>
      <c r="J85" s="46"/>
      <c r="K85" s="46"/>
      <c r="L85" s="37"/>
      <c r="M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</sheetData>
  <sheetProtection algorithmName="SHA-512" hashValue="d3clSHN1WF5sKmY+ACJJGBWJmkCY8JkDf5lstpSTRjE7lvOysDU1ryn5LudHRnztvzhDWjVEfkXNJFdr2p0+rg==" saltValue="sDUTpN2fNcInUPOwDLHEHcRG3vV+qtovQSJUPLhhr9htoN6y+1XwrI3yfGPJWxCoVeVlLeI2U0Lx0Yk8sKbx7Q==" spinCount="100000" sheet="1" objects="1" scenarios="1" formatColumns="0" formatRows="0" autoFilter="0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V41" sqref="V41"/>
    </sheetView>
  </sheetViews>
  <sheetFormatPr defaultRowHeight="12.75"/>
  <cols>
    <col min="1" max="1" width="2" style="329" customWidth="1"/>
    <col min="2" max="2" width="29" style="329" customWidth="1"/>
    <col min="3" max="3" width="7.33203125" style="329" customWidth="1"/>
    <col min="4" max="4" width="20.1640625" style="329" customWidth="1"/>
    <col min="5" max="5" width="7.33203125" style="329" customWidth="1"/>
    <col min="6" max="6" width="25" style="329" customWidth="1"/>
    <col min="7" max="7" width="7.6640625" style="329" customWidth="1"/>
    <col min="8" max="8" width="18.33203125" style="329" customWidth="1"/>
    <col min="9" max="9" width="2" style="329" customWidth="1"/>
    <col min="10" max="16384" width="9.33203125" style="329"/>
  </cols>
  <sheetData>
    <row r="1" spans="1:9" ht="9" customHeight="1">
      <c r="A1" s="328"/>
      <c r="B1" s="328"/>
      <c r="C1" s="328"/>
      <c r="D1" s="328"/>
      <c r="E1" s="328"/>
      <c r="F1" s="328"/>
      <c r="G1" s="328"/>
      <c r="H1" s="328"/>
      <c r="I1" s="328"/>
    </row>
    <row r="2" spans="1:9" ht="18" customHeight="1">
      <c r="A2" s="328"/>
      <c r="B2" s="556"/>
      <c r="C2" s="562"/>
      <c r="D2" s="562"/>
      <c r="E2" s="562"/>
      <c r="F2" s="562"/>
      <c r="G2" s="559"/>
      <c r="H2" s="560"/>
      <c r="I2" s="328"/>
    </row>
    <row r="3" spans="1:9" ht="18" customHeight="1">
      <c r="A3" s="328"/>
      <c r="B3" s="557"/>
      <c r="C3" s="563" t="s">
        <v>670</v>
      </c>
      <c r="D3" s="563"/>
      <c r="E3" s="563"/>
      <c r="F3" s="563"/>
      <c r="G3" s="561" t="s">
        <v>671</v>
      </c>
      <c r="H3" s="560"/>
      <c r="I3" s="328"/>
    </row>
    <row r="4" spans="1:9" ht="18" customHeight="1">
      <c r="A4" s="328"/>
      <c r="B4" s="557"/>
      <c r="C4" s="564" t="s">
        <v>672</v>
      </c>
      <c r="D4" s="565"/>
      <c r="E4" s="565"/>
      <c r="F4" s="566"/>
      <c r="G4" s="561" t="s">
        <v>673</v>
      </c>
      <c r="H4" s="560"/>
      <c r="I4" s="328"/>
    </row>
    <row r="5" spans="1:9" ht="18" customHeight="1">
      <c r="A5" s="328"/>
      <c r="B5" s="558"/>
      <c r="C5" s="567"/>
      <c r="D5" s="567"/>
      <c r="E5" s="567"/>
      <c r="F5" s="567"/>
      <c r="G5" s="561" t="s">
        <v>674</v>
      </c>
      <c r="H5" s="560"/>
      <c r="I5" s="328"/>
    </row>
    <row r="6" spans="1:9" ht="12.75" customHeight="1">
      <c r="A6" s="328"/>
      <c r="B6" s="572" t="s">
        <v>675</v>
      </c>
      <c r="C6" s="573"/>
      <c r="D6" s="573"/>
      <c r="E6" s="573"/>
      <c r="F6" s="573"/>
      <c r="G6" s="573"/>
      <c r="H6" s="573"/>
      <c r="I6" s="328"/>
    </row>
    <row r="7" spans="1:9" ht="9.9499999999999993" customHeight="1">
      <c r="A7" s="328"/>
      <c r="B7" s="330" t="s">
        <v>676</v>
      </c>
      <c r="C7" s="331"/>
      <c r="D7" s="331"/>
      <c r="E7" s="332" t="s">
        <v>677</v>
      </c>
      <c r="F7" s="333"/>
      <c r="G7" s="547" t="s">
        <v>678</v>
      </c>
      <c r="H7" s="548"/>
      <c r="I7" s="328"/>
    </row>
    <row r="8" spans="1:9" ht="23.25" customHeight="1">
      <c r="A8" s="328"/>
      <c r="B8" s="576" t="s">
        <v>679</v>
      </c>
      <c r="C8" s="578"/>
      <c r="D8" s="577"/>
      <c r="E8" s="574" t="s">
        <v>28</v>
      </c>
      <c r="F8" s="575"/>
      <c r="G8" s="576" t="s">
        <v>680</v>
      </c>
      <c r="H8" s="577"/>
      <c r="I8" s="328"/>
    </row>
    <row r="9" spans="1:9" ht="9.9499999999999993" customHeight="1">
      <c r="A9" s="328"/>
      <c r="B9" s="334" t="s">
        <v>681</v>
      </c>
      <c r="C9" s="335"/>
      <c r="D9" s="336"/>
      <c r="E9" s="334" t="s">
        <v>682</v>
      </c>
      <c r="F9" s="337"/>
      <c r="G9" s="547" t="s">
        <v>683</v>
      </c>
      <c r="H9" s="548"/>
      <c r="I9" s="328"/>
    </row>
    <row r="10" spans="1:9" ht="12.75" customHeight="1">
      <c r="A10" s="328"/>
      <c r="B10" s="582" t="s">
        <v>950</v>
      </c>
      <c r="C10" s="583"/>
      <c r="D10" s="584"/>
      <c r="E10" s="550" t="s">
        <v>685</v>
      </c>
      <c r="F10" s="551"/>
      <c r="G10" s="549" t="s">
        <v>686</v>
      </c>
      <c r="H10" s="549"/>
      <c r="I10" s="328"/>
    </row>
    <row r="11" spans="1:9" ht="12.75" customHeight="1">
      <c r="A11" s="328"/>
      <c r="B11" s="585"/>
      <c r="C11" s="586"/>
      <c r="D11" s="587"/>
      <c r="E11" s="552"/>
      <c r="F11" s="553"/>
      <c r="G11" s="338" t="s">
        <v>687</v>
      </c>
      <c r="H11" s="339" t="s">
        <v>688</v>
      </c>
      <c r="I11" s="328"/>
    </row>
    <row r="12" spans="1:9" ht="12.75" customHeight="1">
      <c r="A12" s="328"/>
      <c r="B12" s="588"/>
      <c r="C12" s="589"/>
      <c r="D12" s="590"/>
      <c r="E12" s="330" t="s">
        <v>689</v>
      </c>
      <c r="F12" s="333"/>
      <c r="G12" s="547" t="s">
        <v>23</v>
      </c>
      <c r="H12" s="548"/>
      <c r="I12" s="328"/>
    </row>
    <row r="13" spans="1:9">
      <c r="A13" s="328"/>
      <c r="B13" s="340" t="s">
        <v>690</v>
      </c>
      <c r="C13" s="591" t="s">
        <v>691</v>
      </c>
      <c r="D13" s="592"/>
      <c r="E13" s="552" t="s">
        <v>691</v>
      </c>
      <c r="F13" s="553"/>
      <c r="G13" s="554">
        <v>43875</v>
      </c>
      <c r="H13" s="555"/>
      <c r="I13" s="328"/>
    </row>
    <row r="14" spans="1:9" ht="12.75" customHeight="1">
      <c r="A14" s="328"/>
      <c r="B14" s="525"/>
      <c r="C14" s="526"/>
      <c r="D14" s="526"/>
      <c r="E14" s="526"/>
      <c r="F14" s="526"/>
      <c r="G14" s="526"/>
      <c r="H14" s="526"/>
      <c r="I14" s="328"/>
    </row>
    <row r="15" spans="1:9" ht="14.1" customHeight="1">
      <c r="A15" s="328"/>
      <c r="B15" s="527" t="s">
        <v>692</v>
      </c>
      <c r="C15" s="528"/>
      <c r="D15" s="528"/>
      <c r="E15" s="528"/>
      <c r="F15" s="528"/>
      <c r="G15" s="528"/>
      <c r="H15" s="529"/>
      <c r="I15" s="328"/>
    </row>
    <row r="16" spans="1:9" ht="12.75" customHeight="1">
      <c r="A16" s="328"/>
      <c r="B16" s="579" t="s">
        <v>693</v>
      </c>
      <c r="C16" s="580"/>
      <c r="D16" s="581" t="s">
        <v>694</v>
      </c>
      <c r="E16" s="568"/>
      <c r="F16" s="341" t="s">
        <v>695</v>
      </c>
      <c r="G16" s="568" t="s">
        <v>696</v>
      </c>
      <c r="H16" s="569"/>
      <c r="I16" s="328"/>
    </row>
    <row r="17" spans="1:9" ht="12.75" customHeight="1">
      <c r="A17" s="342"/>
      <c r="B17" s="536" t="s">
        <v>949</v>
      </c>
      <c r="C17" s="536"/>
      <c r="D17" s="541">
        <f>Rozpočet_ZTI!H30</f>
        <v>0</v>
      </c>
      <c r="E17" s="542"/>
      <c r="F17" s="343">
        <f>Rozpočet_ZTI!J30</f>
        <v>0</v>
      </c>
      <c r="G17" s="543">
        <f>D17+F17</f>
        <v>0</v>
      </c>
      <c r="H17" s="544"/>
      <c r="I17" s="328"/>
    </row>
    <row r="18" spans="1:9" ht="12.75" customHeight="1">
      <c r="A18" s="328"/>
      <c r="B18" s="601" t="s">
        <v>702</v>
      </c>
      <c r="C18" s="602"/>
      <c r="D18" s="603"/>
      <c r="E18" s="603"/>
      <c r="F18" s="604"/>
      <c r="G18" s="534">
        <f>SUM(G17:H17)</f>
        <v>0</v>
      </c>
      <c r="H18" s="535"/>
      <c r="I18" s="328"/>
    </row>
    <row r="19" spans="1:9" ht="12.75" customHeight="1">
      <c r="A19" s="328"/>
      <c r="B19" s="525"/>
      <c r="C19" s="526"/>
      <c r="D19" s="526"/>
      <c r="E19" s="526"/>
      <c r="F19" s="526"/>
      <c r="G19" s="526"/>
      <c r="H19" s="526"/>
      <c r="I19" s="328"/>
    </row>
    <row r="20" spans="1:9" ht="14.1" customHeight="1">
      <c r="A20" s="328"/>
      <c r="B20" s="527" t="s">
        <v>703</v>
      </c>
      <c r="C20" s="528"/>
      <c r="D20" s="528"/>
      <c r="E20" s="528"/>
      <c r="F20" s="528"/>
      <c r="G20" s="528"/>
      <c r="H20" s="529"/>
      <c r="I20" s="328"/>
    </row>
    <row r="21" spans="1:9" ht="12.75" customHeight="1">
      <c r="A21" s="328"/>
      <c r="B21" s="345" t="s">
        <v>704</v>
      </c>
      <c r="C21" s="341" t="s">
        <v>106</v>
      </c>
      <c r="D21" s="568" t="s">
        <v>694</v>
      </c>
      <c r="E21" s="568"/>
      <c r="F21" s="341" t="s">
        <v>695</v>
      </c>
      <c r="G21" s="568" t="s">
        <v>696</v>
      </c>
      <c r="H21" s="569"/>
      <c r="I21" s="328"/>
    </row>
    <row r="22" spans="1:9">
      <c r="A22" s="328"/>
      <c r="B22" s="346" t="s">
        <v>705</v>
      </c>
      <c r="C22" s="347" t="s">
        <v>125</v>
      </c>
      <c r="D22" s="570">
        <f>SUM(D17:E17)</f>
        <v>0</v>
      </c>
      <c r="E22" s="571"/>
      <c r="F22" s="343">
        <f>SUM(F17:F17)</f>
        <v>0</v>
      </c>
      <c r="G22" s="543">
        <f>D22+F22</f>
        <v>0</v>
      </c>
      <c r="H22" s="544"/>
      <c r="I22" s="328"/>
    </row>
    <row r="23" spans="1:9" ht="12" customHeight="1">
      <c r="A23" s="328"/>
      <c r="B23" s="348"/>
      <c r="C23" s="349"/>
      <c r="D23" s="593"/>
      <c r="E23" s="594"/>
      <c r="F23" s="350"/>
      <c r="G23" s="595"/>
      <c r="H23" s="596"/>
      <c r="I23" s="328"/>
    </row>
    <row r="24" spans="1:9">
      <c r="A24" s="328"/>
      <c r="B24" s="346" t="s">
        <v>706</v>
      </c>
      <c r="C24" s="347" t="s">
        <v>707</v>
      </c>
      <c r="D24" s="570">
        <f>D22*C25*0.01</f>
        <v>0</v>
      </c>
      <c r="E24" s="571"/>
      <c r="F24" s="343">
        <v>0</v>
      </c>
      <c r="G24" s="543">
        <f>D24+F24</f>
        <v>0</v>
      </c>
      <c r="H24" s="544"/>
      <c r="I24" s="328"/>
    </row>
    <row r="25" spans="1:9" ht="12" customHeight="1">
      <c r="A25" s="328"/>
      <c r="B25" s="348" t="s">
        <v>708</v>
      </c>
      <c r="C25" s="351">
        <v>5</v>
      </c>
      <c r="D25" s="593"/>
      <c r="E25" s="594"/>
      <c r="F25" s="350"/>
      <c r="G25" s="595"/>
      <c r="H25" s="596"/>
      <c r="I25" s="328"/>
    </row>
    <row r="26" spans="1:9">
      <c r="A26" s="328"/>
      <c r="B26" s="346" t="s">
        <v>709</v>
      </c>
      <c r="C26" s="347" t="s">
        <v>707</v>
      </c>
      <c r="D26" s="570">
        <v>0</v>
      </c>
      <c r="E26" s="571"/>
      <c r="F26" s="343">
        <f>F22*C27*0.01</f>
        <v>0</v>
      </c>
      <c r="G26" s="543">
        <f>D26+F26</f>
        <v>0</v>
      </c>
      <c r="H26" s="544"/>
      <c r="I26" s="328"/>
    </row>
    <row r="27" spans="1:9" ht="12" customHeight="1">
      <c r="A27" s="328"/>
      <c r="B27" s="348" t="s">
        <v>710</v>
      </c>
      <c r="C27" s="351">
        <v>6.5</v>
      </c>
      <c r="D27" s="593"/>
      <c r="E27" s="594"/>
      <c r="F27" s="350"/>
      <c r="G27" s="595"/>
      <c r="H27" s="596"/>
      <c r="I27" s="328"/>
    </row>
    <row r="28" spans="1:9">
      <c r="A28" s="328"/>
      <c r="B28" s="346" t="s">
        <v>711</v>
      </c>
      <c r="C28" s="347" t="s">
        <v>707</v>
      </c>
      <c r="D28" s="570">
        <v>0</v>
      </c>
      <c r="E28" s="571"/>
      <c r="F28" s="343">
        <f>F22*C29*0.01</f>
        <v>0</v>
      </c>
      <c r="G28" s="543">
        <f>D28+F28</f>
        <v>0</v>
      </c>
      <c r="H28" s="544"/>
      <c r="I28" s="328"/>
    </row>
    <row r="29" spans="1:9" ht="12" customHeight="1">
      <c r="A29" s="328"/>
      <c r="B29" s="348" t="s">
        <v>710</v>
      </c>
      <c r="C29" s="351">
        <v>3.5</v>
      </c>
      <c r="D29" s="593"/>
      <c r="E29" s="594"/>
      <c r="F29" s="350"/>
      <c r="G29" s="595"/>
      <c r="H29" s="596"/>
      <c r="I29" s="328"/>
    </row>
    <row r="30" spans="1:9">
      <c r="A30" s="328"/>
      <c r="B30" s="346" t="s">
        <v>712</v>
      </c>
      <c r="C30" s="347" t="s">
        <v>707</v>
      </c>
      <c r="D30" s="570">
        <f>D22*C31*0.01</f>
        <v>0</v>
      </c>
      <c r="E30" s="571"/>
      <c r="F30" s="343">
        <v>0</v>
      </c>
      <c r="G30" s="543">
        <f>D30+F30</f>
        <v>0</v>
      </c>
      <c r="H30" s="544"/>
      <c r="I30" s="328"/>
    </row>
    <row r="31" spans="1:9" ht="12" customHeight="1">
      <c r="A31" s="328"/>
      <c r="B31" s="348" t="s">
        <v>713</v>
      </c>
      <c r="C31" s="351">
        <v>0.04</v>
      </c>
      <c r="D31" s="593"/>
      <c r="E31" s="594"/>
      <c r="F31" s="350"/>
      <c r="G31" s="595"/>
      <c r="H31" s="596"/>
      <c r="I31" s="328"/>
    </row>
    <row r="32" spans="1:9">
      <c r="A32" s="328"/>
      <c r="B32" s="346" t="s">
        <v>948</v>
      </c>
      <c r="C32" s="347" t="s">
        <v>707</v>
      </c>
      <c r="D32" s="570">
        <f>D22*C33*0.01</f>
        <v>0</v>
      </c>
      <c r="E32" s="571"/>
      <c r="F32" s="343">
        <v>0</v>
      </c>
      <c r="G32" s="543">
        <f>D32+F32</f>
        <v>0</v>
      </c>
      <c r="H32" s="544"/>
      <c r="I32" s="328"/>
    </row>
    <row r="33" spans="1:9" ht="12" customHeight="1">
      <c r="A33" s="328"/>
      <c r="B33" s="348" t="s">
        <v>713</v>
      </c>
      <c r="C33" s="351">
        <v>0.08</v>
      </c>
      <c r="D33" s="593"/>
      <c r="E33" s="594"/>
      <c r="F33" s="350"/>
      <c r="G33" s="595"/>
      <c r="H33" s="596"/>
      <c r="I33" s="328"/>
    </row>
    <row r="34" spans="1:9">
      <c r="A34" s="328"/>
      <c r="B34" s="346" t="s">
        <v>715</v>
      </c>
      <c r="C34" s="347" t="s">
        <v>707</v>
      </c>
      <c r="D34" s="570">
        <v>0</v>
      </c>
      <c r="E34" s="571"/>
      <c r="F34" s="343">
        <f>F22*C35*0.01</f>
        <v>0</v>
      </c>
      <c r="G34" s="543">
        <f>D34+F34</f>
        <v>0</v>
      </c>
      <c r="H34" s="544"/>
      <c r="I34" s="328"/>
    </row>
    <row r="35" spans="1:9" ht="12" customHeight="1">
      <c r="A35" s="328"/>
      <c r="B35" s="348" t="s">
        <v>716</v>
      </c>
      <c r="C35" s="351">
        <v>5</v>
      </c>
      <c r="D35" s="593"/>
      <c r="E35" s="594"/>
      <c r="F35" s="350"/>
      <c r="G35" s="595"/>
      <c r="H35" s="596"/>
      <c r="I35" s="328"/>
    </row>
    <row r="36" spans="1:9" ht="12.75" customHeight="1">
      <c r="A36" s="328"/>
      <c r="B36" s="601" t="s">
        <v>717</v>
      </c>
      <c r="C36" s="602"/>
      <c r="D36" s="603"/>
      <c r="E36" s="603"/>
      <c r="F36" s="604"/>
      <c r="G36" s="608">
        <f>SUM(G22:H35)</f>
        <v>0</v>
      </c>
      <c r="H36" s="609"/>
      <c r="I36" s="328"/>
    </row>
    <row r="37" spans="1:9" ht="12.75" customHeight="1">
      <c r="A37" s="328"/>
      <c r="B37" s="525"/>
      <c r="C37" s="526"/>
      <c r="D37" s="526"/>
      <c r="E37" s="526"/>
      <c r="F37" s="526"/>
      <c r="G37" s="526"/>
      <c r="H37" s="526"/>
      <c r="I37" s="328"/>
    </row>
    <row r="38" spans="1:9" ht="14.1" customHeight="1">
      <c r="A38" s="328"/>
      <c r="B38" s="527" t="s">
        <v>718</v>
      </c>
      <c r="C38" s="528"/>
      <c r="D38" s="528"/>
      <c r="E38" s="528"/>
      <c r="F38" s="528"/>
      <c r="G38" s="528"/>
      <c r="H38" s="529"/>
      <c r="I38" s="328"/>
    </row>
    <row r="39" spans="1:9">
      <c r="A39" s="328"/>
      <c r="B39" s="605" t="s">
        <v>719</v>
      </c>
      <c r="C39" s="606"/>
      <c r="D39" s="352" t="s">
        <v>45</v>
      </c>
      <c r="E39" s="352" t="s">
        <v>720</v>
      </c>
      <c r="F39" s="607" t="s">
        <v>721</v>
      </c>
      <c r="G39" s="581"/>
      <c r="H39" s="353" t="s">
        <v>722</v>
      </c>
      <c r="I39" s="328"/>
    </row>
    <row r="40" spans="1:9" ht="14.1" customHeight="1">
      <c r="A40" s="328"/>
      <c r="B40" s="597">
        <f>G36</f>
        <v>0</v>
      </c>
      <c r="C40" s="598"/>
      <c r="D40" s="354">
        <f>B40*E40*0.01</f>
        <v>0</v>
      </c>
      <c r="E40" s="355">
        <v>21</v>
      </c>
      <c r="F40" s="599">
        <f>B40+D40</f>
        <v>0</v>
      </c>
      <c r="G40" s="600"/>
      <c r="H40" s="356" t="s">
        <v>691</v>
      </c>
      <c r="I40" s="328"/>
    </row>
    <row r="41" spans="1:9" ht="9" customHeight="1">
      <c r="A41" s="328"/>
      <c r="B41" s="328"/>
      <c r="C41" s="328"/>
      <c r="D41" s="328"/>
      <c r="E41" s="328"/>
      <c r="F41" s="328"/>
      <c r="G41" s="328"/>
      <c r="H41" s="328"/>
      <c r="I41" s="328"/>
    </row>
  </sheetData>
  <dataConsolidate/>
  <mergeCells count="74">
    <mergeCell ref="B36:F36"/>
    <mergeCell ref="D32:E32"/>
    <mergeCell ref="G32:H32"/>
    <mergeCell ref="D33:E33"/>
    <mergeCell ref="G33:H33"/>
    <mergeCell ref="D34:E34"/>
    <mergeCell ref="B40:C40"/>
    <mergeCell ref="F40:G40"/>
    <mergeCell ref="B37:H37"/>
    <mergeCell ref="B18:F18"/>
    <mergeCell ref="B38:H38"/>
    <mergeCell ref="B39:C39"/>
    <mergeCell ref="F39:G39"/>
    <mergeCell ref="D35:E35"/>
    <mergeCell ref="G35:H35"/>
    <mergeCell ref="G36:H36"/>
    <mergeCell ref="G34:H34"/>
    <mergeCell ref="D29:E29"/>
    <mergeCell ref="G29:H29"/>
    <mergeCell ref="D30:E30"/>
    <mergeCell ref="G30:H30"/>
    <mergeCell ref="D31:E31"/>
    <mergeCell ref="G31:H31"/>
    <mergeCell ref="D27:E27"/>
    <mergeCell ref="G27:H27"/>
    <mergeCell ref="D28:E28"/>
    <mergeCell ref="G28:H28"/>
    <mergeCell ref="D25:E25"/>
    <mergeCell ref="G25:H25"/>
    <mergeCell ref="D26:E26"/>
    <mergeCell ref="G26:H26"/>
    <mergeCell ref="D17:E17"/>
    <mergeCell ref="G17:H17"/>
    <mergeCell ref="D23:E23"/>
    <mergeCell ref="G23:H23"/>
    <mergeCell ref="D24:E24"/>
    <mergeCell ref="G24:H24"/>
    <mergeCell ref="D21:E21"/>
    <mergeCell ref="G21:H21"/>
    <mergeCell ref="D22:E22"/>
    <mergeCell ref="G22:H22"/>
    <mergeCell ref="G9:H9"/>
    <mergeCell ref="G10:H10"/>
    <mergeCell ref="E10:F11"/>
    <mergeCell ref="E13:F13"/>
    <mergeCell ref="B6:H6"/>
    <mergeCell ref="G7:H7"/>
    <mergeCell ref="E8:F8"/>
    <mergeCell ref="G8:H8"/>
    <mergeCell ref="B8:D8"/>
    <mergeCell ref="B2:B5"/>
    <mergeCell ref="G2:H2"/>
    <mergeCell ref="G3:H3"/>
    <mergeCell ref="G4:H4"/>
    <mergeCell ref="G5:H5"/>
    <mergeCell ref="C2:F2"/>
    <mergeCell ref="C3:F3"/>
    <mergeCell ref="C4:F4"/>
    <mergeCell ref="C5:F5"/>
    <mergeCell ref="G12:H12"/>
    <mergeCell ref="G13:H13"/>
    <mergeCell ref="B19:H19"/>
    <mergeCell ref="B20:H20"/>
    <mergeCell ref="G18:H18"/>
    <mergeCell ref="B14:H14"/>
    <mergeCell ref="B15:H15"/>
    <mergeCell ref="B16:C16"/>
    <mergeCell ref="D16:E16"/>
    <mergeCell ref="G16:H16"/>
    <mergeCell ref="B10:D10"/>
    <mergeCell ref="B11:D11"/>
    <mergeCell ref="B12:D12"/>
    <mergeCell ref="C13:D13"/>
    <mergeCell ref="B17:C17"/>
  </mergeCells>
  <pageMargins left="0.19685039370078741" right="0.11811023622047245" top="0.59055118110236227" bottom="0.39370078740157483" header="0.19685039370078741" footer="0.19685039370078741"/>
  <pageSetup paperSize="9" orientation="portrait" r:id="rId1"/>
  <headerFooter alignWithMargins="0">
    <oddHeader>&amp;C
&amp;RR&amp;P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3"/>
  <sheetViews>
    <sheetView zoomScale="130" zoomScaleNormal="130" workbookViewId="0">
      <pane xSplit="12" ySplit="16" topLeftCell="M17" activePane="bottomRight" state="frozen"/>
      <selection pane="topRight" activeCell="M1" sqref="M1"/>
      <selection pane="bottomLeft" activeCell="A18" sqref="A18"/>
      <selection pane="bottomRight" activeCell="Q19" sqref="P19:Q19"/>
    </sheetView>
  </sheetViews>
  <sheetFormatPr defaultRowHeight="12.75"/>
  <cols>
    <col min="1" max="1" width="2" style="357" customWidth="1"/>
    <col min="2" max="2" width="9.5" style="357" customWidth="1"/>
    <col min="3" max="3" width="26.6640625" style="357" customWidth="1"/>
    <col min="4" max="4" width="43.83203125" style="357" customWidth="1"/>
    <col min="5" max="6" width="5.5" style="357" customWidth="1"/>
    <col min="7" max="11" width="14.83203125" style="357" customWidth="1"/>
    <col min="12" max="12" width="2" style="357" customWidth="1"/>
    <col min="13" max="16384" width="9.33203125" style="357"/>
  </cols>
  <sheetData>
    <row r="1" spans="1:12" ht="9" customHeight="1">
      <c r="A1" s="401"/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2" ht="18" customHeight="1">
      <c r="A2" s="401"/>
      <c r="B2" s="621"/>
      <c r="C2" s="622"/>
      <c r="D2" s="630"/>
      <c r="E2" s="562"/>
      <c r="F2" s="562"/>
      <c r="G2" s="562"/>
      <c r="H2" s="562"/>
      <c r="I2" s="622"/>
      <c r="J2" s="629"/>
      <c r="K2" s="560"/>
      <c r="L2" s="328"/>
    </row>
    <row r="3" spans="1:12" ht="18" customHeight="1">
      <c r="A3" s="401"/>
      <c r="B3" s="623"/>
      <c r="C3" s="624"/>
      <c r="D3" s="632" t="s">
        <v>829</v>
      </c>
      <c r="E3" s="632"/>
      <c r="F3" s="632"/>
      <c r="G3" s="632"/>
      <c r="H3" s="632"/>
      <c r="I3" s="633"/>
      <c r="J3" s="561" t="s">
        <v>671</v>
      </c>
      <c r="K3" s="560"/>
      <c r="L3" s="412"/>
    </row>
    <row r="4" spans="1:12" ht="18" customHeight="1">
      <c r="A4" s="401"/>
      <c r="B4" s="623"/>
      <c r="C4" s="624"/>
      <c r="D4" s="634" t="s">
        <v>828</v>
      </c>
      <c r="E4" s="634"/>
      <c r="F4" s="634"/>
      <c r="G4" s="634"/>
      <c r="H4" s="634"/>
      <c r="I4" s="635"/>
      <c r="J4" s="561" t="s">
        <v>673</v>
      </c>
      <c r="K4" s="560"/>
      <c r="L4" s="412"/>
    </row>
    <row r="5" spans="1:12" ht="18" customHeight="1">
      <c r="A5" s="401"/>
      <c r="B5" s="625"/>
      <c r="C5" s="626"/>
      <c r="D5" s="636"/>
      <c r="E5" s="567"/>
      <c r="F5" s="567"/>
      <c r="G5" s="567"/>
      <c r="H5" s="567"/>
      <c r="I5" s="626"/>
      <c r="J5" s="561" t="s">
        <v>674</v>
      </c>
      <c r="K5" s="560"/>
      <c r="L5" s="412"/>
    </row>
    <row r="6" spans="1:12" ht="12.75" customHeight="1">
      <c r="A6" s="401"/>
      <c r="B6" s="572" t="s">
        <v>675</v>
      </c>
      <c r="C6" s="573"/>
      <c r="D6" s="573"/>
      <c r="E6" s="573"/>
      <c r="F6" s="573"/>
      <c r="G6" s="573"/>
      <c r="H6" s="573"/>
      <c r="I6" s="573"/>
      <c r="J6" s="573"/>
      <c r="K6" s="573"/>
      <c r="L6" s="401"/>
    </row>
    <row r="7" spans="1:12" ht="9.9499999999999993" customHeight="1">
      <c r="A7" s="401"/>
      <c r="B7" s="627" t="s">
        <v>676</v>
      </c>
      <c r="C7" s="628"/>
      <c r="D7" s="403"/>
      <c r="E7" s="627" t="s">
        <v>677</v>
      </c>
      <c r="F7" s="631"/>
      <c r="G7" s="411"/>
      <c r="H7" s="411"/>
      <c r="I7" s="410"/>
      <c r="J7" s="638" t="s">
        <v>678</v>
      </c>
      <c r="K7" s="639"/>
      <c r="L7" s="401"/>
    </row>
    <row r="8" spans="1:12" s="408" customFormat="1" ht="12.75" customHeight="1">
      <c r="A8" s="409"/>
      <c r="B8" s="576" t="s">
        <v>679</v>
      </c>
      <c r="C8" s="578"/>
      <c r="D8" s="577"/>
      <c r="E8" s="640" t="s">
        <v>827</v>
      </c>
      <c r="F8" s="640"/>
      <c r="G8" s="640"/>
      <c r="H8" s="640"/>
      <c r="I8" s="640"/>
      <c r="J8" s="549" t="s">
        <v>680</v>
      </c>
      <c r="K8" s="549"/>
      <c r="L8" s="409"/>
    </row>
    <row r="9" spans="1:12" ht="9.9499999999999993" customHeight="1">
      <c r="A9" s="401"/>
      <c r="B9" s="627" t="s">
        <v>681</v>
      </c>
      <c r="C9" s="628"/>
      <c r="D9" s="406"/>
      <c r="E9" s="627" t="s">
        <v>682</v>
      </c>
      <c r="F9" s="631"/>
      <c r="G9" s="631"/>
      <c r="H9" s="407"/>
      <c r="I9" s="406"/>
      <c r="J9" s="638" t="s">
        <v>683</v>
      </c>
      <c r="K9" s="639"/>
      <c r="L9" s="401"/>
    </row>
    <row r="10" spans="1:12" ht="12.75" customHeight="1">
      <c r="A10" s="401"/>
      <c r="B10" s="582" t="s">
        <v>950</v>
      </c>
      <c r="C10" s="583"/>
      <c r="D10" s="584"/>
      <c r="E10" s="637" t="s">
        <v>685</v>
      </c>
      <c r="F10" s="637"/>
      <c r="G10" s="637"/>
      <c r="H10" s="637"/>
      <c r="I10" s="637"/>
      <c r="J10" s="549" t="s">
        <v>686</v>
      </c>
      <c r="K10" s="549"/>
      <c r="L10" s="401"/>
    </row>
    <row r="11" spans="1:12" ht="12.75" customHeight="1">
      <c r="A11" s="401"/>
      <c r="B11" s="637"/>
      <c r="C11" s="637"/>
      <c r="D11" s="637"/>
      <c r="E11" s="643"/>
      <c r="F11" s="643"/>
      <c r="G11" s="643"/>
      <c r="H11" s="643"/>
      <c r="I11" s="643"/>
      <c r="J11" s="338" t="s">
        <v>687</v>
      </c>
      <c r="K11" s="339" t="s">
        <v>688</v>
      </c>
      <c r="L11" s="405"/>
    </row>
    <row r="12" spans="1:12" ht="12.75" customHeight="1">
      <c r="A12" s="401"/>
      <c r="B12" s="637"/>
      <c r="C12" s="637"/>
      <c r="D12" s="637"/>
      <c r="E12" s="628" t="s">
        <v>689</v>
      </c>
      <c r="F12" s="631"/>
      <c r="G12" s="631"/>
      <c r="H12" s="404"/>
      <c r="I12" s="403"/>
      <c r="J12" s="638" t="s">
        <v>23</v>
      </c>
      <c r="K12" s="639"/>
      <c r="L12" s="401"/>
    </row>
    <row r="13" spans="1:12" ht="12.75" customHeight="1">
      <c r="A13" s="401"/>
      <c r="B13" s="645" t="s">
        <v>690</v>
      </c>
      <c r="C13" s="646"/>
      <c r="D13" s="402" t="s">
        <v>691</v>
      </c>
      <c r="E13" s="644" t="s">
        <v>691</v>
      </c>
      <c r="F13" s="644"/>
      <c r="G13" s="644"/>
      <c r="H13" s="644"/>
      <c r="I13" s="644"/>
      <c r="J13" s="554">
        <v>43875</v>
      </c>
      <c r="K13" s="555"/>
      <c r="L13" s="401"/>
    </row>
    <row r="14" spans="1:12" ht="14.1" customHeight="1">
      <c r="A14" s="401"/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</row>
    <row r="15" spans="1:12" s="393" customFormat="1" ht="12" customHeight="1">
      <c r="A15" s="394"/>
      <c r="B15" s="400" t="s">
        <v>826</v>
      </c>
      <c r="C15" s="641" t="s">
        <v>693</v>
      </c>
      <c r="D15" s="642"/>
      <c r="E15" s="399" t="s">
        <v>825</v>
      </c>
      <c r="F15" s="399" t="s">
        <v>106</v>
      </c>
      <c r="G15" s="641" t="s">
        <v>824</v>
      </c>
      <c r="H15" s="641"/>
      <c r="I15" s="641" t="s">
        <v>823</v>
      </c>
      <c r="J15" s="641"/>
      <c r="K15" s="398" t="s">
        <v>822</v>
      </c>
      <c r="L15" s="394"/>
    </row>
    <row r="16" spans="1:12" s="393" customFormat="1" ht="12" customHeight="1">
      <c r="A16" s="394"/>
      <c r="B16" s="397" t="s">
        <v>821</v>
      </c>
      <c r="C16" s="647"/>
      <c r="D16" s="648"/>
      <c r="E16" s="396"/>
      <c r="F16" s="396"/>
      <c r="G16" s="396" t="s">
        <v>820</v>
      </c>
      <c r="H16" s="396" t="s">
        <v>819</v>
      </c>
      <c r="I16" s="396" t="s">
        <v>820</v>
      </c>
      <c r="J16" s="396" t="s">
        <v>819</v>
      </c>
      <c r="K16" s="395" t="s">
        <v>819</v>
      </c>
      <c r="L16" s="394"/>
    </row>
    <row r="17" spans="1:12" s="359" customFormat="1" ht="9.9499999999999993" customHeight="1">
      <c r="A17" s="360"/>
      <c r="B17" s="374" t="s">
        <v>818</v>
      </c>
      <c r="C17" s="614" t="s">
        <v>961</v>
      </c>
      <c r="D17" s="653"/>
      <c r="E17" s="373"/>
      <c r="F17" s="373"/>
      <c r="G17" s="372"/>
      <c r="H17" s="372"/>
      <c r="I17" s="372"/>
      <c r="J17" s="372"/>
      <c r="K17" s="372"/>
      <c r="L17" s="360"/>
    </row>
    <row r="18" spans="1:12" s="359" customFormat="1" ht="9.9499999999999993" customHeight="1">
      <c r="A18" s="360"/>
      <c r="B18" s="383" t="s">
        <v>818</v>
      </c>
      <c r="C18" s="658" t="s">
        <v>960</v>
      </c>
      <c r="D18" s="659"/>
      <c r="E18" s="382">
        <v>71</v>
      </c>
      <c r="F18" s="382" t="s">
        <v>750</v>
      </c>
      <c r="G18" s="381">
        <v>0</v>
      </c>
      <c r="H18" s="381">
        <f>E18*G18</f>
        <v>0</v>
      </c>
      <c r="I18" s="381">
        <f>G18*20/100</f>
        <v>0</v>
      </c>
      <c r="J18" s="381">
        <f>E18*I18</f>
        <v>0</v>
      </c>
      <c r="K18" s="384">
        <f>H18+J18</f>
        <v>0</v>
      </c>
      <c r="L18" s="360"/>
    </row>
    <row r="19" spans="1:12" s="359" customFormat="1" ht="9.9499999999999993" customHeight="1">
      <c r="A19" s="360"/>
      <c r="B19" s="379"/>
      <c r="C19" s="660" t="s">
        <v>958</v>
      </c>
      <c r="D19" s="661"/>
      <c r="E19" s="378"/>
      <c r="F19" s="378"/>
      <c r="G19" s="377"/>
      <c r="H19" s="376"/>
      <c r="I19" s="377"/>
      <c r="J19" s="376"/>
      <c r="K19" s="375"/>
      <c r="L19" s="360"/>
    </row>
    <row r="20" spans="1:12" s="359" customFormat="1" ht="9.9499999999999993" customHeight="1">
      <c r="A20" s="360"/>
      <c r="B20" s="383" t="s">
        <v>774</v>
      </c>
      <c r="C20" s="658" t="s">
        <v>959</v>
      </c>
      <c r="D20" s="659"/>
      <c r="E20" s="382">
        <v>51</v>
      </c>
      <c r="F20" s="382" t="s">
        <v>750</v>
      </c>
      <c r="G20" s="381">
        <v>0</v>
      </c>
      <c r="H20" s="381">
        <f>E20*G20</f>
        <v>0</v>
      </c>
      <c r="I20" s="381">
        <f>G20*20/100</f>
        <v>0</v>
      </c>
      <c r="J20" s="381">
        <f>E20*I20</f>
        <v>0</v>
      </c>
      <c r="K20" s="384">
        <f>H20+J20</f>
        <v>0</v>
      </c>
      <c r="L20" s="360"/>
    </row>
    <row r="21" spans="1:12" s="359" customFormat="1" ht="9.9499999999999993" customHeight="1">
      <c r="A21" s="360"/>
      <c r="B21" s="379"/>
      <c r="C21" s="660" t="s">
        <v>958</v>
      </c>
      <c r="D21" s="661"/>
      <c r="E21" s="378"/>
      <c r="F21" s="378"/>
      <c r="G21" s="377"/>
      <c r="H21" s="376"/>
      <c r="I21" s="377"/>
      <c r="J21" s="376"/>
      <c r="K21" s="375"/>
      <c r="L21" s="360"/>
    </row>
    <row r="22" spans="1:12" s="359" customFormat="1" ht="9.9499999999999993" customHeight="1">
      <c r="A22" s="360"/>
      <c r="B22" s="383" t="s">
        <v>763</v>
      </c>
      <c r="C22" s="664" t="s">
        <v>957</v>
      </c>
      <c r="D22" s="665"/>
      <c r="E22" s="382">
        <v>36</v>
      </c>
      <c r="F22" s="382" t="s">
        <v>743</v>
      </c>
      <c r="G22" s="381">
        <v>0</v>
      </c>
      <c r="H22" s="381">
        <f>E22*G22</f>
        <v>0</v>
      </c>
      <c r="I22" s="381">
        <f>G22*20/100</f>
        <v>0</v>
      </c>
      <c r="J22" s="381">
        <f>E22*I22</f>
        <v>0</v>
      </c>
      <c r="K22" s="384">
        <f>H22+J22</f>
        <v>0</v>
      </c>
      <c r="L22" s="360"/>
    </row>
    <row r="23" spans="1:12" s="359" customFormat="1" ht="9.9499999999999993" customHeight="1">
      <c r="A23" s="360"/>
      <c r="B23" s="379"/>
      <c r="C23" s="660" t="s">
        <v>956</v>
      </c>
      <c r="D23" s="661"/>
      <c r="E23" s="378"/>
      <c r="F23" s="378"/>
      <c r="G23" s="377"/>
      <c r="H23" s="376"/>
      <c r="I23" s="377"/>
      <c r="J23" s="376"/>
      <c r="K23" s="375"/>
      <c r="L23" s="360"/>
    </row>
    <row r="24" spans="1:12" s="359" customFormat="1" ht="9.9499999999999993" customHeight="1">
      <c r="A24" s="360"/>
      <c r="B24" s="383" t="s">
        <v>742</v>
      </c>
      <c r="C24" s="664" t="s">
        <v>955</v>
      </c>
      <c r="D24" s="665"/>
      <c r="E24" s="382">
        <v>6</v>
      </c>
      <c r="F24" s="382" t="s">
        <v>743</v>
      </c>
      <c r="G24" s="381">
        <v>0</v>
      </c>
      <c r="H24" s="381">
        <f>E24*G24</f>
        <v>0</v>
      </c>
      <c r="I24" s="381">
        <f>G24*20/100</f>
        <v>0</v>
      </c>
      <c r="J24" s="381">
        <f>E24*I24</f>
        <v>0</v>
      </c>
      <c r="K24" s="384">
        <f>H24+J24</f>
        <v>0</v>
      </c>
      <c r="L24" s="360"/>
    </row>
    <row r="25" spans="1:12" s="359" customFormat="1" ht="9.9499999999999993" customHeight="1">
      <c r="A25" s="360"/>
      <c r="B25" s="379"/>
      <c r="C25" s="662"/>
      <c r="D25" s="663"/>
      <c r="E25" s="378"/>
      <c r="F25" s="378"/>
      <c r="G25" s="377"/>
      <c r="H25" s="376"/>
      <c r="I25" s="377"/>
      <c r="J25" s="376"/>
      <c r="K25" s="375"/>
      <c r="L25" s="360"/>
    </row>
    <row r="26" spans="1:12" s="359" customFormat="1" ht="9.9499999999999993" customHeight="1">
      <c r="A26" s="360"/>
      <c r="B26" s="383" t="s">
        <v>954</v>
      </c>
      <c r="C26" s="617" t="s">
        <v>953</v>
      </c>
      <c r="D26" s="618"/>
      <c r="E26" s="382">
        <v>15</v>
      </c>
      <c r="F26" s="382" t="s">
        <v>492</v>
      </c>
      <c r="G26" s="381">
        <v>0</v>
      </c>
      <c r="H26" s="381">
        <f>E26*G26</f>
        <v>0</v>
      </c>
      <c r="I26" s="381">
        <f>G26*20/100</f>
        <v>0</v>
      </c>
      <c r="J26" s="381">
        <f>E26*I26</f>
        <v>0</v>
      </c>
      <c r="K26" s="384">
        <f>H26+J26</f>
        <v>0</v>
      </c>
      <c r="L26" s="360"/>
    </row>
    <row r="27" spans="1:12" s="359" customFormat="1" ht="9.9499999999999993" customHeight="1">
      <c r="A27" s="360"/>
      <c r="B27" s="379"/>
      <c r="C27" s="662"/>
      <c r="D27" s="663"/>
      <c r="E27" s="378"/>
      <c r="F27" s="378"/>
      <c r="G27" s="377"/>
      <c r="H27" s="376"/>
      <c r="I27" s="377"/>
      <c r="J27" s="376"/>
      <c r="K27" s="375"/>
      <c r="L27" s="360"/>
    </row>
    <row r="28" spans="1:12" s="359" customFormat="1" ht="9.9499999999999993" customHeight="1">
      <c r="A28" s="360"/>
      <c r="B28" s="383" t="s">
        <v>952</v>
      </c>
      <c r="C28" s="658" t="s">
        <v>951</v>
      </c>
      <c r="D28" s="659"/>
      <c r="E28" s="382">
        <v>1</v>
      </c>
      <c r="F28" s="382" t="s">
        <v>125</v>
      </c>
      <c r="G28" s="381">
        <v>0</v>
      </c>
      <c r="H28" s="381">
        <f>E28*G28</f>
        <v>0</v>
      </c>
      <c r="I28" s="381">
        <f>G28*20/100</f>
        <v>0</v>
      </c>
      <c r="J28" s="381">
        <f>E28*I28</f>
        <v>0</v>
      </c>
      <c r="K28" s="384">
        <f>H28+J28</f>
        <v>0</v>
      </c>
      <c r="L28" s="360"/>
    </row>
    <row r="29" spans="1:12" s="359" customFormat="1" ht="9.9499999999999993" customHeight="1">
      <c r="A29" s="360"/>
      <c r="B29" s="379"/>
      <c r="C29" s="660"/>
      <c r="D29" s="661"/>
      <c r="E29" s="378"/>
      <c r="F29" s="378"/>
      <c r="G29" s="377"/>
      <c r="H29" s="376"/>
      <c r="I29" s="377"/>
      <c r="J29" s="376"/>
      <c r="K29" s="375"/>
      <c r="L29" s="360"/>
    </row>
    <row r="30" spans="1:12" s="359" customFormat="1" ht="9.9499999999999993" customHeight="1">
      <c r="A30" s="360"/>
      <c r="B30" s="371"/>
      <c r="C30" s="654" t="s">
        <v>725</v>
      </c>
      <c r="D30" s="655"/>
      <c r="E30" s="370"/>
      <c r="F30" s="370"/>
      <c r="G30" s="369"/>
      <c r="H30" s="368">
        <f>SUM(H18:H29)</f>
        <v>0</v>
      </c>
      <c r="I30" s="368"/>
      <c r="J30" s="368">
        <f>SUM(J18:J29)</f>
        <v>0</v>
      </c>
      <c r="K30" s="367">
        <f>SUM(K18:K29)</f>
        <v>0</v>
      </c>
      <c r="L30" s="360"/>
    </row>
    <row r="31" spans="1:12" s="359" customFormat="1" ht="9.9499999999999993" customHeight="1">
      <c r="A31" s="360"/>
      <c r="B31" s="366"/>
      <c r="C31" s="656"/>
      <c r="D31" s="657"/>
      <c r="E31" s="365"/>
      <c r="F31" s="365"/>
      <c r="G31" s="364"/>
      <c r="H31" s="363"/>
      <c r="I31" s="363"/>
      <c r="J31" s="363"/>
      <c r="K31" s="362"/>
      <c r="L31" s="360"/>
    </row>
    <row r="32" spans="1:12" s="359" customFormat="1" ht="9.9499999999999993" customHeight="1">
      <c r="A32" s="360"/>
      <c r="B32" s="374"/>
      <c r="C32" s="614" t="s">
        <v>724</v>
      </c>
      <c r="D32" s="666"/>
      <c r="E32" s="373"/>
      <c r="F32" s="373"/>
      <c r="G32" s="372"/>
      <c r="H32" s="372"/>
      <c r="I32" s="372"/>
      <c r="J32" s="372"/>
      <c r="K32" s="372"/>
      <c r="L32" s="360"/>
    </row>
    <row r="33" spans="1:12" s="359" customFormat="1" ht="9.9499999999999993" customHeight="1">
      <c r="A33" s="360"/>
      <c r="B33" s="371"/>
      <c r="C33" s="654" t="s">
        <v>723</v>
      </c>
      <c r="D33" s="655"/>
      <c r="E33" s="370"/>
      <c r="F33" s="370"/>
      <c r="G33" s="369"/>
      <c r="H33" s="368">
        <f>H30</f>
        <v>0</v>
      </c>
      <c r="I33" s="368"/>
      <c r="J33" s="368">
        <f>J30</f>
        <v>0</v>
      </c>
      <c r="K33" s="367">
        <f>K30</f>
        <v>0</v>
      </c>
      <c r="L33" s="360"/>
    </row>
    <row r="34" spans="1:12" s="359" customFormat="1" ht="9.9499999999999993" customHeight="1">
      <c r="A34" s="360"/>
      <c r="B34" s="366"/>
      <c r="C34" s="656"/>
      <c r="D34" s="657"/>
      <c r="E34" s="365"/>
      <c r="F34" s="365"/>
      <c r="G34" s="364"/>
      <c r="H34" s="363"/>
      <c r="I34" s="363"/>
      <c r="J34" s="363"/>
      <c r="K34" s="362"/>
      <c r="L34" s="361"/>
    </row>
    <row r="35" spans="1:12" s="359" customFormat="1" ht="9.9499999999999993" customHeight="1">
      <c r="A35" s="360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</row>
    <row r="36" spans="1:12" s="359" customFormat="1" ht="9.9499999999999993" customHeight="1"/>
    <row r="37" spans="1:12" s="359" customFormat="1" ht="9.9499999999999993" customHeight="1"/>
    <row r="38" spans="1:12" s="359" customFormat="1" ht="9.9499999999999993" customHeight="1"/>
    <row r="39" spans="1:12" s="359" customFormat="1" ht="9.9499999999999993" customHeight="1"/>
    <row r="40" spans="1:12" s="359" customFormat="1" ht="9.9499999999999993" customHeight="1"/>
    <row r="41" spans="1:12" s="359" customFormat="1" ht="9.9499999999999993" customHeight="1"/>
    <row r="42" spans="1:12" s="359" customFormat="1" ht="9.9499999999999993" customHeight="1"/>
    <row r="43" spans="1:12" s="359" customFormat="1" ht="9.9499999999999993" customHeight="1"/>
    <row r="44" spans="1:12" s="359" customFormat="1" ht="9.9499999999999993" customHeight="1"/>
    <row r="45" spans="1:12" s="359" customFormat="1" ht="9.9499999999999993" customHeight="1"/>
    <row r="46" spans="1:12" s="359" customFormat="1" ht="9.9499999999999993" customHeight="1"/>
    <row r="47" spans="1:12" s="359" customFormat="1" ht="9.9499999999999993" customHeight="1"/>
    <row r="48" spans="1:12" s="359" customFormat="1" ht="9.9499999999999993" customHeight="1"/>
    <row r="49" s="359" customFormat="1" ht="9.9499999999999993" customHeight="1"/>
    <row r="50" s="359" customFormat="1" ht="9.9499999999999993" customHeight="1"/>
    <row r="51" s="359" customFormat="1" ht="9.9499999999999993" customHeight="1"/>
    <row r="52" s="359" customFormat="1" ht="9.9499999999999993" customHeight="1"/>
    <row r="53" s="359" customFormat="1" ht="9.9499999999999993" customHeight="1"/>
    <row r="54" s="359" customFormat="1" ht="9.9499999999999993" customHeight="1"/>
    <row r="55" s="359" customFormat="1" ht="9.9499999999999993" customHeight="1"/>
    <row r="56" s="359" customFormat="1" ht="9.9499999999999993" customHeight="1"/>
    <row r="57" s="359" customFormat="1" ht="9.9499999999999993" customHeight="1"/>
    <row r="58" s="359" customFormat="1" ht="9.9499999999999993" customHeight="1"/>
    <row r="59" s="359" customFormat="1" ht="9.9499999999999993" customHeight="1"/>
    <row r="60" s="359" customFormat="1" ht="9.9499999999999993" customHeight="1"/>
    <row r="61" s="359" customFormat="1" ht="9.9499999999999993" customHeight="1"/>
    <row r="62" s="359" customFormat="1" ht="9.9499999999999993" customHeight="1"/>
    <row r="63" s="359" customFormat="1" ht="9.9499999999999993" customHeight="1"/>
    <row r="64" s="359" customFormat="1" ht="9.9499999999999993" customHeight="1"/>
    <row r="65" s="359" customFormat="1" ht="9.9499999999999993" customHeight="1"/>
    <row r="66" s="359" customFormat="1" ht="9.9499999999999993" customHeight="1"/>
    <row r="67" s="359" customFormat="1" ht="9.9499999999999993" customHeight="1"/>
    <row r="68" s="359" customFormat="1" ht="9.9499999999999993" customHeight="1"/>
    <row r="69" s="359" customFormat="1" ht="9.9499999999999993" customHeight="1"/>
    <row r="70" s="359" customFormat="1" ht="9.9499999999999993" customHeight="1"/>
    <row r="71" s="359" customFormat="1" ht="9.9499999999999993" customHeight="1"/>
    <row r="72" s="359" customFormat="1" ht="9.9499999999999993" customHeight="1"/>
    <row r="73" s="359" customFormat="1" ht="9.9499999999999993" customHeight="1"/>
    <row r="74" s="359" customFormat="1" ht="9.9499999999999993" customHeight="1"/>
    <row r="75" s="359" customFormat="1" ht="9.9499999999999993" customHeight="1"/>
    <row r="76" s="359" customFormat="1" ht="9.9499999999999993" customHeight="1"/>
    <row r="77" s="359" customFormat="1" ht="9.9499999999999993" customHeight="1"/>
    <row r="78" s="359" customFormat="1" ht="9.9499999999999993" customHeight="1"/>
    <row r="79" s="359" customFormat="1" ht="9.9499999999999993" customHeight="1"/>
    <row r="80" s="359" customFormat="1" ht="9.9499999999999993" customHeight="1"/>
    <row r="81" s="359" customFormat="1" ht="9.9499999999999993" customHeight="1"/>
    <row r="82" s="359" customFormat="1" ht="9.9499999999999993" customHeight="1"/>
    <row r="83" s="359" customFormat="1" ht="9.9499999999999993" customHeight="1"/>
    <row r="84" s="359" customFormat="1" ht="9.9499999999999993" customHeight="1"/>
    <row r="85" s="359" customFormat="1" ht="9.9499999999999993" customHeight="1"/>
    <row r="86" s="359" customFormat="1" ht="9.9499999999999993" customHeight="1"/>
    <row r="87" s="359" customFormat="1" ht="9.9499999999999993" customHeight="1"/>
    <row r="88" s="359" customFormat="1" ht="9.9499999999999993" customHeight="1"/>
    <row r="89" s="359" customFormat="1" ht="9.9499999999999993" customHeight="1"/>
    <row r="90" s="359" customFormat="1" ht="9.9499999999999993" customHeight="1"/>
    <row r="91" s="359" customFormat="1" ht="9.9499999999999993" customHeight="1"/>
    <row r="92" s="359" customFormat="1" ht="9.9499999999999993" customHeight="1"/>
    <row r="93" s="359" customFormat="1" ht="9.9499999999999993" customHeight="1"/>
    <row r="94" s="359" customFormat="1" ht="9.9499999999999993" customHeight="1"/>
    <row r="95" s="359" customFormat="1" ht="9.9499999999999993" customHeight="1"/>
    <row r="96" s="359" customFormat="1" ht="9.9499999999999993" customHeight="1"/>
    <row r="97" s="359" customFormat="1" ht="9.9499999999999993" customHeight="1"/>
    <row r="98" s="359" customFormat="1" ht="9.9499999999999993" customHeight="1"/>
    <row r="99" s="359" customFormat="1" ht="9.9499999999999993" customHeight="1"/>
    <row r="100" s="359" customFormat="1" ht="9.9499999999999993" customHeight="1"/>
    <row r="101" s="359" customFormat="1" ht="9.9499999999999993" customHeight="1"/>
    <row r="102" s="359" customFormat="1" ht="9.9499999999999993" customHeight="1"/>
    <row r="103" s="359" customFormat="1" ht="9.9499999999999993" customHeight="1"/>
    <row r="104" s="359" customFormat="1" ht="9.9499999999999993" customHeight="1"/>
    <row r="105" s="359" customFormat="1" ht="9.9499999999999993" customHeight="1"/>
    <row r="106" s="359" customFormat="1" ht="9.9499999999999993" customHeight="1"/>
    <row r="107" s="359" customFormat="1" ht="9.9499999999999993" customHeight="1"/>
    <row r="108" s="359" customFormat="1" ht="9.9499999999999993" customHeight="1"/>
    <row r="109" s="359" customFormat="1" ht="9.9499999999999993" customHeight="1"/>
    <row r="110" s="359" customFormat="1" ht="9.9499999999999993" customHeight="1"/>
    <row r="111" s="359" customFormat="1" ht="9.9499999999999993" customHeight="1"/>
    <row r="112" s="359" customFormat="1" ht="9.9499999999999993" customHeight="1"/>
    <row r="113" s="359" customFormat="1" ht="9.9499999999999993" customHeight="1"/>
    <row r="114" s="359" customFormat="1" ht="9.9499999999999993" customHeight="1"/>
    <row r="115" s="359" customFormat="1" ht="9.9499999999999993" customHeight="1"/>
    <row r="116" s="359" customFormat="1" ht="9.9499999999999993" customHeight="1"/>
    <row r="117" s="359" customFormat="1" ht="9.9499999999999993" customHeight="1"/>
    <row r="118" s="359" customFormat="1" ht="9.9499999999999993" customHeight="1"/>
    <row r="119" s="359" customFormat="1" ht="9.9499999999999993" customHeight="1"/>
    <row r="120" s="359" customFormat="1" ht="9.9499999999999993" customHeight="1"/>
    <row r="121" s="359" customFormat="1" ht="9.9499999999999993" customHeight="1"/>
    <row r="122" s="359" customFormat="1" ht="9.9499999999999993" customHeight="1"/>
    <row r="123" s="359" customFormat="1" ht="9.9499999999999993" customHeight="1"/>
    <row r="124" s="359" customFormat="1" ht="9.9499999999999993" customHeight="1"/>
    <row r="125" s="359" customFormat="1" ht="9.9499999999999993" customHeight="1"/>
    <row r="126" s="359" customFormat="1" ht="9.9499999999999993" customHeight="1"/>
    <row r="127" s="359" customFormat="1" ht="9.9499999999999993" customHeight="1"/>
    <row r="128" s="359" customFormat="1" ht="9.9499999999999993" customHeight="1"/>
    <row r="129" s="359" customFormat="1" ht="9.9499999999999993" customHeight="1"/>
    <row r="130" s="359" customFormat="1" ht="9.9499999999999993" customHeight="1"/>
    <row r="131" s="359" customFormat="1" ht="9.9499999999999993" customHeight="1"/>
    <row r="132" s="359" customFormat="1" ht="9.9499999999999993" customHeight="1"/>
    <row r="133" s="359" customFormat="1" ht="9.9499999999999993" customHeight="1"/>
    <row r="134" s="359" customFormat="1" ht="9.9499999999999993" customHeight="1"/>
    <row r="135" s="359" customFormat="1" ht="9.9499999999999993" customHeight="1"/>
    <row r="136" s="359" customFormat="1" ht="9.9499999999999993" customHeight="1"/>
    <row r="137" s="359" customFormat="1" ht="9.9499999999999993" customHeight="1"/>
    <row r="138" s="359" customFormat="1" ht="9.9499999999999993" customHeight="1"/>
    <row r="139" s="359" customFormat="1" ht="9.9499999999999993" customHeight="1"/>
    <row r="140" s="359" customFormat="1" ht="9.9499999999999993" customHeight="1"/>
    <row r="141" s="359" customFormat="1" ht="9.9499999999999993" customHeight="1"/>
    <row r="142" s="359" customFormat="1" ht="9.9499999999999993" customHeight="1"/>
    <row r="143" s="359" customFormat="1" ht="9.9499999999999993" customHeight="1"/>
    <row r="144" s="359" customFormat="1" ht="9.9499999999999993" customHeight="1"/>
    <row r="145" s="359" customFormat="1" ht="9.9499999999999993" customHeight="1"/>
    <row r="146" s="359" customFormat="1" ht="9.9499999999999993" customHeight="1"/>
    <row r="147" s="359" customFormat="1" ht="9.9499999999999993" customHeight="1"/>
    <row r="148" s="359" customFormat="1" ht="9.9499999999999993" customHeight="1"/>
    <row r="149" s="359" customFormat="1" ht="9.9499999999999993" customHeight="1"/>
    <row r="150" s="359" customFormat="1" ht="9.9499999999999993" customHeight="1"/>
    <row r="151" s="359" customFormat="1" ht="9.9499999999999993" customHeight="1"/>
    <row r="152" s="359" customFormat="1" ht="9.9499999999999993" customHeight="1"/>
    <row r="153" s="359" customFormat="1" ht="9.9499999999999993" customHeight="1"/>
    <row r="154" s="359" customFormat="1" ht="9.9499999999999993" customHeight="1"/>
    <row r="155" s="359" customFormat="1" ht="9.9499999999999993" customHeight="1"/>
    <row r="156" s="359" customFormat="1" ht="9.9499999999999993" customHeight="1"/>
    <row r="157" s="359" customFormat="1" ht="9.9499999999999993" customHeight="1"/>
    <row r="158" s="359" customFormat="1" ht="9.9499999999999993" customHeight="1"/>
    <row r="159" s="359" customFormat="1" ht="9.9499999999999993" customHeight="1"/>
    <row r="160" s="359" customFormat="1" ht="9.9499999999999993" customHeight="1"/>
    <row r="161" s="359" customFormat="1" ht="9.9499999999999993" customHeight="1"/>
    <row r="162" s="359" customFormat="1" ht="9.9499999999999993" customHeight="1"/>
    <row r="163" s="359" customFormat="1" ht="9.9499999999999993" customHeight="1"/>
    <row r="164" s="359" customFormat="1" ht="9.9499999999999993" customHeight="1"/>
    <row r="165" s="359" customFormat="1" ht="9.9499999999999993" customHeight="1"/>
    <row r="166" s="359" customFormat="1" ht="9.9499999999999993" customHeight="1"/>
    <row r="167" s="359" customFormat="1" ht="9.9499999999999993" customHeight="1"/>
    <row r="168" s="359" customFormat="1" ht="9.9499999999999993" customHeight="1"/>
    <row r="169" s="359" customFormat="1" ht="9.9499999999999993" customHeight="1"/>
    <row r="170" s="359" customFormat="1" ht="9.9499999999999993" customHeight="1"/>
    <row r="171" s="359" customFormat="1" ht="9.9499999999999993" customHeight="1"/>
    <row r="172" s="359" customFormat="1" ht="9.9499999999999993" customHeight="1"/>
    <row r="173" s="359" customFormat="1" ht="9.9499999999999993" customHeight="1"/>
    <row r="174" s="359" customFormat="1" ht="9.9499999999999993" customHeight="1"/>
    <row r="175" s="359" customFormat="1" ht="9.9499999999999993" customHeight="1"/>
    <row r="176" s="359" customFormat="1" ht="9.9499999999999993" customHeight="1"/>
    <row r="177" s="359" customFormat="1" ht="9.9499999999999993" customHeight="1"/>
    <row r="178" s="359" customFormat="1" ht="9.9499999999999993" customHeight="1"/>
    <row r="179" s="359" customFormat="1" ht="9.9499999999999993" customHeight="1"/>
    <row r="180" s="359" customFormat="1" ht="9.9499999999999993" customHeight="1"/>
    <row r="181" s="359" customFormat="1" ht="9.9499999999999993" customHeight="1"/>
    <row r="182" s="359" customFormat="1" ht="9.9499999999999993" customHeight="1"/>
    <row r="183" s="359" customFormat="1" ht="9.9499999999999993" customHeight="1"/>
    <row r="184" s="359" customFormat="1" ht="9.9499999999999993" customHeight="1"/>
    <row r="185" s="359" customFormat="1" ht="9.9499999999999993" customHeight="1"/>
    <row r="186" s="359" customFormat="1" ht="9.9499999999999993" customHeight="1"/>
    <row r="187" s="359" customFormat="1" ht="9.9499999999999993" customHeight="1"/>
    <row r="188" s="359" customFormat="1" ht="9.9499999999999993" customHeight="1"/>
    <row r="189" s="359" customFormat="1" ht="9.9499999999999993" customHeight="1"/>
    <row r="190" s="359" customFormat="1" ht="9.9499999999999993" customHeight="1"/>
    <row r="191" s="359" customFormat="1" ht="9.9499999999999993" customHeight="1"/>
    <row r="192" s="359" customFormat="1" ht="9.9499999999999993" customHeight="1"/>
    <row r="193" s="359" customFormat="1" ht="9.9499999999999993" customHeight="1"/>
    <row r="194" s="359" customFormat="1" ht="9.9499999999999993" customHeight="1"/>
    <row r="195" s="359" customFormat="1" ht="9.9499999999999993" customHeight="1"/>
    <row r="196" s="359" customFormat="1" ht="9.9499999999999993" customHeight="1"/>
    <row r="197" s="359" customFormat="1" ht="9.9499999999999993" customHeight="1"/>
    <row r="198" s="359" customFormat="1" ht="9.9499999999999993" customHeight="1"/>
    <row r="199" s="359" customFormat="1" ht="9.9499999999999993" customHeight="1"/>
    <row r="200" s="359" customFormat="1" ht="9.9499999999999993" customHeight="1"/>
    <row r="201" s="359" customFormat="1" ht="9.9499999999999993" customHeight="1"/>
    <row r="202" s="359" customFormat="1" ht="9.9499999999999993" customHeight="1"/>
    <row r="203" s="359" customFormat="1" ht="9.9499999999999993" customHeight="1"/>
    <row r="204" s="359" customFormat="1" ht="9.9499999999999993" customHeight="1"/>
    <row r="205" s="359" customFormat="1" ht="9.9499999999999993" customHeight="1"/>
    <row r="206" s="359" customFormat="1" ht="9.9499999999999993" customHeight="1"/>
    <row r="207" s="359" customFormat="1" ht="9.9499999999999993" customHeight="1"/>
    <row r="208" s="359" customFormat="1" ht="9.9499999999999993" customHeight="1"/>
    <row r="209" s="359" customFormat="1" ht="9.9499999999999993" customHeight="1"/>
    <row r="210" s="359" customFormat="1" ht="9.9499999999999993" customHeight="1"/>
    <row r="211" s="359" customFormat="1" ht="9.9499999999999993" customHeight="1"/>
    <row r="212" s="359" customFormat="1" ht="9.9499999999999993" customHeight="1"/>
    <row r="213" s="359" customFormat="1" ht="9.9499999999999993" customHeight="1"/>
    <row r="214" s="359" customFormat="1" ht="9.9499999999999993" customHeight="1"/>
    <row r="215" s="359" customFormat="1" ht="9.9499999999999993" customHeight="1"/>
    <row r="216" s="359" customFormat="1" ht="9.9499999999999993" customHeight="1"/>
    <row r="217" s="359" customFormat="1" ht="9.9499999999999993" customHeight="1"/>
    <row r="218" s="359" customFormat="1" ht="9.9499999999999993" customHeight="1"/>
    <row r="219" s="359" customFormat="1" ht="9.9499999999999993" customHeight="1"/>
    <row r="220" s="359" customFormat="1" ht="9.9499999999999993" customHeight="1"/>
    <row r="221" s="359" customFormat="1" ht="9.9499999999999993" customHeight="1"/>
    <row r="222" s="359" customFormat="1" ht="9.9499999999999993" customHeight="1"/>
    <row r="223" s="359" customFormat="1" ht="9.9499999999999993" customHeight="1"/>
    <row r="224" s="359" customFormat="1" ht="9.9499999999999993" customHeight="1"/>
    <row r="225" s="359" customFormat="1" ht="9.9499999999999993" customHeight="1"/>
    <row r="226" s="359" customFormat="1" ht="9.9499999999999993" customHeight="1"/>
    <row r="227" s="359" customFormat="1" ht="9.9499999999999993" customHeight="1"/>
    <row r="228" s="359" customFormat="1" ht="9.9499999999999993" customHeight="1"/>
    <row r="229" s="359" customFormat="1" ht="9.9499999999999993" customHeight="1"/>
    <row r="230" s="359" customFormat="1" ht="9.9499999999999993" customHeight="1"/>
    <row r="231" s="359" customFormat="1" ht="9.9499999999999993" customHeight="1"/>
    <row r="232" s="359" customFormat="1" ht="9.9499999999999993" customHeight="1"/>
    <row r="233" s="359" customFormat="1" ht="9.9499999999999993" customHeight="1"/>
    <row r="234" s="359" customFormat="1" ht="9.9499999999999993" customHeight="1"/>
    <row r="235" s="359" customFormat="1" ht="9.9499999999999993" customHeight="1"/>
    <row r="236" s="359" customFormat="1" ht="9.9499999999999993" customHeight="1"/>
    <row r="237" s="359" customFormat="1" ht="9.9499999999999993" customHeight="1"/>
    <row r="238" s="359" customFormat="1" ht="9.9499999999999993" customHeight="1"/>
    <row r="239" s="359" customFormat="1" ht="9.9499999999999993" customHeight="1"/>
    <row r="240" s="359" customFormat="1" ht="9.9499999999999993" customHeight="1"/>
    <row r="241" s="359" customFormat="1" ht="9.9499999999999993" customHeight="1"/>
    <row r="242" s="359" customFormat="1" ht="9.9499999999999993" customHeight="1"/>
    <row r="243" s="359" customFormat="1" ht="9.9499999999999993" customHeight="1"/>
    <row r="244" s="359" customFormat="1" ht="9.9499999999999993" customHeight="1"/>
    <row r="245" s="359" customFormat="1" ht="9.9499999999999993" customHeight="1"/>
    <row r="246" s="359" customFormat="1" ht="9.9499999999999993" customHeight="1"/>
    <row r="247" s="359" customFormat="1" ht="9.9499999999999993" customHeight="1"/>
    <row r="248" s="359" customFormat="1" ht="9.9499999999999993" customHeight="1"/>
    <row r="249" s="359" customFormat="1" ht="9.9499999999999993" customHeight="1"/>
    <row r="250" s="359" customFormat="1" ht="9.9499999999999993" customHeight="1"/>
    <row r="251" s="359" customFormat="1" ht="9.9499999999999993" customHeight="1"/>
    <row r="252" s="359" customFormat="1" ht="9.9499999999999993" customHeight="1"/>
    <row r="253" s="359" customFormat="1" ht="9.9499999999999993" customHeight="1"/>
    <row r="254" s="359" customFormat="1" ht="9.9499999999999993" customHeight="1"/>
    <row r="255" s="359" customFormat="1" ht="9.9499999999999993" customHeight="1"/>
    <row r="256" s="359" customFormat="1" ht="9.9499999999999993" customHeight="1"/>
    <row r="257" s="359" customFormat="1" ht="9.9499999999999993" customHeight="1"/>
    <row r="258" s="359" customFormat="1" ht="9.9499999999999993" customHeight="1"/>
    <row r="259" s="359" customFormat="1" ht="9.9499999999999993" customHeight="1"/>
    <row r="260" s="358" customFormat="1" ht="9.9499999999999993" customHeight="1"/>
    <row r="261" s="358" customFormat="1" ht="9.9499999999999993" customHeight="1"/>
    <row r="262" s="358" customFormat="1" ht="9.9499999999999993" customHeight="1"/>
    <row r="263" s="358" customFormat="1" ht="9.9499999999999993" customHeight="1"/>
    <row r="264" s="358" customFormat="1" ht="9.9499999999999993" customHeight="1"/>
    <row r="265" s="358" customFormat="1" ht="9.9499999999999993" customHeight="1"/>
    <row r="266" s="358" customFormat="1" ht="9.9499999999999993" customHeight="1"/>
    <row r="267" s="358" customFormat="1" ht="9.9499999999999993" customHeight="1"/>
    <row r="268" s="358" customFormat="1" ht="9.9499999999999993" customHeight="1"/>
    <row r="269" s="358" customFormat="1" ht="9.9499999999999993" customHeight="1"/>
    <row r="270" s="358" customFormat="1" ht="9.9499999999999993" customHeight="1"/>
    <row r="271" s="358" customFormat="1" ht="9.9499999999999993" customHeight="1"/>
    <row r="272" s="358" customFormat="1" ht="9.9499999999999993" customHeight="1"/>
    <row r="273" s="358" customFormat="1" ht="9.9499999999999993" customHeight="1"/>
    <row r="274" s="358" customFormat="1" ht="9.9499999999999993" customHeight="1"/>
    <row r="275" s="358" customFormat="1" ht="9.9499999999999993" customHeight="1"/>
    <row r="276" s="358" customFormat="1" ht="9.9499999999999993" customHeight="1"/>
    <row r="277" s="358" customFormat="1" ht="9.9499999999999993" customHeight="1"/>
    <row r="278" s="358" customFormat="1" ht="9.9499999999999993" customHeight="1"/>
    <row r="279" s="358" customFormat="1" ht="9.9499999999999993" customHeight="1"/>
    <row r="280" s="358" customFormat="1" ht="9.9499999999999993" customHeight="1"/>
    <row r="281" s="358" customFormat="1" ht="9.9499999999999993" customHeight="1"/>
    <row r="282" s="358" customFormat="1" ht="9.9499999999999993" customHeight="1"/>
    <row r="283" s="358" customFormat="1" ht="9.9499999999999993" customHeight="1"/>
    <row r="284" s="358" customFormat="1" ht="9.9499999999999993" customHeight="1"/>
    <row r="285" s="358" customFormat="1" ht="9.9499999999999993" customHeight="1"/>
    <row r="286" s="358" customFormat="1" ht="9.9499999999999993" customHeight="1"/>
    <row r="287" s="358" customFormat="1" ht="9.9499999999999993" customHeight="1"/>
    <row r="288" s="358" customFormat="1" ht="9.9499999999999993" customHeight="1"/>
    <row r="289" s="358" customFormat="1" ht="9.9499999999999993" customHeight="1"/>
    <row r="290" s="358" customFormat="1" ht="9.9499999999999993" customHeight="1"/>
    <row r="291" s="358" customFormat="1" ht="9.9499999999999993" customHeight="1"/>
    <row r="292" s="358" customFormat="1" ht="9.9499999999999993" customHeight="1"/>
    <row r="293" s="358" customFormat="1" ht="9.9499999999999993" customHeight="1"/>
    <row r="294" s="358" customFormat="1" ht="9.9499999999999993" customHeight="1"/>
    <row r="295" s="358" customFormat="1" ht="9.9499999999999993" customHeight="1"/>
    <row r="296" s="358" customFormat="1" ht="9.9499999999999993" customHeight="1"/>
    <row r="297" s="358" customFormat="1" ht="9.9499999999999993" customHeight="1"/>
    <row r="298" s="358" customFormat="1" ht="9.9499999999999993" customHeight="1"/>
    <row r="299" s="358" customFormat="1" ht="9.9499999999999993" customHeight="1"/>
    <row r="300" s="358" customFormat="1" ht="9.9499999999999993" customHeight="1"/>
    <row r="301" s="358" customFormat="1" ht="9.9499999999999993" customHeight="1"/>
    <row r="302" s="358" customFormat="1" ht="9.9499999999999993" customHeight="1"/>
    <row r="303" s="358" customFormat="1" ht="9.9499999999999993" customHeight="1"/>
    <row r="304" s="358" customFormat="1" ht="9.9499999999999993" customHeight="1"/>
    <row r="305" s="358" customFormat="1" ht="9.9499999999999993" customHeight="1"/>
    <row r="306" s="358" customFormat="1" ht="9.9499999999999993" customHeight="1"/>
    <row r="307" s="358" customFormat="1" ht="9.9499999999999993" customHeight="1"/>
    <row r="308" s="358" customFormat="1" ht="9.9499999999999993" customHeight="1"/>
    <row r="309" s="358" customFormat="1" ht="9.9499999999999993" customHeight="1"/>
    <row r="310" s="358" customFormat="1" ht="9.9499999999999993" customHeight="1"/>
    <row r="311" s="358" customFormat="1" ht="9.9499999999999993" customHeight="1"/>
    <row r="312" s="358" customFormat="1" ht="9.9499999999999993" customHeight="1"/>
    <row r="313" s="358" customFormat="1" ht="9.9499999999999993" customHeight="1"/>
    <row r="314" s="358" customFormat="1" ht="9.9499999999999993" customHeight="1"/>
    <row r="315" s="358" customFormat="1" ht="9.9499999999999993" customHeight="1"/>
    <row r="316" s="358" customFormat="1" ht="9.9499999999999993" customHeight="1"/>
    <row r="317" s="358" customFormat="1" ht="9.9499999999999993" customHeight="1"/>
    <row r="318" s="358" customFormat="1" ht="9.9499999999999993" customHeight="1"/>
    <row r="319" s="358" customFormat="1" ht="9.9499999999999993" customHeight="1"/>
    <row r="320" s="358" customFormat="1" ht="9.9499999999999993" customHeight="1"/>
    <row r="321" s="358" customFormat="1" ht="9.9499999999999993" customHeight="1"/>
    <row r="322" s="358" customFormat="1" ht="9.9499999999999993" customHeight="1"/>
    <row r="323" s="358" customFormat="1" ht="9.9499999999999993" customHeight="1"/>
    <row r="324" s="358" customFormat="1" ht="9.9499999999999993" customHeight="1"/>
    <row r="325" s="358" customFormat="1" ht="9.9499999999999993" customHeight="1"/>
    <row r="326" s="358" customFormat="1" ht="9.9499999999999993" customHeight="1"/>
    <row r="327" s="358" customFormat="1" ht="9.9499999999999993" customHeight="1"/>
    <row r="328" s="358" customFormat="1" ht="9.9499999999999993" customHeight="1"/>
    <row r="329" s="358" customFormat="1" ht="9.9499999999999993" customHeight="1"/>
    <row r="330" s="358" customFormat="1" ht="9.9499999999999993" customHeight="1"/>
    <row r="331" s="358" customFormat="1" ht="9.9499999999999993" customHeight="1"/>
    <row r="332" s="358" customFormat="1" ht="9.9499999999999993" customHeight="1"/>
    <row r="333" s="358" customFormat="1" ht="9.9499999999999993" customHeight="1"/>
    <row r="334" s="358" customFormat="1" ht="9.9499999999999993" customHeight="1"/>
    <row r="335" s="358" customFormat="1" ht="9.9499999999999993" customHeight="1"/>
    <row r="336" s="358" customFormat="1" ht="9.9499999999999993" customHeight="1"/>
    <row r="337" s="358" customFormat="1" ht="9.9499999999999993" customHeight="1"/>
    <row r="338" s="358" customFormat="1" ht="9.9499999999999993" customHeight="1"/>
    <row r="339" s="358" customFormat="1" ht="9.9499999999999993" customHeight="1"/>
    <row r="340" s="358" customFormat="1" ht="9.9499999999999993" customHeight="1"/>
    <row r="341" s="358" customFormat="1" ht="9.9499999999999993" customHeight="1"/>
    <row r="342" s="358" customFormat="1" ht="9.9499999999999993" customHeight="1"/>
    <row r="343" s="358" customFormat="1" ht="9.9499999999999993" customHeight="1"/>
    <row r="344" s="358" customFormat="1" ht="9.9499999999999993" customHeight="1"/>
    <row r="345" s="358" customFormat="1" ht="9.9499999999999993" customHeight="1"/>
    <row r="346" s="358" customFormat="1" ht="9.9499999999999993" customHeight="1"/>
    <row r="347" s="358" customFormat="1" ht="9.9499999999999993" customHeight="1"/>
    <row r="348" s="358" customFormat="1" ht="9.9499999999999993" customHeight="1"/>
    <row r="349" s="358" customFormat="1" ht="9.9499999999999993" customHeight="1"/>
    <row r="350" s="358" customFormat="1" ht="9.9499999999999993" customHeight="1"/>
    <row r="351" s="358" customFormat="1" ht="9.9499999999999993" customHeight="1"/>
    <row r="352" s="358" customFormat="1" ht="9.9499999999999993" customHeight="1"/>
    <row r="353" s="358" customFormat="1" ht="9.9499999999999993" customHeight="1"/>
    <row r="354" s="358" customFormat="1" ht="9.9499999999999993" customHeight="1"/>
    <row r="355" s="358" customFormat="1" ht="9.9499999999999993" customHeight="1"/>
    <row r="356" s="358" customFormat="1" ht="9.9499999999999993" customHeight="1"/>
    <row r="357" s="358" customFormat="1" ht="9.9499999999999993" customHeight="1"/>
    <row r="358" s="358" customFormat="1" ht="9.9499999999999993" customHeight="1"/>
    <row r="359" s="358" customFormat="1" ht="9.9499999999999993" customHeight="1"/>
    <row r="360" s="358" customFormat="1" ht="9.9499999999999993" customHeight="1"/>
    <row r="361" s="358" customFormat="1" ht="9.9499999999999993" customHeight="1"/>
    <row r="362" s="358" customFormat="1" ht="9.9499999999999993" customHeight="1"/>
    <row r="363" s="358" customFormat="1" ht="9.9499999999999993" customHeight="1"/>
    <row r="364" s="358" customFormat="1" ht="9.9499999999999993" customHeight="1"/>
    <row r="365" s="358" customFormat="1" ht="9.9499999999999993" customHeight="1"/>
    <row r="366" s="358" customFormat="1" ht="9.9499999999999993" customHeight="1"/>
    <row r="367" s="358" customFormat="1" ht="9.9499999999999993" customHeight="1"/>
    <row r="368" s="358" customFormat="1" ht="9.9499999999999993" customHeight="1"/>
    <row r="369" s="358" customFormat="1" ht="9.9499999999999993" customHeight="1"/>
    <row r="370" s="358" customFormat="1" ht="9.9499999999999993" customHeight="1"/>
    <row r="371" s="358" customFormat="1" ht="9.9499999999999993" customHeight="1"/>
    <row r="372" s="358" customFormat="1" ht="9.9499999999999993" customHeight="1"/>
    <row r="373" s="358" customFormat="1" ht="9.9499999999999993" customHeight="1"/>
    <row r="374" s="358" customFormat="1" ht="9.9499999999999993" customHeight="1"/>
    <row r="375" s="358" customFormat="1" ht="9.9499999999999993" customHeight="1"/>
    <row r="376" s="358" customFormat="1" ht="9.9499999999999993" customHeight="1"/>
    <row r="377" s="358" customFormat="1" ht="9.9499999999999993" customHeight="1"/>
    <row r="378" s="358" customFormat="1" ht="9.9499999999999993" customHeight="1"/>
    <row r="379" s="358" customFormat="1" ht="9.9499999999999993" customHeight="1"/>
    <row r="380" s="358" customFormat="1" ht="9.9499999999999993" customHeight="1"/>
    <row r="381" s="358" customFormat="1" ht="9.9499999999999993" customHeight="1"/>
    <row r="382" s="358" customFormat="1" ht="9.9499999999999993" customHeight="1"/>
    <row r="383" s="358" customFormat="1" ht="9.9499999999999993" customHeight="1"/>
    <row r="384" s="358" customFormat="1" ht="9.9499999999999993" customHeight="1"/>
    <row r="385" s="358" customFormat="1" ht="9.9499999999999993" customHeight="1"/>
    <row r="386" s="358" customFormat="1" ht="9.9499999999999993" customHeight="1"/>
    <row r="387" s="358" customFormat="1" ht="9.9499999999999993" customHeight="1"/>
    <row r="388" s="358" customFormat="1" ht="9.9499999999999993" customHeight="1"/>
    <row r="389" s="358" customFormat="1" ht="9.9499999999999993" customHeight="1"/>
    <row r="390" s="358" customFormat="1" ht="9.9499999999999993" customHeight="1"/>
    <row r="391" s="358" customFormat="1" ht="9.9499999999999993" customHeight="1"/>
    <row r="392" s="358" customFormat="1" ht="9.9499999999999993" customHeight="1"/>
    <row r="393" s="358" customFormat="1" ht="9.9499999999999993" customHeight="1"/>
    <row r="394" s="358" customFormat="1" ht="9.9499999999999993" customHeight="1"/>
    <row r="395" s="358" customFormat="1" ht="9.9499999999999993" customHeight="1"/>
    <row r="396" s="358" customFormat="1" ht="9.9499999999999993" customHeight="1"/>
    <row r="397" s="358" customFormat="1" ht="9.9499999999999993" customHeight="1"/>
    <row r="398" s="358" customFormat="1" ht="9.9499999999999993" customHeight="1"/>
    <row r="399" s="358" customFormat="1" ht="9.9499999999999993" customHeight="1"/>
    <row r="400" s="358" customFormat="1" ht="9.9499999999999993" customHeight="1"/>
    <row r="401" s="358" customFormat="1" ht="9.9499999999999993" customHeight="1"/>
    <row r="402" s="358" customFormat="1" ht="9.9499999999999993" customHeight="1"/>
    <row r="403" s="358" customFormat="1" ht="9.9499999999999993" customHeight="1"/>
    <row r="404" s="358" customFormat="1" ht="9.9499999999999993" customHeight="1"/>
    <row r="405" s="358" customFormat="1" ht="9.9499999999999993" customHeight="1"/>
    <row r="406" s="358" customFormat="1" ht="9.9499999999999993" customHeight="1"/>
    <row r="407" s="358" customFormat="1" ht="9.9499999999999993" customHeight="1"/>
    <row r="408" s="358" customFormat="1" ht="9.9499999999999993" customHeight="1"/>
    <row r="409" s="358" customFormat="1" ht="9.9499999999999993" customHeight="1"/>
    <row r="410" s="358" customFormat="1" ht="9.9499999999999993" customHeight="1"/>
    <row r="411" s="358" customFormat="1" ht="9.9499999999999993" customHeight="1"/>
    <row r="412" s="358" customFormat="1" ht="9.9499999999999993" customHeight="1"/>
    <row r="413" s="358" customFormat="1" ht="9.9499999999999993" customHeight="1"/>
    <row r="414" s="358" customFormat="1" ht="9.9499999999999993" customHeight="1"/>
    <row r="415" s="358" customFormat="1" ht="9.9499999999999993" customHeight="1"/>
    <row r="416" s="358" customFormat="1" ht="9.9499999999999993" customHeight="1"/>
    <row r="417" s="358" customFormat="1" ht="9.9499999999999993" customHeight="1"/>
    <row r="418" s="358" customFormat="1" ht="9.9499999999999993" customHeight="1"/>
    <row r="419" s="358" customFormat="1" ht="9.9499999999999993" customHeight="1"/>
    <row r="420" s="358" customFormat="1" ht="9.9499999999999993" customHeight="1"/>
    <row r="421" s="358" customFormat="1" ht="9.9499999999999993" customHeight="1"/>
    <row r="422" s="358" customFormat="1" ht="9.9499999999999993" customHeight="1"/>
    <row r="423" s="358" customFormat="1" ht="9.9499999999999993" customHeight="1"/>
    <row r="424" s="358" customFormat="1" ht="9.9499999999999993" customHeight="1"/>
    <row r="425" s="358" customFormat="1" ht="9.9499999999999993" customHeight="1"/>
    <row r="426" s="358" customFormat="1" ht="9.9499999999999993" customHeight="1"/>
    <row r="427" s="358" customFormat="1" ht="9.9499999999999993" customHeight="1"/>
    <row r="428" s="358" customFormat="1" ht="9.9499999999999993" customHeight="1"/>
    <row r="429" s="358" customFormat="1" ht="9.9499999999999993" customHeight="1"/>
    <row r="430" s="358" customFormat="1" ht="9.9499999999999993" customHeight="1"/>
    <row r="431" s="358" customFormat="1" ht="9.9499999999999993" customHeight="1"/>
    <row r="432" s="358" customFormat="1" ht="9.9499999999999993" customHeight="1"/>
    <row r="433" s="358" customFormat="1" ht="9.9499999999999993" customHeight="1"/>
    <row r="434" s="358" customFormat="1" ht="9.9499999999999993" customHeight="1"/>
    <row r="435" s="358" customFormat="1" ht="9.9499999999999993" customHeight="1"/>
    <row r="436" s="358" customFormat="1" ht="9.9499999999999993" customHeight="1"/>
    <row r="437" s="358" customFormat="1" ht="9.9499999999999993" customHeight="1"/>
    <row r="438" s="358" customFormat="1" ht="9.9499999999999993" customHeight="1"/>
    <row r="439" s="358" customFormat="1" ht="9.9499999999999993" customHeight="1"/>
    <row r="440" s="358" customFormat="1" ht="9.9499999999999993" customHeight="1"/>
    <row r="441" s="358" customFormat="1" ht="9.9499999999999993" customHeight="1"/>
    <row r="442" s="358" customFormat="1" ht="9.9499999999999993" customHeight="1"/>
    <row r="443" s="358" customFormat="1" ht="9.9499999999999993" customHeight="1"/>
    <row r="444" s="358" customFormat="1" ht="9.9499999999999993" customHeight="1"/>
    <row r="445" s="358" customFormat="1" ht="9.9499999999999993" customHeight="1"/>
    <row r="446" s="358" customFormat="1" ht="9.9499999999999993" customHeight="1"/>
    <row r="447" s="358" customFormat="1" ht="9.9499999999999993" customHeight="1"/>
    <row r="448" s="358" customFormat="1" ht="9.9499999999999993" customHeight="1"/>
    <row r="449" s="358" customFormat="1" ht="9.9499999999999993" customHeight="1"/>
    <row r="450" s="358" customFormat="1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</sheetData>
  <mergeCells count="51">
    <mergeCell ref="C29:D29"/>
    <mergeCell ref="C32:D32"/>
    <mergeCell ref="B12:D12"/>
    <mergeCell ref="E12:G12"/>
    <mergeCell ref="C33:D33"/>
    <mergeCell ref="C34:D34"/>
    <mergeCell ref="C31:D31"/>
    <mergeCell ref="C18:D18"/>
    <mergeCell ref="C19:D19"/>
    <mergeCell ref="C30:D30"/>
    <mergeCell ref="C26:D26"/>
    <mergeCell ref="C27:D27"/>
    <mergeCell ref="C23:D23"/>
    <mergeCell ref="C25:D25"/>
    <mergeCell ref="C20:D20"/>
    <mergeCell ref="C21:D21"/>
    <mergeCell ref="C22:D22"/>
    <mergeCell ref="C24:D24"/>
    <mergeCell ref="C28:D28"/>
    <mergeCell ref="C16:D16"/>
    <mergeCell ref="C17:D17"/>
    <mergeCell ref="G15:H15"/>
    <mergeCell ref="I15:J15"/>
    <mergeCell ref="E13:I13"/>
    <mergeCell ref="B13:C13"/>
    <mergeCell ref="C15:D15"/>
    <mergeCell ref="B7:C7"/>
    <mergeCell ref="J2:K2"/>
    <mergeCell ref="D2:I2"/>
    <mergeCell ref="E7:F7"/>
    <mergeCell ref="J7:K7"/>
    <mergeCell ref="B2:C5"/>
    <mergeCell ref="B6:K6"/>
    <mergeCell ref="D4:I4"/>
    <mergeCell ref="D5:I5"/>
    <mergeCell ref="J13:K13"/>
    <mergeCell ref="J3:K3"/>
    <mergeCell ref="J4:K4"/>
    <mergeCell ref="J5:K5"/>
    <mergeCell ref="D3:I3"/>
    <mergeCell ref="J12:K12"/>
    <mergeCell ref="B11:D11"/>
    <mergeCell ref="J8:K8"/>
    <mergeCell ref="J9:K9"/>
    <mergeCell ref="J10:K10"/>
    <mergeCell ref="E10:I11"/>
    <mergeCell ref="B8:D8"/>
    <mergeCell ref="E8:I8"/>
    <mergeCell ref="B9:C9"/>
    <mergeCell ref="B10:D10"/>
    <mergeCell ref="E9:G9"/>
  </mergeCells>
  <pageMargins left="0.19685039370078741" right="0.11811023622047245" top="0.59055118110236227" bottom="0.39370078740157483" header="0.19685039370078741" footer="0.19685039370078741"/>
  <pageSetup paperSize="9" orientation="landscape" useFirstPageNumber="1" horizontalDpi="4294967294" verticalDpi="300" r:id="rId1"/>
  <headerFooter alignWithMargins="0">
    <oddHeader>&amp;L&amp;"Tahoma,Kurzíva"&amp;G&amp;C&amp;"Arial,Tučné"&amp;9ROZPOČET&amp;"Arial CE,Obyčejné"&amp;10
&amp;"Arial,Kurzíva"&amp;7Budget&amp;R&amp;"Arial,Obyčejné"&amp;9&amp;P/&amp;N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s="1" customFormat="1" ht="37.5" customHeight="1"/>
    <row r="2" spans="2:11" s="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3" customFormat="1" ht="45" customHeight="1">
      <c r="B3" s="203"/>
      <c r="C3" s="668" t="s">
        <v>134</v>
      </c>
      <c r="D3" s="668"/>
      <c r="E3" s="668"/>
      <c r="F3" s="668"/>
      <c r="G3" s="668"/>
      <c r="H3" s="668"/>
      <c r="I3" s="668"/>
      <c r="J3" s="668"/>
      <c r="K3" s="204"/>
    </row>
    <row r="4" spans="2:11" s="1" customFormat="1" ht="25.5" customHeight="1">
      <c r="B4" s="205"/>
      <c r="C4" s="673" t="s">
        <v>135</v>
      </c>
      <c r="D4" s="673"/>
      <c r="E4" s="673"/>
      <c r="F4" s="673"/>
      <c r="G4" s="673"/>
      <c r="H4" s="673"/>
      <c r="I4" s="673"/>
      <c r="J4" s="673"/>
      <c r="K4" s="206"/>
    </row>
    <row r="5" spans="2:11" s="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s="1" customFormat="1" ht="15" customHeight="1">
      <c r="B6" s="205"/>
      <c r="C6" s="672" t="s">
        <v>136</v>
      </c>
      <c r="D6" s="672"/>
      <c r="E6" s="672"/>
      <c r="F6" s="672"/>
      <c r="G6" s="672"/>
      <c r="H6" s="672"/>
      <c r="I6" s="672"/>
      <c r="J6" s="672"/>
      <c r="K6" s="206"/>
    </row>
    <row r="7" spans="2:11" s="1" customFormat="1" ht="15" customHeight="1">
      <c r="B7" s="209"/>
      <c r="C7" s="672" t="s">
        <v>137</v>
      </c>
      <c r="D7" s="672"/>
      <c r="E7" s="672"/>
      <c r="F7" s="672"/>
      <c r="G7" s="672"/>
      <c r="H7" s="672"/>
      <c r="I7" s="672"/>
      <c r="J7" s="672"/>
      <c r="K7" s="206"/>
    </row>
    <row r="8" spans="2:11" s="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s="1" customFormat="1" ht="15" customHeight="1">
      <c r="B9" s="209"/>
      <c r="C9" s="672" t="s">
        <v>138</v>
      </c>
      <c r="D9" s="672"/>
      <c r="E9" s="672"/>
      <c r="F9" s="672"/>
      <c r="G9" s="672"/>
      <c r="H9" s="672"/>
      <c r="I9" s="672"/>
      <c r="J9" s="672"/>
      <c r="K9" s="206"/>
    </row>
    <row r="10" spans="2:11" s="1" customFormat="1" ht="15" customHeight="1">
      <c r="B10" s="209"/>
      <c r="C10" s="208"/>
      <c r="D10" s="672" t="s">
        <v>139</v>
      </c>
      <c r="E10" s="672"/>
      <c r="F10" s="672"/>
      <c r="G10" s="672"/>
      <c r="H10" s="672"/>
      <c r="I10" s="672"/>
      <c r="J10" s="672"/>
      <c r="K10" s="206"/>
    </row>
    <row r="11" spans="2:11" s="1" customFormat="1" ht="15" customHeight="1">
      <c r="B11" s="209"/>
      <c r="C11" s="210"/>
      <c r="D11" s="672" t="s">
        <v>140</v>
      </c>
      <c r="E11" s="672"/>
      <c r="F11" s="672"/>
      <c r="G11" s="672"/>
      <c r="H11" s="672"/>
      <c r="I11" s="672"/>
      <c r="J11" s="672"/>
      <c r="K11" s="206"/>
    </row>
    <row r="12" spans="2:11" s="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s="1" customFormat="1" ht="15" customHeight="1">
      <c r="B13" s="209"/>
      <c r="C13" s="210"/>
      <c r="D13" s="211" t="s">
        <v>141</v>
      </c>
      <c r="E13" s="208"/>
      <c r="F13" s="208"/>
      <c r="G13" s="208"/>
      <c r="H13" s="208"/>
      <c r="I13" s="208"/>
      <c r="J13" s="208"/>
      <c r="K13" s="206"/>
    </row>
    <row r="14" spans="2:11" s="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s="1" customFormat="1" ht="15" customHeight="1">
      <c r="B15" s="209"/>
      <c r="C15" s="210"/>
      <c r="D15" s="672" t="s">
        <v>142</v>
      </c>
      <c r="E15" s="672"/>
      <c r="F15" s="672"/>
      <c r="G15" s="672"/>
      <c r="H15" s="672"/>
      <c r="I15" s="672"/>
      <c r="J15" s="672"/>
      <c r="K15" s="206"/>
    </row>
    <row r="16" spans="2:11" s="1" customFormat="1" ht="15" customHeight="1">
      <c r="B16" s="209"/>
      <c r="C16" s="210"/>
      <c r="D16" s="672" t="s">
        <v>143</v>
      </c>
      <c r="E16" s="672"/>
      <c r="F16" s="672"/>
      <c r="G16" s="672"/>
      <c r="H16" s="672"/>
      <c r="I16" s="672"/>
      <c r="J16" s="672"/>
      <c r="K16" s="206"/>
    </row>
    <row r="17" spans="2:11" s="1" customFormat="1" ht="15" customHeight="1">
      <c r="B17" s="209"/>
      <c r="C17" s="210"/>
      <c r="D17" s="672" t="s">
        <v>144</v>
      </c>
      <c r="E17" s="672"/>
      <c r="F17" s="672"/>
      <c r="G17" s="672"/>
      <c r="H17" s="672"/>
      <c r="I17" s="672"/>
      <c r="J17" s="672"/>
      <c r="K17" s="206"/>
    </row>
    <row r="18" spans="2:11" s="1" customFormat="1" ht="15" customHeight="1">
      <c r="B18" s="209"/>
      <c r="C18" s="210"/>
      <c r="D18" s="210"/>
      <c r="E18" s="212" t="s">
        <v>82</v>
      </c>
      <c r="F18" s="672" t="s">
        <v>145</v>
      </c>
      <c r="G18" s="672"/>
      <c r="H18" s="672"/>
      <c r="I18" s="672"/>
      <c r="J18" s="672"/>
      <c r="K18" s="206"/>
    </row>
    <row r="19" spans="2:11" s="1" customFormat="1" ht="15" customHeight="1">
      <c r="B19" s="209"/>
      <c r="C19" s="210"/>
      <c r="D19" s="210"/>
      <c r="E19" s="212" t="s">
        <v>146</v>
      </c>
      <c r="F19" s="672" t="s">
        <v>147</v>
      </c>
      <c r="G19" s="672"/>
      <c r="H19" s="672"/>
      <c r="I19" s="672"/>
      <c r="J19" s="672"/>
      <c r="K19" s="206"/>
    </row>
    <row r="20" spans="2:11" s="1" customFormat="1" ht="15" customHeight="1">
      <c r="B20" s="209"/>
      <c r="C20" s="210"/>
      <c r="D20" s="210"/>
      <c r="E20" s="212" t="s">
        <v>148</v>
      </c>
      <c r="F20" s="672" t="s">
        <v>149</v>
      </c>
      <c r="G20" s="672"/>
      <c r="H20" s="672"/>
      <c r="I20" s="672"/>
      <c r="J20" s="672"/>
      <c r="K20" s="206"/>
    </row>
    <row r="21" spans="2:11" s="1" customFormat="1" ht="15" customHeight="1">
      <c r="B21" s="209"/>
      <c r="C21" s="210"/>
      <c r="D21" s="210"/>
      <c r="E21" s="212" t="s">
        <v>150</v>
      </c>
      <c r="F21" s="672" t="s">
        <v>151</v>
      </c>
      <c r="G21" s="672"/>
      <c r="H21" s="672"/>
      <c r="I21" s="672"/>
      <c r="J21" s="672"/>
      <c r="K21" s="206"/>
    </row>
    <row r="22" spans="2:11" s="1" customFormat="1" ht="15" customHeight="1">
      <c r="B22" s="209"/>
      <c r="C22" s="210"/>
      <c r="D22" s="210"/>
      <c r="E22" s="212" t="s">
        <v>152</v>
      </c>
      <c r="F22" s="672" t="s">
        <v>153</v>
      </c>
      <c r="G22" s="672"/>
      <c r="H22" s="672"/>
      <c r="I22" s="672"/>
      <c r="J22" s="672"/>
      <c r="K22" s="206"/>
    </row>
    <row r="23" spans="2:11" s="1" customFormat="1" ht="15" customHeight="1">
      <c r="B23" s="209"/>
      <c r="C23" s="210"/>
      <c r="D23" s="210"/>
      <c r="E23" s="212" t="s">
        <v>154</v>
      </c>
      <c r="F23" s="672" t="s">
        <v>155</v>
      </c>
      <c r="G23" s="672"/>
      <c r="H23" s="672"/>
      <c r="I23" s="672"/>
      <c r="J23" s="672"/>
      <c r="K23" s="206"/>
    </row>
    <row r="24" spans="2:11" s="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s="1" customFormat="1" ht="15" customHeight="1">
      <c r="B25" s="209"/>
      <c r="C25" s="672" t="s">
        <v>156</v>
      </c>
      <c r="D25" s="672"/>
      <c r="E25" s="672"/>
      <c r="F25" s="672"/>
      <c r="G25" s="672"/>
      <c r="H25" s="672"/>
      <c r="I25" s="672"/>
      <c r="J25" s="672"/>
      <c r="K25" s="206"/>
    </row>
    <row r="26" spans="2:11" s="1" customFormat="1" ht="15" customHeight="1">
      <c r="B26" s="209"/>
      <c r="C26" s="672" t="s">
        <v>157</v>
      </c>
      <c r="D26" s="672"/>
      <c r="E26" s="672"/>
      <c r="F26" s="672"/>
      <c r="G26" s="672"/>
      <c r="H26" s="672"/>
      <c r="I26" s="672"/>
      <c r="J26" s="672"/>
      <c r="K26" s="206"/>
    </row>
    <row r="27" spans="2:11" s="1" customFormat="1" ht="15" customHeight="1">
      <c r="B27" s="209"/>
      <c r="C27" s="208"/>
      <c r="D27" s="672" t="s">
        <v>158</v>
      </c>
      <c r="E27" s="672"/>
      <c r="F27" s="672"/>
      <c r="G27" s="672"/>
      <c r="H27" s="672"/>
      <c r="I27" s="672"/>
      <c r="J27" s="672"/>
      <c r="K27" s="206"/>
    </row>
    <row r="28" spans="2:11" s="1" customFormat="1" ht="15" customHeight="1">
      <c r="B28" s="209"/>
      <c r="C28" s="210"/>
      <c r="D28" s="672" t="s">
        <v>159</v>
      </c>
      <c r="E28" s="672"/>
      <c r="F28" s="672"/>
      <c r="G28" s="672"/>
      <c r="H28" s="672"/>
      <c r="I28" s="672"/>
      <c r="J28" s="672"/>
      <c r="K28" s="206"/>
    </row>
    <row r="29" spans="2:11" s="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s="1" customFormat="1" ht="15" customHeight="1">
      <c r="B30" s="209"/>
      <c r="C30" s="210"/>
      <c r="D30" s="672" t="s">
        <v>160</v>
      </c>
      <c r="E30" s="672"/>
      <c r="F30" s="672"/>
      <c r="G30" s="672"/>
      <c r="H30" s="672"/>
      <c r="I30" s="672"/>
      <c r="J30" s="672"/>
      <c r="K30" s="206"/>
    </row>
    <row r="31" spans="2:11" s="1" customFormat="1" ht="15" customHeight="1">
      <c r="B31" s="209"/>
      <c r="C31" s="210"/>
      <c r="D31" s="672" t="s">
        <v>161</v>
      </c>
      <c r="E31" s="672"/>
      <c r="F31" s="672"/>
      <c r="G31" s="672"/>
      <c r="H31" s="672"/>
      <c r="I31" s="672"/>
      <c r="J31" s="672"/>
      <c r="K31" s="206"/>
    </row>
    <row r="32" spans="2:11" s="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s="1" customFormat="1" ht="15" customHeight="1">
      <c r="B33" s="209"/>
      <c r="C33" s="210"/>
      <c r="D33" s="672" t="s">
        <v>162</v>
      </c>
      <c r="E33" s="672"/>
      <c r="F33" s="672"/>
      <c r="G33" s="672"/>
      <c r="H33" s="672"/>
      <c r="I33" s="672"/>
      <c r="J33" s="672"/>
      <c r="K33" s="206"/>
    </row>
    <row r="34" spans="2:11" s="1" customFormat="1" ht="15" customHeight="1">
      <c r="B34" s="209"/>
      <c r="C34" s="210"/>
      <c r="D34" s="672" t="s">
        <v>163</v>
      </c>
      <c r="E34" s="672"/>
      <c r="F34" s="672"/>
      <c r="G34" s="672"/>
      <c r="H34" s="672"/>
      <c r="I34" s="672"/>
      <c r="J34" s="672"/>
      <c r="K34" s="206"/>
    </row>
    <row r="35" spans="2:11" s="1" customFormat="1" ht="15" customHeight="1">
      <c r="B35" s="209"/>
      <c r="C35" s="210"/>
      <c r="D35" s="672" t="s">
        <v>164</v>
      </c>
      <c r="E35" s="672"/>
      <c r="F35" s="672"/>
      <c r="G35" s="672"/>
      <c r="H35" s="672"/>
      <c r="I35" s="672"/>
      <c r="J35" s="672"/>
      <c r="K35" s="206"/>
    </row>
    <row r="36" spans="2:11" s="1" customFormat="1" ht="15" customHeight="1">
      <c r="B36" s="209"/>
      <c r="C36" s="210"/>
      <c r="D36" s="208"/>
      <c r="E36" s="211" t="s">
        <v>105</v>
      </c>
      <c r="F36" s="208"/>
      <c r="G36" s="672" t="s">
        <v>165</v>
      </c>
      <c r="H36" s="672"/>
      <c r="I36" s="672"/>
      <c r="J36" s="672"/>
      <c r="K36" s="206"/>
    </row>
    <row r="37" spans="2:11" s="1" customFormat="1" ht="30.75" customHeight="1">
      <c r="B37" s="209"/>
      <c r="C37" s="210"/>
      <c r="D37" s="208"/>
      <c r="E37" s="211" t="s">
        <v>166</v>
      </c>
      <c r="F37" s="208"/>
      <c r="G37" s="672" t="s">
        <v>167</v>
      </c>
      <c r="H37" s="672"/>
      <c r="I37" s="672"/>
      <c r="J37" s="672"/>
      <c r="K37" s="206"/>
    </row>
    <row r="38" spans="2:11" s="1" customFormat="1" ht="15" customHeight="1">
      <c r="B38" s="209"/>
      <c r="C38" s="210"/>
      <c r="D38" s="208"/>
      <c r="E38" s="211" t="s">
        <v>56</v>
      </c>
      <c r="F38" s="208"/>
      <c r="G38" s="672" t="s">
        <v>168</v>
      </c>
      <c r="H38" s="672"/>
      <c r="I38" s="672"/>
      <c r="J38" s="672"/>
      <c r="K38" s="206"/>
    </row>
    <row r="39" spans="2:11" s="1" customFormat="1" ht="15" customHeight="1">
      <c r="B39" s="209"/>
      <c r="C39" s="210"/>
      <c r="D39" s="208"/>
      <c r="E39" s="211" t="s">
        <v>57</v>
      </c>
      <c r="F39" s="208"/>
      <c r="G39" s="672" t="s">
        <v>169</v>
      </c>
      <c r="H39" s="672"/>
      <c r="I39" s="672"/>
      <c r="J39" s="672"/>
      <c r="K39" s="206"/>
    </row>
    <row r="40" spans="2:11" s="1" customFormat="1" ht="15" customHeight="1">
      <c r="B40" s="209"/>
      <c r="C40" s="210"/>
      <c r="D40" s="208"/>
      <c r="E40" s="211" t="s">
        <v>106</v>
      </c>
      <c r="F40" s="208"/>
      <c r="G40" s="672" t="s">
        <v>170</v>
      </c>
      <c r="H40" s="672"/>
      <c r="I40" s="672"/>
      <c r="J40" s="672"/>
      <c r="K40" s="206"/>
    </row>
    <row r="41" spans="2:11" s="1" customFormat="1" ht="15" customHeight="1">
      <c r="B41" s="209"/>
      <c r="C41" s="210"/>
      <c r="D41" s="208"/>
      <c r="E41" s="211" t="s">
        <v>107</v>
      </c>
      <c r="F41" s="208"/>
      <c r="G41" s="672" t="s">
        <v>171</v>
      </c>
      <c r="H41" s="672"/>
      <c r="I41" s="672"/>
      <c r="J41" s="672"/>
      <c r="K41" s="206"/>
    </row>
    <row r="42" spans="2:11" s="1" customFormat="1" ht="15" customHeight="1">
      <c r="B42" s="209"/>
      <c r="C42" s="210"/>
      <c r="D42" s="208"/>
      <c r="E42" s="211" t="s">
        <v>172</v>
      </c>
      <c r="F42" s="208"/>
      <c r="G42" s="672" t="s">
        <v>173</v>
      </c>
      <c r="H42" s="672"/>
      <c r="I42" s="672"/>
      <c r="J42" s="672"/>
      <c r="K42" s="206"/>
    </row>
    <row r="43" spans="2:11" s="1" customFormat="1" ht="15" customHeight="1">
      <c r="B43" s="209"/>
      <c r="C43" s="210"/>
      <c r="D43" s="208"/>
      <c r="E43" s="211"/>
      <c r="F43" s="208"/>
      <c r="G43" s="672" t="s">
        <v>174</v>
      </c>
      <c r="H43" s="672"/>
      <c r="I43" s="672"/>
      <c r="J43" s="672"/>
      <c r="K43" s="206"/>
    </row>
    <row r="44" spans="2:11" s="1" customFormat="1" ht="15" customHeight="1">
      <c r="B44" s="209"/>
      <c r="C44" s="210"/>
      <c r="D44" s="208"/>
      <c r="E44" s="211" t="s">
        <v>175</v>
      </c>
      <c r="F44" s="208"/>
      <c r="G44" s="672" t="s">
        <v>176</v>
      </c>
      <c r="H44" s="672"/>
      <c r="I44" s="672"/>
      <c r="J44" s="672"/>
      <c r="K44" s="206"/>
    </row>
    <row r="45" spans="2:11" s="1" customFormat="1" ht="15" customHeight="1">
      <c r="B45" s="209"/>
      <c r="C45" s="210"/>
      <c r="D45" s="208"/>
      <c r="E45" s="211" t="s">
        <v>109</v>
      </c>
      <c r="F45" s="208"/>
      <c r="G45" s="672" t="s">
        <v>177</v>
      </c>
      <c r="H45" s="672"/>
      <c r="I45" s="672"/>
      <c r="J45" s="672"/>
      <c r="K45" s="206"/>
    </row>
    <row r="46" spans="2:11" s="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s="1" customFormat="1" ht="15" customHeight="1">
      <c r="B47" s="209"/>
      <c r="C47" s="210"/>
      <c r="D47" s="672" t="s">
        <v>178</v>
      </c>
      <c r="E47" s="672"/>
      <c r="F47" s="672"/>
      <c r="G47" s="672"/>
      <c r="H47" s="672"/>
      <c r="I47" s="672"/>
      <c r="J47" s="672"/>
      <c r="K47" s="206"/>
    </row>
    <row r="48" spans="2:11" s="1" customFormat="1" ht="15" customHeight="1">
      <c r="B48" s="209"/>
      <c r="C48" s="210"/>
      <c r="D48" s="210"/>
      <c r="E48" s="672" t="s">
        <v>179</v>
      </c>
      <c r="F48" s="672"/>
      <c r="G48" s="672"/>
      <c r="H48" s="672"/>
      <c r="I48" s="672"/>
      <c r="J48" s="672"/>
      <c r="K48" s="206"/>
    </row>
    <row r="49" spans="2:11" s="1" customFormat="1" ht="15" customHeight="1">
      <c r="B49" s="209"/>
      <c r="C49" s="210"/>
      <c r="D49" s="210"/>
      <c r="E49" s="672" t="s">
        <v>180</v>
      </c>
      <c r="F49" s="672"/>
      <c r="G49" s="672"/>
      <c r="H49" s="672"/>
      <c r="I49" s="672"/>
      <c r="J49" s="672"/>
      <c r="K49" s="206"/>
    </row>
    <row r="50" spans="2:11" s="1" customFormat="1" ht="15" customHeight="1">
      <c r="B50" s="209"/>
      <c r="C50" s="210"/>
      <c r="D50" s="210"/>
      <c r="E50" s="672" t="s">
        <v>181</v>
      </c>
      <c r="F50" s="672"/>
      <c r="G50" s="672"/>
      <c r="H50" s="672"/>
      <c r="I50" s="672"/>
      <c r="J50" s="672"/>
      <c r="K50" s="206"/>
    </row>
    <row r="51" spans="2:11" s="1" customFormat="1" ht="15" customHeight="1">
      <c r="B51" s="209"/>
      <c r="C51" s="210"/>
      <c r="D51" s="672" t="s">
        <v>182</v>
      </c>
      <c r="E51" s="672"/>
      <c r="F51" s="672"/>
      <c r="G51" s="672"/>
      <c r="H51" s="672"/>
      <c r="I51" s="672"/>
      <c r="J51" s="672"/>
      <c r="K51" s="206"/>
    </row>
    <row r="52" spans="2:11" s="1" customFormat="1" ht="25.5" customHeight="1">
      <c r="B52" s="205"/>
      <c r="C52" s="673" t="s">
        <v>183</v>
      </c>
      <c r="D52" s="673"/>
      <c r="E52" s="673"/>
      <c r="F52" s="673"/>
      <c r="G52" s="673"/>
      <c r="H52" s="673"/>
      <c r="I52" s="673"/>
      <c r="J52" s="673"/>
      <c r="K52" s="206"/>
    </row>
    <row r="53" spans="2:11" s="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s="1" customFormat="1" ht="15" customHeight="1">
      <c r="B54" s="205"/>
      <c r="C54" s="672" t="s">
        <v>184</v>
      </c>
      <c r="D54" s="672"/>
      <c r="E54" s="672"/>
      <c r="F54" s="672"/>
      <c r="G54" s="672"/>
      <c r="H54" s="672"/>
      <c r="I54" s="672"/>
      <c r="J54" s="672"/>
      <c r="K54" s="206"/>
    </row>
    <row r="55" spans="2:11" s="1" customFormat="1" ht="15" customHeight="1">
      <c r="B55" s="205"/>
      <c r="C55" s="672" t="s">
        <v>185</v>
      </c>
      <c r="D55" s="672"/>
      <c r="E55" s="672"/>
      <c r="F55" s="672"/>
      <c r="G55" s="672"/>
      <c r="H55" s="672"/>
      <c r="I55" s="672"/>
      <c r="J55" s="672"/>
      <c r="K55" s="206"/>
    </row>
    <row r="56" spans="2:11" s="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s="1" customFormat="1" ht="15" customHeight="1">
      <c r="B57" s="205"/>
      <c r="C57" s="672" t="s">
        <v>186</v>
      </c>
      <c r="D57" s="672"/>
      <c r="E57" s="672"/>
      <c r="F57" s="672"/>
      <c r="G57" s="672"/>
      <c r="H57" s="672"/>
      <c r="I57" s="672"/>
      <c r="J57" s="672"/>
      <c r="K57" s="206"/>
    </row>
    <row r="58" spans="2:11" s="1" customFormat="1" ht="15" customHeight="1">
      <c r="B58" s="205"/>
      <c r="C58" s="210"/>
      <c r="D58" s="672" t="s">
        <v>187</v>
      </c>
      <c r="E58" s="672"/>
      <c r="F58" s="672"/>
      <c r="G58" s="672"/>
      <c r="H58" s="672"/>
      <c r="I58" s="672"/>
      <c r="J58" s="672"/>
      <c r="K58" s="206"/>
    </row>
    <row r="59" spans="2:11" s="1" customFormat="1" ht="15" customHeight="1">
      <c r="B59" s="205"/>
      <c r="C59" s="210"/>
      <c r="D59" s="672" t="s">
        <v>188</v>
      </c>
      <c r="E59" s="672"/>
      <c r="F59" s="672"/>
      <c r="G59" s="672"/>
      <c r="H59" s="672"/>
      <c r="I59" s="672"/>
      <c r="J59" s="672"/>
      <c r="K59" s="206"/>
    </row>
    <row r="60" spans="2:11" s="1" customFormat="1" ht="15" customHeight="1">
      <c r="B60" s="205"/>
      <c r="C60" s="210"/>
      <c r="D60" s="672" t="s">
        <v>189</v>
      </c>
      <c r="E60" s="672"/>
      <c r="F60" s="672"/>
      <c r="G60" s="672"/>
      <c r="H60" s="672"/>
      <c r="I60" s="672"/>
      <c r="J60" s="672"/>
      <c r="K60" s="206"/>
    </row>
    <row r="61" spans="2:11" s="1" customFormat="1" ht="15" customHeight="1">
      <c r="B61" s="205"/>
      <c r="C61" s="210"/>
      <c r="D61" s="672" t="s">
        <v>190</v>
      </c>
      <c r="E61" s="672"/>
      <c r="F61" s="672"/>
      <c r="G61" s="672"/>
      <c r="H61" s="672"/>
      <c r="I61" s="672"/>
      <c r="J61" s="672"/>
      <c r="K61" s="206"/>
    </row>
    <row r="62" spans="2:11" s="1" customFormat="1" ht="15" customHeight="1">
      <c r="B62" s="205"/>
      <c r="C62" s="210"/>
      <c r="D62" s="674" t="s">
        <v>191</v>
      </c>
      <c r="E62" s="674"/>
      <c r="F62" s="674"/>
      <c r="G62" s="674"/>
      <c r="H62" s="674"/>
      <c r="I62" s="674"/>
      <c r="J62" s="674"/>
      <c r="K62" s="206"/>
    </row>
    <row r="63" spans="2:11" s="1" customFormat="1" ht="15" customHeight="1">
      <c r="B63" s="205"/>
      <c r="C63" s="210"/>
      <c r="D63" s="672" t="s">
        <v>192</v>
      </c>
      <c r="E63" s="672"/>
      <c r="F63" s="672"/>
      <c r="G63" s="672"/>
      <c r="H63" s="672"/>
      <c r="I63" s="672"/>
      <c r="J63" s="672"/>
      <c r="K63" s="206"/>
    </row>
    <row r="64" spans="2:11" s="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s="1" customFormat="1" ht="15" customHeight="1">
      <c r="B65" s="205"/>
      <c r="C65" s="210"/>
      <c r="D65" s="672" t="s">
        <v>193</v>
      </c>
      <c r="E65" s="672"/>
      <c r="F65" s="672"/>
      <c r="G65" s="672"/>
      <c r="H65" s="672"/>
      <c r="I65" s="672"/>
      <c r="J65" s="672"/>
      <c r="K65" s="206"/>
    </row>
    <row r="66" spans="2:11" s="1" customFormat="1" ht="15" customHeight="1">
      <c r="B66" s="205"/>
      <c r="C66" s="210"/>
      <c r="D66" s="674" t="s">
        <v>194</v>
      </c>
      <c r="E66" s="674"/>
      <c r="F66" s="674"/>
      <c r="G66" s="674"/>
      <c r="H66" s="674"/>
      <c r="I66" s="674"/>
      <c r="J66" s="674"/>
      <c r="K66" s="206"/>
    </row>
    <row r="67" spans="2:11" s="1" customFormat="1" ht="15" customHeight="1">
      <c r="B67" s="205"/>
      <c r="C67" s="210"/>
      <c r="D67" s="672" t="s">
        <v>195</v>
      </c>
      <c r="E67" s="672"/>
      <c r="F67" s="672"/>
      <c r="G67" s="672"/>
      <c r="H67" s="672"/>
      <c r="I67" s="672"/>
      <c r="J67" s="672"/>
      <c r="K67" s="206"/>
    </row>
    <row r="68" spans="2:11" s="1" customFormat="1" ht="15" customHeight="1">
      <c r="B68" s="205"/>
      <c r="C68" s="210"/>
      <c r="D68" s="672" t="s">
        <v>196</v>
      </c>
      <c r="E68" s="672"/>
      <c r="F68" s="672"/>
      <c r="G68" s="672"/>
      <c r="H68" s="672"/>
      <c r="I68" s="672"/>
      <c r="J68" s="672"/>
      <c r="K68" s="206"/>
    </row>
    <row r="69" spans="2:11" s="1" customFormat="1" ht="15" customHeight="1">
      <c r="B69" s="205"/>
      <c r="C69" s="210"/>
      <c r="D69" s="672" t="s">
        <v>197</v>
      </c>
      <c r="E69" s="672"/>
      <c r="F69" s="672"/>
      <c r="G69" s="672"/>
      <c r="H69" s="672"/>
      <c r="I69" s="672"/>
      <c r="J69" s="672"/>
      <c r="K69" s="206"/>
    </row>
    <row r="70" spans="2:11" s="1" customFormat="1" ht="15" customHeight="1">
      <c r="B70" s="205"/>
      <c r="C70" s="210"/>
      <c r="D70" s="672" t="s">
        <v>198</v>
      </c>
      <c r="E70" s="672"/>
      <c r="F70" s="672"/>
      <c r="G70" s="672"/>
      <c r="H70" s="672"/>
      <c r="I70" s="672"/>
      <c r="J70" s="672"/>
      <c r="K70" s="206"/>
    </row>
    <row r="71" spans="2:11" s="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s="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s="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s="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s="1" customFormat="1" ht="45" customHeight="1">
      <c r="B75" s="222"/>
      <c r="C75" s="667" t="s">
        <v>199</v>
      </c>
      <c r="D75" s="667"/>
      <c r="E75" s="667"/>
      <c r="F75" s="667"/>
      <c r="G75" s="667"/>
      <c r="H75" s="667"/>
      <c r="I75" s="667"/>
      <c r="J75" s="667"/>
      <c r="K75" s="223"/>
    </row>
    <row r="76" spans="2:11" s="1" customFormat="1" ht="17.25" customHeight="1">
      <c r="B76" s="222"/>
      <c r="C76" s="224" t="s">
        <v>200</v>
      </c>
      <c r="D76" s="224"/>
      <c r="E76" s="224"/>
      <c r="F76" s="224" t="s">
        <v>201</v>
      </c>
      <c r="G76" s="225"/>
      <c r="H76" s="224" t="s">
        <v>57</v>
      </c>
      <c r="I76" s="224" t="s">
        <v>60</v>
      </c>
      <c r="J76" s="224" t="s">
        <v>202</v>
      </c>
      <c r="K76" s="223"/>
    </row>
    <row r="77" spans="2:11" s="1" customFormat="1" ht="17.25" customHeight="1">
      <c r="B77" s="222"/>
      <c r="C77" s="226" t="s">
        <v>203</v>
      </c>
      <c r="D77" s="226"/>
      <c r="E77" s="226"/>
      <c r="F77" s="227" t="s">
        <v>204</v>
      </c>
      <c r="G77" s="228"/>
      <c r="H77" s="226"/>
      <c r="I77" s="226"/>
      <c r="J77" s="226" t="s">
        <v>205</v>
      </c>
      <c r="K77" s="223"/>
    </row>
    <row r="78" spans="2:11" s="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s="1" customFormat="1" ht="15" customHeight="1">
      <c r="B79" s="222"/>
      <c r="C79" s="211" t="s">
        <v>56</v>
      </c>
      <c r="D79" s="229"/>
      <c r="E79" s="229"/>
      <c r="F79" s="231" t="s">
        <v>206</v>
      </c>
      <c r="G79" s="230"/>
      <c r="H79" s="211" t="s">
        <v>207</v>
      </c>
      <c r="I79" s="211" t="s">
        <v>208</v>
      </c>
      <c r="J79" s="211">
        <v>20</v>
      </c>
      <c r="K79" s="223"/>
    </row>
    <row r="80" spans="2:11" s="1" customFormat="1" ht="15" customHeight="1">
      <c r="B80" s="222"/>
      <c r="C80" s="211" t="s">
        <v>209</v>
      </c>
      <c r="D80" s="211"/>
      <c r="E80" s="211"/>
      <c r="F80" s="231" t="s">
        <v>206</v>
      </c>
      <c r="G80" s="230"/>
      <c r="H80" s="211" t="s">
        <v>210</v>
      </c>
      <c r="I80" s="211" t="s">
        <v>208</v>
      </c>
      <c r="J80" s="211">
        <v>120</v>
      </c>
      <c r="K80" s="223"/>
    </row>
    <row r="81" spans="2:11" s="1" customFormat="1" ht="15" customHeight="1">
      <c r="B81" s="232"/>
      <c r="C81" s="211" t="s">
        <v>211</v>
      </c>
      <c r="D81" s="211"/>
      <c r="E81" s="211"/>
      <c r="F81" s="231" t="s">
        <v>212</v>
      </c>
      <c r="G81" s="230"/>
      <c r="H81" s="211" t="s">
        <v>213</v>
      </c>
      <c r="I81" s="211" t="s">
        <v>208</v>
      </c>
      <c r="J81" s="211">
        <v>50</v>
      </c>
      <c r="K81" s="223"/>
    </row>
    <row r="82" spans="2:11" s="1" customFormat="1" ht="15" customHeight="1">
      <c r="B82" s="232"/>
      <c r="C82" s="211" t="s">
        <v>214</v>
      </c>
      <c r="D82" s="211"/>
      <c r="E82" s="211"/>
      <c r="F82" s="231" t="s">
        <v>206</v>
      </c>
      <c r="G82" s="230"/>
      <c r="H82" s="211" t="s">
        <v>215</v>
      </c>
      <c r="I82" s="211" t="s">
        <v>216</v>
      </c>
      <c r="J82" s="211"/>
      <c r="K82" s="223"/>
    </row>
    <row r="83" spans="2:11" s="1" customFormat="1" ht="15" customHeight="1">
      <c r="B83" s="232"/>
      <c r="C83" s="233" t="s">
        <v>217</v>
      </c>
      <c r="D83" s="233"/>
      <c r="E83" s="233"/>
      <c r="F83" s="234" t="s">
        <v>212</v>
      </c>
      <c r="G83" s="233"/>
      <c r="H83" s="233" t="s">
        <v>218</v>
      </c>
      <c r="I83" s="233" t="s">
        <v>208</v>
      </c>
      <c r="J83" s="233">
        <v>15</v>
      </c>
      <c r="K83" s="223"/>
    </row>
    <row r="84" spans="2:11" s="1" customFormat="1" ht="15" customHeight="1">
      <c r="B84" s="232"/>
      <c r="C84" s="233" t="s">
        <v>219</v>
      </c>
      <c r="D84" s="233"/>
      <c r="E84" s="233"/>
      <c r="F84" s="234" t="s">
        <v>212</v>
      </c>
      <c r="G84" s="233"/>
      <c r="H84" s="233" t="s">
        <v>220</v>
      </c>
      <c r="I84" s="233" t="s">
        <v>208</v>
      </c>
      <c r="J84" s="233">
        <v>15</v>
      </c>
      <c r="K84" s="223"/>
    </row>
    <row r="85" spans="2:11" s="1" customFormat="1" ht="15" customHeight="1">
      <c r="B85" s="232"/>
      <c r="C85" s="233" t="s">
        <v>221</v>
      </c>
      <c r="D85" s="233"/>
      <c r="E85" s="233"/>
      <c r="F85" s="234" t="s">
        <v>212</v>
      </c>
      <c r="G85" s="233"/>
      <c r="H85" s="233" t="s">
        <v>222</v>
      </c>
      <c r="I85" s="233" t="s">
        <v>208</v>
      </c>
      <c r="J85" s="233">
        <v>20</v>
      </c>
      <c r="K85" s="223"/>
    </row>
    <row r="86" spans="2:11" s="1" customFormat="1" ht="15" customHeight="1">
      <c r="B86" s="232"/>
      <c r="C86" s="233" t="s">
        <v>223</v>
      </c>
      <c r="D86" s="233"/>
      <c r="E86" s="233"/>
      <c r="F86" s="234" t="s">
        <v>212</v>
      </c>
      <c r="G86" s="233"/>
      <c r="H86" s="233" t="s">
        <v>224</v>
      </c>
      <c r="I86" s="233" t="s">
        <v>208</v>
      </c>
      <c r="J86" s="233">
        <v>20</v>
      </c>
      <c r="K86" s="223"/>
    </row>
    <row r="87" spans="2:11" s="1" customFormat="1" ht="15" customHeight="1">
      <c r="B87" s="232"/>
      <c r="C87" s="211" t="s">
        <v>225</v>
      </c>
      <c r="D87" s="211"/>
      <c r="E87" s="211"/>
      <c r="F87" s="231" t="s">
        <v>212</v>
      </c>
      <c r="G87" s="230"/>
      <c r="H87" s="211" t="s">
        <v>226</v>
      </c>
      <c r="I87" s="211" t="s">
        <v>208</v>
      </c>
      <c r="J87" s="211">
        <v>50</v>
      </c>
      <c r="K87" s="223"/>
    </row>
    <row r="88" spans="2:11" s="1" customFormat="1" ht="15" customHeight="1">
      <c r="B88" s="232"/>
      <c r="C88" s="211" t="s">
        <v>227</v>
      </c>
      <c r="D88" s="211"/>
      <c r="E88" s="211"/>
      <c r="F88" s="231" t="s">
        <v>212</v>
      </c>
      <c r="G88" s="230"/>
      <c r="H88" s="211" t="s">
        <v>228</v>
      </c>
      <c r="I88" s="211" t="s">
        <v>208</v>
      </c>
      <c r="J88" s="211">
        <v>20</v>
      </c>
      <c r="K88" s="223"/>
    </row>
    <row r="89" spans="2:11" s="1" customFormat="1" ht="15" customHeight="1">
      <c r="B89" s="232"/>
      <c r="C89" s="211" t="s">
        <v>229</v>
      </c>
      <c r="D89" s="211"/>
      <c r="E89" s="211"/>
      <c r="F89" s="231" t="s">
        <v>212</v>
      </c>
      <c r="G89" s="230"/>
      <c r="H89" s="211" t="s">
        <v>230</v>
      </c>
      <c r="I89" s="211" t="s">
        <v>208</v>
      </c>
      <c r="J89" s="211">
        <v>20</v>
      </c>
      <c r="K89" s="223"/>
    </row>
    <row r="90" spans="2:11" s="1" customFormat="1" ht="15" customHeight="1">
      <c r="B90" s="232"/>
      <c r="C90" s="211" t="s">
        <v>231</v>
      </c>
      <c r="D90" s="211"/>
      <c r="E90" s="211"/>
      <c r="F90" s="231" t="s">
        <v>212</v>
      </c>
      <c r="G90" s="230"/>
      <c r="H90" s="211" t="s">
        <v>232</v>
      </c>
      <c r="I90" s="211" t="s">
        <v>208</v>
      </c>
      <c r="J90" s="211">
        <v>50</v>
      </c>
      <c r="K90" s="223"/>
    </row>
    <row r="91" spans="2:11" s="1" customFormat="1" ht="15" customHeight="1">
      <c r="B91" s="232"/>
      <c r="C91" s="211" t="s">
        <v>233</v>
      </c>
      <c r="D91" s="211"/>
      <c r="E91" s="211"/>
      <c r="F91" s="231" t="s">
        <v>212</v>
      </c>
      <c r="G91" s="230"/>
      <c r="H91" s="211" t="s">
        <v>233</v>
      </c>
      <c r="I91" s="211" t="s">
        <v>208</v>
      </c>
      <c r="J91" s="211">
        <v>50</v>
      </c>
      <c r="K91" s="223"/>
    </row>
    <row r="92" spans="2:11" s="1" customFormat="1" ht="15" customHeight="1">
      <c r="B92" s="232"/>
      <c r="C92" s="211" t="s">
        <v>234</v>
      </c>
      <c r="D92" s="211"/>
      <c r="E92" s="211"/>
      <c r="F92" s="231" t="s">
        <v>212</v>
      </c>
      <c r="G92" s="230"/>
      <c r="H92" s="211" t="s">
        <v>235</v>
      </c>
      <c r="I92" s="211" t="s">
        <v>208</v>
      </c>
      <c r="J92" s="211">
        <v>255</v>
      </c>
      <c r="K92" s="223"/>
    </row>
    <row r="93" spans="2:11" s="1" customFormat="1" ht="15" customHeight="1">
      <c r="B93" s="232"/>
      <c r="C93" s="211" t="s">
        <v>236</v>
      </c>
      <c r="D93" s="211"/>
      <c r="E93" s="211"/>
      <c r="F93" s="231" t="s">
        <v>206</v>
      </c>
      <c r="G93" s="230"/>
      <c r="H93" s="211" t="s">
        <v>237</v>
      </c>
      <c r="I93" s="211" t="s">
        <v>238</v>
      </c>
      <c r="J93" s="211"/>
      <c r="K93" s="223"/>
    </row>
    <row r="94" spans="2:11" s="1" customFormat="1" ht="15" customHeight="1">
      <c r="B94" s="232"/>
      <c r="C94" s="211" t="s">
        <v>239</v>
      </c>
      <c r="D94" s="211"/>
      <c r="E94" s="211"/>
      <c r="F94" s="231" t="s">
        <v>206</v>
      </c>
      <c r="G94" s="230"/>
      <c r="H94" s="211" t="s">
        <v>240</v>
      </c>
      <c r="I94" s="211" t="s">
        <v>241</v>
      </c>
      <c r="J94" s="211"/>
      <c r="K94" s="223"/>
    </row>
    <row r="95" spans="2:11" s="1" customFormat="1" ht="15" customHeight="1">
      <c r="B95" s="232"/>
      <c r="C95" s="211" t="s">
        <v>242</v>
      </c>
      <c r="D95" s="211"/>
      <c r="E95" s="211"/>
      <c r="F95" s="231" t="s">
        <v>206</v>
      </c>
      <c r="G95" s="230"/>
      <c r="H95" s="211" t="s">
        <v>242</v>
      </c>
      <c r="I95" s="211" t="s">
        <v>241</v>
      </c>
      <c r="J95" s="211"/>
      <c r="K95" s="223"/>
    </row>
    <row r="96" spans="2:11" s="1" customFormat="1" ht="15" customHeight="1">
      <c r="B96" s="232"/>
      <c r="C96" s="211" t="s">
        <v>41</v>
      </c>
      <c r="D96" s="211"/>
      <c r="E96" s="211"/>
      <c r="F96" s="231" t="s">
        <v>206</v>
      </c>
      <c r="G96" s="230"/>
      <c r="H96" s="211" t="s">
        <v>243</v>
      </c>
      <c r="I96" s="211" t="s">
        <v>241</v>
      </c>
      <c r="J96" s="211"/>
      <c r="K96" s="223"/>
    </row>
    <row r="97" spans="2:11" s="1" customFormat="1" ht="15" customHeight="1">
      <c r="B97" s="232"/>
      <c r="C97" s="211" t="s">
        <v>51</v>
      </c>
      <c r="D97" s="211"/>
      <c r="E97" s="211"/>
      <c r="F97" s="231" t="s">
        <v>206</v>
      </c>
      <c r="G97" s="230"/>
      <c r="H97" s="211" t="s">
        <v>244</v>
      </c>
      <c r="I97" s="211" t="s">
        <v>241</v>
      </c>
      <c r="J97" s="211"/>
      <c r="K97" s="223"/>
    </row>
    <row r="98" spans="2:11" s="1" customFormat="1" ht="15" customHeight="1">
      <c r="B98" s="235"/>
      <c r="C98" s="236"/>
      <c r="D98" s="236"/>
      <c r="E98" s="236"/>
      <c r="F98" s="236"/>
      <c r="G98" s="236"/>
      <c r="H98" s="236"/>
      <c r="I98" s="236"/>
      <c r="J98" s="236"/>
      <c r="K98" s="237"/>
    </row>
    <row r="99" spans="2:11" s="1" customFormat="1" ht="18.7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38"/>
    </row>
    <row r="100" spans="2:11" s="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s="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s="1" customFormat="1" ht="45" customHeight="1">
      <c r="B102" s="222"/>
      <c r="C102" s="667" t="s">
        <v>245</v>
      </c>
      <c r="D102" s="667"/>
      <c r="E102" s="667"/>
      <c r="F102" s="667"/>
      <c r="G102" s="667"/>
      <c r="H102" s="667"/>
      <c r="I102" s="667"/>
      <c r="J102" s="667"/>
      <c r="K102" s="223"/>
    </row>
    <row r="103" spans="2:11" s="1" customFormat="1" ht="17.25" customHeight="1">
      <c r="B103" s="222"/>
      <c r="C103" s="224" t="s">
        <v>200</v>
      </c>
      <c r="D103" s="224"/>
      <c r="E103" s="224"/>
      <c r="F103" s="224" t="s">
        <v>201</v>
      </c>
      <c r="G103" s="225"/>
      <c r="H103" s="224" t="s">
        <v>57</v>
      </c>
      <c r="I103" s="224" t="s">
        <v>60</v>
      </c>
      <c r="J103" s="224" t="s">
        <v>202</v>
      </c>
      <c r="K103" s="223"/>
    </row>
    <row r="104" spans="2:11" s="1" customFormat="1" ht="17.25" customHeight="1">
      <c r="B104" s="222"/>
      <c r="C104" s="226" t="s">
        <v>203</v>
      </c>
      <c r="D104" s="226"/>
      <c r="E104" s="226"/>
      <c r="F104" s="227" t="s">
        <v>204</v>
      </c>
      <c r="G104" s="228"/>
      <c r="H104" s="226"/>
      <c r="I104" s="226"/>
      <c r="J104" s="226" t="s">
        <v>205</v>
      </c>
      <c r="K104" s="223"/>
    </row>
    <row r="105" spans="2:11" s="1" customFormat="1" ht="5.25" customHeight="1">
      <c r="B105" s="222"/>
      <c r="C105" s="224"/>
      <c r="D105" s="224"/>
      <c r="E105" s="224"/>
      <c r="F105" s="224"/>
      <c r="G105" s="240"/>
      <c r="H105" s="224"/>
      <c r="I105" s="224"/>
      <c r="J105" s="224"/>
      <c r="K105" s="223"/>
    </row>
    <row r="106" spans="2:11" s="1" customFormat="1" ht="15" customHeight="1">
      <c r="B106" s="222"/>
      <c r="C106" s="211" t="s">
        <v>56</v>
      </c>
      <c r="D106" s="229"/>
      <c r="E106" s="229"/>
      <c r="F106" s="231" t="s">
        <v>206</v>
      </c>
      <c r="G106" s="240"/>
      <c r="H106" s="211" t="s">
        <v>246</v>
      </c>
      <c r="I106" s="211" t="s">
        <v>208</v>
      </c>
      <c r="J106" s="211">
        <v>20</v>
      </c>
      <c r="K106" s="223"/>
    </row>
    <row r="107" spans="2:11" s="1" customFormat="1" ht="15" customHeight="1">
      <c r="B107" s="222"/>
      <c r="C107" s="211" t="s">
        <v>209</v>
      </c>
      <c r="D107" s="211"/>
      <c r="E107" s="211"/>
      <c r="F107" s="231" t="s">
        <v>206</v>
      </c>
      <c r="G107" s="211"/>
      <c r="H107" s="211" t="s">
        <v>246</v>
      </c>
      <c r="I107" s="211" t="s">
        <v>208</v>
      </c>
      <c r="J107" s="211">
        <v>120</v>
      </c>
      <c r="K107" s="223"/>
    </row>
    <row r="108" spans="2:11" s="1" customFormat="1" ht="15" customHeight="1">
      <c r="B108" s="232"/>
      <c r="C108" s="211" t="s">
        <v>211</v>
      </c>
      <c r="D108" s="211"/>
      <c r="E108" s="211"/>
      <c r="F108" s="231" t="s">
        <v>212</v>
      </c>
      <c r="G108" s="211"/>
      <c r="H108" s="211" t="s">
        <v>246</v>
      </c>
      <c r="I108" s="211" t="s">
        <v>208</v>
      </c>
      <c r="J108" s="211">
        <v>50</v>
      </c>
      <c r="K108" s="223"/>
    </row>
    <row r="109" spans="2:11" s="1" customFormat="1" ht="15" customHeight="1">
      <c r="B109" s="232"/>
      <c r="C109" s="211" t="s">
        <v>214</v>
      </c>
      <c r="D109" s="211"/>
      <c r="E109" s="211"/>
      <c r="F109" s="231" t="s">
        <v>206</v>
      </c>
      <c r="G109" s="211"/>
      <c r="H109" s="211" t="s">
        <v>246</v>
      </c>
      <c r="I109" s="211" t="s">
        <v>216</v>
      </c>
      <c r="J109" s="211"/>
      <c r="K109" s="223"/>
    </row>
    <row r="110" spans="2:11" s="1" customFormat="1" ht="15" customHeight="1">
      <c r="B110" s="232"/>
      <c r="C110" s="211" t="s">
        <v>225</v>
      </c>
      <c r="D110" s="211"/>
      <c r="E110" s="211"/>
      <c r="F110" s="231" t="s">
        <v>212</v>
      </c>
      <c r="G110" s="211"/>
      <c r="H110" s="211" t="s">
        <v>246</v>
      </c>
      <c r="I110" s="211" t="s">
        <v>208</v>
      </c>
      <c r="J110" s="211">
        <v>50</v>
      </c>
      <c r="K110" s="223"/>
    </row>
    <row r="111" spans="2:11" s="1" customFormat="1" ht="15" customHeight="1">
      <c r="B111" s="232"/>
      <c r="C111" s="211" t="s">
        <v>233</v>
      </c>
      <c r="D111" s="211"/>
      <c r="E111" s="211"/>
      <c r="F111" s="231" t="s">
        <v>212</v>
      </c>
      <c r="G111" s="211"/>
      <c r="H111" s="211" t="s">
        <v>246</v>
      </c>
      <c r="I111" s="211" t="s">
        <v>208</v>
      </c>
      <c r="J111" s="211">
        <v>50</v>
      </c>
      <c r="K111" s="223"/>
    </row>
    <row r="112" spans="2:11" s="1" customFormat="1" ht="15" customHeight="1">
      <c r="B112" s="232"/>
      <c r="C112" s="211" t="s">
        <v>231</v>
      </c>
      <c r="D112" s="211"/>
      <c r="E112" s="211"/>
      <c r="F112" s="231" t="s">
        <v>212</v>
      </c>
      <c r="G112" s="211"/>
      <c r="H112" s="211" t="s">
        <v>246</v>
      </c>
      <c r="I112" s="211" t="s">
        <v>208</v>
      </c>
      <c r="J112" s="211">
        <v>50</v>
      </c>
      <c r="K112" s="223"/>
    </row>
    <row r="113" spans="2:11" s="1" customFormat="1" ht="15" customHeight="1">
      <c r="B113" s="232"/>
      <c r="C113" s="211" t="s">
        <v>56</v>
      </c>
      <c r="D113" s="211"/>
      <c r="E113" s="211"/>
      <c r="F113" s="231" t="s">
        <v>206</v>
      </c>
      <c r="G113" s="211"/>
      <c r="H113" s="211" t="s">
        <v>247</v>
      </c>
      <c r="I113" s="211" t="s">
        <v>208</v>
      </c>
      <c r="J113" s="211">
        <v>20</v>
      </c>
      <c r="K113" s="223"/>
    </row>
    <row r="114" spans="2:11" s="1" customFormat="1" ht="15" customHeight="1">
      <c r="B114" s="232"/>
      <c r="C114" s="211" t="s">
        <v>248</v>
      </c>
      <c r="D114" s="211"/>
      <c r="E114" s="211"/>
      <c r="F114" s="231" t="s">
        <v>206</v>
      </c>
      <c r="G114" s="211"/>
      <c r="H114" s="211" t="s">
        <v>249</v>
      </c>
      <c r="I114" s="211" t="s">
        <v>208</v>
      </c>
      <c r="J114" s="211">
        <v>120</v>
      </c>
      <c r="K114" s="223"/>
    </row>
    <row r="115" spans="2:11" s="1" customFormat="1" ht="15" customHeight="1">
      <c r="B115" s="232"/>
      <c r="C115" s="211" t="s">
        <v>41</v>
      </c>
      <c r="D115" s="211"/>
      <c r="E115" s="211"/>
      <c r="F115" s="231" t="s">
        <v>206</v>
      </c>
      <c r="G115" s="211"/>
      <c r="H115" s="211" t="s">
        <v>250</v>
      </c>
      <c r="I115" s="211" t="s">
        <v>241</v>
      </c>
      <c r="J115" s="211"/>
      <c r="K115" s="223"/>
    </row>
    <row r="116" spans="2:11" s="1" customFormat="1" ht="15" customHeight="1">
      <c r="B116" s="232"/>
      <c r="C116" s="211" t="s">
        <v>51</v>
      </c>
      <c r="D116" s="211"/>
      <c r="E116" s="211"/>
      <c r="F116" s="231" t="s">
        <v>206</v>
      </c>
      <c r="G116" s="211"/>
      <c r="H116" s="211" t="s">
        <v>251</v>
      </c>
      <c r="I116" s="211" t="s">
        <v>241</v>
      </c>
      <c r="J116" s="211"/>
      <c r="K116" s="223"/>
    </row>
    <row r="117" spans="2:11" s="1" customFormat="1" ht="15" customHeight="1">
      <c r="B117" s="232"/>
      <c r="C117" s="211" t="s">
        <v>60</v>
      </c>
      <c r="D117" s="211"/>
      <c r="E117" s="211"/>
      <c r="F117" s="231" t="s">
        <v>206</v>
      </c>
      <c r="G117" s="211"/>
      <c r="H117" s="211" t="s">
        <v>252</v>
      </c>
      <c r="I117" s="211" t="s">
        <v>253</v>
      </c>
      <c r="J117" s="211"/>
      <c r="K117" s="223"/>
    </row>
    <row r="118" spans="2:11" s="1" customFormat="1" ht="15" customHeight="1">
      <c r="B118" s="235"/>
      <c r="C118" s="241"/>
      <c r="D118" s="241"/>
      <c r="E118" s="241"/>
      <c r="F118" s="241"/>
      <c r="G118" s="241"/>
      <c r="H118" s="241"/>
      <c r="I118" s="241"/>
      <c r="J118" s="241"/>
      <c r="K118" s="237"/>
    </row>
    <row r="119" spans="2:11" s="1" customFormat="1" ht="18.75" customHeight="1">
      <c r="B119" s="242"/>
      <c r="C119" s="208"/>
      <c r="D119" s="208"/>
      <c r="E119" s="208"/>
      <c r="F119" s="243"/>
      <c r="G119" s="208"/>
      <c r="H119" s="208"/>
      <c r="I119" s="208"/>
      <c r="J119" s="208"/>
      <c r="K119" s="242"/>
    </row>
    <row r="120" spans="2:11" s="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s="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s="1" customFormat="1" ht="45" customHeight="1">
      <c r="B122" s="247"/>
      <c r="C122" s="668" t="s">
        <v>254</v>
      </c>
      <c r="D122" s="668"/>
      <c r="E122" s="668"/>
      <c r="F122" s="668"/>
      <c r="G122" s="668"/>
      <c r="H122" s="668"/>
      <c r="I122" s="668"/>
      <c r="J122" s="668"/>
      <c r="K122" s="248"/>
    </row>
    <row r="123" spans="2:11" s="1" customFormat="1" ht="17.25" customHeight="1">
      <c r="B123" s="249"/>
      <c r="C123" s="224" t="s">
        <v>200</v>
      </c>
      <c r="D123" s="224"/>
      <c r="E123" s="224"/>
      <c r="F123" s="224" t="s">
        <v>201</v>
      </c>
      <c r="G123" s="225"/>
      <c r="H123" s="224" t="s">
        <v>57</v>
      </c>
      <c r="I123" s="224" t="s">
        <v>60</v>
      </c>
      <c r="J123" s="224" t="s">
        <v>202</v>
      </c>
      <c r="K123" s="250"/>
    </row>
    <row r="124" spans="2:11" s="1" customFormat="1" ht="17.25" customHeight="1">
      <c r="B124" s="249"/>
      <c r="C124" s="226" t="s">
        <v>203</v>
      </c>
      <c r="D124" s="226"/>
      <c r="E124" s="226"/>
      <c r="F124" s="227" t="s">
        <v>204</v>
      </c>
      <c r="G124" s="228"/>
      <c r="H124" s="226"/>
      <c r="I124" s="226"/>
      <c r="J124" s="226" t="s">
        <v>205</v>
      </c>
      <c r="K124" s="250"/>
    </row>
    <row r="125" spans="2:11" s="1" customFormat="1" ht="5.25" customHeight="1">
      <c r="B125" s="251"/>
      <c r="C125" s="229"/>
      <c r="D125" s="229"/>
      <c r="E125" s="229"/>
      <c r="F125" s="229"/>
      <c r="G125" s="211"/>
      <c r="H125" s="229"/>
      <c r="I125" s="229"/>
      <c r="J125" s="229"/>
      <c r="K125" s="252"/>
    </row>
    <row r="126" spans="2:11" s="1" customFormat="1" ht="15" customHeight="1">
      <c r="B126" s="251"/>
      <c r="C126" s="211" t="s">
        <v>209</v>
      </c>
      <c r="D126" s="229"/>
      <c r="E126" s="229"/>
      <c r="F126" s="231" t="s">
        <v>206</v>
      </c>
      <c r="G126" s="211"/>
      <c r="H126" s="211" t="s">
        <v>246</v>
      </c>
      <c r="I126" s="211" t="s">
        <v>208</v>
      </c>
      <c r="J126" s="211">
        <v>120</v>
      </c>
      <c r="K126" s="253"/>
    </row>
    <row r="127" spans="2:11" s="1" customFormat="1" ht="15" customHeight="1">
      <c r="B127" s="251"/>
      <c r="C127" s="211" t="s">
        <v>255</v>
      </c>
      <c r="D127" s="211"/>
      <c r="E127" s="211"/>
      <c r="F127" s="231" t="s">
        <v>206</v>
      </c>
      <c r="G127" s="211"/>
      <c r="H127" s="211" t="s">
        <v>256</v>
      </c>
      <c r="I127" s="211" t="s">
        <v>208</v>
      </c>
      <c r="J127" s="211" t="s">
        <v>257</v>
      </c>
      <c r="K127" s="253"/>
    </row>
    <row r="128" spans="2:11" s="1" customFormat="1" ht="15" customHeight="1">
      <c r="B128" s="251"/>
      <c r="C128" s="211" t="s">
        <v>154</v>
      </c>
      <c r="D128" s="211"/>
      <c r="E128" s="211"/>
      <c r="F128" s="231" t="s">
        <v>206</v>
      </c>
      <c r="G128" s="211"/>
      <c r="H128" s="211" t="s">
        <v>258</v>
      </c>
      <c r="I128" s="211" t="s">
        <v>208</v>
      </c>
      <c r="J128" s="211" t="s">
        <v>257</v>
      </c>
      <c r="K128" s="253"/>
    </row>
    <row r="129" spans="2:11" s="1" customFormat="1" ht="15" customHeight="1">
      <c r="B129" s="251"/>
      <c r="C129" s="211" t="s">
        <v>217</v>
      </c>
      <c r="D129" s="211"/>
      <c r="E129" s="211"/>
      <c r="F129" s="231" t="s">
        <v>212</v>
      </c>
      <c r="G129" s="211"/>
      <c r="H129" s="211" t="s">
        <v>218</v>
      </c>
      <c r="I129" s="211" t="s">
        <v>208</v>
      </c>
      <c r="J129" s="211">
        <v>15</v>
      </c>
      <c r="K129" s="253"/>
    </row>
    <row r="130" spans="2:11" s="1" customFormat="1" ht="15" customHeight="1">
      <c r="B130" s="251"/>
      <c r="C130" s="233" t="s">
        <v>219</v>
      </c>
      <c r="D130" s="233"/>
      <c r="E130" s="233"/>
      <c r="F130" s="234" t="s">
        <v>212</v>
      </c>
      <c r="G130" s="233"/>
      <c r="H130" s="233" t="s">
        <v>220</v>
      </c>
      <c r="I130" s="233" t="s">
        <v>208</v>
      </c>
      <c r="J130" s="233">
        <v>15</v>
      </c>
      <c r="K130" s="253"/>
    </row>
    <row r="131" spans="2:11" s="1" customFormat="1" ht="15" customHeight="1">
      <c r="B131" s="251"/>
      <c r="C131" s="233" t="s">
        <v>221</v>
      </c>
      <c r="D131" s="233"/>
      <c r="E131" s="233"/>
      <c r="F131" s="234" t="s">
        <v>212</v>
      </c>
      <c r="G131" s="233"/>
      <c r="H131" s="233" t="s">
        <v>222</v>
      </c>
      <c r="I131" s="233" t="s">
        <v>208</v>
      </c>
      <c r="J131" s="233">
        <v>20</v>
      </c>
      <c r="K131" s="253"/>
    </row>
    <row r="132" spans="2:11" s="1" customFormat="1" ht="15" customHeight="1">
      <c r="B132" s="251"/>
      <c r="C132" s="233" t="s">
        <v>223</v>
      </c>
      <c r="D132" s="233"/>
      <c r="E132" s="233"/>
      <c r="F132" s="234" t="s">
        <v>212</v>
      </c>
      <c r="G132" s="233"/>
      <c r="H132" s="233" t="s">
        <v>224</v>
      </c>
      <c r="I132" s="233" t="s">
        <v>208</v>
      </c>
      <c r="J132" s="233">
        <v>20</v>
      </c>
      <c r="K132" s="253"/>
    </row>
    <row r="133" spans="2:11" s="1" customFormat="1" ht="15" customHeight="1">
      <c r="B133" s="251"/>
      <c r="C133" s="211" t="s">
        <v>211</v>
      </c>
      <c r="D133" s="211"/>
      <c r="E133" s="211"/>
      <c r="F133" s="231" t="s">
        <v>212</v>
      </c>
      <c r="G133" s="211"/>
      <c r="H133" s="211" t="s">
        <v>246</v>
      </c>
      <c r="I133" s="211" t="s">
        <v>208</v>
      </c>
      <c r="J133" s="211">
        <v>50</v>
      </c>
      <c r="K133" s="253"/>
    </row>
    <row r="134" spans="2:11" s="1" customFormat="1" ht="15" customHeight="1">
      <c r="B134" s="251"/>
      <c r="C134" s="211" t="s">
        <v>225</v>
      </c>
      <c r="D134" s="211"/>
      <c r="E134" s="211"/>
      <c r="F134" s="231" t="s">
        <v>212</v>
      </c>
      <c r="G134" s="211"/>
      <c r="H134" s="211" t="s">
        <v>246</v>
      </c>
      <c r="I134" s="211" t="s">
        <v>208</v>
      </c>
      <c r="J134" s="211">
        <v>50</v>
      </c>
      <c r="K134" s="253"/>
    </row>
    <row r="135" spans="2:11" s="1" customFormat="1" ht="15" customHeight="1">
      <c r="B135" s="251"/>
      <c r="C135" s="211" t="s">
        <v>231</v>
      </c>
      <c r="D135" s="211"/>
      <c r="E135" s="211"/>
      <c r="F135" s="231" t="s">
        <v>212</v>
      </c>
      <c r="G135" s="211"/>
      <c r="H135" s="211" t="s">
        <v>246</v>
      </c>
      <c r="I135" s="211" t="s">
        <v>208</v>
      </c>
      <c r="J135" s="211">
        <v>50</v>
      </c>
      <c r="K135" s="253"/>
    </row>
    <row r="136" spans="2:11" s="1" customFormat="1" ht="15" customHeight="1">
      <c r="B136" s="251"/>
      <c r="C136" s="211" t="s">
        <v>233</v>
      </c>
      <c r="D136" s="211"/>
      <c r="E136" s="211"/>
      <c r="F136" s="231" t="s">
        <v>212</v>
      </c>
      <c r="G136" s="211"/>
      <c r="H136" s="211" t="s">
        <v>246</v>
      </c>
      <c r="I136" s="211" t="s">
        <v>208</v>
      </c>
      <c r="J136" s="211">
        <v>50</v>
      </c>
      <c r="K136" s="253"/>
    </row>
    <row r="137" spans="2:11" s="1" customFormat="1" ht="15" customHeight="1">
      <c r="B137" s="251"/>
      <c r="C137" s="211" t="s">
        <v>234</v>
      </c>
      <c r="D137" s="211"/>
      <c r="E137" s="211"/>
      <c r="F137" s="231" t="s">
        <v>212</v>
      </c>
      <c r="G137" s="211"/>
      <c r="H137" s="211" t="s">
        <v>259</v>
      </c>
      <c r="I137" s="211" t="s">
        <v>208</v>
      </c>
      <c r="J137" s="211">
        <v>255</v>
      </c>
      <c r="K137" s="253"/>
    </row>
    <row r="138" spans="2:11" s="1" customFormat="1" ht="15" customHeight="1">
      <c r="B138" s="251"/>
      <c r="C138" s="211" t="s">
        <v>236</v>
      </c>
      <c r="D138" s="211"/>
      <c r="E138" s="211"/>
      <c r="F138" s="231" t="s">
        <v>206</v>
      </c>
      <c r="G138" s="211"/>
      <c r="H138" s="211" t="s">
        <v>260</v>
      </c>
      <c r="I138" s="211" t="s">
        <v>238</v>
      </c>
      <c r="J138" s="211"/>
      <c r="K138" s="253"/>
    </row>
    <row r="139" spans="2:11" s="1" customFormat="1" ht="15" customHeight="1">
      <c r="B139" s="251"/>
      <c r="C139" s="211" t="s">
        <v>239</v>
      </c>
      <c r="D139" s="211"/>
      <c r="E139" s="211"/>
      <c r="F139" s="231" t="s">
        <v>206</v>
      </c>
      <c r="G139" s="211"/>
      <c r="H139" s="211" t="s">
        <v>261</v>
      </c>
      <c r="I139" s="211" t="s">
        <v>241</v>
      </c>
      <c r="J139" s="211"/>
      <c r="K139" s="253"/>
    </row>
    <row r="140" spans="2:11" s="1" customFormat="1" ht="15" customHeight="1">
      <c r="B140" s="251"/>
      <c r="C140" s="211" t="s">
        <v>242</v>
      </c>
      <c r="D140" s="211"/>
      <c r="E140" s="211"/>
      <c r="F140" s="231" t="s">
        <v>206</v>
      </c>
      <c r="G140" s="211"/>
      <c r="H140" s="211" t="s">
        <v>242</v>
      </c>
      <c r="I140" s="211" t="s">
        <v>241</v>
      </c>
      <c r="J140" s="211"/>
      <c r="K140" s="253"/>
    </row>
    <row r="141" spans="2:11" s="1" customFormat="1" ht="15" customHeight="1">
      <c r="B141" s="251"/>
      <c r="C141" s="211" t="s">
        <v>41</v>
      </c>
      <c r="D141" s="211"/>
      <c r="E141" s="211"/>
      <c r="F141" s="231" t="s">
        <v>206</v>
      </c>
      <c r="G141" s="211"/>
      <c r="H141" s="211" t="s">
        <v>262</v>
      </c>
      <c r="I141" s="211" t="s">
        <v>241</v>
      </c>
      <c r="J141" s="211"/>
      <c r="K141" s="253"/>
    </row>
    <row r="142" spans="2:11" s="1" customFormat="1" ht="15" customHeight="1">
      <c r="B142" s="251"/>
      <c r="C142" s="211" t="s">
        <v>263</v>
      </c>
      <c r="D142" s="211"/>
      <c r="E142" s="211"/>
      <c r="F142" s="231" t="s">
        <v>206</v>
      </c>
      <c r="G142" s="211"/>
      <c r="H142" s="211" t="s">
        <v>264</v>
      </c>
      <c r="I142" s="211" t="s">
        <v>241</v>
      </c>
      <c r="J142" s="211"/>
      <c r="K142" s="253"/>
    </row>
    <row r="143" spans="2:11" s="1" customFormat="1" ht="15" customHeight="1">
      <c r="B143" s="254"/>
      <c r="C143" s="255"/>
      <c r="D143" s="255"/>
      <c r="E143" s="255"/>
      <c r="F143" s="255"/>
      <c r="G143" s="255"/>
      <c r="H143" s="255"/>
      <c r="I143" s="255"/>
      <c r="J143" s="255"/>
      <c r="K143" s="256"/>
    </row>
    <row r="144" spans="2:11" s="1" customFormat="1" ht="18.75" customHeight="1">
      <c r="B144" s="208"/>
      <c r="C144" s="208"/>
      <c r="D144" s="208"/>
      <c r="E144" s="208"/>
      <c r="F144" s="243"/>
      <c r="G144" s="208"/>
      <c r="H144" s="208"/>
      <c r="I144" s="208"/>
      <c r="J144" s="208"/>
      <c r="K144" s="208"/>
    </row>
    <row r="145" spans="2:11" s="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s="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s="1" customFormat="1" ht="45" customHeight="1">
      <c r="B147" s="222"/>
      <c r="C147" s="667" t="s">
        <v>265</v>
      </c>
      <c r="D147" s="667"/>
      <c r="E147" s="667"/>
      <c r="F147" s="667"/>
      <c r="G147" s="667"/>
      <c r="H147" s="667"/>
      <c r="I147" s="667"/>
      <c r="J147" s="667"/>
      <c r="K147" s="223"/>
    </row>
    <row r="148" spans="2:11" s="1" customFormat="1" ht="17.25" customHeight="1">
      <c r="B148" s="222"/>
      <c r="C148" s="224" t="s">
        <v>200</v>
      </c>
      <c r="D148" s="224"/>
      <c r="E148" s="224"/>
      <c r="F148" s="224" t="s">
        <v>201</v>
      </c>
      <c r="G148" s="225"/>
      <c r="H148" s="224" t="s">
        <v>57</v>
      </c>
      <c r="I148" s="224" t="s">
        <v>60</v>
      </c>
      <c r="J148" s="224" t="s">
        <v>202</v>
      </c>
      <c r="K148" s="223"/>
    </row>
    <row r="149" spans="2:11" s="1" customFormat="1" ht="17.25" customHeight="1">
      <c r="B149" s="222"/>
      <c r="C149" s="226" t="s">
        <v>203</v>
      </c>
      <c r="D149" s="226"/>
      <c r="E149" s="226"/>
      <c r="F149" s="227" t="s">
        <v>204</v>
      </c>
      <c r="G149" s="228"/>
      <c r="H149" s="226"/>
      <c r="I149" s="226"/>
      <c r="J149" s="226" t="s">
        <v>205</v>
      </c>
      <c r="K149" s="223"/>
    </row>
    <row r="150" spans="2:11" s="1" customFormat="1" ht="5.25" customHeight="1">
      <c r="B150" s="232"/>
      <c r="C150" s="229"/>
      <c r="D150" s="229"/>
      <c r="E150" s="229"/>
      <c r="F150" s="229"/>
      <c r="G150" s="230"/>
      <c r="H150" s="229"/>
      <c r="I150" s="229"/>
      <c r="J150" s="229"/>
      <c r="K150" s="253"/>
    </row>
    <row r="151" spans="2:11" s="1" customFormat="1" ht="15" customHeight="1">
      <c r="B151" s="232"/>
      <c r="C151" s="257" t="s">
        <v>209</v>
      </c>
      <c r="D151" s="211"/>
      <c r="E151" s="211"/>
      <c r="F151" s="258" t="s">
        <v>206</v>
      </c>
      <c r="G151" s="211"/>
      <c r="H151" s="257" t="s">
        <v>246</v>
      </c>
      <c r="I151" s="257" t="s">
        <v>208</v>
      </c>
      <c r="J151" s="257">
        <v>120</v>
      </c>
      <c r="K151" s="253"/>
    </row>
    <row r="152" spans="2:11" s="1" customFormat="1" ht="15" customHeight="1">
      <c r="B152" s="232"/>
      <c r="C152" s="257" t="s">
        <v>255</v>
      </c>
      <c r="D152" s="211"/>
      <c r="E152" s="211"/>
      <c r="F152" s="258" t="s">
        <v>206</v>
      </c>
      <c r="G152" s="211"/>
      <c r="H152" s="257" t="s">
        <v>266</v>
      </c>
      <c r="I152" s="257" t="s">
        <v>208</v>
      </c>
      <c r="J152" s="257" t="s">
        <v>257</v>
      </c>
      <c r="K152" s="253"/>
    </row>
    <row r="153" spans="2:11" s="1" customFormat="1" ht="15" customHeight="1">
      <c r="B153" s="232"/>
      <c r="C153" s="257" t="s">
        <v>154</v>
      </c>
      <c r="D153" s="211"/>
      <c r="E153" s="211"/>
      <c r="F153" s="258" t="s">
        <v>206</v>
      </c>
      <c r="G153" s="211"/>
      <c r="H153" s="257" t="s">
        <v>267</v>
      </c>
      <c r="I153" s="257" t="s">
        <v>208</v>
      </c>
      <c r="J153" s="257" t="s">
        <v>257</v>
      </c>
      <c r="K153" s="253"/>
    </row>
    <row r="154" spans="2:11" s="1" customFormat="1" ht="15" customHeight="1">
      <c r="B154" s="232"/>
      <c r="C154" s="257" t="s">
        <v>211</v>
      </c>
      <c r="D154" s="211"/>
      <c r="E154" s="211"/>
      <c r="F154" s="258" t="s">
        <v>212</v>
      </c>
      <c r="G154" s="211"/>
      <c r="H154" s="257" t="s">
        <v>246</v>
      </c>
      <c r="I154" s="257" t="s">
        <v>208</v>
      </c>
      <c r="J154" s="257">
        <v>50</v>
      </c>
      <c r="K154" s="253"/>
    </row>
    <row r="155" spans="2:11" s="1" customFormat="1" ht="15" customHeight="1">
      <c r="B155" s="232"/>
      <c r="C155" s="257" t="s">
        <v>214</v>
      </c>
      <c r="D155" s="211"/>
      <c r="E155" s="211"/>
      <c r="F155" s="258" t="s">
        <v>206</v>
      </c>
      <c r="G155" s="211"/>
      <c r="H155" s="257" t="s">
        <v>246</v>
      </c>
      <c r="I155" s="257" t="s">
        <v>216</v>
      </c>
      <c r="J155" s="257"/>
      <c r="K155" s="253"/>
    </row>
    <row r="156" spans="2:11" s="1" customFormat="1" ht="15" customHeight="1">
      <c r="B156" s="232"/>
      <c r="C156" s="257" t="s">
        <v>225</v>
      </c>
      <c r="D156" s="211"/>
      <c r="E156" s="211"/>
      <c r="F156" s="258" t="s">
        <v>212</v>
      </c>
      <c r="G156" s="211"/>
      <c r="H156" s="257" t="s">
        <v>246</v>
      </c>
      <c r="I156" s="257" t="s">
        <v>208</v>
      </c>
      <c r="J156" s="257">
        <v>50</v>
      </c>
      <c r="K156" s="253"/>
    </row>
    <row r="157" spans="2:11" s="1" customFormat="1" ht="15" customHeight="1">
      <c r="B157" s="232"/>
      <c r="C157" s="257" t="s">
        <v>233</v>
      </c>
      <c r="D157" s="211"/>
      <c r="E157" s="211"/>
      <c r="F157" s="258" t="s">
        <v>212</v>
      </c>
      <c r="G157" s="211"/>
      <c r="H157" s="257" t="s">
        <v>246</v>
      </c>
      <c r="I157" s="257" t="s">
        <v>208</v>
      </c>
      <c r="J157" s="257">
        <v>50</v>
      </c>
      <c r="K157" s="253"/>
    </row>
    <row r="158" spans="2:11" s="1" customFormat="1" ht="15" customHeight="1">
      <c r="B158" s="232"/>
      <c r="C158" s="257" t="s">
        <v>231</v>
      </c>
      <c r="D158" s="211"/>
      <c r="E158" s="211"/>
      <c r="F158" s="258" t="s">
        <v>212</v>
      </c>
      <c r="G158" s="211"/>
      <c r="H158" s="257" t="s">
        <v>246</v>
      </c>
      <c r="I158" s="257" t="s">
        <v>208</v>
      </c>
      <c r="J158" s="257">
        <v>50</v>
      </c>
      <c r="K158" s="253"/>
    </row>
    <row r="159" spans="2:11" s="1" customFormat="1" ht="15" customHeight="1">
      <c r="B159" s="232"/>
      <c r="C159" s="257" t="s">
        <v>99</v>
      </c>
      <c r="D159" s="211"/>
      <c r="E159" s="211"/>
      <c r="F159" s="258" t="s">
        <v>206</v>
      </c>
      <c r="G159" s="211"/>
      <c r="H159" s="257" t="s">
        <v>268</v>
      </c>
      <c r="I159" s="257" t="s">
        <v>208</v>
      </c>
      <c r="J159" s="257" t="s">
        <v>269</v>
      </c>
      <c r="K159" s="253"/>
    </row>
    <row r="160" spans="2:11" s="1" customFormat="1" ht="15" customHeight="1">
      <c r="B160" s="232"/>
      <c r="C160" s="257" t="s">
        <v>270</v>
      </c>
      <c r="D160" s="211"/>
      <c r="E160" s="211"/>
      <c r="F160" s="258" t="s">
        <v>206</v>
      </c>
      <c r="G160" s="211"/>
      <c r="H160" s="257" t="s">
        <v>271</v>
      </c>
      <c r="I160" s="257" t="s">
        <v>241</v>
      </c>
      <c r="J160" s="257"/>
      <c r="K160" s="253"/>
    </row>
    <row r="161" spans="2:11" s="1" customFormat="1" ht="15" customHeight="1">
      <c r="B161" s="259"/>
      <c r="C161" s="241"/>
      <c r="D161" s="241"/>
      <c r="E161" s="241"/>
      <c r="F161" s="241"/>
      <c r="G161" s="241"/>
      <c r="H161" s="241"/>
      <c r="I161" s="241"/>
      <c r="J161" s="241"/>
      <c r="K161" s="260"/>
    </row>
    <row r="162" spans="2:11" s="1" customFormat="1" ht="18.75" customHeight="1">
      <c r="B162" s="208"/>
      <c r="C162" s="211"/>
      <c r="D162" s="211"/>
      <c r="E162" s="211"/>
      <c r="F162" s="231"/>
      <c r="G162" s="211"/>
      <c r="H162" s="211"/>
      <c r="I162" s="211"/>
      <c r="J162" s="211"/>
      <c r="K162" s="208"/>
    </row>
    <row r="163" spans="2:11" s="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s="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s="1" customFormat="1" ht="45" customHeight="1">
      <c r="B165" s="203"/>
      <c r="C165" s="668" t="s">
        <v>272</v>
      </c>
      <c r="D165" s="668"/>
      <c r="E165" s="668"/>
      <c r="F165" s="668"/>
      <c r="G165" s="668"/>
      <c r="H165" s="668"/>
      <c r="I165" s="668"/>
      <c r="J165" s="668"/>
      <c r="K165" s="204"/>
    </row>
    <row r="166" spans="2:11" s="1" customFormat="1" ht="17.25" customHeight="1">
      <c r="B166" s="203"/>
      <c r="C166" s="224" t="s">
        <v>200</v>
      </c>
      <c r="D166" s="224"/>
      <c r="E166" s="224"/>
      <c r="F166" s="224" t="s">
        <v>201</v>
      </c>
      <c r="G166" s="261"/>
      <c r="H166" s="262" t="s">
        <v>57</v>
      </c>
      <c r="I166" s="262" t="s">
        <v>60</v>
      </c>
      <c r="J166" s="224" t="s">
        <v>202</v>
      </c>
      <c r="K166" s="204"/>
    </row>
    <row r="167" spans="2:11" s="1" customFormat="1" ht="17.25" customHeight="1">
      <c r="B167" s="205"/>
      <c r="C167" s="226" t="s">
        <v>203</v>
      </c>
      <c r="D167" s="226"/>
      <c r="E167" s="226"/>
      <c r="F167" s="227" t="s">
        <v>204</v>
      </c>
      <c r="G167" s="263"/>
      <c r="H167" s="264"/>
      <c r="I167" s="264"/>
      <c r="J167" s="226" t="s">
        <v>205</v>
      </c>
      <c r="K167" s="206"/>
    </row>
    <row r="168" spans="2:11" s="1" customFormat="1" ht="5.25" customHeight="1">
      <c r="B168" s="232"/>
      <c r="C168" s="229"/>
      <c r="D168" s="229"/>
      <c r="E168" s="229"/>
      <c r="F168" s="229"/>
      <c r="G168" s="230"/>
      <c r="H168" s="229"/>
      <c r="I168" s="229"/>
      <c r="J168" s="229"/>
      <c r="K168" s="253"/>
    </row>
    <row r="169" spans="2:11" s="1" customFormat="1" ht="15" customHeight="1">
      <c r="B169" s="232"/>
      <c r="C169" s="211" t="s">
        <v>209</v>
      </c>
      <c r="D169" s="211"/>
      <c r="E169" s="211"/>
      <c r="F169" s="231" t="s">
        <v>206</v>
      </c>
      <c r="G169" s="211"/>
      <c r="H169" s="211" t="s">
        <v>246</v>
      </c>
      <c r="I169" s="211" t="s">
        <v>208</v>
      </c>
      <c r="J169" s="211">
        <v>120</v>
      </c>
      <c r="K169" s="253"/>
    </row>
    <row r="170" spans="2:11" s="1" customFormat="1" ht="15" customHeight="1">
      <c r="B170" s="232"/>
      <c r="C170" s="211" t="s">
        <v>255</v>
      </c>
      <c r="D170" s="211"/>
      <c r="E170" s="211"/>
      <c r="F170" s="231" t="s">
        <v>206</v>
      </c>
      <c r="G170" s="211"/>
      <c r="H170" s="211" t="s">
        <v>256</v>
      </c>
      <c r="I170" s="211" t="s">
        <v>208</v>
      </c>
      <c r="J170" s="211" t="s">
        <v>257</v>
      </c>
      <c r="K170" s="253"/>
    </row>
    <row r="171" spans="2:11" s="1" customFormat="1" ht="15" customHeight="1">
      <c r="B171" s="232"/>
      <c r="C171" s="211" t="s">
        <v>154</v>
      </c>
      <c r="D171" s="211"/>
      <c r="E171" s="211"/>
      <c r="F171" s="231" t="s">
        <v>206</v>
      </c>
      <c r="G171" s="211"/>
      <c r="H171" s="211" t="s">
        <v>273</v>
      </c>
      <c r="I171" s="211" t="s">
        <v>208</v>
      </c>
      <c r="J171" s="211" t="s">
        <v>257</v>
      </c>
      <c r="K171" s="253"/>
    </row>
    <row r="172" spans="2:11" s="1" customFormat="1" ht="15" customHeight="1">
      <c r="B172" s="232"/>
      <c r="C172" s="211" t="s">
        <v>211</v>
      </c>
      <c r="D172" s="211"/>
      <c r="E172" s="211"/>
      <c r="F172" s="231" t="s">
        <v>212</v>
      </c>
      <c r="G172" s="211"/>
      <c r="H172" s="211" t="s">
        <v>273</v>
      </c>
      <c r="I172" s="211" t="s">
        <v>208</v>
      </c>
      <c r="J172" s="211">
        <v>50</v>
      </c>
      <c r="K172" s="253"/>
    </row>
    <row r="173" spans="2:11" s="1" customFormat="1" ht="15" customHeight="1">
      <c r="B173" s="232"/>
      <c r="C173" s="211" t="s">
        <v>214</v>
      </c>
      <c r="D173" s="211"/>
      <c r="E173" s="211"/>
      <c r="F173" s="231" t="s">
        <v>206</v>
      </c>
      <c r="G173" s="211"/>
      <c r="H173" s="211" t="s">
        <v>273</v>
      </c>
      <c r="I173" s="211" t="s">
        <v>216</v>
      </c>
      <c r="J173" s="211"/>
      <c r="K173" s="253"/>
    </row>
    <row r="174" spans="2:11" s="1" customFormat="1" ht="15" customHeight="1">
      <c r="B174" s="232"/>
      <c r="C174" s="211" t="s">
        <v>225</v>
      </c>
      <c r="D174" s="211"/>
      <c r="E174" s="211"/>
      <c r="F174" s="231" t="s">
        <v>212</v>
      </c>
      <c r="G174" s="211"/>
      <c r="H174" s="211" t="s">
        <v>273</v>
      </c>
      <c r="I174" s="211" t="s">
        <v>208</v>
      </c>
      <c r="J174" s="211">
        <v>50</v>
      </c>
      <c r="K174" s="253"/>
    </row>
    <row r="175" spans="2:11" s="1" customFormat="1" ht="15" customHeight="1">
      <c r="B175" s="232"/>
      <c r="C175" s="211" t="s">
        <v>233</v>
      </c>
      <c r="D175" s="211"/>
      <c r="E175" s="211"/>
      <c r="F175" s="231" t="s">
        <v>212</v>
      </c>
      <c r="G175" s="211"/>
      <c r="H175" s="211" t="s">
        <v>273</v>
      </c>
      <c r="I175" s="211" t="s">
        <v>208</v>
      </c>
      <c r="J175" s="211">
        <v>50</v>
      </c>
      <c r="K175" s="253"/>
    </row>
    <row r="176" spans="2:11" s="1" customFormat="1" ht="15" customHeight="1">
      <c r="B176" s="232"/>
      <c r="C176" s="211" t="s">
        <v>231</v>
      </c>
      <c r="D176" s="211"/>
      <c r="E176" s="211"/>
      <c r="F176" s="231" t="s">
        <v>212</v>
      </c>
      <c r="G176" s="211"/>
      <c r="H176" s="211" t="s">
        <v>273</v>
      </c>
      <c r="I176" s="211" t="s">
        <v>208</v>
      </c>
      <c r="J176" s="211">
        <v>50</v>
      </c>
      <c r="K176" s="253"/>
    </row>
    <row r="177" spans="2:11" s="1" customFormat="1" ht="15" customHeight="1">
      <c r="B177" s="232"/>
      <c r="C177" s="211" t="s">
        <v>105</v>
      </c>
      <c r="D177" s="211"/>
      <c r="E177" s="211"/>
      <c r="F177" s="231" t="s">
        <v>206</v>
      </c>
      <c r="G177" s="211"/>
      <c r="H177" s="211" t="s">
        <v>274</v>
      </c>
      <c r="I177" s="211" t="s">
        <v>275</v>
      </c>
      <c r="J177" s="211"/>
      <c r="K177" s="253"/>
    </row>
    <row r="178" spans="2:11" s="1" customFormat="1" ht="15" customHeight="1">
      <c r="B178" s="232"/>
      <c r="C178" s="211" t="s">
        <v>60</v>
      </c>
      <c r="D178" s="211"/>
      <c r="E178" s="211"/>
      <c r="F178" s="231" t="s">
        <v>206</v>
      </c>
      <c r="G178" s="211"/>
      <c r="H178" s="211" t="s">
        <v>276</v>
      </c>
      <c r="I178" s="211" t="s">
        <v>277</v>
      </c>
      <c r="J178" s="211">
        <v>1</v>
      </c>
      <c r="K178" s="253"/>
    </row>
    <row r="179" spans="2:11" s="1" customFormat="1" ht="15" customHeight="1">
      <c r="B179" s="232"/>
      <c r="C179" s="211" t="s">
        <v>56</v>
      </c>
      <c r="D179" s="211"/>
      <c r="E179" s="211"/>
      <c r="F179" s="231" t="s">
        <v>206</v>
      </c>
      <c r="G179" s="211"/>
      <c r="H179" s="211" t="s">
        <v>278</v>
      </c>
      <c r="I179" s="211" t="s">
        <v>208</v>
      </c>
      <c r="J179" s="211">
        <v>20</v>
      </c>
      <c r="K179" s="253"/>
    </row>
    <row r="180" spans="2:11" s="1" customFormat="1" ht="15" customHeight="1">
      <c r="B180" s="232"/>
      <c r="C180" s="211" t="s">
        <v>57</v>
      </c>
      <c r="D180" s="211"/>
      <c r="E180" s="211"/>
      <c r="F180" s="231" t="s">
        <v>206</v>
      </c>
      <c r="G180" s="211"/>
      <c r="H180" s="211" t="s">
        <v>279</v>
      </c>
      <c r="I180" s="211" t="s">
        <v>208</v>
      </c>
      <c r="J180" s="211">
        <v>255</v>
      </c>
      <c r="K180" s="253"/>
    </row>
    <row r="181" spans="2:11" s="1" customFormat="1" ht="15" customHeight="1">
      <c r="B181" s="232"/>
      <c r="C181" s="211" t="s">
        <v>106</v>
      </c>
      <c r="D181" s="211"/>
      <c r="E181" s="211"/>
      <c r="F181" s="231" t="s">
        <v>206</v>
      </c>
      <c r="G181" s="211"/>
      <c r="H181" s="211" t="s">
        <v>170</v>
      </c>
      <c r="I181" s="211" t="s">
        <v>208</v>
      </c>
      <c r="J181" s="211">
        <v>10</v>
      </c>
      <c r="K181" s="253"/>
    </row>
    <row r="182" spans="2:11" s="1" customFormat="1" ht="15" customHeight="1">
      <c r="B182" s="232"/>
      <c r="C182" s="211" t="s">
        <v>107</v>
      </c>
      <c r="D182" s="211"/>
      <c r="E182" s="211"/>
      <c r="F182" s="231" t="s">
        <v>206</v>
      </c>
      <c r="G182" s="211"/>
      <c r="H182" s="211" t="s">
        <v>280</v>
      </c>
      <c r="I182" s="211" t="s">
        <v>241</v>
      </c>
      <c r="J182" s="211"/>
      <c r="K182" s="253"/>
    </row>
    <row r="183" spans="2:11" s="1" customFormat="1" ht="15" customHeight="1">
      <c r="B183" s="232"/>
      <c r="C183" s="211" t="s">
        <v>281</v>
      </c>
      <c r="D183" s="211"/>
      <c r="E183" s="211"/>
      <c r="F183" s="231" t="s">
        <v>206</v>
      </c>
      <c r="G183" s="211"/>
      <c r="H183" s="211" t="s">
        <v>282</v>
      </c>
      <c r="I183" s="211" t="s">
        <v>241</v>
      </c>
      <c r="J183" s="211"/>
      <c r="K183" s="253"/>
    </row>
    <row r="184" spans="2:11" s="1" customFormat="1" ht="15" customHeight="1">
      <c r="B184" s="232"/>
      <c r="C184" s="211" t="s">
        <v>270</v>
      </c>
      <c r="D184" s="211"/>
      <c r="E184" s="211"/>
      <c r="F184" s="231" t="s">
        <v>206</v>
      </c>
      <c r="G184" s="211"/>
      <c r="H184" s="211" t="s">
        <v>283</v>
      </c>
      <c r="I184" s="211" t="s">
        <v>241</v>
      </c>
      <c r="J184" s="211"/>
      <c r="K184" s="253"/>
    </row>
    <row r="185" spans="2:11" s="1" customFormat="1" ht="15" customHeight="1">
      <c r="B185" s="232"/>
      <c r="C185" s="211" t="s">
        <v>109</v>
      </c>
      <c r="D185" s="211"/>
      <c r="E185" s="211"/>
      <c r="F185" s="231" t="s">
        <v>212</v>
      </c>
      <c r="G185" s="211"/>
      <c r="H185" s="211" t="s">
        <v>284</v>
      </c>
      <c r="I185" s="211" t="s">
        <v>208</v>
      </c>
      <c r="J185" s="211">
        <v>50</v>
      </c>
      <c r="K185" s="253"/>
    </row>
    <row r="186" spans="2:11" s="1" customFormat="1" ht="15" customHeight="1">
      <c r="B186" s="232"/>
      <c r="C186" s="211" t="s">
        <v>285</v>
      </c>
      <c r="D186" s="211"/>
      <c r="E186" s="211"/>
      <c r="F186" s="231" t="s">
        <v>212</v>
      </c>
      <c r="G186" s="211"/>
      <c r="H186" s="211" t="s">
        <v>286</v>
      </c>
      <c r="I186" s="211" t="s">
        <v>287</v>
      </c>
      <c r="J186" s="211"/>
      <c r="K186" s="253"/>
    </row>
    <row r="187" spans="2:11" s="1" customFormat="1" ht="15" customHeight="1">
      <c r="B187" s="232"/>
      <c r="C187" s="211" t="s">
        <v>288</v>
      </c>
      <c r="D187" s="211"/>
      <c r="E187" s="211"/>
      <c r="F187" s="231" t="s">
        <v>212</v>
      </c>
      <c r="G187" s="211"/>
      <c r="H187" s="211" t="s">
        <v>289</v>
      </c>
      <c r="I187" s="211" t="s">
        <v>287</v>
      </c>
      <c r="J187" s="211"/>
      <c r="K187" s="253"/>
    </row>
    <row r="188" spans="2:11" s="1" customFormat="1" ht="15" customHeight="1">
      <c r="B188" s="232"/>
      <c r="C188" s="211" t="s">
        <v>290</v>
      </c>
      <c r="D188" s="211"/>
      <c r="E188" s="211"/>
      <c r="F188" s="231" t="s">
        <v>212</v>
      </c>
      <c r="G188" s="211"/>
      <c r="H188" s="211" t="s">
        <v>291</v>
      </c>
      <c r="I188" s="211" t="s">
        <v>287</v>
      </c>
      <c r="J188" s="211"/>
      <c r="K188" s="253"/>
    </row>
    <row r="189" spans="2:11" s="1" customFormat="1" ht="15" customHeight="1">
      <c r="B189" s="232"/>
      <c r="C189" s="265" t="s">
        <v>292</v>
      </c>
      <c r="D189" s="211"/>
      <c r="E189" s="211"/>
      <c r="F189" s="231" t="s">
        <v>212</v>
      </c>
      <c r="G189" s="211"/>
      <c r="H189" s="211" t="s">
        <v>293</v>
      </c>
      <c r="I189" s="211" t="s">
        <v>294</v>
      </c>
      <c r="J189" s="266" t="s">
        <v>295</v>
      </c>
      <c r="K189" s="253"/>
    </row>
    <row r="190" spans="2:11" s="1" customFormat="1" ht="15" customHeight="1">
      <c r="B190" s="232"/>
      <c r="C190" s="217" t="s">
        <v>45</v>
      </c>
      <c r="D190" s="211"/>
      <c r="E190" s="211"/>
      <c r="F190" s="231" t="s">
        <v>206</v>
      </c>
      <c r="G190" s="211"/>
      <c r="H190" s="208" t="s">
        <v>296</v>
      </c>
      <c r="I190" s="211" t="s">
        <v>297</v>
      </c>
      <c r="J190" s="211"/>
      <c r="K190" s="253"/>
    </row>
    <row r="191" spans="2:11" s="1" customFormat="1" ht="15" customHeight="1">
      <c r="B191" s="232"/>
      <c r="C191" s="217" t="s">
        <v>298</v>
      </c>
      <c r="D191" s="211"/>
      <c r="E191" s="211"/>
      <c r="F191" s="231" t="s">
        <v>206</v>
      </c>
      <c r="G191" s="211"/>
      <c r="H191" s="211" t="s">
        <v>299</v>
      </c>
      <c r="I191" s="211" t="s">
        <v>241</v>
      </c>
      <c r="J191" s="211"/>
      <c r="K191" s="253"/>
    </row>
    <row r="192" spans="2:11" s="1" customFormat="1" ht="15" customHeight="1">
      <c r="B192" s="232"/>
      <c r="C192" s="217" t="s">
        <v>300</v>
      </c>
      <c r="D192" s="211"/>
      <c r="E192" s="211"/>
      <c r="F192" s="231" t="s">
        <v>206</v>
      </c>
      <c r="G192" s="211"/>
      <c r="H192" s="211" t="s">
        <v>301</v>
      </c>
      <c r="I192" s="211" t="s">
        <v>241</v>
      </c>
      <c r="J192" s="211"/>
      <c r="K192" s="253"/>
    </row>
    <row r="193" spans="2:11" s="1" customFormat="1" ht="15" customHeight="1">
      <c r="B193" s="232"/>
      <c r="C193" s="217" t="s">
        <v>302</v>
      </c>
      <c r="D193" s="211"/>
      <c r="E193" s="211"/>
      <c r="F193" s="231" t="s">
        <v>212</v>
      </c>
      <c r="G193" s="211"/>
      <c r="H193" s="211" t="s">
        <v>303</v>
      </c>
      <c r="I193" s="211" t="s">
        <v>241</v>
      </c>
      <c r="J193" s="211"/>
      <c r="K193" s="253"/>
    </row>
    <row r="194" spans="2:11" s="1" customFormat="1" ht="15" customHeight="1">
      <c r="B194" s="259"/>
      <c r="C194" s="267"/>
      <c r="D194" s="241"/>
      <c r="E194" s="241"/>
      <c r="F194" s="241"/>
      <c r="G194" s="241"/>
      <c r="H194" s="241"/>
      <c r="I194" s="241"/>
      <c r="J194" s="241"/>
      <c r="K194" s="260"/>
    </row>
    <row r="195" spans="2:11" s="1" customFormat="1" ht="18.75" customHeight="1">
      <c r="B195" s="208"/>
      <c r="C195" s="211"/>
      <c r="D195" s="211"/>
      <c r="E195" s="211"/>
      <c r="F195" s="231"/>
      <c r="G195" s="211"/>
      <c r="H195" s="211"/>
      <c r="I195" s="211"/>
      <c r="J195" s="211"/>
      <c r="K195" s="208"/>
    </row>
    <row r="196" spans="2:11" s="1" customFormat="1" ht="18.75" customHeight="1">
      <c r="B196" s="208"/>
      <c r="C196" s="211"/>
      <c r="D196" s="211"/>
      <c r="E196" s="211"/>
      <c r="F196" s="231"/>
      <c r="G196" s="211"/>
      <c r="H196" s="211"/>
      <c r="I196" s="211"/>
      <c r="J196" s="211"/>
      <c r="K196" s="208"/>
    </row>
    <row r="197" spans="2:11" s="1" customFormat="1" ht="18.75" customHeight="1"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</row>
    <row r="198" spans="2:11" s="1" customFormat="1" ht="13.5">
      <c r="B198" s="200"/>
      <c r="C198" s="201"/>
      <c r="D198" s="201"/>
      <c r="E198" s="201"/>
      <c r="F198" s="201"/>
      <c r="G198" s="201"/>
      <c r="H198" s="201"/>
      <c r="I198" s="201"/>
      <c r="J198" s="201"/>
      <c r="K198" s="202"/>
    </row>
    <row r="199" spans="2:11" s="1" customFormat="1" ht="21">
      <c r="B199" s="203"/>
      <c r="C199" s="668" t="s">
        <v>304</v>
      </c>
      <c r="D199" s="668"/>
      <c r="E199" s="668"/>
      <c r="F199" s="668"/>
      <c r="G199" s="668"/>
      <c r="H199" s="668"/>
      <c r="I199" s="668"/>
      <c r="J199" s="668"/>
      <c r="K199" s="204"/>
    </row>
    <row r="200" spans="2:11" s="1" customFormat="1" ht="25.5" customHeight="1">
      <c r="B200" s="203"/>
      <c r="C200" s="268" t="s">
        <v>305</v>
      </c>
      <c r="D200" s="268"/>
      <c r="E200" s="268"/>
      <c r="F200" s="268" t="s">
        <v>306</v>
      </c>
      <c r="G200" s="269"/>
      <c r="H200" s="669" t="s">
        <v>307</v>
      </c>
      <c r="I200" s="669"/>
      <c r="J200" s="669"/>
      <c r="K200" s="204"/>
    </row>
    <row r="201" spans="2:11" s="1" customFormat="1" ht="5.25" customHeight="1">
      <c r="B201" s="232"/>
      <c r="C201" s="229"/>
      <c r="D201" s="229"/>
      <c r="E201" s="229"/>
      <c r="F201" s="229"/>
      <c r="G201" s="211"/>
      <c r="H201" s="229"/>
      <c r="I201" s="229"/>
      <c r="J201" s="229"/>
      <c r="K201" s="253"/>
    </row>
    <row r="202" spans="2:11" s="1" customFormat="1" ht="15" customHeight="1">
      <c r="B202" s="232"/>
      <c r="C202" s="211" t="s">
        <v>297</v>
      </c>
      <c r="D202" s="211"/>
      <c r="E202" s="211"/>
      <c r="F202" s="231" t="s">
        <v>46</v>
      </c>
      <c r="G202" s="211"/>
      <c r="H202" s="670" t="s">
        <v>308</v>
      </c>
      <c r="I202" s="670"/>
      <c r="J202" s="670"/>
      <c r="K202" s="253"/>
    </row>
    <row r="203" spans="2:11" s="1" customFormat="1" ht="15" customHeight="1">
      <c r="B203" s="232"/>
      <c r="C203" s="238"/>
      <c r="D203" s="211"/>
      <c r="E203" s="211"/>
      <c r="F203" s="231" t="s">
        <v>47</v>
      </c>
      <c r="G203" s="211"/>
      <c r="H203" s="670" t="s">
        <v>309</v>
      </c>
      <c r="I203" s="670"/>
      <c r="J203" s="670"/>
      <c r="K203" s="253"/>
    </row>
    <row r="204" spans="2:11" s="1" customFormat="1" ht="15" customHeight="1">
      <c r="B204" s="232"/>
      <c r="C204" s="238"/>
      <c r="D204" s="211"/>
      <c r="E204" s="211"/>
      <c r="F204" s="231" t="s">
        <v>50</v>
      </c>
      <c r="G204" s="211"/>
      <c r="H204" s="670" t="s">
        <v>310</v>
      </c>
      <c r="I204" s="670"/>
      <c r="J204" s="670"/>
      <c r="K204" s="253"/>
    </row>
    <row r="205" spans="2:11" s="1" customFormat="1" ht="15" customHeight="1">
      <c r="B205" s="232"/>
      <c r="C205" s="211"/>
      <c r="D205" s="211"/>
      <c r="E205" s="211"/>
      <c r="F205" s="231" t="s">
        <v>48</v>
      </c>
      <c r="G205" s="211"/>
      <c r="H205" s="670" t="s">
        <v>311</v>
      </c>
      <c r="I205" s="670"/>
      <c r="J205" s="670"/>
      <c r="K205" s="253"/>
    </row>
    <row r="206" spans="2:11" s="1" customFormat="1" ht="15" customHeight="1">
      <c r="B206" s="232"/>
      <c r="C206" s="211"/>
      <c r="D206" s="211"/>
      <c r="E206" s="211"/>
      <c r="F206" s="231" t="s">
        <v>49</v>
      </c>
      <c r="G206" s="211"/>
      <c r="H206" s="670" t="s">
        <v>312</v>
      </c>
      <c r="I206" s="670"/>
      <c r="J206" s="670"/>
      <c r="K206" s="253"/>
    </row>
    <row r="207" spans="2:11" s="1" customFormat="1" ht="15" customHeight="1">
      <c r="B207" s="232"/>
      <c r="C207" s="211"/>
      <c r="D207" s="211"/>
      <c r="E207" s="211"/>
      <c r="F207" s="231"/>
      <c r="G207" s="211"/>
      <c r="H207" s="211"/>
      <c r="I207" s="211"/>
      <c r="J207" s="211"/>
      <c r="K207" s="253"/>
    </row>
    <row r="208" spans="2:11" s="1" customFormat="1" ht="15" customHeight="1">
      <c r="B208" s="232"/>
      <c r="C208" s="211" t="s">
        <v>253</v>
      </c>
      <c r="D208" s="211"/>
      <c r="E208" s="211"/>
      <c r="F208" s="231" t="s">
        <v>82</v>
      </c>
      <c r="G208" s="211"/>
      <c r="H208" s="670" t="s">
        <v>313</v>
      </c>
      <c r="I208" s="670"/>
      <c r="J208" s="670"/>
      <c r="K208" s="253"/>
    </row>
    <row r="209" spans="2:11" s="1" customFormat="1" ht="15" customHeight="1">
      <c r="B209" s="232"/>
      <c r="C209" s="238"/>
      <c r="D209" s="211"/>
      <c r="E209" s="211"/>
      <c r="F209" s="231" t="s">
        <v>148</v>
      </c>
      <c r="G209" s="211"/>
      <c r="H209" s="670" t="s">
        <v>149</v>
      </c>
      <c r="I209" s="670"/>
      <c r="J209" s="670"/>
      <c r="K209" s="253"/>
    </row>
    <row r="210" spans="2:11" s="1" customFormat="1" ht="15" customHeight="1">
      <c r="B210" s="232"/>
      <c r="C210" s="211"/>
      <c r="D210" s="211"/>
      <c r="E210" s="211"/>
      <c r="F210" s="231" t="s">
        <v>146</v>
      </c>
      <c r="G210" s="211"/>
      <c r="H210" s="670" t="s">
        <v>314</v>
      </c>
      <c r="I210" s="670"/>
      <c r="J210" s="670"/>
      <c r="K210" s="253"/>
    </row>
    <row r="211" spans="2:11" s="1" customFormat="1" ht="15" customHeight="1">
      <c r="B211" s="270"/>
      <c r="C211" s="238"/>
      <c r="D211" s="238"/>
      <c r="E211" s="238"/>
      <c r="F211" s="231" t="s">
        <v>150</v>
      </c>
      <c r="G211" s="217"/>
      <c r="H211" s="671" t="s">
        <v>151</v>
      </c>
      <c r="I211" s="671"/>
      <c r="J211" s="671"/>
      <c r="K211" s="271"/>
    </row>
    <row r="212" spans="2:11" s="1" customFormat="1" ht="15" customHeight="1">
      <c r="B212" s="270"/>
      <c r="C212" s="238"/>
      <c r="D212" s="238"/>
      <c r="E212" s="238"/>
      <c r="F212" s="231" t="s">
        <v>152</v>
      </c>
      <c r="G212" s="217"/>
      <c r="H212" s="671" t="s">
        <v>315</v>
      </c>
      <c r="I212" s="671"/>
      <c r="J212" s="671"/>
      <c r="K212" s="271"/>
    </row>
    <row r="213" spans="2:11" s="1" customFormat="1" ht="15" customHeight="1">
      <c r="B213" s="270"/>
      <c r="C213" s="238"/>
      <c r="D213" s="238"/>
      <c r="E213" s="238"/>
      <c r="F213" s="272"/>
      <c r="G213" s="217"/>
      <c r="H213" s="273"/>
      <c r="I213" s="273"/>
      <c r="J213" s="273"/>
      <c r="K213" s="271"/>
    </row>
    <row r="214" spans="2:11" s="1" customFormat="1" ht="15" customHeight="1">
      <c r="B214" s="270"/>
      <c r="C214" s="211" t="s">
        <v>277</v>
      </c>
      <c r="D214" s="238"/>
      <c r="E214" s="238"/>
      <c r="F214" s="231">
        <v>1</v>
      </c>
      <c r="G214" s="217"/>
      <c r="H214" s="671" t="s">
        <v>316</v>
      </c>
      <c r="I214" s="671"/>
      <c r="J214" s="671"/>
      <c r="K214" s="271"/>
    </row>
    <row r="215" spans="2:11" s="1" customFormat="1" ht="15" customHeight="1">
      <c r="B215" s="270"/>
      <c r="C215" s="238"/>
      <c r="D215" s="238"/>
      <c r="E215" s="238"/>
      <c r="F215" s="231">
        <v>2</v>
      </c>
      <c r="G215" s="217"/>
      <c r="H215" s="671" t="s">
        <v>317</v>
      </c>
      <c r="I215" s="671"/>
      <c r="J215" s="671"/>
      <c r="K215" s="271"/>
    </row>
    <row r="216" spans="2:11" s="1" customFormat="1" ht="15" customHeight="1">
      <c r="B216" s="270"/>
      <c r="C216" s="238"/>
      <c r="D216" s="238"/>
      <c r="E216" s="238"/>
      <c r="F216" s="231">
        <v>3</v>
      </c>
      <c r="G216" s="217"/>
      <c r="H216" s="671" t="s">
        <v>318</v>
      </c>
      <c r="I216" s="671"/>
      <c r="J216" s="671"/>
      <c r="K216" s="271"/>
    </row>
    <row r="217" spans="2:11" s="1" customFormat="1" ht="15" customHeight="1">
      <c r="B217" s="270"/>
      <c r="C217" s="238"/>
      <c r="D217" s="238"/>
      <c r="E217" s="238"/>
      <c r="F217" s="231">
        <v>4</v>
      </c>
      <c r="G217" s="217"/>
      <c r="H217" s="671" t="s">
        <v>319</v>
      </c>
      <c r="I217" s="671"/>
      <c r="J217" s="671"/>
      <c r="K217" s="271"/>
    </row>
    <row r="218" spans="2:11" s="1" customFormat="1" ht="12.75" customHeight="1">
      <c r="B218" s="274"/>
      <c r="C218" s="275"/>
      <c r="D218" s="275"/>
      <c r="E218" s="275"/>
      <c r="F218" s="275"/>
      <c r="G218" s="275"/>
      <c r="H218" s="275"/>
      <c r="I218" s="275"/>
      <c r="J218" s="275"/>
      <c r="K218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11</vt:i4>
      </vt:variant>
    </vt:vector>
  </HeadingPairs>
  <TitlesOfParts>
    <vt:vector size="25" baseType="lpstr">
      <vt:lpstr>Rekapitulace stavby</vt:lpstr>
      <vt:lpstr>D.1.1 - Architektonicko s...</vt:lpstr>
      <vt:lpstr>Krycí_list_rozpočtu</vt:lpstr>
      <vt:lpstr>Stavební_rozpočet</vt:lpstr>
      <vt:lpstr>D.1.4.1 - Klimatizace</vt:lpstr>
      <vt:lpstr>Rekapitulace_klim.</vt:lpstr>
      <vt:lpstr>Rozpočet_klim.</vt:lpstr>
      <vt:lpstr>D.1.4.2 - Zařízení silnop...</vt:lpstr>
      <vt:lpstr>Rekapitulace_silnoproud</vt:lpstr>
      <vt:lpstr>Rozpočet_silnoproud</vt:lpstr>
      <vt:lpstr>D.1.4.3 - Zdravotnětechni...</vt:lpstr>
      <vt:lpstr>Rekapitulace_ZTI</vt:lpstr>
      <vt:lpstr>Rozpočet_ZTI</vt:lpstr>
      <vt:lpstr>Pokyny pro vyplnění</vt:lpstr>
      <vt:lpstr>'D.1.1 - Architektonicko s...'!Názvy_tisku</vt:lpstr>
      <vt:lpstr>'D.1.4.1 - Klimatizace'!Názvy_tisku</vt:lpstr>
      <vt:lpstr>'D.1.4.2 - Zařízení silnop...'!Názvy_tisku</vt:lpstr>
      <vt:lpstr>'D.1.4.3 - Zdravotnětechni...'!Názvy_tisku</vt:lpstr>
      <vt:lpstr>'Rekapitulace stavby'!Názvy_tisku</vt:lpstr>
      <vt:lpstr>'D.1.1 - Architektonicko s...'!Oblast_tisku</vt:lpstr>
      <vt:lpstr>'D.1.4.1 - Klimatizace'!Oblast_tisku</vt:lpstr>
      <vt:lpstr>'D.1.4.2 - Zařízení silnop...'!Oblast_tisku</vt:lpstr>
      <vt:lpstr>'D.1.4.3 - Zdravotnětechni...'!Oblast_tisku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habova</dc:creator>
  <cp:lastModifiedBy>kacka</cp:lastModifiedBy>
  <dcterms:created xsi:type="dcterms:W3CDTF">2020-02-21T11:21:15Z</dcterms:created>
  <dcterms:modified xsi:type="dcterms:W3CDTF">2020-03-03T20:24:57Z</dcterms:modified>
</cp:coreProperties>
</file>