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chuhova\Desktop\MZE CD\DPS únor 2020\E výkaz výměr\"/>
    </mc:Choice>
  </mc:AlternateContent>
  <xr:revisionPtr revIDLastSave="0" documentId="13_ncr:1_{177CCC9C-37CE-41AD-84A6-DB1C981535AB}" xr6:coauthVersionLast="45" xr6:coauthVersionMax="45" xr10:uidLastSave="{00000000-0000-0000-0000-000000000000}"/>
  <bookViews>
    <workbookView xWindow="-456" yWindow="1560" windowWidth="31116" windowHeight="11688" firstSheet="2" activeTab="6" xr2:uid="{00000000-000D-0000-FFFF-FFFF00000000}"/>
  </bookViews>
  <sheets>
    <sheet name="Rekapitulace stavby" sheetId="1" r:id="rId1"/>
    <sheet name="D.1.1 - Architektonicko s..." sheetId="2" r:id="rId2"/>
    <sheet name="Krycí_list_rozpočtu" sheetId="8" r:id="rId3"/>
    <sheet name="Stavební_rozpočet" sheetId="7" r:id="rId4"/>
    <sheet name="D.1.4.1 - Klimatizace" sheetId="3" r:id="rId5"/>
    <sheet name="Rekapitulace klima" sheetId="10" r:id="rId6"/>
    <sheet name="Rozpočet klima" sheetId="9" r:id="rId7"/>
    <sheet name="D.1.4.2 - Zařízení silnop..." sheetId="4" r:id="rId8"/>
    <sheet name="Rekapitulace el" sheetId="14" r:id="rId9"/>
    <sheet name="Rozpočet el" sheetId="13" r:id="rId10"/>
    <sheet name="Parametry" sheetId="15" r:id="rId11"/>
    <sheet name="D.1.4.3 - Zdravotnětechni..." sheetId="5" r:id="rId12"/>
    <sheet name="Rekapitulace zti" sheetId="12" r:id="rId13"/>
    <sheet name="Rozpočet zti" sheetId="11" r:id="rId14"/>
    <sheet name="Pokyny pro vyplnění" sheetId="6" r:id="rId15"/>
  </sheets>
  <externalReferences>
    <externalReference r:id="rId16"/>
    <externalReference r:id="rId17"/>
  </externalReferences>
  <definedNames>
    <definedName name="_xlnm._FilterDatabase" localSheetId="1" hidden="1">'D.1.1 - Architektonicko s...'!$C$80:$K$84</definedName>
    <definedName name="_xlnm._FilterDatabase" localSheetId="4" hidden="1">'D.1.4.1 - Klimatizace'!$C$80:$K$84</definedName>
    <definedName name="_xlnm._FilterDatabase" localSheetId="7" hidden="1">'D.1.4.2 - Zařízení silnop...'!$C$80:$K$84</definedName>
    <definedName name="_xlnm._FilterDatabase" localSheetId="11" hidden="1">'D.1.4.3 - Zdravotnětechni...'!$C$80:$K$84</definedName>
    <definedName name="_xlnm.Print_Titles" localSheetId="1">'D.1.1 - Architektonicko s...'!$80:$80</definedName>
    <definedName name="_xlnm.Print_Titles" localSheetId="4">'D.1.4.1 - Klimatizace'!$80:$80</definedName>
    <definedName name="_xlnm.Print_Titles" localSheetId="7">'D.1.4.2 - Zařízení silnop...'!$80:$80</definedName>
    <definedName name="_xlnm.Print_Titles" localSheetId="11">'D.1.4.3 - Zdravotnětechni...'!$80:$80</definedName>
    <definedName name="_xlnm.Print_Titles" localSheetId="0">'Rekapitulace stavby'!$52:$52</definedName>
    <definedName name="_xlnm.Print_Area" localSheetId="1">'D.1.1 - Architektonicko s...'!$C$4:$J$39,'D.1.1 - Architektonicko s...'!$C$45:$J$62,'D.1.1 - Architektonicko s...'!$C$68:$K$84</definedName>
    <definedName name="_xlnm.Print_Area" localSheetId="4">'D.1.4.1 - Klimatizace'!$C$4:$J$39,'D.1.4.1 - Klimatizace'!$C$45:$J$62,'D.1.4.1 - Klimatizace'!$C$68:$K$84</definedName>
    <definedName name="_xlnm.Print_Area" localSheetId="7">'D.1.4.2 - Zařízení silnop...'!$C$4:$J$39,'D.1.4.2 - Zařízení silnop...'!$C$45:$J$62,'D.1.4.2 - Zařízení silnop...'!$C$68:$K$84</definedName>
    <definedName name="_xlnm.Print_Area" localSheetId="11">'D.1.4.3 - Zdravotnětechni...'!$C$4:$J$39,'D.1.4.3 - Zdravotnětechni...'!$C$45:$J$62,'D.1.4.3 - Zdravotnětechni...'!$C$68:$K$84</definedName>
    <definedName name="_xlnm.Print_Area" localSheetId="10">Parametry!$A$1:$C$33</definedName>
    <definedName name="_xlnm.Print_Area" localSheetId="14">'Pokyny pro vyplnění'!$A$1:$L$221</definedName>
    <definedName name="_xlnm.Print_Area" localSheetId="0">'Rekapitulace stavby'!$D$4:$AO$36,'Rekapitulace stavby'!$C$42:$AQ$59</definedName>
    <definedName name="_xlnm.Print_Area" localSheetId="9">'Rozpočet el'!$A$1:$N$52</definedName>
    <definedName name="_xlnm.Print_Area" localSheetId="6">'Rozpočet klima'!$A$1:$L$131</definedName>
    <definedName name="_xlnm.Print_Area" localSheetId="13">'Rozpočet zti'!$A$1:$M$32</definedName>
    <definedName name="_xlnm.Print_Area" localSheetId="3">Stavební_rozpočet!$A$1:$L$162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0" l="1"/>
  <c r="F29" i="10"/>
  <c r="D29" i="10"/>
  <c r="K70" i="9" l="1"/>
  <c r="J70" i="9"/>
  <c r="K98" i="9"/>
  <c r="K100" i="9"/>
  <c r="K104" i="9"/>
  <c r="K108" i="9"/>
  <c r="K112" i="9"/>
  <c r="K124" i="9"/>
  <c r="K122" i="9"/>
  <c r="K117" i="9"/>
  <c r="H129" i="9"/>
  <c r="J129" i="9"/>
  <c r="K129" i="9"/>
  <c r="B26" i="14" l="1"/>
  <c r="C26" i="14" s="1"/>
  <c r="I36" i="13"/>
  <c r="H36" i="13"/>
  <c r="F36" i="13"/>
  <c r="I35" i="13"/>
  <c r="H35" i="13"/>
  <c r="F35" i="13"/>
  <c r="J34" i="13"/>
  <c r="I34" i="13"/>
  <c r="F34" i="13"/>
  <c r="I25" i="13"/>
  <c r="H25" i="13"/>
  <c r="F25" i="13"/>
  <c r="J35" i="13" l="1"/>
  <c r="J36" i="13"/>
  <c r="K34" i="13"/>
  <c r="K36" i="13"/>
  <c r="K35" i="13"/>
  <c r="J25" i="13"/>
  <c r="AB142" i="7"/>
  <c r="AC142" i="7"/>
  <c r="AD142" i="7"/>
  <c r="AE142" i="7"/>
  <c r="AF142" i="7"/>
  <c r="AG142" i="7"/>
  <c r="AH142" i="7"/>
  <c r="AJ142" i="7"/>
  <c r="AK142" i="7"/>
  <c r="AO142" i="7"/>
  <c r="AP142" i="7"/>
  <c r="AW142" i="7"/>
  <c r="BC142" i="7" s="1"/>
  <c r="AX142" i="7"/>
  <c r="AV142" i="7" s="1"/>
  <c r="BD142" i="7"/>
  <c r="BF142" i="7"/>
  <c r="BH142" i="7"/>
  <c r="BI142" i="7"/>
  <c r="BJ142" i="7"/>
  <c r="Z142" i="7" s="1"/>
  <c r="Z145" i="7"/>
  <c r="AB145" i="7"/>
  <c r="AC145" i="7"/>
  <c r="AD145" i="7"/>
  <c r="AE145" i="7"/>
  <c r="AF145" i="7"/>
  <c r="AG145" i="7"/>
  <c r="AH145" i="7"/>
  <c r="AJ145" i="7"/>
  <c r="AS144" i="7" s="1"/>
  <c r="AK145" i="7"/>
  <c r="AO145" i="7"/>
  <c r="AP145" i="7"/>
  <c r="AX145" i="7" s="1"/>
  <c r="AW145" i="7"/>
  <c r="BC145" i="7" s="1"/>
  <c r="BD145" i="7"/>
  <c r="BF145" i="7"/>
  <c r="BH145" i="7"/>
  <c r="BI145" i="7"/>
  <c r="BJ145" i="7"/>
  <c r="Z147" i="7"/>
  <c r="AB147" i="7"/>
  <c r="AC147" i="7"/>
  <c r="AD147" i="7"/>
  <c r="AE147" i="7"/>
  <c r="AF147" i="7"/>
  <c r="AG147" i="7"/>
  <c r="AH147" i="7"/>
  <c r="AJ147" i="7"/>
  <c r="AK147" i="7"/>
  <c r="AO147" i="7"/>
  <c r="AP147" i="7"/>
  <c r="AV147" i="7"/>
  <c r="AW147" i="7"/>
  <c r="AX147" i="7"/>
  <c r="BC147" i="7"/>
  <c r="BD147" i="7"/>
  <c r="BF147" i="7"/>
  <c r="BH147" i="7"/>
  <c r="BI147" i="7"/>
  <c r="BJ147" i="7"/>
  <c r="Z149" i="7"/>
  <c r="AB149" i="7"/>
  <c r="AC149" i="7"/>
  <c r="AD149" i="7"/>
  <c r="AE149" i="7"/>
  <c r="AF149" i="7"/>
  <c r="AG149" i="7"/>
  <c r="AH149" i="7"/>
  <c r="AJ149" i="7"/>
  <c r="AK149" i="7"/>
  <c r="AO149" i="7"/>
  <c r="AW149" i="7" s="1"/>
  <c r="AP149" i="7"/>
  <c r="AX149" i="7"/>
  <c r="BD149" i="7"/>
  <c r="BF149" i="7"/>
  <c r="BH149" i="7"/>
  <c r="BI149" i="7"/>
  <c r="BJ149" i="7"/>
  <c r="AB151" i="7"/>
  <c r="AC151" i="7"/>
  <c r="AD151" i="7"/>
  <c r="AE151" i="7"/>
  <c r="AF151" i="7"/>
  <c r="AG151" i="7"/>
  <c r="AH151" i="7"/>
  <c r="AJ151" i="7"/>
  <c r="AK151" i="7"/>
  <c r="AT144" i="7" s="1"/>
  <c r="AO151" i="7"/>
  <c r="AP151" i="7"/>
  <c r="AX151" i="7" s="1"/>
  <c r="AW151" i="7"/>
  <c r="AV151" i="7" s="1"/>
  <c r="BD151" i="7"/>
  <c r="BF151" i="7"/>
  <c r="BH151" i="7"/>
  <c r="BJ151" i="7"/>
  <c r="Z151" i="7" s="1"/>
  <c r="Z153" i="7"/>
  <c r="AB153" i="7"/>
  <c r="AC153" i="7"/>
  <c r="AD153" i="7"/>
  <c r="AE153" i="7"/>
  <c r="AF153" i="7"/>
  <c r="AG153" i="7"/>
  <c r="AH153" i="7"/>
  <c r="AJ153" i="7"/>
  <c r="AK153" i="7"/>
  <c r="AO153" i="7"/>
  <c r="AP153" i="7"/>
  <c r="AW153" i="7"/>
  <c r="BC153" i="7" s="1"/>
  <c r="AX153" i="7"/>
  <c r="BD153" i="7"/>
  <c r="BF153" i="7"/>
  <c r="BH153" i="7"/>
  <c r="BI153" i="7"/>
  <c r="BJ153" i="7"/>
  <c r="Z155" i="7"/>
  <c r="AB155" i="7"/>
  <c r="AC155" i="7"/>
  <c r="AD155" i="7"/>
  <c r="AE155" i="7"/>
  <c r="AF155" i="7"/>
  <c r="AG155" i="7"/>
  <c r="AH155" i="7"/>
  <c r="AJ155" i="7"/>
  <c r="AK155" i="7"/>
  <c r="AO155" i="7"/>
  <c r="AP155" i="7"/>
  <c r="AW155" i="7"/>
  <c r="AV155" i="7" s="1"/>
  <c r="AX155" i="7"/>
  <c r="BC155" i="7"/>
  <c r="BD155" i="7"/>
  <c r="BF155" i="7"/>
  <c r="BH155" i="7"/>
  <c r="BI155" i="7"/>
  <c r="BJ155" i="7"/>
  <c r="Z157" i="7"/>
  <c r="AB157" i="7"/>
  <c r="AC157" i="7"/>
  <c r="AD157" i="7"/>
  <c r="AE157" i="7"/>
  <c r="AF157" i="7"/>
  <c r="AG157" i="7"/>
  <c r="AH157" i="7"/>
  <c r="AJ157" i="7"/>
  <c r="AK157" i="7"/>
  <c r="AO157" i="7"/>
  <c r="AW157" i="7" s="1"/>
  <c r="AP157" i="7"/>
  <c r="AX157" i="7" s="1"/>
  <c r="BD157" i="7"/>
  <c r="BF157" i="7"/>
  <c r="BI157" i="7"/>
  <c r="BJ157" i="7"/>
  <c r="C2" i="8"/>
  <c r="AV157" i="7" l="1"/>
  <c r="BC157" i="7"/>
  <c r="AV149" i="7"/>
  <c r="BC149" i="7"/>
  <c r="BI151" i="7"/>
  <c r="AV153" i="7"/>
  <c r="AV145" i="7"/>
  <c r="BH157" i="7"/>
  <c r="BC151" i="7"/>
  <c r="C27" i="14"/>
  <c r="C10" i="14"/>
  <c r="C11" i="14" s="1"/>
  <c r="C9" i="14"/>
  <c r="C5" i="14"/>
  <c r="K52" i="13"/>
  <c r="J52" i="13"/>
  <c r="J50" i="13"/>
  <c r="I50" i="13"/>
  <c r="F50" i="13"/>
  <c r="J48" i="13"/>
  <c r="I48" i="13"/>
  <c r="F48" i="13"/>
  <c r="J46" i="13"/>
  <c r="I46" i="13"/>
  <c r="F46" i="13"/>
  <c r="J44" i="13"/>
  <c r="I44" i="13"/>
  <c r="F44" i="13"/>
  <c r="J42" i="13"/>
  <c r="I42" i="13"/>
  <c r="F42" i="13"/>
  <c r="J40" i="13"/>
  <c r="I40" i="13"/>
  <c r="F40" i="13"/>
  <c r="J38" i="13"/>
  <c r="I38" i="13"/>
  <c r="F38" i="13"/>
  <c r="J33" i="13"/>
  <c r="I33" i="13"/>
  <c r="F33" i="13"/>
  <c r="J32" i="13"/>
  <c r="I32" i="13"/>
  <c r="F32" i="13"/>
  <c r="J31" i="13"/>
  <c r="I31" i="13"/>
  <c r="F31" i="13"/>
  <c r="J30" i="13"/>
  <c r="I30" i="13"/>
  <c r="F30" i="13"/>
  <c r="J29" i="13"/>
  <c r="I29" i="13"/>
  <c r="F29" i="13"/>
  <c r="J28" i="13"/>
  <c r="I28" i="13"/>
  <c r="F28" i="13"/>
  <c r="J27" i="13"/>
  <c r="I27" i="13"/>
  <c r="F27" i="13"/>
  <c r="J26" i="13"/>
  <c r="I26" i="13"/>
  <c r="F26" i="13"/>
  <c r="J24" i="13"/>
  <c r="I24" i="13"/>
  <c r="F24" i="13"/>
  <c r="J23" i="13"/>
  <c r="I23" i="13"/>
  <c r="F23" i="13"/>
  <c r="J22" i="13"/>
  <c r="I22" i="13"/>
  <c r="F22" i="13"/>
  <c r="J21" i="13"/>
  <c r="I21" i="13"/>
  <c r="F21" i="13"/>
  <c r="J20" i="13"/>
  <c r="I20" i="13"/>
  <c r="F20" i="13"/>
  <c r="J19" i="13"/>
  <c r="I19" i="13"/>
  <c r="F19" i="13"/>
  <c r="J18" i="13"/>
  <c r="I18" i="13"/>
  <c r="F18" i="13"/>
  <c r="J17" i="13"/>
  <c r="I17" i="13"/>
  <c r="F17" i="13"/>
  <c r="J16" i="13"/>
  <c r="I16" i="13"/>
  <c r="F16" i="13"/>
  <c r="J15" i="13"/>
  <c r="I15" i="13"/>
  <c r="F15" i="13"/>
  <c r="J14" i="13"/>
  <c r="I14" i="13"/>
  <c r="F14" i="13"/>
  <c r="J13" i="13"/>
  <c r="I13" i="13"/>
  <c r="F13" i="13"/>
  <c r="J12" i="13"/>
  <c r="I12" i="13"/>
  <c r="F12" i="13"/>
  <c r="J11" i="13"/>
  <c r="I11" i="13"/>
  <c r="F11" i="13"/>
  <c r="J10" i="13"/>
  <c r="I10" i="13"/>
  <c r="F10" i="13"/>
  <c r="J9" i="13"/>
  <c r="I9" i="13"/>
  <c r="F9" i="13"/>
  <c r="J8" i="13"/>
  <c r="I8" i="13"/>
  <c r="F8" i="13"/>
  <c r="J7" i="13"/>
  <c r="I7" i="13"/>
  <c r="F7" i="13"/>
  <c r="J6" i="13"/>
  <c r="I6" i="13"/>
  <c r="F6" i="13"/>
  <c r="J5" i="13"/>
  <c r="I5" i="13"/>
  <c r="F5" i="13"/>
  <c r="J4" i="13"/>
  <c r="I4" i="13"/>
  <c r="F4" i="13"/>
  <c r="J3" i="13"/>
  <c r="I3" i="13"/>
  <c r="F3" i="13"/>
  <c r="K3" i="13" l="1"/>
  <c r="K40" i="13"/>
  <c r="K44" i="13"/>
  <c r="K13" i="13"/>
  <c r="K5" i="13"/>
  <c r="K46" i="13"/>
  <c r="K9" i="13"/>
  <c r="K48" i="13"/>
  <c r="K38" i="13"/>
  <c r="K20" i="13"/>
  <c r="K29" i="13"/>
  <c r="K42" i="13"/>
  <c r="K24" i="13"/>
  <c r="K33" i="13"/>
  <c r="K50" i="13"/>
  <c r="K32" i="13"/>
  <c r="K31" i="13"/>
  <c r="K30" i="13"/>
  <c r="K28" i="13"/>
  <c r="K27" i="13"/>
  <c r="K26" i="13"/>
  <c r="K23" i="13"/>
  <c r="K22" i="13"/>
  <c r="K21" i="13"/>
  <c r="K19" i="13"/>
  <c r="K18" i="13"/>
  <c r="K17" i="13"/>
  <c r="K16" i="13"/>
  <c r="K15" i="13"/>
  <c r="K14" i="13"/>
  <c r="K8" i="13"/>
  <c r="K12" i="13"/>
  <c r="K7" i="13"/>
  <c r="K11" i="13"/>
  <c r="K6" i="13"/>
  <c r="K10" i="13"/>
  <c r="F51" i="13"/>
  <c r="K4" i="13"/>
  <c r="I51" i="13"/>
  <c r="I84" i="5"/>
  <c r="I24" i="11"/>
  <c r="J24" i="11" s="1"/>
  <c r="H24" i="11"/>
  <c r="J22" i="11"/>
  <c r="K22" i="11" s="1"/>
  <c r="I22" i="11"/>
  <c r="H22" i="11"/>
  <c r="I20" i="11"/>
  <c r="J20" i="11" s="1"/>
  <c r="K20" i="11" s="1"/>
  <c r="H20" i="11"/>
  <c r="I18" i="11"/>
  <c r="J18" i="11" s="1"/>
  <c r="H18" i="11"/>
  <c r="K51" i="13" l="1"/>
  <c r="C32" i="14"/>
  <c r="C6" i="14"/>
  <c r="C8" i="14" s="1"/>
  <c r="B32" i="14"/>
  <c r="B3" i="14"/>
  <c r="K24" i="11"/>
  <c r="J26" i="11"/>
  <c r="J29" i="11" s="1"/>
  <c r="H26" i="11"/>
  <c r="K18" i="11"/>
  <c r="K26" i="11" s="1"/>
  <c r="K29" i="11" s="1"/>
  <c r="C4" i="14" l="1"/>
  <c r="C7" i="14" s="1"/>
  <c r="C12" i="14" s="1"/>
  <c r="B4" i="14"/>
  <c r="B7" i="14" s="1"/>
  <c r="F17" i="12"/>
  <c r="F22" i="12" s="1"/>
  <c r="H29" i="11"/>
  <c r="D17" i="12"/>
  <c r="D22" i="12" s="1"/>
  <c r="G22" i="12" s="1"/>
  <c r="C15" i="14" l="1"/>
  <c r="B12" i="14"/>
  <c r="C20" i="14"/>
  <c r="C19" i="14"/>
  <c r="D24" i="12"/>
  <c r="G24" i="12" s="1"/>
  <c r="D32" i="12"/>
  <c r="G32" i="12" s="1"/>
  <c r="D30" i="12"/>
  <c r="G30" i="12" s="1"/>
  <c r="G17" i="12"/>
  <c r="G18" i="12" s="1"/>
  <c r="F26" i="12"/>
  <c r="G26" i="12" s="1"/>
  <c r="F34" i="12"/>
  <c r="G34" i="12" s="1"/>
  <c r="F28" i="12"/>
  <c r="G28" i="12" s="1"/>
  <c r="C21" i="14" l="1"/>
  <c r="C14" i="14"/>
  <c r="C13" i="14"/>
  <c r="G36" i="12"/>
  <c r="B40" i="12" s="1"/>
  <c r="D40" i="12"/>
  <c r="F40" i="12" s="1"/>
  <c r="C16" i="14" l="1"/>
  <c r="C22" i="14" s="1"/>
  <c r="B25" i="14" s="1"/>
  <c r="C25" i="14" s="1"/>
  <c r="J122" i="9"/>
  <c r="B24" i="10"/>
  <c r="B17" i="10"/>
  <c r="J124" i="9"/>
  <c r="H124" i="9"/>
  <c r="H122" i="9"/>
  <c r="J119" i="9"/>
  <c r="F22" i="10" s="1"/>
  <c r="J117" i="9"/>
  <c r="H117" i="9"/>
  <c r="H119" i="9" s="1"/>
  <c r="D22" i="10" s="1"/>
  <c r="I112" i="9"/>
  <c r="J112" i="9" s="1"/>
  <c r="H112" i="9"/>
  <c r="I110" i="9"/>
  <c r="J110" i="9" s="1"/>
  <c r="H110" i="9"/>
  <c r="I108" i="9"/>
  <c r="J108" i="9" s="1"/>
  <c r="H108" i="9"/>
  <c r="J106" i="9"/>
  <c r="H106" i="9"/>
  <c r="I104" i="9"/>
  <c r="J104" i="9" s="1"/>
  <c r="H104" i="9"/>
  <c r="I102" i="9"/>
  <c r="J102" i="9" s="1"/>
  <c r="H102" i="9"/>
  <c r="I100" i="9"/>
  <c r="J100" i="9" s="1"/>
  <c r="H100" i="9"/>
  <c r="I98" i="9"/>
  <c r="J98" i="9" s="1"/>
  <c r="H98" i="9"/>
  <c r="I93" i="9"/>
  <c r="J93" i="9" s="1"/>
  <c r="H93" i="9"/>
  <c r="I91" i="9"/>
  <c r="J91" i="9" s="1"/>
  <c r="H91" i="9"/>
  <c r="I89" i="9"/>
  <c r="J89" i="9" s="1"/>
  <c r="H89" i="9"/>
  <c r="J87" i="9"/>
  <c r="H87" i="9"/>
  <c r="K87" i="9" s="1"/>
  <c r="I85" i="9"/>
  <c r="J85" i="9" s="1"/>
  <c r="H85" i="9"/>
  <c r="I83" i="9"/>
  <c r="J83" i="9" s="1"/>
  <c r="H83" i="9"/>
  <c r="I81" i="9"/>
  <c r="J81" i="9" s="1"/>
  <c r="H81" i="9"/>
  <c r="I79" i="9"/>
  <c r="J79" i="9" s="1"/>
  <c r="H79" i="9"/>
  <c r="I74" i="9"/>
  <c r="J74" i="9" s="1"/>
  <c r="H74" i="9"/>
  <c r="I72" i="9"/>
  <c r="J72" i="9" s="1"/>
  <c r="H72" i="9"/>
  <c r="H70" i="9"/>
  <c r="I68" i="9"/>
  <c r="J68" i="9" s="1"/>
  <c r="H68" i="9"/>
  <c r="I66" i="9"/>
  <c r="J66" i="9" s="1"/>
  <c r="H66" i="9"/>
  <c r="I64" i="9"/>
  <c r="J64" i="9" s="1"/>
  <c r="H64" i="9"/>
  <c r="I62" i="9"/>
  <c r="J62" i="9" s="1"/>
  <c r="H62" i="9"/>
  <c r="I60" i="9"/>
  <c r="J60" i="9" s="1"/>
  <c r="H60" i="9"/>
  <c r="I55" i="9"/>
  <c r="J55" i="9" s="1"/>
  <c r="K55" i="9" s="1"/>
  <c r="H55" i="9"/>
  <c r="I53" i="9"/>
  <c r="J53" i="9" s="1"/>
  <c r="H53" i="9"/>
  <c r="I51" i="9"/>
  <c r="J51" i="9" s="1"/>
  <c r="H51" i="9"/>
  <c r="I49" i="9"/>
  <c r="J49" i="9" s="1"/>
  <c r="H49" i="9"/>
  <c r="I47" i="9"/>
  <c r="J47" i="9" s="1"/>
  <c r="K47" i="9" s="1"/>
  <c r="H47" i="9"/>
  <c r="J45" i="9"/>
  <c r="H45" i="9"/>
  <c r="K45" i="9" s="1"/>
  <c r="I43" i="9"/>
  <c r="J43" i="9" s="1"/>
  <c r="H43" i="9"/>
  <c r="I41" i="9"/>
  <c r="J41" i="9" s="1"/>
  <c r="H41" i="9"/>
  <c r="I39" i="9"/>
  <c r="J39" i="9" s="1"/>
  <c r="H39" i="9"/>
  <c r="I37" i="9"/>
  <c r="J37" i="9" s="1"/>
  <c r="H37" i="9"/>
  <c r="I35" i="9"/>
  <c r="J35" i="9" s="1"/>
  <c r="H35" i="9"/>
  <c r="I33" i="9"/>
  <c r="J33" i="9" s="1"/>
  <c r="H33" i="9"/>
  <c r="I28" i="9"/>
  <c r="J28" i="9" s="1"/>
  <c r="H28" i="9"/>
  <c r="I26" i="9"/>
  <c r="J26" i="9" s="1"/>
  <c r="H26" i="9"/>
  <c r="J24" i="9"/>
  <c r="H24" i="9"/>
  <c r="K24" i="9" s="1"/>
  <c r="I22" i="9"/>
  <c r="J22" i="9" s="1"/>
  <c r="H22" i="9"/>
  <c r="I20" i="9"/>
  <c r="J20" i="9" s="1"/>
  <c r="K20" i="9" s="1"/>
  <c r="H20" i="9"/>
  <c r="I18" i="9"/>
  <c r="J18" i="9" s="1"/>
  <c r="H18" i="9"/>
  <c r="K106" i="9" l="1"/>
  <c r="K26" i="9"/>
  <c r="K64" i="9"/>
  <c r="K102" i="9"/>
  <c r="K114" i="9"/>
  <c r="K89" i="9"/>
  <c r="K66" i="9"/>
  <c r="K93" i="9"/>
  <c r="H95" i="9"/>
  <c r="D20" i="10" s="1"/>
  <c r="K22" i="9"/>
  <c r="K62" i="9"/>
  <c r="K126" i="9"/>
  <c r="K37" i="9"/>
  <c r="K81" i="9"/>
  <c r="K68" i="9"/>
  <c r="J126" i="9"/>
  <c r="F23" i="10" s="1"/>
  <c r="K51" i="9"/>
  <c r="H57" i="9"/>
  <c r="D18" i="10" s="1"/>
  <c r="K41" i="9"/>
  <c r="C24" i="14"/>
  <c r="H126" i="9"/>
  <c r="D23" i="10" s="1"/>
  <c r="K110" i="9"/>
  <c r="H114" i="9"/>
  <c r="D21" i="10" s="1"/>
  <c r="K91" i="9"/>
  <c r="J95" i="9"/>
  <c r="F20" i="10" s="1"/>
  <c r="G20" i="10" s="1"/>
  <c r="K85" i="9"/>
  <c r="K74" i="9"/>
  <c r="K72" i="9"/>
  <c r="H76" i="9"/>
  <c r="D19" i="10" s="1"/>
  <c r="K53" i="9"/>
  <c r="K49" i="9"/>
  <c r="K28" i="9"/>
  <c r="H30" i="9"/>
  <c r="D17" i="10" s="1"/>
  <c r="G22" i="10"/>
  <c r="J30" i="9"/>
  <c r="F17" i="10" s="1"/>
  <c r="J57" i="9"/>
  <c r="F18" i="10" s="1"/>
  <c r="K35" i="9"/>
  <c r="K39" i="9"/>
  <c r="K43" i="9"/>
  <c r="J76" i="9"/>
  <c r="F19" i="10" s="1"/>
  <c r="K83" i="9"/>
  <c r="K18" i="9"/>
  <c r="K60" i="9"/>
  <c r="J114" i="9"/>
  <c r="F21" i="10" s="1"/>
  <c r="G21" i="10" s="1"/>
  <c r="K119" i="9"/>
  <c r="K33" i="9"/>
  <c r="K79" i="9"/>
  <c r="G18" i="10" l="1"/>
  <c r="K30" i="9"/>
  <c r="G23" i="10"/>
  <c r="D24" i="10"/>
  <c r="D37" i="10" s="1"/>
  <c r="G37" i="10" s="1"/>
  <c r="K57" i="9"/>
  <c r="K76" i="9"/>
  <c r="C29" i="14"/>
  <c r="I84" i="4"/>
  <c r="C30" i="14"/>
  <c r="G19" i="10"/>
  <c r="F24" i="10"/>
  <c r="F33" i="10" s="1"/>
  <c r="G33" i="10" s="1"/>
  <c r="G17" i="10"/>
  <c r="K95" i="9"/>
  <c r="D39" i="10" l="1"/>
  <c r="G39" i="10" s="1"/>
  <c r="D31" i="10"/>
  <c r="G31" i="10" s="1"/>
  <c r="G25" i="10"/>
  <c r="F41" i="10"/>
  <c r="G41" i="10" s="1"/>
  <c r="F35" i="10"/>
  <c r="G35" i="10" s="1"/>
  <c r="G43" i="10" l="1"/>
  <c r="B47" i="10" s="1"/>
  <c r="I84" i="3" s="1"/>
  <c r="D47" i="10" l="1"/>
  <c r="F47" i="10" s="1"/>
  <c r="I10" i="8" l="1"/>
  <c r="F10" i="8"/>
  <c r="F8" i="8"/>
  <c r="F6" i="8"/>
  <c r="F2" i="8"/>
  <c r="C10" i="8"/>
  <c r="C8" i="8"/>
  <c r="C4" i="8"/>
  <c r="I22" i="8"/>
  <c r="F22" i="8"/>
  <c r="C17" i="8"/>
  <c r="C6" i="8"/>
  <c r="F4" i="8"/>
  <c r="K157" i="7"/>
  <c r="AL157" i="7" s="1"/>
  <c r="J157" i="7"/>
  <c r="K155" i="7"/>
  <c r="AL155" i="7" s="1"/>
  <c r="I155" i="7"/>
  <c r="K153" i="7"/>
  <c r="AL153" i="7" s="1"/>
  <c r="J153" i="7"/>
  <c r="I153" i="7"/>
  <c r="K151" i="7"/>
  <c r="AL151" i="7" s="1"/>
  <c r="J151" i="7"/>
  <c r="I151" i="7"/>
  <c r="K149" i="7"/>
  <c r="AL149" i="7" s="1"/>
  <c r="J149" i="7"/>
  <c r="K147" i="7"/>
  <c r="AL147" i="7" s="1"/>
  <c r="I147" i="7"/>
  <c r="K145" i="7"/>
  <c r="AL145" i="7" s="1"/>
  <c r="J145" i="7"/>
  <c r="I145" i="7"/>
  <c r="AS141" i="7"/>
  <c r="K142" i="7"/>
  <c r="AL142" i="7" s="1"/>
  <c r="AU141" i="7" s="1"/>
  <c r="I142" i="7"/>
  <c r="AT141" i="7"/>
  <c r="I141" i="7"/>
  <c r="BJ139" i="7"/>
  <c r="BF139" i="7"/>
  <c r="BD139" i="7"/>
  <c r="AP139" i="7"/>
  <c r="BI139" i="7" s="1"/>
  <c r="AC139" i="7" s="1"/>
  <c r="AO139" i="7"/>
  <c r="BH139" i="7" s="1"/>
  <c r="AB139" i="7" s="1"/>
  <c r="AK139" i="7"/>
  <c r="AJ139" i="7"/>
  <c r="AH139" i="7"/>
  <c r="AG139" i="7"/>
  <c r="AF139" i="7"/>
  <c r="AE139" i="7"/>
  <c r="AD139" i="7"/>
  <c r="Z139" i="7"/>
  <c r="K139" i="7"/>
  <c r="AL139" i="7" s="1"/>
  <c r="BJ133" i="7"/>
  <c r="BF133" i="7"/>
  <c r="BD133" i="7"/>
  <c r="AP133" i="7"/>
  <c r="AO133" i="7"/>
  <c r="BH133" i="7" s="1"/>
  <c r="AB133" i="7" s="1"/>
  <c r="AK133" i="7"/>
  <c r="AJ133" i="7"/>
  <c r="AH133" i="7"/>
  <c r="AG133" i="7"/>
  <c r="AF133" i="7"/>
  <c r="AE133" i="7"/>
  <c r="AD133" i="7"/>
  <c r="Z133" i="7"/>
  <c r="K133" i="7"/>
  <c r="AL133" i="7" s="1"/>
  <c r="AT132" i="7"/>
  <c r="BJ130" i="7"/>
  <c r="BF130" i="7"/>
  <c r="BD130" i="7"/>
  <c r="AP130" i="7"/>
  <c r="BI130" i="7" s="1"/>
  <c r="AC130" i="7" s="1"/>
  <c r="AO130" i="7"/>
  <c r="AK130" i="7"/>
  <c r="AJ130" i="7"/>
  <c r="AH130" i="7"/>
  <c r="AG130" i="7"/>
  <c r="AF130" i="7"/>
  <c r="AE130" i="7"/>
  <c r="AD130" i="7"/>
  <c r="Z130" i="7"/>
  <c r="K130" i="7"/>
  <c r="AL130" i="7" s="1"/>
  <c r="BJ128" i="7"/>
  <c r="BF128" i="7"/>
  <c r="BD128" i="7"/>
  <c r="AP128" i="7"/>
  <c r="AO128" i="7"/>
  <c r="BH128" i="7" s="1"/>
  <c r="AB128" i="7" s="1"/>
  <c r="AK128" i="7"/>
  <c r="AJ128" i="7"/>
  <c r="AH128" i="7"/>
  <c r="AG128" i="7"/>
  <c r="AF128" i="7"/>
  <c r="AE128" i="7"/>
  <c r="AD128" i="7"/>
  <c r="Z128" i="7"/>
  <c r="K128" i="7"/>
  <c r="AL128" i="7" s="1"/>
  <c r="AT127" i="7"/>
  <c r="BJ123" i="7"/>
  <c r="BF123" i="7"/>
  <c r="BD123" i="7"/>
  <c r="AP123" i="7"/>
  <c r="BI123" i="7" s="1"/>
  <c r="AC123" i="7" s="1"/>
  <c r="AO123" i="7"/>
  <c r="AK123" i="7"/>
  <c r="AJ123" i="7"/>
  <c r="AS122" i="7" s="1"/>
  <c r="AH123" i="7"/>
  <c r="AG123" i="7"/>
  <c r="AF123" i="7"/>
  <c r="AE123" i="7"/>
  <c r="AD123" i="7"/>
  <c r="Z123" i="7"/>
  <c r="K123" i="7"/>
  <c r="J123" i="7"/>
  <c r="J122" i="7" s="1"/>
  <c r="AT122" i="7"/>
  <c r="BJ120" i="7"/>
  <c r="BF120" i="7"/>
  <c r="BD120" i="7"/>
  <c r="AP120" i="7"/>
  <c r="BI120" i="7" s="1"/>
  <c r="AO120" i="7"/>
  <c r="BH120" i="7" s="1"/>
  <c r="AB120" i="7" s="1"/>
  <c r="AL120" i="7"/>
  <c r="AK120" i="7"/>
  <c r="AT115" i="7" s="1"/>
  <c r="AJ120" i="7"/>
  <c r="AH120" i="7"/>
  <c r="AG120" i="7"/>
  <c r="AF120" i="7"/>
  <c r="AE120" i="7"/>
  <c r="AD120" i="7"/>
  <c r="AC120" i="7"/>
  <c r="Z120" i="7"/>
  <c r="K120" i="7"/>
  <c r="BJ118" i="7"/>
  <c r="BF118" i="7"/>
  <c r="BD118" i="7"/>
  <c r="AP118" i="7"/>
  <c r="BI118" i="7" s="1"/>
  <c r="AC118" i="7" s="1"/>
  <c r="AO118" i="7"/>
  <c r="AK118" i="7"/>
  <c r="AJ118" i="7"/>
  <c r="AH118" i="7"/>
  <c r="AG118" i="7"/>
  <c r="AF118" i="7"/>
  <c r="AE118" i="7"/>
  <c r="AD118" i="7"/>
  <c r="Z118" i="7"/>
  <c r="K118" i="7"/>
  <c r="AL118" i="7" s="1"/>
  <c r="BJ116" i="7"/>
  <c r="BF116" i="7"/>
  <c r="BD116" i="7"/>
  <c r="AP116" i="7"/>
  <c r="AO116" i="7"/>
  <c r="BH116" i="7" s="1"/>
  <c r="AB116" i="7" s="1"/>
  <c r="AK116" i="7"/>
  <c r="AJ116" i="7"/>
  <c r="AH116" i="7"/>
  <c r="AG116" i="7"/>
  <c r="AF116" i="7"/>
  <c r="AE116" i="7"/>
  <c r="AD116" i="7"/>
  <c r="Z116" i="7"/>
  <c r="K116" i="7"/>
  <c r="AL116" i="7" s="1"/>
  <c r="BJ113" i="7"/>
  <c r="BF113" i="7"/>
  <c r="BD113" i="7"/>
  <c r="AX113" i="7"/>
  <c r="AP113" i="7"/>
  <c r="BI113" i="7" s="1"/>
  <c r="AE113" i="7" s="1"/>
  <c r="AO113" i="7"/>
  <c r="AK113" i="7"/>
  <c r="AJ113" i="7"/>
  <c r="AS112" i="7" s="1"/>
  <c r="AH113" i="7"/>
  <c r="AG113" i="7"/>
  <c r="AF113" i="7"/>
  <c r="AC113" i="7"/>
  <c r="AB113" i="7"/>
  <c r="Z113" i="7"/>
  <c r="K113" i="7"/>
  <c r="AT112" i="7"/>
  <c r="BJ108" i="7"/>
  <c r="BF108" i="7"/>
  <c r="BD108" i="7"/>
  <c r="AW108" i="7"/>
  <c r="AP108" i="7"/>
  <c r="BI108" i="7" s="1"/>
  <c r="AE108" i="7" s="1"/>
  <c r="AO108" i="7"/>
  <c r="BH108" i="7" s="1"/>
  <c r="AD108" i="7" s="1"/>
  <c r="AL108" i="7"/>
  <c r="AU107" i="7" s="1"/>
  <c r="AK108" i="7"/>
  <c r="AT107" i="7" s="1"/>
  <c r="AJ108" i="7"/>
  <c r="AS107" i="7" s="1"/>
  <c r="AH108" i="7"/>
  <c r="AG108" i="7"/>
  <c r="AF108" i="7"/>
  <c r="AC108" i="7"/>
  <c r="AB108" i="7"/>
  <c r="Z108" i="7"/>
  <c r="K108" i="7"/>
  <c r="J108" i="7"/>
  <c r="J107" i="7" s="1"/>
  <c r="I108" i="7"/>
  <c r="I107" i="7" s="1"/>
  <c r="K107" i="7"/>
  <c r="BJ103" i="7"/>
  <c r="BF103" i="7"/>
  <c r="BD103" i="7"/>
  <c r="AP103" i="7"/>
  <c r="BI103" i="7" s="1"/>
  <c r="AE103" i="7" s="1"/>
  <c r="AO103" i="7"/>
  <c r="BH103" i="7" s="1"/>
  <c r="AD103" i="7" s="1"/>
  <c r="AK103" i="7"/>
  <c r="AJ103" i="7"/>
  <c r="AH103" i="7"/>
  <c r="AG103" i="7"/>
  <c r="AF103" i="7"/>
  <c r="AC103" i="7"/>
  <c r="AB103" i="7"/>
  <c r="Z103" i="7"/>
  <c r="K103" i="7"/>
  <c r="AL103" i="7" s="1"/>
  <c r="BJ100" i="7"/>
  <c r="BF100" i="7"/>
  <c r="BD100" i="7"/>
  <c r="AP100" i="7"/>
  <c r="BI100" i="7" s="1"/>
  <c r="AE100" i="7" s="1"/>
  <c r="AO100" i="7"/>
  <c r="BH100" i="7" s="1"/>
  <c r="AD100" i="7" s="1"/>
  <c r="AK100" i="7"/>
  <c r="AT99" i="7" s="1"/>
  <c r="AJ100" i="7"/>
  <c r="AS99" i="7" s="1"/>
  <c r="AH100" i="7"/>
  <c r="AG100" i="7"/>
  <c r="AF100" i="7"/>
  <c r="AC100" i="7"/>
  <c r="AB100" i="7"/>
  <c r="Z100" i="7"/>
  <c r="K100" i="7"/>
  <c r="K99" i="7" s="1"/>
  <c r="J100" i="7"/>
  <c r="BJ94" i="7"/>
  <c r="BF94" i="7"/>
  <c r="BD94" i="7"/>
  <c r="AP94" i="7"/>
  <c r="BI94" i="7" s="1"/>
  <c r="AE94" i="7" s="1"/>
  <c r="AO94" i="7"/>
  <c r="BH94" i="7" s="1"/>
  <c r="AD94" i="7" s="1"/>
  <c r="AK94" i="7"/>
  <c r="AJ94" i="7"/>
  <c r="AH94" i="7"/>
  <c r="AG94" i="7"/>
  <c r="AF94" i="7"/>
  <c r="AC94" i="7"/>
  <c r="AB94" i="7"/>
  <c r="Z94" i="7"/>
  <c r="K94" i="7"/>
  <c r="AL94" i="7" s="1"/>
  <c r="BJ90" i="7"/>
  <c r="BF90" i="7"/>
  <c r="BD90" i="7"/>
  <c r="AP90" i="7"/>
  <c r="BI90" i="7" s="1"/>
  <c r="AE90" i="7" s="1"/>
  <c r="AO90" i="7"/>
  <c r="BH90" i="7" s="1"/>
  <c r="AD90" i="7" s="1"/>
  <c r="AK90" i="7"/>
  <c r="AJ90" i="7"/>
  <c r="AH90" i="7"/>
  <c r="AG90" i="7"/>
  <c r="AF90" i="7"/>
  <c r="AC90" i="7"/>
  <c r="AB90" i="7"/>
  <c r="Z90" i="7"/>
  <c r="K90" i="7"/>
  <c r="AL90" i="7" s="1"/>
  <c r="BJ87" i="7"/>
  <c r="BF87" i="7"/>
  <c r="BD87" i="7"/>
  <c r="AP87" i="7"/>
  <c r="BI87" i="7" s="1"/>
  <c r="AE87" i="7" s="1"/>
  <c r="AO87" i="7"/>
  <c r="BH87" i="7" s="1"/>
  <c r="AD87" i="7" s="1"/>
  <c r="AK87" i="7"/>
  <c r="AJ87" i="7"/>
  <c r="AH87" i="7"/>
  <c r="AG87" i="7"/>
  <c r="AF87" i="7"/>
  <c r="AC87" i="7"/>
  <c r="AB87" i="7"/>
  <c r="Z87" i="7"/>
  <c r="K87" i="7"/>
  <c r="AL87" i="7" s="1"/>
  <c r="J87" i="7"/>
  <c r="BJ84" i="7"/>
  <c r="BF84" i="7"/>
  <c r="BD84" i="7"/>
  <c r="AP84" i="7"/>
  <c r="AO84" i="7"/>
  <c r="BH84" i="7" s="1"/>
  <c r="AD84" i="7" s="1"/>
  <c r="AK84" i="7"/>
  <c r="AJ84" i="7"/>
  <c r="AH84" i="7"/>
  <c r="AG84" i="7"/>
  <c r="AF84" i="7"/>
  <c r="AC84" i="7"/>
  <c r="AB84" i="7"/>
  <c r="Z84" i="7"/>
  <c r="K84" i="7"/>
  <c r="AL84" i="7" s="1"/>
  <c r="I84" i="7"/>
  <c r="BJ80" i="7"/>
  <c r="BF80" i="7"/>
  <c r="BD80" i="7"/>
  <c r="AW80" i="7"/>
  <c r="AP80" i="7"/>
  <c r="BI80" i="7" s="1"/>
  <c r="AE80" i="7" s="1"/>
  <c r="AO80" i="7"/>
  <c r="BH80" i="7" s="1"/>
  <c r="AD80" i="7" s="1"/>
  <c r="AK80" i="7"/>
  <c r="AJ80" i="7"/>
  <c r="AH80" i="7"/>
  <c r="AG80" i="7"/>
  <c r="AF80" i="7"/>
  <c r="AC80" i="7"/>
  <c r="AB80" i="7"/>
  <c r="Z80" i="7"/>
  <c r="K80" i="7"/>
  <c r="AL80" i="7" s="1"/>
  <c r="J80" i="7"/>
  <c r="BJ78" i="7"/>
  <c r="BF78" i="7"/>
  <c r="BD78" i="7"/>
  <c r="AP78" i="7"/>
  <c r="BI78" i="7" s="1"/>
  <c r="AE78" i="7" s="1"/>
  <c r="AO78" i="7"/>
  <c r="BH78" i="7" s="1"/>
  <c r="AD78" i="7" s="1"/>
  <c r="AK78" i="7"/>
  <c r="AJ78" i="7"/>
  <c r="AH78" i="7"/>
  <c r="AG78" i="7"/>
  <c r="AF78" i="7"/>
  <c r="AC78" i="7"/>
  <c r="AB78" i="7"/>
  <c r="Z78" i="7"/>
  <c r="K78" i="7"/>
  <c r="AL78" i="7" s="1"/>
  <c r="J78" i="7"/>
  <c r="BJ68" i="7"/>
  <c r="BF68" i="7"/>
  <c r="BD68" i="7"/>
  <c r="AP68" i="7"/>
  <c r="BI68" i="7" s="1"/>
  <c r="AE68" i="7" s="1"/>
  <c r="AO68" i="7"/>
  <c r="BH68" i="7" s="1"/>
  <c r="AD68" i="7" s="1"/>
  <c r="AK68" i="7"/>
  <c r="AJ68" i="7"/>
  <c r="AH68" i="7"/>
  <c r="AG68" i="7"/>
  <c r="AF68" i="7"/>
  <c r="AC68" i="7"/>
  <c r="AB68" i="7"/>
  <c r="Z68" i="7"/>
  <c r="K68" i="7"/>
  <c r="AL68" i="7" s="1"/>
  <c r="BJ65" i="7"/>
  <c r="BF65" i="7"/>
  <c r="BD65" i="7"/>
  <c r="AP65" i="7"/>
  <c r="BI65" i="7" s="1"/>
  <c r="AE65" i="7" s="1"/>
  <c r="AO65" i="7"/>
  <c r="BH65" i="7" s="1"/>
  <c r="AD65" i="7" s="1"/>
  <c r="AK65" i="7"/>
  <c r="AJ65" i="7"/>
  <c r="AH65" i="7"/>
  <c r="AG65" i="7"/>
  <c r="AF65" i="7"/>
  <c r="AC65" i="7"/>
  <c r="AB65" i="7"/>
  <c r="Z65" i="7"/>
  <c r="K65" i="7"/>
  <c r="AL65" i="7" s="1"/>
  <c r="I65" i="7"/>
  <c r="BJ63" i="7"/>
  <c r="BF63" i="7"/>
  <c r="BD63" i="7"/>
  <c r="AP63" i="7"/>
  <c r="BI63" i="7" s="1"/>
  <c r="AE63" i="7" s="1"/>
  <c r="AO63" i="7"/>
  <c r="BH63" i="7" s="1"/>
  <c r="AD63" i="7" s="1"/>
  <c r="AK63" i="7"/>
  <c r="AJ63" i="7"/>
  <c r="AH63" i="7"/>
  <c r="AG63" i="7"/>
  <c r="AF63" i="7"/>
  <c r="AC63" i="7"/>
  <c r="AB63" i="7"/>
  <c r="Z63" i="7"/>
  <c r="K63" i="7"/>
  <c r="J63" i="7"/>
  <c r="BJ60" i="7"/>
  <c r="BF60" i="7"/>
  <c r="BD60" i="7"/>
  <c r="AP60" i="7"/>
  <c r="BI60" i="7" s="1"/>
  <c r="AE60" i="7" s="1"/>
  <c r="AO60" i="7"/>
  <c r="BH60" i="7" s="1"/>
  <c r="AD60" i="7" s="1"/>
  <c r="AK60" i="7"/>
  <c r="AT59" i="7" s="1"/>
  <c r="AJ60" i="7"/>
  <c r="AS59" i="7" s="1"/>
  <c r="AH60" i="7"/>
  <c r="AG60" i="7"/>
  <c r="AF60" i="7"/>
  <c r="AC60" i="7"/>
  <c r="AB60" i="7"/>
  <c r="Z60" i="7"/>
  <c r="K60" i="7"/>
  <c r="AL60" i="7" s="1"/>
  <c r="AU59" i="7" s="1"/>
  <c r="K59" i="7"/>
  <c r="BJ57" i="7"/>
  <c r="BF57" i="7"/>
  <c r="BD57" i="7"/>
  <c r="AP57" i="7"/>
  <c r="AX57" i="7" s="1"/>
  <c r="AO57" i="7"/>
  <c r="BH57" i="7" s="1"/>
  <c r="AD57" i="7" s="1"/>
  <c r="AK57" i="7"/>
  <c r="AJ57" i="7"/>
  <c r="AH57" i="7"/>
  <c r="AG57" i="7"/>
  <c r="AF57" i="7"/>
  <c r="AC57" i="7"/>
  <c r="AB57" i="7"/>
  <c r="Z57" i="7"/>
  <c r="K57" i="7"/>
  <c r="AL57" i="7" s="1"/>
  <c r="I57" i="7"/>
  <c r="BJ55" i="7"/>
  <c r="BF55" i="7"/>
  <c r="BD55" i="7"/>
  <c r="AW55" i="7"/>
  <c r="AP55" i="7"/>
  <c r="BI55" i="7" s="1"/>
  <c r="AE55" i="7" s="1"/>
  <c r="AO55" i="7"/>
  <c r="BH55" i="7" s="1"/>
  <c r="AD55" i="7" s="1"/>
  <c r="AL55" i="7"/>
  <c r="AK55" i="7"/>
  <c r="AJ55" i="7"/>
  <c r="AH55" i="7"/>
  <c r="AG55" i="7"/>
  <c r="AF55" i="7"/>
  <c r="AC55" i="7"/>
  <c r="AB55" i="7"/>
  <c r="Z55" i="7"/>
  <c r="K55" i="7"/>
  <c r="J55" i="7"/>
  <c r="BJ53" i="7"/>
  <c r="BF53" i="7"/>
  <c r="BD53" i="7"/>
  <c r="AP53" i="7"/>
  <c r="BI53" i="7" s="1"/>
  <c r="AE53" i="7" s="1"/>
  <c r="AO53" i="7"/>
  <c r="BH53" i="7" s="1"/>
  <c r="AD53" i="7" s="1"/>
  <c r="AK53" i="7"/>
  <c r="AJ53" i="7"/>
  <c r="AH53" i="7"/>
  <c r="AG53" i="7"/>
  <c r="AF53" i="7"/>
  <c r="AC53" i="7"/>
  <c r="AB53" i="7"/>
  <c r="Z53" i="7"/>
  <c r="K53" i="7"/>
  <c r="AL53" i="7" s="1"/>
  <c r="BJ50" i="7"/>
  <c r="BF50" i="7"/>
  <c r="BD50" i="7"/>
  <c r="AP50" i="7"/>
  <c r="BI50" i="7" s="1"/>
  <c r="AE50" i="7" s="1"/>
  <c r="AO50" i="7"/>
  <c r="BH50" i="7" s="1"/>
  <c r="AD50" i="7" s="1"/>
  <c r="AK50" i="7"/>
  <c r="AT49" i="7" s="1"/>
  <c r="AJ50" i="7"/>
  <c r="AS49" i="7" s="1"/>
  <c r="AH50" i="7"/>
  <c r="AG50" i="7"/>
  <c r="AF50" i="7"/>
  <c r="AC50" i="7"/>
  <c r="AB50" i="7"/>
  <c r="Z50" i="7"/>
  <c r="K50" i="7"/>
  <c r="AL50" i="7" s="1"/>
  <c r="AU49" i="7" s="1"/>
  <c r="J50" i="7"/>
  <c r="J49" i="7" s="1"/>
  <c r="BJ45" i="7"/>
  <c r="BF45" i="7"/>
  <c r="BD45" i="7"/>
  <c r="AP45" i="7"/>
  <c r="AX45" i="7" s="1"/>
  <c r="AO45" i="7"/>
  <c r="BH45" i="7" s="1"/>
  <c r="AD45" i="7" s="1"/>
  <c r="AK45" i="7"/>
  <c r="AJ45" i="7"/>
  <c r="AH45" i="7"/>
  <c r="AG45" i="7"/>
  <c r="AF45" i="7"/>
  <c r="AC45" i="7"/>
  <c r="AB45" i="7"/>
  <c r="Z45" i="7"/>
  <c r="K45" i="7"/>
  <c r="AL45" i="7" s="1"/>
  <c r="BJ43" i="7"/>
  <c r="BF43" i="7"/>
  <c r="BD43" i="7"/>
  <c r="AP43" i="7"/>
  <c r="BI43" i="7" s="1"/>
  <c r="AE43" i="7" s="1"/>
  <c r="AO43" i="7"/>
  <c r="BH43" i="7" s="1"/>
  <c r="AD43" i="7" s="1"/>
  <c r="AK43" i="7"/>
  <c r="AT42" i="7" s="1"/>
  <c r="AJ43" i="7"/>
  <c r="AH43" i="7"/>
  <c r="AG43" i="7"/>
  <c r="AF43" i="7"/>
  <c r="AC43" i="7"/>
  <c r="AB43" i="7"/>
  <c r="Z43" i="7"/>
  <c r="K43" i="7"/>
  <c r="K42" i="7" s="1"/>
  <c r="BJ40" i="7"/>
  <c r="BF40" i="7"/>
  <c r="BD40" i="7"/>
  <c r="AP40" i="7"/>
  <c r="AX40" i="7" s="1"/>
  <c r="AO40" i="7"/>
  <c r="BH40" i="7" s="1"/>
  <c r="AB40" i="7" s="1"/>
  <c r="AK40" i="7"/>
  <c r="AT39" i="7" s="1"/>
  <c r="AJ40" i="7"/>
  <c r="AS39" i="7" s="1"/>
  <c r="AH40" i="7"/>
  <c r="AG40" i="7"/>
  <c r="AF40" i="7"/>
  <c r="AE40" i="7"/>
  <c r="AD40" i="7"/>
  <c r="Z40" i="7"/>
  <c r="K40" i="7"/>
  <c r="AL40" i="7" s="1"/>
  <c r="AU39" i="7" s="1"/>
  <c r="K39" i="7"/>
  <c r="BJ33" i="7"/>
  <c r="BF33" i="7"/>
  <c r="BD33" i="7"/>
  <c r="AP33" i="7"/>
  <c r="BI33" i="7" s="1"/>
  <c r="AC33" i="7" s="1"/>
  <c r="AO33" i="7"/>
  <c r="AW33" i="7" s="1"/>
  <c r="AK33" i="7"/>
  <c r="AJ33" i="7"/>
  <c r="AH33" i="7"/>
  <c r="AG33" i="7"/>
  <c r="AF33" i="7"/>
  <c r="AE33" i="7"/>
  <c r="AD33" i="7"/>
  <c r="Z33" i="7"/>
  <c r="K33" i="7"/>
  <c r="AL33" i="7" s="1"/>
  <c r="BJ27" i="7"/>
  <c r="BF27" i="7"/>
  <c r="BD27" i="7"/>
  <c r="AP27" i="7"/>
  <c r="AX27" i="7" s="1"/>
  <c r="AO27" i="7"/>
  <c r="BH27" i="7" s="1"/>
  <c r="AB27" i="7" s="1"/>
  <c r="AK27" i="7"/>
  <c r="AT26" i="7" s="1"/>
  <c r="AJ27" i="7"/>
  <c r="AH27" i="7"/>
  <c r="AG27" i="7"/>
  <c r="AF27" i="7"/>
  <c r="AE27" i="7"/>
  <c r="AD27" i="7"/>
  <c r="Z27" i="7"/>
  <c r="K27" i="7"/>
  <c r="AL27" i="7" s="1"/>
  <c r="I27" i="7"/>
  <c r="BJ24" i="7"/>
  <c r="BF24" i="7"/>
  <c r="BD24" i="7"/>
  <c r="AX24" i="7"/>
  <c r="AP24" i="7"/>
  <c r="BI24" i="7" s="1"/>
  <c r="AC24" i="7" s="1"/>
  <c r="AO24" i="7"/>
  <c r="AW24" i="7" s="1"/>
  <c r="AK24" i="7"/>
  <c r="AJ24" i="7"/>
  <c r="AH24" i="7"/>
  <c r="AG24" i="7"/>
  <c r="AF24" i="7"/>
  <c r="AE24" i="7"/>
  <c r="AD24" i="7"/>
  <c r="Z24" i="7"/>
  <c r="K24" i="7"/>
  <c r="AL24" i="7" s="1"/>
  <c r="J24" i="7"/>
  <c r="BJ22" i="7"/>
  <c r="BF22" i="7"/>
  <c r="BD22" i="7"/>
  <c r="AP22" i="7"/>
  <c r="AX22" i="7" s="1"/>
  <c r="AO22" i="7"/>
  <c r="BH22" i="7" s="1"/>
  <c r="AB22" i="7" s="1"/>
  <c r="AK22" i="7"/>
  <c r="AJ22" i="7"/>
  <c r="AH22" i="7"/>
  <c r="AG22" i="7"/>
  <c r="AF22" i="7"/>
  <c r="AE22" i="7"/>
  <c r="AD22" i="7"/>
  <c r="Z22" i="7"/>
  <c r="K22" i="7"/>
  <c r="AL22" i="7" s="1"/>
  <c r="BJ20" i="7"/>
  <c r="BF20" i="7"/>
  <c r="BD20" i="7"/>
  <c r="AP20" i="7"/>
  <c r="BI20" i="7" s="1"/>
  <c r="AC20" i="7" s="1"/>
  <c r="AO20" i="7"/>
  <c r="BH20" i="7" s="1"/>
  <c r="AB20" i="7" s="1"/>
  <c r="AK20" i="7"/>
  <c r="AT19" i="7" s="1"/>
  <c r="AJ20" i="7"/>
  <c r="AH20" i="7"/>
  <c r="AG20" i="7"/>
  <c r="AF20" i="7"/>
  <c r="AE20" i="7"/>
  <c r="AD20" i="7"/>
  <c r="Z20" i="7"/>
  <c r="K20" i="7"/>
  <c r="AL20" i="7" s="1"/>
  <c r="BJ17" i="7"/>
  <c r="BF17" i="7"/>
  <c r="BD17" i="7"/>
  <c r="AP17" i="7"/>
  <c r="AX17" i="7" s="1"/>
  <c r="AO17" i="7"/>
  <c r="BH17" i="7" s="1"/>
  <c r="AB17" i="7" s="1"/>
  <c r="AK17" i="7"/>
  <c r="AJ17" i="7"/>
  <c r="AH17" i="7"/>
  <c r="AG17" i="7"/>
  <c r="AF17" i="7"/>
  <c r="AE17" i="7"/>
  <c r="AD17" i="7"/>
  <c r="Z17" i="7"/>
  <c r="K17" i="7"/>
  <c r="AL17" i="7" s="1"/>
  <c r="BJ15" i="7"/>
  <c r="BF15" i="7"/>
  <c r="BD15" i="7"/>
  <c r="AP15" i="7"/>
  <c r="BI15" i="7" s="1"/>
  <c r="AC15" i="7" s="1"/>
  <c r="AO15" i="7"/>
  <c r="BH15" i="7" s="1"/>
  <c r="AB15" i="7" s="1"/>
  <c r="AK15" i="7"/>
  <c r="AJ15" i="7"/>
  <c r="AH15" i="7"/>
  <c r="AG15" i="7"/>
  <c r="AF15" i="7"/>
  <c r="AE15" i="7"/>
  <c r="AD15" i="7"/>
  <c r="Z15" i="7"/>
  <c r="K15" i="7"/>
  <c r="AL15" i="7" s="1"/>
  <c r="J15" i="7"/>
  <c r="I15" i="7"/>
  <c r="BJ13" i="7"/>
  <c r="BF13" i="7"/>
  <c r="BD13" i="7"/>
  <c r="AP13" i="7"/>
  <c r="BI13" i="7" s="1"/>
  <c r="AC13" i="7" s="1"/>
  <c r="AO13" i="7"/>
  <c r="I13" i="7" s="1"/>
  <c r="AK13" i="7"/>
  <c r="AJ13" i="7"/>
  <c r="AS12" i="7" s="1"/>
  <c r="AH13" i="7"/>
  <c r="AG13" i="7"/>
  <c r="AF13" i="7"/>
  <c r="AE13" i="7"/>
  <c r="AD13" i="7"/>
  <c r="Z13" i="7"/>
  <c r="K13" i="7"/>
  <c r="K12" i="7" s="1"/>
  <c r="K19" i="7" l="1"/>
  <c r="I22" i="7"/>
  <c r="AS19" i="7"/>
  <c r="K49" i="7"/>
  <c r="AS52" i="7"/>
  <c r="AT52" i="7"/>
  <c r="AS67" i="7"/>
  <c r="I78" i="7"/>
  <c r="AU127" i="7"/>
  <c r="I50" i="7"/>
  <c r="I49" i="7" s="1"/>
  <c r="I60" i="7"/>
  <c r="I59" i="7" s="1"/>
  <c r="AW100" i="7"/>
  <c r="K62" i="7"/>
  <c r="J65" i="7"/>
  <c r="J62" i="7" s="1"/>
  <c r="AS62" i="7"/>
  <c r="AT67" i="7"/>
  <c r="AU144" i="7"/>
  <c r="AW20" i="7"/>
  <c r="I100" i="7"/>
  <c r="J139" i="7"/>
  <c r="I40" i="7"/>
  <c r="I39" i="7" s="1"/>
  <c r="AW60" i="7"/>
  <c r="AX63" i="7"/>
  <c r="AW78" i="7"/>
  <c r="BC78" i="7" s="1"/>
  <c r="I103" i="7"/>
  <c r="I120" i="7"/>
  <c r="J130" i="7"/>
  <c r="AU132" i="7"/>
  <c r="AW15" i="7"/>
  <c r="AL43" i="7"/>
  <c r="AU42" i="7" s="1"/>
  <c r="AW50" i="7"/>
  <c r="I55" i="7"/>
  <c r="AW65" i="7"/>
  <c r="K67" i="7"/>
  <c r="AX78" i="7"/>
  <c r="AX87" i="7"/>
  <c r="AU115" i="7"/>
  <c r="AL63" i="7"/>
  <c r="AU62" i="7" s="1"/>
  <c r="AX118" i="7"/>
  <c r="AW43" i="7"/>
  <c r="AW53" i="7"/>
  <c r="AV53" i="7" s="1"/>
  <c r="AW90" i="7"/>
  <c r="AL100" i="7"/>
  <c r="AU99" i="7" s="1"/>
  <c r="I17" i="7"/>
  <c r="I20" i="7"/>
  <c r="AX53" i="7"/>
  <c r="AT62" i="7"/>
  <c r="AW68" i="7"/>
  <c r="I80" i="7"/>
  <c r="I128" i="7"/>
  <c r="AS127" i="7"/>
  <c r="I133" i="7"/>
  <c r="AS132" i="7"/>
  <c r="AU67" i="7"/>
  <c r="J20" i="7"/>
  <c r="I43" i="7"/>
  <c r="I53" i="7"/>
  <c r="J60" i="7"/>
  <c r="J59" i="7" s="1"/>
  <c r="AW63" i="7"/>
  <c r="AV63" i="7" s="1"/>
  <c r="AX68" i="7"/>
  <c r="I90" i="7"/>
  <c r="AW120" i="7"/>
  <c r="J43" i="7"/>
  <c r="J53" i="7"/>
  <c r="I68" i="7"/>
  <c r="J90" i="7"/>
  <c r="J118" i="7"/>
  <c r="I45" i="7"/>
  <c r="AS42" i="7"/>
  <c r="K52" i="7"/>
  <c r="I63" i="7"/>
  <c r="I62" i="7" s="1"/>
  <c r="J68" i="7"/>
  <c r="I94" i="7"/>
  <c r="J113" i="7"/>
  <c r="J112" i="7" s="1"/>
  <c r="AS115" i="7"/>
  <c r="J120" i="7"/>
  <c r="AX123" i="7"/>
  <c r="AX130" i="7"/>
  <c r="AX139" i="7"/>
  <c r="C16" i="8"/>
  <c r="C18" i="8"/>
  <c r="C28" i="8"/>
  <c r="F28" i="8" s="1"/>
  <c r="C21" i="8"/>
  <c r="C19" i="8"/>
  <c r="C20" i="8"/>
  <c r="J33" i="7"/>
  <c r="AX33" i="7"/>
  <c r="BC33" i="7" s="1"/>
  <c r="AS26" i="7"/>
  <c r="AW13" i="7"/>
  <c r="AT12" i="7"/>
  <c r="C27" i="8"/>
  <c r="AL13" i="7"/>
  <c r="AX13" i="7"/>
  <c r="J13" i="7"/>
  <c r="I12" i="7"/>
  <c r="AU52" i="7"/>
  <c r="AU19" i="7"/>
  <c r="AV24" i="7"/>
  <c r="BC24" i="7"/>
  <c r="AU26" i="7"/>
  <c r="BC13" i="7"/>
  <c r="BC55" i="7"/>
  <c r="BI22" i="7"/>
  <c r="AC22" i="7" s="1"/>
  <c r="BH33" i="7"/>
  <c r="AB33" i="7" s="1"/>
  <c r="AL113" i="7"/>
  <c r="AU112" i="7" s="1"/>
  <c r="K112" i="7"/>
  <c r="BH13" i="7"/>
  <c r="AB13" i="7" s="1"/>
  <c r="K26" i="7"/>
  <c r="AW123" i="7"/>
  <c r="I123" i="7"/>
  <c r="I122" i="7" s="1"/>
  <c r="K144" i="7"/>
  <c r="J147" i="7"/>
  <c r="J144" i="7" s="1"/>
  <c r="I157" i="7"/>
  <c r="BH24" i="7"/>
  <c r="AB24" i="7" s="1"/>
  <c r="BI45" i="7"/>
  <c r="AE45" i="7" s="1"/>
  <c r="BI57" i="7"/>
  <c r="AE57" i="7" s="1"/>
  <c r="AL123" i="7"/>
  <c r="AU122" i="7" s="1"/>
  <c r="K122" i="7"/>
  <c r="AX15" i="7"/>
  <c r="AV15" i="7" s="1"/>
  <c r="J17" i="7"/>
  <c r="AW17" i="7"/>
  <c r="AX20" i="7"/>
  <c r="J22" i="7"/>
  <c r="AW22" i="7"/>
  <c r="I24" i="7"/>
  <c r="J27" i="7"/>
  <c r="AW27" i="7"/>
  <c r="I33" i="7"/>
  <c r="I26" i="7" s="1"/>
  <c r="J40" i="7"/>
  <c r="J39" i="7" s="1"/>
  <c r="AW40" i="7"/>
  <c r="AX43" i="7"/>
  <c r="AV43" i="7" s="1"/>
  <c r="J45" i="7"/>
  <c r="J42" i="7" s="1"/>
  <c r="AW45" i="7"/>
  <c r="AX50" i="7"/>
  <c r="AV50" i="7" s="1"/>
  <c r="AX55" i="7"/>
  <c r="AV55" i="7" s="1"/>
  <c r="J57" i="7"/>
  <c r="J52" i="7" s="1"/>
  <c r="AW57" i="7"/>
  <c r="AX60" i="7"/>
  <c r="AV60" i="7" s="1"/>
  <c r="BC63" i="7"/>
  <c r="AX65" i="7"/>
  <c r="AV65" i="7" s="1"/>
  <c r="AX84" i="7"/>
  <c r="J84" i="7"/>
  <c r="BI84" i="7"/>
  <c r="AE84" i="7" s="1"/>
  <c r="I99" i="7"/>
  <c r="AW113" i="7"/>
  <c r="I113" i="7"/>
  <c r="I112" i="7" s="1"/>
  <c r="AX116" i="7"/>
  <c r="J116" i="7"/>
  <c r="BI116" i="7"/>
  <c r="AC116" i="7" s="1"/>
  <c r="AW118" i="7"/>
  <c r="I118" i="7"/>
  <c r="BH123" i="7"/>
  <c r="AB123" i="7" s="1"/>
  <c r="AX128" i="7"/>
  <c r="J128" i="7"/>
  <c r="J127" i="7" s="1"/>
  <c r="BI128" i="7"/>
  <c r="AC128" i="7" s="1"/>
  <c r="AW130" i="7"/>
  <c r="I130" i="7"/>
  <c r="I127" i="7" s="1"/>
  <c r="BI17" i="7"/>
  <c r="AC17" i="7" s="1"/>
  <c r="BI27" i="7"/>
  <c r="AC27" i="7" s="1"/>
  <c r="BI40" i="7"/>
  <c r="AC40" i="7" s="1"/>
  <c r="AW87" i="7"/>
  <c r="I87" i="7"/>
  <c r="BH113" i="7"/>
  <c r="AD113" i="7" s="1"/>
  <c r="BH118" i="7"/>
  <c r="AB118" i="7" s="1"/>
  <c r="BH130" i="7"/>
  <c r="AB130" i="7" s="1"/>
  <c r="AX133" i="7"/>
  <c r="J133" i="7"/>
  <c r="J132" i="7" s="1"/>
  <c r="BI133" i="7"/>
  <c r="AC133" i="7" s="1"/>
  <c r="AW139" i="7"/>
  <c r="I139" i="7"/>
  <c r="I132" i="7" s="1"/>
  <c r="J142" i="7"/>
  <c r="J141" i="7" s="1"/>
  <c r="I149" i="7"/>
  <c r="I144" i="7" s="1"/>
  <c r="J155" i="7"/>
  <c r="AX90" i="7"/>
  <c r="BC90" i="7" s="1"/>
  <c r="J94" i="7"/>
  <c r="AW94" i="7"/>
  <c r="AX100" i="7"/>
  <c r="AV100" i="7" s="1"/>
  <c r="J103" i="7"/>
  <c r="J99" i="7" s="1"/>
  <c r="AW103" i="7"/>
  <c r="AX108" i="7"/>
  <c r="AV108" i="7" s="1"/>
  <c r="K115" i="7"/>
  <c r="I116" i="7"/>
  <c r="AX120" i="7"/>
  <c r="AV120" i="7" s="1"/>
  <c r="K127" i="7"/>
  <c r="K132" i="7"/>
  <c r="K141" i="7"/>
  <c r="AX80" i="7"/>
  <c r="AW84" i="7"/>
  <c r="AX94" i="7"/>
  <c r="AX103" i="7"/>
  <c r="AW116" i="7"/>
  <c r="AW128" i="7"/>
  <c r="AW133" i="7"/>
  <c r="J37" i="5"/>
  <c r="J36" i="5"/>
  <c r="AY58" i="1"/>
  <c r="J35" i="5"/>
  <c r="AX58" i="1" s="1"/>
  <c r="BI84" i="5"/>
  <c r="F37" i="5" s="1"/>
  <c r="BD58" i="1" s="1"/>
  <c r="BH84" i="5"/>
  <c r="F36" i="5" s="1"/>
  <c r="BC58" i="1" s="1"/>
  <c r="BG84" i="5"/>
  <c r="F35" i="5" s="1"/>
  <c r="BB58" i="1" s="1"/>
  <c r="BF84" i="5"/>
  <c r="T84" i="5"/>
  <c r="T83" i="5" s="1"/>
  <c r="T82" i="5" s="1"/>
  <c r="T81" i="5" s="1"/>
  <c r="R84" i="5"/>
  <c r="R83" i="5" s="1"/>
  <c r="R82" i="5" s="1"/>
  <c r="R81" i="5" s="1"/>
  <c r="P84" i="5"/>
  <c r="P83" i="5" s="1"/>
  <c r="P82" i="5" s="1"/>
  <c r="P81" i="5" s="1"/>
  <c r="AU58" i="1" s="1"/>
  <c r="J78" i="5"/>
  <c r="J77" i="5"/>
  <c r="F77" i="5"/>
  <c r="F75" i="5"/>
  <c r="E73" i="5"/>
  <c r="J55" i="5"/>
  <c r="J54" i="5"/>
  <c r="F54" i="5"/>
  <c r="F52" i="5"/>
  <c r="E50" i="5"/>
  <c r="J18" i="5"/>
  <c r="E18" i="5"/>
  <c r="F78" i="5" s="1"/>
  <c r="J17" i="5"/>
  <c r="J12" i="5"/>
  <c r="J75" i="5" s="1"/>
  <c r="E7" i="5"/>
  <c r="E48" i="5"/>
  <c r="J37" i="4"/>
  <c r="J36" i="4"/>
  <c r="AY57" i="1"/>
  <c r="J35" i="4"/>
  <c r="AX57" i="1" s="1"/>
  <c r="BI84" i="4"/>
  <c r="F37" i="4" s="1"/>
  <c r="BD57" i="1" s="1"/>
  <c r="BH84" i="4"/>
  <c r="F36" i="4" s="1"/>
  <c r="BC57" i="1" s="1"/>
  <c r="BG84" i="4"/>
  <c r="F35" i="4" s="1"/>
  <c r="BB57" i="1" s="1"/>
  <c r="BF84" i="4"/>
  <c r="F34" i="4" s="1"/>
  <c r="BA57" i="1" s="1"/>
  <c r="T84" i="4"/>
  <c r="T83" i="4"/>
  <c r="T82" i="4"/>
  <c r="T81" i="4" s="1"/>
  <c r="R84" i="4"/>
  <c r="R83" i="4"/>
  <c r="R82" i="4"/>
  <c r="R81" i="4" s="1"/>
  <c r="P84" i="4"/>
  <c r="P83" i="4"/>
  <c r="P82" i="4"/>
  <c r="P81" i="4" s="1"/>
  <c r="AU57" i="1" s="1"/>
  <c r="J78" i="4"/>
  <c r="J77" i="4"/>
  <c r="F77" i="4"/>
  <c r="F75" i="4"/>
  <c r="E73" i="4"/>
  <c r="J55" i="4"/>
  <c r="J54" i="4"/>
  <c r="F54" i="4"/>
  <c r="F52" i="4"/>
  <c r="E50" i="4"/>
  <c r="J18" i="4"/>
  <c r="E18" i="4"/>
  <c r="F78" i="4"/>
  <c r="J17" i="4"/>
  <c r="J12" i="4"/>
  <c r="J75" i="4"/>
  <c r="E7" i="4"/>
  <c r="E71" i="4"/>
  <c r="J37" i="3"/>
  <c r="J36" i="3"/>
  <c r="AY56" i="1"/>
  <c r="J35" i="3"/>
  <c r="AX56" i="1" s="1"/>
  <c r="BI84" i="3"/>
  <c r="F37" i="3" s="1"/>
  <c r="BD56" i="1" s="1"/>
  <c r="BH84" i="3"/>
  <c r="F36" i="3" s="1"/>
  <c r="BC56" i="1" s="1"/>
  <c r="BG84" i="3"/>
  <c r="F35" i="3" s="1"/>
  <c r="BB56" i="1" s="1"/>
  <c r="BF84" i="3"/>
  <c r="J34" i="3" s="1"/>
  <c r="AW56" i="1" s="1"/>
  <c r="T84" i="3"/>
  <c r="T83" i="3"/>
  <c r="T82" i="3"/>
  <c r="T81" i="3" s="1"/>
  <c r="R84" i="3"/>
  <c r="R83" i="3"/>
  <c r="R82" i="3"/>
  <c r="R81" i="3" s="1"/>
  <c r="P84" i="3"/>
  <c r="P83" i="3"/>
  <c r="P82" i="3"/>
  <c r="P81" i="3" s="1"/>
  <c r="AU56" i="1" s="1"/>
  <c r="J78" i="3"/>
  <c r="J77" i="3"/>
  <c r="F77" i="3"/>
  <c r="F75" i="3"/>
  <c r="E73" i="3"/>
  <c r="J55" i="3"/>
  <c r="J54" i="3"/>
  <c r="F54" i="3"/>
  <c r="F52" i="3"/>
  <c r="E50" i="3"/>
  <c r="J18" i="3"/>
  <c r="E18" i="3"/>
  <c r="F78" i="3"/>
  <c r="J17" i="3"/>
  <c r="J12" i="3"/>
  <c r="J52" i="3"/>
  <c r="E7" i="3"/>
  <c r="E48" i="3"/>
  <c r="J37" i="2"/>
  <c r="J36" i="2"/>
  <c r="AY55" i="1"/>
  <c r="J35" i="2"/>
  <c r="AX55" i="1" s="1"/>
  <c r="BI84" i="2"/>
  <c r="F37" i="2" s="1"/>
  <c r="BD55" i="1" s="1"/>
  <c r="BH84" i="2"/>
  <c r="F36" i="2" s="1"/>
  <c r="BC55" i="1" s="1"/>
  <c r="BG84" i="2"/>
  <c r="F35" i="2" s="1"/>
  <c r="BB55" i="1" s="1"/>
  <c r="BF84" i="2"/>
  <c r="J34" i="2" s="1"/>
  <c r="AW55" i="1" s="1"/>
  <c r="T84" i="2"/>
  <c r="T83" i="2"/>
  <c r="T82" i="2"/>
  <c r="T81" i="2" s="1"/>
  <c r="R84" i="2"/>
  <c r="R83" i="2"/>
  <c r="R82" i="2"/>
  <c r="R81" i="2" s="1"/>
  <c r="P84" i="2"/>
  <c r="P83" i="2"/>
  <c r="P82" i="2"/>
  <c r="P81" i="2" s="1"/>
  <c r="AU55" i="1" s="1"/>
  <c r="J78" i="2"/>
  <c r="J77" i="2"/>
  <c r="F77" i="2"/>
  <c r="F75" i="2"/>
  <c r="E73" i="2"/>
  <c r="J55" i="2"/>
  <c r="J54" i="2"/>
  <c r="F54" i="2"/>
  <c r="F52" i="2"/>
  <c r="E50" i="2"/>
  <c r="J18" i="2"/>
  <c r="E18" i="2"/>
  <c r="F78" i="2"/>
  <c r="J17" i="2"/>
  <c r="J12" i="2"/>
  <c r="J75" i="2"/>
  <c r="E7" i="2"/>
  <c r="E48" i="2"/>
  <c r="L50" i="1"/>
  <c r="AM50" i="1"/>
  <c r="AM49" i="1"/>
  <c r="L49" i="1"/>
  <c r="AM47" i="1"/>
  <c r="L47" i="1"/>
  <c r="L45" i="1"/>
  <c r="L44" i="1"/>
  <c r="J84" i="5"/>
  <c r="AS54" i="1"/>
  <c r="BK84" i="5"/>
  <c r="J84" i="3"/>
  <c r="J34" i="5"/>
  <c r="AW58" i="1" s="1"/>
  <c r="BK84" i="3"/>
  <c r="BK84" i="4"/>
  <c r="J84" i="4"/>
  <c r="J115" i="7" l="1"/>
  <c r="AV78" i="7"/>
  <c r="I19" i="7"/>
  <c r="J19" i="7"/>
  <c r="AV90" i="7"/>
  <c r="AV20" i="7"/>
  <c r="C15" i="8"/>
  <c r="I42" i="7"/>
  <c r="AV68" i="7"/>
  <c r="BC100" i="7"/>
  <c r="K159" i="7"/>
  <c r="I52" i="7"/>
  <c r="J67" i="7"/>
  <c r="BC53" i="7"/>
  <c r="I67" i="7"/>
  <c r="BC68" i="7"/>
  <c r="AV13" i="7"/>
  <c r="AV33" i="7"/>
  <c r="J26" i="7"/>
  <c r="C14" i="8"/>
  <c r="C22" i="8" s="1"/>
  <c r="J12" i="7"/>
  <c r="AU12" i="7"/>
  <c r="C29" i="8"/>
  <c r="F29" i="8" s="1"/>
  <c r="AV133" i="7"/>
  <c r="BC133" i="7"/>
  <c r="I115" i="7"/>
  <c r="BC120" i="7"/>
  <c r="AV118" i="7"/>
  <c r="BC118" i="7"/>
  <c r="BC45" i="7"/>
  <c r="AV45" i="7"/>
  <c r="AV17" i="7"/>
  <c r="BC17" i="7"/>
  <c r="BC65" i="7"/>
  <c r="BC20" i="7"/>
  <c r="AV87" i="7"/>
  <c r="BC87" i="7"/>
  <c r="BC57" i="7"/>
  <c r="AV57" i="7"/>
  <c r="AV40" i="7"/>
  <c r="BC40" i="7"/>
  <c r="AV123" i="7"/>
  <c r="BC123" i="7"/>
  <c r="AV128" i="7"/>
  <c r="BC128" i="7"/>
  <c r="AV84" i="7"/>
  <c r="BC84" i="7"/>
  <c r="AV113" i="7"/>
  <c r="BC113" i="7"/>
  <c r="BC22" i="7"/>
  <c r="AV22" i="7"/>
  <c r="BC108" i="7"/>
  <c r="BC103" i="7"/>
  <c r="AV103" i="7"/>
  <c r="AV116" i="7"/>
  <c r="BC116" i="7"/>
  <c r="BC80" i="7"/>
  <c r="AV80" i="7"/>
  <c r="BC94" i="7"/>
  <c r="AV94" i="7"/>
  <c r="AV139" i="7"/>
  <c r="BC139" i="7"/>
  <c r="AV130" i="7"/>
  <c r="BC130" i="7"/>
  <c r="AV27" i="7"/>
  <c r="BC27" i="7"/>
  <c r="BC60" i="7"/>
  <c r="BC15" i="7"/>
  <c r="BC43" i="7"/>
  <c r="BC50" i="7"/>
  <c r="J52" i="2"/>
  <c r="E71" i="3"/>
  <c r="J75" i="3"/>
  <c r="J52" i="5"/>
  <c r="F55" i="5"/>
  <c r="E71" i="5"/>
  <c r="E71" i="2"/>
  <c r="BE84" i="4"/>
  <c r="F33" i="4" s="1"/>
  <c r="AZ57" i="1" s="1"/>
  <c r="BK83" i="4"/>
  <c r="J83" i="4" s="1"/>
  <c r="J61" i="4" s="1"/>
  <c r="F55" i="2"/>
  <c r="F55" i="3"/>
  <c r="BK83" i="3"/>
  <c r="J83" i="3" s="1"/>
  <c r="J61" i="3" s="1"/>
  <c r="E48" i="4"/>
  <c r="J52" i="4"/>
  <c r="F55" i="4"/>
  <c r="BE84" i="5"/>
  <c r="J33" i="5" s="1"/>
  <c r="AV58" i="1" s="1"/>
  <c r="AT58" i="1" s="1"/>
  <c r="BK83" i="5"/>
  <c r="BK82" i="5" s="1"/>
  <c r="J82" i="5" s="1"/>
  <c r="J60" i="5" s="1"/>
  <c r="BE84" i="3"/>
  <c r="J33" i="3" s="1"/>
  <c r="AV56" i="1" s="1"/>
  <c r="AT56" i="1" s="1"/>
  <c r="BD54" i="1"/>
  <c r="W33" i="1" s="1"/>
  <c r="BC54" i="1"/>
  <c r="AY54" i="1" s="1"/>
  <c r="F34" i="3"/>
  <c r="BA56" i="1" s="1"/>
  <c r="AU54" i="1"/>
  <c r="J34" i="4"/>
  <c r="AW57" i="1" s="1"/>
  <c r="BB54" i="1"/>
  <c r="W31" i="1" s="1"/>
  <c r="F34" i="2"/>
  <c r="BA55" i="1" s="1"/>
  <c r="F34" i="5"/>
  <c r="BA58" i="1" s="1"/>
  <c r="I28" i="8" l="1"/>
  <c r="J83" i="5"/>
  <c r="J61" i="5" s="1"/>
  <c r="BK82" i="3"/>
  <c r="J82" i="3" s="1"/>
  <c r="J60" i="3" s="1"/>
  <c r="BK82" i="4"/>
  <c r="J82" i="4" s="1"/>
  <c r="J60" i="4" s="1"/>
  <c r="BK81" i="5"/>
  <c r="J81" i="5"/>
  <c r="J59" i="5" s="1"/>
  <c r="F33" i="3"/>
  <c r="AZ56" i="1" s="1"/>
  <c r="AX54" i="1"/>
  <c r="F33" i="5"/>
  <c r="AZ58" i="1" s="1"/>
  <c r="J33" i="4"/>
  <c r="AV57" i="1" s="1"/>
  <c r="AT57" i="1" s="1"/>
  <c r="W32" i="1"/>
  <c r="BA54" i="1"/>
  <c r="W30" i="1" s="1"/>
  <c r="I29" i="8" l="1"/>
  <c r="I84" i="2"/>
  <c r="BK81" i="4"/>
  <c r="J81" i="4" s="1"/>
  <c r="J59" i="4" s="1"/>
  <c r="BK81" i="3"/>
  <c r="J81" i="3" s="1"/>
  <c r="J30" i="3" s="1"/>
  <c r="AG56" i="1" s="1"/>
  <c r="AN56" i="1" s="1"/>
  <c r="AW54" i="1"/>
  <c r="AK30" i="1" s="1"/>
  <c r="J30" i="5"/>
  <c r="AG58" i="1" s="1"/>
  <c r="AN58" i="1" s="1"/>
  <c r="J84" i="2" l="1"/>
  <c r="BE84" i="2" s="1"/>
  <c r="BK84" i="2"/>
  <c r="BK83" i="2" s="1"/>
  <c r="J39" i="5"/>
  <c r="J59" i="3"/>
  <c r="J39" i="3"/>
  <c r="J30" i="4"/>
  <c r="AG57" i="1" s="1"/>
  <c r="AN57" i="1" s="1"/>
  <c r="J83" i="2" l="1"/>
  <c r="J61" i="2" s="1"/>
  <c r="BK82" i="2"/>
  <c r="J33" i="2"/>
  <c r="AV55" i="1" s="1"/>
  <c r="AT55" i="1" s="1"/>
  <c r="F33" i="2"/>
  <c r="AZ55" i="1" s="1"/>
  <c r="AZ54" i="1" s="1"/>
  <c r="J39" i="4"/>
  <c r="AV54" i="1" l="1"/>
  <c r="W29" i="1"/>
  <c r="J82" i="2"/>
  <c r="J60" i="2" s="1"/>
  <c r="BK81" i="2"/>
  <c r="J81" i="2" s="1"/>
  <c r="J59" i="2" l="1"/>
  <c r="J30" i="2"/>
  <c r="AK29" i="1"/>
  <c r="AT54" i="1"/>
  <c r="AG55" i="1" l="1"/>
  <c r="J39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<sst xmlns="http://schemas.openxmlformats.org/spreadsheetml/2006/main" count="2668" uniqueCount="971">
  <si>
    <t>Export Komplet</t>
  </si>
  <si>
    <t>VZ</t>
  </si>
  <si>
    <t>2.0</t>
  </si>
  <si>
    <t>ZAMOK</t>
  </si>
  <si>
    <t>False</t>
  </si>
  <si>
    <t>{49645955-2e57-4e7e-95e3-0af657df45b9}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</si>
  <si>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</si>
  <si>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</si>
  <si>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</si>
  <si>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</si>
  <si>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</si>
  <si>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</si>
  <si>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</si>
  <si>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</si>
  <si>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19-043-150NCI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</si>
  <si>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</si>
  <si>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</si>
  <si>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Komplexní klimatizace v objektu MZe Ústí nad Labem</t>
  </si>
  <si>
    <t>KSO:</t>
  </si>
  <si>
    <t/>
  </si>
  <si>
    <t>CC-CZ:</t>
  </si>
  <si>
    <t>Místo:</t>
  </si>
  <si>
    <t>Ústí nad Labem</t>
  </si>
  <si>
    <t>Datum:</t>
  </si>
  <si>
    <t>21. 2. 2020</t>
  </si>
  <si>
    <t>Zadavatel:</t>
  </si>
  <si>
    <t>IČ:</t>
  </si>
  <si>
    <t>00020478</t>
  </si>
  <si>
    <t>Česká republika - Ministerstvo zemědělství</t>
  </si>
  <si>
    <t>DIČ:</t>
  </si>
  <si>
    <t>CZ00020478</t>
  </si>
  <si>
    <t>Uchazeč:</t>
  </si>
  <si>
    <t>Vyplň údaj</t>
  </si>
  <si>
    <t>Projektant:</t>
  </si>
  <si>
    <t>28683218</t>
  </si>
  <si>
    <t>NCI.CZ ENGINEERING s.r.o.</t>
  </si>
  <si>
    <t>CZ28683218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</si>
  <si>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</si>
  <si>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</si>
  <si>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</si>
  <si>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</si>
  <si>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</si>
  <si>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</si>
  <si>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</si>
  <si>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</si>
  <si>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</si>
  <si>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</si>
  <si>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</si>
  <si>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</si>
  <si>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</si>
  <si>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</si>
  <si>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</si>
  <si>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</si>
  <si>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</si>
  <si>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</si>
  <si>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</si>
  <si>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</si>
  <si>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</si>
  <si>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</si>
  <si>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</si>
  <si>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</si>
  <si>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</si>
  <si>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</si>
  <si>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</si>
  <si>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</si>
  <si>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</si>
  <si>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</si>
  <si>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</si>
  <si>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</si>
  <si>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</si>
  <si>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</si>
  <si>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</si>
  <si>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</si>
  <si>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</si>
  <si>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</si>
  <si>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</si>
  <si>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</si>
  <si>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</si>
  <si>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</si>
  <si>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</si>
  <si>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</si>
  <si>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 stavební řešení</t>
  </si>
  <si>
    <t>STA</t>
  </si>
  <si>
    <t>1</t>
  </si>
  <si>
    <t>{8cde4318-f715-4d00-9aef-638d69bf4b43}</t>
  </si>
  <si>
    <t>2</t>
  </si>
  <si>
    <t>D.1.4.1</t>
  </si>
  <si>
    <t>Klimatizace</t>
  </si>
  <si>
    <t>{6d45346a-7b2b-4a86-b204-98c35eefe9b5}</t>
  </si>
  <si>
    <t>D.1.4.2</t>
  </si>
  <si>
    <t>Zařízení silnoproudé elektrotechniky</t>
  </si>
  <si>
    <t>{bb55bbd9-b76d-4e72-9f36-cd50d53eb17c}</t>
  </si>
  <si>
    <t>D.1.4.3</t>
  </si>
  <si>
    <t>Zdravotnětechnické instalace</t>
  </si>
  <si>
    <t>{9870bf3f-67b0-4804-a343-d71a675fce70}</t>
  </si>
  <si>
    <t>KRYCÍ LIST SOUPISU PRACÍ</t>
  </si>
  <si>
    <t>Objekt:</t>
  </si>
  <si>
    <t>D.1.1 - Architektonicko stavební řešení</t>
  </si>
  <si>
    <t>REKAPITULACE ČLENĚNÍ SOUPISU PRACÍ</t>
  </si>
  <si>
    <t>Kód dílu - Popis</t>
  </si>
  <si>
    <t>Cena celkem [CZK]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</si>
  <si>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</si>
  <si>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</si>
  <si>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</si>
  <si>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</si>
  <si>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</si>
  <si>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</si>
  <si>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</si>
  <si>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</si>
  <si>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</si>
  <si>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</si>
  <si>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</si>
  <si>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</si>
  <si>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</si>
  <si>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</si>
  <si>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</si>
  <si>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</si>
  <si>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</si>
  <si>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</si>
  <si>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</si>
  <si>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</si>
  <si>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</si>
  <si>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</si>
  <si>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</si>
  <si>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Architektonicko stavební část</t>
  </si>
  <si>
    <t>kpl</t>
  </si>
  <si>
    <t>512</t>
  </si>
  <si>
    <t>1504546846</t>
  </si>
  <si>
    <t>D.1.4.1 - Klimatizace</t>
  </si>
  <si>
    <t>1248480747</t>
  </si>
  <si>
    <t>D.1.4.2 - Zařízení silnoproudé elektrotechniky</t>
  </si>
  <si>
    <t>1597707825</t>
  </si>
  <si>
    <t>D.1.4.3 - Zdravotnětechnické instalace</t>
  </si>
  <si>
    <t>1961515272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</si>
  <si>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</si>
  <si>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</si>
  <si>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</si>
  <si>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</si>
  <si>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</si>
  <si>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</si>
  <si>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</si>
  <si>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</si>
  <si>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</si>
  <si>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</si>
  <si>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</si>
  <si>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</si>
  <si>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</si>
  <si>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</si>
  <si>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</si>
  <si>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</si>
  <si>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</si>
  <si>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</si>
  <si>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</si>
  <si>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</si>
  <si>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</si>
  <si>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</si>
  <si>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</si>
  <si>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</si>
  <si>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</si>
  <si>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</si>
  <si>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</si>
  <si>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</si>
  <si>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</si>
  <si>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</si>
  <si>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</si>
  <si>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</si>
  <si>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</si>
  <si>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</si>
  <si>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</si>
  <si>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</si>
  <si>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</si>
  <si>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</si>
  <si>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</si>
  <si>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</si>
  <si>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</si>
  <si>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</si>
  <si>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</si>
  <si>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</si>
  <si>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</si>
  <si>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</si>
  <si>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</si>
  <si>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</si>
  <si>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</si>
  <si>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</si>
  <si>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</si>
  <si>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</si>
  <si>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</si>
  <si>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</si>
  <si>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</si>
  <si>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</si>
  <si>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</si>
  <si>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</si>
  <si>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</si>
  <si>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</si>
  <si>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</si>
  <si>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</si>
  <si>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</si>
  <si>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</si>
  <si>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</si>
  <si>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</si>
  <si>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</si>
  <si>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</si>
  <si>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</si>
  <si>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</si>
  <si>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</si>
  <si>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</si>
  <si>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</si>
  <si>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</si>
  <si>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</si>
  <si>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</si>
  <si>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</si>
  <si>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</si>
  <si>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</si>
  <si>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</si>
  <si>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</si>
  <si>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</si>
  <si>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</si>
  <si>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</si>
  <si>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</si>
  <si>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</si>
  <si>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</si>
  <si>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</si>
  <si>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</si>
  <si>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</si>
  <si>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</si>
  <si>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</si>
  <si>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</si>
  <si>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</si>
  <si>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</si>
  <si>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</si>
  <si>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</si>
  <si>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</si>
  <si>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</si>
  <si>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</si>
  <si>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</si>
  <si>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</si>
  <si>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</si>
  <si>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</si>
  <si>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</si>
  <si>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</si>
  <si>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</si>
  <si>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</si>
  <si>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</si>
  <si>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</si>
  <si>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</si>
  <si>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</si>
  <si>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</si>
  <si>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</si>
  <si>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</si>
  <si>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</si>
  <si>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</si>
  <si>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</si>
  <si>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</si>
  <si>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</si>
  <si>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</si>
  <si>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</si>
  <si>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</si>
  <si>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</si>
  <si>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</si>
  <si>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</si>
  <si>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</si>
  <si>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</si>
  <si>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</si>
  <si>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</si>
  <si>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</si>
  <si>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</si>
  <si>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</si>
  <si>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</si>
  <si>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</si>
  <si>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</si>
  <si>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</si>
  <si>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</si>
  <si>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</si>
  <si>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</si>
  <si>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</si>
  <si>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</si>
  <si>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</si>
  <si>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</si>
  <si>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</si>
  <si>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</si>
  <si>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</si>
  <si>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</si>
  <si>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</si>
  <si>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</si>
  <si>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</si>
  <si>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</si>
  <si>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</si>
  <si>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</si>
  <si>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</si>
  <si>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</si>
  <si>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</si>
  <si>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</si>
  <si>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</si>
  <si>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</si>
  <si>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</si>
  <si>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</si>
  <si>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</si>
  <si>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</si>
  <si>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</si>
  <si>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</si>
  <si>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</si>
  <si>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</si>
  <si>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</si>
  <si>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</si>
  <si>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</si>
  <si>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</si>
  <si>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</si>
  <si>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</si>
  <si>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</si>
  <si>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</si>
  <si>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</si>
  <si>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</si>
  <si>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</si>
  <si>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</si>
  <si>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</si>
  <si>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</si>
  <si>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</si>
  <si>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</si>
  <si>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</si>
  <si>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</si>
  <si>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Slepý stavební rozpočet</t>
  </si>
  <si>
    <t>Název stavby:</t>
  </si>
  <si>
    <t>Klimatizace  v objektu Ministerstva zemědělství Ústí nad Labem</t>
  </si>
  <si>
    <t>Doba výstavby:</t>
  </si>
  <si>
    <t xml:space="preserve"> </t>
  </si>
  <si>
    <t>Objednatel:</t>
  </si>
  <si>
    <t>Druh stavby:</t>
  </si>
  <si>
    <t>Začátek výstavby:</t>
  </si>
  <si>
    <t>Lokalita:</t>
  </si>
  <si>
    <t>Konec výstavby:</t>
  </si>
  <si>
    <t>Zhotovitel:</t>
  </si>
  <si>
    <t>Dle výběrového řízení</t>
  </si>
  <si>
    <t>JKSO:</t>
  </si>
  <si>
    <t>Zpracováno dne:</t>
  </si>
  <si>
    <t>20.12.2019</t>
  </si>
  <si>
    <t>Zpracoval:</t>
  </si>
  <si>
    <t>Kamila Možná</t>
  </si>
  <si>
    <t>Č</t>
  </si>
  <si>
    <t>Zkrácený popis</t>
  </si>
  <si>
    <t>Cena/MJ</t>
  </si>
  <si>
    <t>Náklady (Kč)</t>
  </si>
  <si>
    <t>Cenová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</si>
  <si>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</si>
  <si>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</si>
  <si>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</si>
  <si>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</si>
  <si>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</si>
  <si>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</si>
  <si>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</si>
  <si>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</si>
  <si>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</si>
  <si>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</si>
  <si>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</si>
  <si>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</si>
  <si>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</si>
  <si>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</si>
  <si>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</si>
  <si>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</si>
  <si>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</si>
  <si>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</si>
  <si>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Pokládka geotextílie</t>
  </si>
  <si>
    <t>213151121R00</t>
  </si>
  <si>
    <t>m2</t>
  </si>
  <si>
    <t>RTS II / 2019</t>
  </si>
  <si>
    <t>21_</t>
  </si>
  <si>
    <t>2_</t>
  </si>
  <si>
    <t>_</t>
  </si>
  <si>
    <t>70;střecha;   </t>
  </si>
  <si>
    <t>69366198</t>
  </si>
  <si>
    <t>Geotextilie</t>
  </si>
  <si>
    <t>3</t>
  </si>
  <si>
    <t>213151122VD</t>
  </si>
  <si>
    <t>Sejmutí geotextílie</t>
  </si>
  <si>
    <t>27</t>
  </si>
  <si>
    <t>Základy</t>
  </si>
  <si>
    <t>275313621R00</t>
  </si>
  <si>
    <t>Beton základových patek prostý C 20/25</t>
  </si>
  <si>
    <t>m3</t>
  </si>
  <si>
    <t>27_</t>
  </si>
  <si>
    <t>11*1*0,3;základ;   </t>
  </si>
  <si>
    <t>5</t>
  </si>
  <si>
    <t>275351215R00</t>
  </si>
  <si>
    <t>Bednění stěn základových patek - zřízení</t>
  </si>
  <si>
    <t>(11+1)*2*0,3;bednění základu;   </t>
  </si>
  <si>
    <t>6</t>
  </si>
  <si>
    <t>275351216R00</t>
  </si>
  <si>
    <t>Bednění stěn základových patek - odstranění</t>
  </si>
  <si>
    <t>7,12;viz bednění;   </t>
  </si>
  <si>
    <t>31</t>
  </si>
  <si>
    <t>Zdi podpěrné a volné</t>
  </si>
  <si>
    <t>7</t>
  </si>
  <si>
    <t>310235241R00</t>
  </si>
  <si>
    <t>Zazdívka otvorů pl.0,0225 m2 cihlami, tl.zdi 30 cm</t>
  </si>
  <si>
    <t>kus</t>
  </si>
  <si>
    <t>31_</t>
  </si>
  <si>
    <t>3_</t>
  </si>
  <si>
    <t>2;1np;   </t>
  </si>
  <si>
    <t>11;2np;   </t>
  </si>
  <si>
    <t>10;3np;   </t>
  </si>
  <si>
    <t>11;4np;   </t>
  </si>
  <si>
    <t>10;5np;   </t>
  </si>
  <si>
    <t>8</t>
  </si>
  <si>
    <t>310235261R00</t>
  </si>
  <si>
    <t>Zazdívka otvorů pl.0,0225 m2 cihlami, tl.zdi 90 cm</t>
  </si>
  <si>
    <t>4;1np;   </t>
  </si>
  <si>
    <t>8;2np;   </t>
  </si>
  <si>
    <t>5;3np;   </t>
  </si>
  <si>
    <t>5;4np;   </t>
  </si>
  <si>
    <t>5;5np;   </t>
  </si>
  <si>
    <t>64</t>
  </si>
  <si>
    <t>Výplně otvorů</t>
  </si>
  <si>
    <t>9</t>
  </si>
  <si>
    <t>648991111RT4</t>
  </si>
  <si>
    <t>Osazení parapet.desek plast. a lamin. š. do 20cm včetně dodávky plastové parapetní desky š. 200 mm</t>
  </si>
  <si>
    <t>m</t>
  </si>
  <si>
    <t>64_</t>
  </si>
  <si>
    <t>6_</t>
  </si>
  <si>
    <t>4,45*4;2 až 5np;   </t>
  </si>
  <si>
    <t>712</t>
  </si>
  <si>
    <t>Izolace střech (živičné krytiny)</t>
  </si>
  <si>
    <t>10</t>
  </si>
  <si>
    <t>712300832R00</t>
  </si>
  <si>
    <t>Odstranění povlakové krytiny střech do 10° 2vrstvé</t>
  </si>
  <si>
    <t>712_</t>
  </si>
  <si>
    <t>71_</t>
  </si>
  <si>
    <t>12*2;odstranění pro nový základ;   </t>
  </si>
  <si>
    <t>11</t>
  </si>
  <si>
    <t>712341559RZ4</t>
  </si>
  <si>
    <t>Povlaková krytina střech do 10°, NAIP přitavením 2 vrstvy - včetně dodávky</t>
  </si>
  <si>
    <t>24;viz odstranění;   </t>
  </si>
  <si>
    <t>(11+1)*2*0,1;boky;   </t>
  </si>
  <si>
    <t>26,4*0,1;prořez;   </t>
  </si>
  <si>
    <t>713</t>
  </si>
  <si>
    <t>Izolace tepelné</t>
  </si>
  <si>
    <t>12</t>
  </si>
  <si>
    <t>713552131R00</t>
  </si>
  <si>
    <t>Protipož. trubní ucpávka EI 45, do D 108 mm, stěna</t>
  </si>
  <si>
    <t>713_</t>
  </si>
  <si>
    <t>4;2 až 5np;   </t>
  </si>
  <si>
    <t>762</t>
  </si>
  <si>
    <t>Konstrukce tesařské</t>
  </si>
  <si>
    <t>13</t>
  </si>
  <si>
    <t>762511111VD</t>
  </si>
  <si>
    <t>Pokládka OSB desek na podlahu</t>
  </si>
  <si>
    <t>762_</t>
  </si>
  <si>
    <t>76_</t>
  </si>
  <si>
    <t>14</t>
  </si>
  <si>
    <t>60726010.A</t>
  </si>
  <si>
    <t>Deska dřevoštěpková OSB tl. 12 mm</t>
  </si>
  <si>
    <t>762511112VD</t>
  </si>
  <si>
    <t>Sejmutí OSB desek</t>
  </si>
  <si>
    <t>764</t>
  </si>
  <si>
    <t>Konstrukce klempířské</t>
  </si>
  <si>
    <t>16</t>
  </si>
  <si>
    <t>764221117VD</t>
  </si>
  <si>
    <t>Přechodový plech u parapetu po usazení nových oken</t>
  </si>
  <si>
    <t>764_</t>
  </si>
  <si>
    <t>4,5*4;přechodový plech;   </t>
  </si>
  <si>
    <t>766</t>
  </si>
  <si>
    <t>Konstrukce truhlářské</t>
  </si>
  <si>
    <t>17</t>
  </si>
  <si>
    <t>766629310R00</t>
  </si>
  <si>
    <t>Montáž plastových výplní prosklených</t>
  </si>
  <si>
    <t>766_</t>
  </si>
  <si>
    <t>4,45*2,06*4;2 až 5np;   </t>
  </si>
  <si>
    <t>18</t>
  </si>
  <si>
    <t>611221160VD</t>
  </si>
  <si>
    <t>Okno plast 4,45x2,06m, Uw - max. 1,2 W/m2K</t>
  </si>
  <si>
    <t>767</t>
  </si>
  <si>
    <t>Konstrukce doplňkové stavební (zámečnické)</t>
  </si>
  <si>
    <t>19</t>
  </si>
  <si>
    <t>767584153R00</t>
  </si>
  <si>
    <t>Montáž podhledů kazetových, 60x60 nad 20 m2</t>
  </si>
  <si>
    <t>767_</t>
  </si>
  <si>
    <t>45;P1;   </t>
  </si>
  <si>
    <t>54,2;P2;   </t>
  </si>
  <si>
    <t>34;P3;   </t>
  </si>
  <si>
    <t>54,2;P4;   </t>
  </si>
  <si>
    <t>34;P5;   </t>
  </si>
  <si>
    <t>54,2;P6;   </t>
  </si>
  <si>
    <t>34;P7;   </t>
  </si>
  <si>
    <t>54,2;P8;   </t>
  </si>
  <si>
    <t>34;P9;   </t>
  </si>
  <si>
    <t>20</t>
  </si>
  <si>
    <t>63174021</t>
  </si>
  <si>
    <t>Kazeta 60x60x1,5 cm</t>
  </si>
  <si>
    <t>397,8*1,03;podhled krát ztratné 3%;   </t>
  </si>
  <si>
    <t>767995100VDVD</t>
  </si>
  <si>
    <t>Montáž kovových konstrukcí včetně spojovacího materiálu</t>
  </si>
  <si>
    <t>kg</t>
  </si>
  <si>
    <t>0,12134*1000;výplň nadsvětlíku;   </t>
  </si>
  <si>
    <t>54*1,2;zábrana;   </t>
  </si>
  <si>
    <t>0,1796*1000;kastlík;   </t>
  </si>
  <si>
    <t>22</t>
  </si>
  <si>
    <t>13756545</t>
  </si>
  <si>
    <t>Plech hladký 1,00x1000x2000 mm - nadsvětlík</t>
  </si>
  <si>
    <t>t</t>
  </si>
  <si>
    <t>1,58*0,6*8*2*8/1000   </t>
  </si>
  <si>
    <t>;výplň nadsvětlíku;   </t>
  </si>
  <si>
    <t>23</t>
  </si>
  <si>
    <t>14110890</t>
  </si>
  <si>
    <t>Trubky bezešvé hladké jakost 11353.1 D 21,3x2,6 mm</t>
  </si>
  <si>
    <t>4,5*3*4   </t>
  </si>
  <si>
    <t>;ocelové zábrany 3ks/okno/   </t>
  </si>
  <si>
    <t>24</t>
  </si>
  <si>
    <t>Plech hladký 1,00x1000x2000 mm - kastlík</t>
  </si>
  <si>
    <t>(0,5*2+0,9)*11*8/1000   </t>
  </si>
  <si>
    <t>(0,5*2+0,9)*2*8/1000   </t>
  </si>
  <si>
    <t>(0,5+1,3)*10,5*8/1000+0,5*1,3*2*8/1000   </t>
  </si>
  <si>
    <t>25</t>
  </si>
  <si>
    <t>767995128VD</t>
  </si>
  <si>
    <t>Kotvení kastlíku á500mm</t>
  </si>
  <si>
    <t>11*2*2   </t>
  </si>
  <si>
    <t>2*2*2   </t>
  </si>
  <si>
    <t>10,5*2*2   </t>
  </si>
  <si>
    <t>;kotvení kastlíku;   </t>
  </si>
  <si>
    <t>783</t>
  </si>
  <si>
    <t>Nátěry</t>
  </si>
  <si>
    <t>26</t>
  </si>
  <si>
    <t>783220010RAC</t>
  </si>
  <si>
    <t>Nátěr kovových doplňkových konstrukcí syntetický</t>
  </si>
  <si>
    <t>783_</t>
  </si>
  <si>
    <t>78_</t>
  </si>
  <si>
    <t>1,58*0,6*8;výplň nadsvětlíku;   </t>
  </si>
  <si>
    <t>3,14*0,02*0,02/4*54;ocelové zábrany;   </t>
  </si>
  <si>
    <t>783110013VD</t>
  </si>
  <si>
    <t>Nátěrový systém komaxit</t>
  </si>
  <si>
    <t>(0,5*2+0,9)*11   </t>
  </si>
  <si>
    <t>(0,5*2+0,9)*2   </t>
  </si>
  <si>
    <t>(0,5+1,3)*10,5+0,5*1,3*2   </t>
  </si>
  <si>
    <t>784</t>
  </si>
  <si>
    <t>Malby</t>
  </si>
  <si>
    <t>28</t>
  </si>
  <si>
    <t>784433271R00</t>
  </si>
  <si>
    <t>Malba klih.2x, 1bar.+strop,pačok 2x, míst. do 3,8m</t>
  </si>
  <si>
    <t>784_</t>
  </si>
  <si>
    <t>44*0,5*2   </t>
  </si>
  <si>
    <t>27*0,5*2   </t>
  </si>
  <si>
    <t>;viz zazdívky;   </t>
  </si>
  <si>
    <t>787</t>
  </si>
  <si>
    <t>Zasklívání</t>
  </si>
  <si>
    <t>29</t>
  </si>
  <si>
    <t>787900010RA0</t>
  </si>
  <si>
    <t>Vysklení nadsvětlíku</t>
  </si>
  <si>
    <t>787_</t>
  </si>
  <si>
    <t>1,58*0,6*4;2 až 5np;   </t>
  </si>
  <si>
    <t>94</t>
  </si>
  <si>
    <t>Lešení a stavební výtahy</t>
  </si>
  <si>
    <t>30</t>
  </si>
  <si>
    <t>946941106R00</t>
  </si>
  <si>
    <t>Montáž pojízdných Alu věží BOSS, 2,5 x 0,85 m</t>
  </si>
  <si>
    <t>sada</t>
  </si>
  <si>
    <t>94_</t>
  </si>
  <si>
    <t>9_</t>
  </si>
  <si>
    <t>5;sada;   </t>
  </si>
  <si>
    <t>946941196R00</t>
  </si>
  <si>
    <t>Nájemné pojízdných Alu věží BOSS, 2,5 x 0,85 m</t>
  </si>
  <si>
    <t>den</t>
  </si>
  <si>
    <t>60;2 měsíce;   </t>
  </si>
  <si>
    <t>32</t>
  </si>
  <si>
    <t>946941806R00</t>
  </si>
  <si>
    <t>Demontáž pojízdných Alu věží BOSS, 2,5 x 0,85 m</t>
  </si>
  <si>
    <t>4;viz montáž;   </t>
  </si>
  <si>
    <t>95</t>
  </si>
  <si>
    <t>Různé dokončovací konstrukce a práce na pozemních stavbách</t>
  </si>
  <si>
    <t>33</t>
  </si>
  <si>
    <t>952901111R00</t>
  </si>
  <si>
    <t>Vyčištění budov o výšce podlaží do 4 m</t>
  </si>
  <si>
    <t>95_</t>
  </si>
  <si>
    <t>400;viz podhled;   </t>
  </si>
  <si>
    <t>10;zádveří;   </t>
  </si>
  <si>
    <t>25;vstup + schodiště;   </t>
  </si>
  <si>
    <t>96</t>
  </si>
  <si>
    <t>Bourání konstrukcí</t>
  </si>
  <si>
    <t>34</t>
  </si>
  <si>
    <t>962200041RAB</t>
  </si>
  <si>
    <t>Bourání kopilitové stěny</t>
  </si>
  <si>
    <t>96_</t>
  </si>
  <si>
    <t>35</t>
  </si>
  <si>
    <t>965042241R00</t>
  </si>
  <si>
    <t>Bourání mazanin betonových tl. nad 10 cm, nad 4 m2</t>
  </si>
  <si>
    <t>11*1*0,12;odstranění potěru a dílců;   </t>
  </si>
  <si>
    <t>97</t>
  </si>
  <si>
    <t>Prorážení otvorů a ostatní bourací práce</t>
  </si>
  <si>
    <t>36</t>
  </si>
  <si>
    <t>970031100R00</t>
  </si>
  <si>
    <t>Vrtání jádrové do zdiva cihelného do D 100 mm</t>
  </si>
  <si>
    <t>97_</t>
  </si>
  <si>
    <t>0,55+0,9*2+0,5+0,11+0,1;1np;   </t>
  </si>
  <si>
    <t>0,18*10+0,33*3+0,21+0,45+0,9+0,85+0,5;2np;   </t>
  </si>
  <si>
    <t>0,18*5+0,2*4+0,35*3+0,33+0,21+0,615;3np;   </t>
  </si>
  <si>
    <t>0,15*6+0,18*4+0,35*2+0,33+0,24+0,5*2;4np;   </t>
  </si>
  <si>
    <t>0,17*6+0,18*3+0,35*2+0,33+0,17+0,5*2;5np;   </t>
  </si>
  <si>
    <t>37</t>
  </si>
  <si>
    <t>970241150R00</t>
  </si>
  <si>
    <t>Řezání prostého betonu hl. řezu 150 mm</t>
  </si>
  <si>
    <t>(11+1)*2;řezání potěru a dílců;   </t>
  </si>
  <si>
    <t>H99</t>
  </si>
  <si>
    <t>Ostatní přesuny hmot</t>
  </si>
  <si>
    <t>38</t>
  </si>
  <si>
    <t>999281111R00</t>
  </si>
  <si>
    <t>Přesun hmot pro opravy a údržbu do výšky 25 m</t>
  </si>
  <si>
    <t>H99_</t>
  </si>
  <si>
    <t>14,41265;viz hmotnost;   </t>
  </si>
  <si>
    <t>S</t>
  </si>
  <si>
    <t>Přesuny sutí</t>
  </si>
  <si>
    <t>39</t>
  </si>
  <si>
    <t>979082111R00</t>
  </si>
  <si>
    <t>Vnitrostaveništní doprava suti do 10 m</t>
  </si>
  <si>
    <t>S_</t>
  </si>
  <si>
    <t>6,86894;viz hmotnost;   </t>
  </si>
  <si>
    <t>40</t>
  </si>
  <si>
    <t>979011211R00</t>
  </si>
  <si>
    <t>Svislá doprava suti a vybour. hmot za 2.NP nošením</t>
  </si>
  <si>
    <t>41</t>
  </si>
  <si>
    <t>979082212R00</t>
  </si>
  <si>
    <t>Vodorovná doprava suti po suchu do 50 m</t>
  </si>
  <si>
    <t>42</t>
  </si>
  <si>
    <t>979087113R00</t>
  </si>
  <si>
    <t>Nakládání vybour.hmot na doprav.prostředky</t>
  </si>
  <si>
    <t>43</t>
  </si>
  <si>
    <t>979081111R00</t>
  </si>
  <si>
    <t>Odvoz suti a vybour. hmot na skládku do 1 km</t>
  </si>
  <si>
    <t>44</t>
  </si>
  <si>
    <t>979081121R00</t>
  </si>
  <si>
    <t>Příplatek k odvozu za každý další 1 km</t>
  </si>
  <si>
    <t>6,86894*19;viz hmotnost-odvoz celkem do 20km;   </t>
  </si>
  <si>
    <t>45</t>
  </si>
  <si>
    <t>979999999R00</t>
  </si>
  <si>
    <t>Poplatek za skládku</t>
  </si>
  <si>
    <t>Celkem:</t>
  </si>
  <si>
    <t>Krycí list slepého rozpočtu</t>
  </si>
  <si>
    <t>IČ/DIČ:</t>
  </si>
  <si>
    <t>Položek:</t>
  </si>
  <si>
    <t>Rozpočtové náklady v Kč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</si>
  <si>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</si>
  <si>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</si>
  <si>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</si>
  <si>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</si>
  <si>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</si>
  <si>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</si>
  <si>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</si>
  <si>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</si>
  <si>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</si>
  <si>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</si>
  <si>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</si>
  <si>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</si>
  <si>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</si>
  <si>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</si>
  <si>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</si>
  <si>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</si>
  <si>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</si>
  <si>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</si>
  <si>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</si>
  <si>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</si>
  <si>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</si>
  <si>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</si>
  <si>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</si>
  <si>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</si>
  <si>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</si>
  <si>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</si>
  <si>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</si>
  <si>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</si>
  <si>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</si>
  <si>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</si>
  <si>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</si>
  <si>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</si>
  <si>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</si>
  <si>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Objednatel</t>
  </si>
  <si>
    <t>Zhotovitel</t>
  </si>
  <si>
    <t>Datum, razítko a podpis</t>
  </si>
  <si>
    <t>ROZPOČET</t>
  </si>
  <si>
    <t>Vydání: 1</t>
  </si>
  <si>
    <t>Budget</t>
  </si>
  <si>
    <t>Revize: 0</t>
  </si>
  <si>
    <t>Účinnost ŘD od: 16.1.2017</t>
  </si>
  <si>
    <t>1NCI_FO_0038_RZP Rozpočet</t>
  </si>
  <si>
    <t>Název zakázky:</t>
  </si>
  <si>
    <t>Investor:</t>
  </si>
  <si>
    <t>Číslo zakázky:</t>
  </si>
  <si>
    <t>Komplexní Klimatizace v objektu MZe Ústí nad Labem Masarykova 19/275</t>
  </si>
  <si>
    <t xml:space="preserve">Ministerstvo zemědělství Ústí nad Labem </t>
  </si>
  <si>
    <t>Název dokumentace:</t>
  </si>
  <si>
    <t>Hlavní projektant:</t>
  </si>
  <si>
    <t>Stupeň PD:</t>
  </si>
  <si>
    <t>D.1.4.Technika prostředí staveb</t>
  </si>
  <si>
    <t>Zdeněk Hába</t>
  </si>
  <si>
    <t>DPS</t>
  </si>
  <si>
    <t>Sv.</t>
  </si>
  <si>
    <t>D.1.4.1.</t>
  </si>
  <si>
    <t>Projektant profese:</t>
  </si>
  <si>
    <t>Vypracoval:</t>
  </si>
  <si>
    <t>Jana Schuhová</t>
  </si>
  <si>
    <t>pozice</t>
  </si>
  <si>
    <t>název zařízení a materiálu</t>
  </si>
  <si>
    <t>počet</t>
  </si>
  <si>
    <t>cena dodávky</t>
  </si>
  <si>
    <t xml:space="preserve">cena montáže </t>
  </si>
  <si>
    <t>cena</t>
  </si>
  <si>
    <t>číslo</t>
  </si>
  <si>
    <t>jednotková</t>
  </si>
  <si>
    <t>celková</t>
  </si>
  <si>
    <t xml:space="preserve">Zařízení č.01 - Klimatizace 1.NP </t>
  </si>
  <si>
    <t>1.01</t>
  </si>
  <si>
    <t xml:space="preserve">Venkovní jednotka </t>
  </si>
  <si>
    <t>ks</t>
  </si>
  <si>
    <t>1.02</t>
  </si>
  <si>
    <t>Vnitřní jednotka vč. Infraovladače</t>
  </si>
  <si>
    <t>1.03</t>
  </si>
  <si>
    <t>1.04</t>
  </si>
  <si>
    <t xml:space="preserve">Technické Cu potrubí chladiva </t>
  </si>
  <si>
    <t>bm</t>
  </si>
  <si>
    <t>1.06</t>
  </si>
  <si>
    <t>Modul okenního kontaktu</t>
  </si>
  <si>
    <t xml:space="preserve">TCB-IFCB5-PE </t>
  </si>
  <si>
    <t>1.08</t>
  </si>
  <si>
    <t>Konzole pro venkovní jednotku</t>
  </si>
  <si>
    <t>CELKEM:</t>
  </si>
  <si>
    <r>
      <t>Zařízení č.02 - Klimatizace 2.NP</t>
    </r>
    <r>
      <rPr>
        <b/>
        <sz val="8"/>
        <color rgb="FFFF66CC"/>
        <rFont val="Arial"/>
        <family val="2"/>
        <charset val="238"/>
      </rPr>
      <t xml:space="preserve"> </t>
    </r>
  </si>
  <si>
    <t>2.01</t>
  </si>
  <si>
    <t>MAP 2006HT8P-E</t>
  </si>
  <si>
    <t>2.02</t>
  </si>
  <si>
    <t>Vnitřní jednotka vč. infraovladače</t>
  </si>
  <si>
    <t>2.03</t>
  </si>
  <si>
    <t xml:space="preserve">Vnitřní jednotka </t>
  </si>
  <si>
    <t>2.04</t>
  </si>
  <si>
    <t>2.05</t>
  </si>
  <si>
    <t>2.06</t>
  </si>
  <si>
    <t>2.07</t>
  </si>
  <si>
    <t>2.08</t>
  </si>
  <si>
    <t>2.09</t>
  </si>
  <si>
    <t>2.10</t>
  </si>
  <si>
    <t>2.11</t>
  </si>
  <si>
    <t>Kit rozbočovač</t>
  </si>
  <si>
    <t>RBC - TWP 50E2</t>
  </si>
  <si>
    <r>
      <rPr>
        <b/>
        <sz val="8"/>
        <rFont val="Arial"/>
        <family val="2"/>
        <charset val="238"/>
      </rPr>
      <t>Zařízení č.03 - Klimatizace 3.NP</t>
    </r>
    <r>
      <rPr>
        <b/>
        <sz val="10"/>
        <color rgb="FFFF66CC"/>
        <rFont val="Arial"/>
        <family val="2"/>
        <charset val="238"/>
      </rPr>
      <t xml:space="preserve"> </t>
    </r>
  </si>
  <si>
    <t>3.01</t>
  </si>
  <si>
    <t>3.02</t>
  </si>
  <si>
    <t>3.03</t>
  </si>
  <si>
    <t>3.04</t>
  </si>
  <si>
    <t>3.05</t>
  </si>
  <si>
    <t>3.06</t>
  </si>
  <si>
    <t>3.08</t>
  </si>
  <si>
    <t>3.10</t>
  </si>
  <si>
    <t xml:space="preserve">Zařízení č.04 - Klimatizace 4.NP </t>
  </si>
  <si>
    <t>4.01</t>
  </si>
  <si>
    <t>4.02</t>
  </si>
  <si>
    <t>4.03</t>
  </si>
  <si>
    <t>4.04</t>
  </si>
  <si>
    <t>4.05</t>
  </si>
  <si>
    <t>4.07</t>
  </si>
  <si>
    <t>4.09</t>
  </si>
  <si>
    <t>4.10</t>
  </si>
  <si>
    <t xml:space="preserve">Nástěnná/kondenzační jednotka </t>
  </si>
  <si>
    <r>
      <t>Zařízení č.05 - Klimatizace 5.NP</t>
    </r>
    <r>
      <rPr>
        <b/>
        <sz val="8"/>
        <color rgb="FFFF66CC"/>
        <rFont val="Arial"/>
        <family val="2"/>
        <charset val="238"/>
      </rPr>
      <t xml:space="preserve"> </t>
    </r>
  </si>
  <si>
    <t>5.01</t>
  </si>
  <si>
    <t>5.02</t>
  </si>
  <si>
    <t>5.03</t>
  </si>
  <si>
    <t>5.04</t>
  </si>
  <si>
    <t>5.05</t>
  </si>
  <si>
    <t>5.07</t>
  </si>
  <si>
    <t>5.09</t>
  </si>
  <si>
    <t>5.10</t>
  </si>
  <si>
    <t>Zařízení č.06 - Montážní, závěsový, spojovací, těsnící materiál a jeřáby</t>
  </si>
  <si>
    <t>6.01</t>
  </si>
  <si>
    <t>Nosníky, objímky, závitové tyče, podložky, šrouby, matice, samořezné šrouby, kotvy, nýty,těsnící materiál, spojovací materiál</t>
  </si>
  <si>
    <t xml:space="preserve">Zařízení č.07 - Najetí, Komplexní vyzkoušení, Seřízení a zaregulování </t>
  </si>
  <si>
    <t>7.02</t>
  </si>
  <si>
    <t>Najetí, seřízení a zaregulování</t>
  </si>
  <si>
    <t>7.03</t>
  </si>
  <si>
    <t>Seznámení pracovníků s obsluhou a jejich zaškolení</t>
  </si>
  <si>
    <t>CELKEM ZAKÁZKA</t>
  </si>
  <si>
    <t>CELKEM BEZ DPH:</t>
  </si>
  <si>
    <t>REKAPITULACE ROZPOČTU</t>
  </si>
  <si>
    <t>Recap budget</t>
  </si>
  <si>
    <t>REKAPITULACE PO ZAŘÍZENÍCH:</t>
  </si>
  <si>
    <t>celková cena dodávky</t>
  </si>
  <si>
    <t xml:space="preserve">celková cena montáže </t>
  </si>
  <si>
    <t>celková cena</t>
  </si>
  <si>
    <t>Zařízení č.02 - Klimatizace 2.NP</t>
  </si>
  <si>
    <t>Zařízení č.03 - Klimatizace 3.NP</t>
  </si>
  <si>
    <t>Zařízení č.04 - Klimatizace 4.NP</t>
  </si>
  <si>
    <t>Zařízení č.05 - Klimatizace 5.NP</t>
  </si>
  <si>
    <r>
      <t xml:space="preserve">CELKEM ZÁKLADNÍ ROZPOČTOVÉ NÁKLADY </t>
    </r>
    <r>
      <rPr>
        <sz val="7"/>
        <rFont val="Arial"/>
        <family val="2"/>
        <charset val="238"/>
      </rPr>
      <t>(bez DPH)</t>
    </r>
    <r>
      <rPr>
        <b/>
        <sz val="7"/>
        <rFont val="Arial"/>
        <family val="2"/>
        <charset val="238"/>
      </rPr>
      <t>:</t>
    </r>
  </si>
  <si>
    <t>CELKOVÁ REKAPITULACE:</t>
  </si>
  <si>
    <t>položka</t>
  </si>
  <si>
    <t>převod - dodávka a montáž</t>
  </si>
  <si>
    <t>náklad na dopravu dodávek</t>
  </si>
  <si>
    <t>%</t>
  </si>
  <si>
    <t>(% z ceny dodávek)</t>
  </si>
  <si>
    <t>náklad na dopravu pracovníků</t>
  </si>
  <si>
    <t>(% z ceny montáží)</t>
  </si>
  <si>
    <t>zařízení staveniště</t>
  </si>
  <si>
    <t>přesun strojů a zařízení(vnitrodoprava)</t>
  </si>
  <si>
    <t>(% z ceny dodávekí)</t>
  </si>
  <si>
    <t>přesun VZT potrubí(vnitrodoprava)</t>
  </si>
  <si>
    <t>zednické přípomoci</t>
  </si>
  <si>
    <t>(% z ceny montážíí)</t>
  </si>
  <si>
    <r>
      <t>CELKEM ZÁKLADNÍ A VEDLEJŚÍ ROZPOČTOVÉ NÁKLADY</t>
    </r>
    <r>
      <rPr>
        <sz val="7"/>
        <rFont val="Arial"/>
        <family val="2"/>
        <charset val="238"/>
      </rPr>
      <t xml:space="preserve"> (bez DPH)</t>
    </r>
    <r>
      <rPr>
        <b/>
        <sz val="7"/>
        <rFont val="Arial"/>
        <family val="2"/>
        <charset val="238"/>
      </rPr>
      <t>:</t>
    </r>
  </si>
  <si>
    <t>CELKEM ZAKÁZKA:</t>
  </si>
  <si>
    <r>
      <t xml:space="preserve">CELKEM ZAKÁZKA </t>
    </r>
    <r>
      <rPr>
        <sz val="7"/>
        <rFont val="Arial"/>
        <family val="2"/>
        <charset val="238"/>
      </rPr>
      <t>(bez DPH)</t>
    </r>
    <r>
      <rPr>
        <b/>
        <sz val="7"/>
        <rFont val="Arial"/>
        <family val="2"/>
        <charset val="238"/>
      </rPr>
      <t>:</t>
    </r>
  </si>
  <si>
    <t>%DPH</t>
  </si>
  <si>
    <t>CELKEM ZAKÁZKA (s DPH):</t>
  </si>
  <si>
    <t>sestavil:</t>
  </si>
  <si>
    <t>Česká republika – Ministerstvo zemědělství</t>
  </si>
  <si>
    <t>19-043-150 NCI</t>
  </si>
  <si>
    <t>D.1.4.3 - Zdravotně technické instalace</t>
  </si>
  <si>
    <t>NCI.CZ Engineering s.r.o.</t>
  </si>
  <si>
    <t>D.1.4.3.</t>
  </si>
  <si>
    <t>01</t>
  </si>
  <si>
    <t>Odvod kondenzátu od vnitřních klim. jednotek</t>
  </si>
  <si>
    <t>Potrubí pro odvod konenzátu - hadice d=16 mm</t>
  </si>
  <si>
    <t>vč. tvarovek (kolena, odbočky)</t>
  </si>
  <si>
    <t>02</t>
  </si>
  <si>
    <t>Potrubí z plastových trub polypropylenové (HT systém) připojovací DN32</t>
  </si>
  <si>
    <t>03</t>
  </si>
  <si>
    <t>Drobný montážní materiál (fitinky, konzole, spojky, závěsový materiál atp.)</t>
  </si>
  <si>
    <t>04</t>
  </si>
  <si>
    <t xml:space="preserve">Čerpadlo pro odvod kondenzátu </t>
  </si>
  <si>
    <t>Komplexní klimatizace v objektu MZe</t>
  </si>
  <si>
    <t>19-042-150 NCI</t>
  </si>
  <si>
    <t>01 - Odvod kondenzátu od vnitřních klim. jednotek</t>
  </si>
  <si>
    <t>přesun ZTI potrubí(vnitrodoprava)</t>
  </si>
  <si>
    <t>Pozice</t>
  </si>
  <si>
    <t>Mj</t>
  </si>
  <si>
    <t>Počet</t>
  </si>
  <si>
    <t>Materiál</t>
  </si>
  <si>
    <t>Materiál celkem</t>
  </si>
  <si>
    <t>Montážní položka</t>
  </si>
  <si>
    <t>Montáž celkem</t>
  </si>
  <si>
    <t>Cena</t>
  </si>
  <si>
    <t>Poznámka 1</t>
  </si>
  <si>
    <t>Poznámka 2</t>
  </si>
  <si>
    <t>Elektroinstalace</t>
  </si>
  <si>
    <t>Ks</t>
  </si>
  <si>
    <t>CYKY-J 5x6 , pevně</t>
  </si>
  <si>
    <t>CYKY-J 5x2,5 , pevně</t>
  </si>
  <si>
    <t>CYKY-J 3x1,5 , pevně</t>
  </si>
  <si>
    <t>CYKY-O 2x1,5 , pevně</t>
  </si>
  <si>
    <t>H07V-K 35 CR , pevně</t>
  </si>
  <si>
    <t>Montáž jističů se zapojením vodičů jednopólových nn do 25 A</t>
  </si>
  <si>
    <t xml:space="preserve"> ve skříni</t>
  </si>
  <si>
    <t>Montáž jističů se zapojením vodičů třípólových nn do 25 A</t>
  </si>
  <si>
    <t>Montáž jističů se zapojením vodičů třípólových nn přes 25 do 63 A</t>
  </si>
  <si>
    <t xml:space="preserve">Montáž jističů se zapojením vodičů třípólových nn deionových vestavných </t>
  </si>
  <si>
    <t xml:space="preserve"> přes 100 do 300A</t>
  </si>
  <si>
    <t>Montáž svítidel žárovkových se zapojením vodičů bytových nebo do spol.místností stropních vestavných</t>
  </si>
  <si>
    <t xml:space="preserve"> 1 zdroj </t>
  </si>
  <si>
    <t>HODINOVE ZUCTOVACI SAZBY</t>
  </si>
  <si>
    <t xml:space="preserve"> Demontaz stavajiciho zarizeni</t>
  </si>
  <si>
    <t>hod</t>
  </si>
  <si>
    <t>Zkoušky a prohlídky elektrických rozvodů a zařízení celková prohlídka a vyhotovení revizní zprávy pro objem montážních prací</t>
  </si>
  <si>
    <t xml:space="preserve"> do 100 tis.Kč</t>
  </si>
  <si>
    <t>Elektroinstalace - celkem</t>
  </si>
  <si>
    <t>Hodnota A</t>
  </si>
  <si>
    <t>Hodnota B</t>
  </si>
  <si>
    <t>Základní náklady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</si>
  <si>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</si>
  <si>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</si>
  <si>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</si>
  <si>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</si>
  <si>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</si>
  <si>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</si>
  <si>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</si>
  <si>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</si>
  <si>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</si>
  <si>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</si>
  <si>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</si>
  <si>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</si>
  <si>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</si>
  <si>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</si>
  <si>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</si>
  <si>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</si>
  <si>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</si>
  <si>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</si>
  <si>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</si>
  <si>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</si>
  <si>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</si>
  <si>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</si>
  <si>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</si>
  <si>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Nadpis rekapitulace</t>
  </si>
  <si>
    <t>Seznam prací a dodávek elektrotechnických zařízení</t>
  </si>
  <si>
    <t>Akce</t>
  </si>
  <si>
    <t>Klimatizace objektu Mze Ústí nad Labem</t>
  </si>
  <si>
    <t>Projekt</t>
  </si>
  <si>
    <t>D.1.4.2. Zařízení silnoproudé elektrotechniky</t>
  </si>
  <si>
    <t>Investor</t>
  </si>
  <si>
    <t>Česká republika – Ministerstvo zemědělství, Těšnov 75/17, 110 00 Praha 1</t>
  </si>
  <si>
    <t>Z. č.</t>
  </si>
  <si>
    <t>A. č.</t>
  </si>
  <si>
    <t>Smlouva</t>
  </si>
  <si>
    <t>Vypracoval</t>
  </si>
  <si>
    <t>Ing. Ondřej Novotný</t>
  </si>
  <si>
    <t>Kontroloval</t>
  </si>
  <si>
    <t>16.12.2019</t>
  </si>
  <si>
    <t>Zpracovatel</t>
  </si>
  <si>
    <t>CÚ</t>
  </si>
  <si>
    <t>JKSO, Rozpočet je zpracován v cenové soustavě RTS - položky nezatříděny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</si>
  <si>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</si>
  <si>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</si>
  <si>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</si>
  <si>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</si>
  <si>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</si>
  <si>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</si>
  <si>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</si>
  <si>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</si>
  <si>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</si>
  <si>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</si>
  <si>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</si>
  <si>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</si>
  <si>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</si>
  <si>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</si>
  <si>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</si>
  <si>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</si>
  <si>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</si>
  <si>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</si>
  <si>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</si>
  <si>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</si>
  <si>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</si>
  <si>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</si>
  <si>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</si>
  <si>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Rozvodnice pro nástěnnou montáž, jednokřídlové dveře, neprůhledné dveře, vnitřní V x Š 757 x 510, počet řad 5, rozteč 150 mm, počet modulů v řadě 24, krytí IP43, materiál : ocel-plech</t>
  </si>
  <si>
    <t>„U“ lišta</t>
  </si>
  <si>
    <t>Spínací blok jističe, 250A</t>
  </si>
  <si>
    <t>Nadproudová spoušť, 160A</t>
  </si>
  <si>
    <t>Kombinovaný svodič bleskových proudů a přepětí, typ 1+2</t>
  </si>
  <si>
    <t>Jistič 3x40A/B</t>
  </si>
  <si>
    <t>Jistič 3x32A/B</t>
  </si>
  <si>
    <t>Jistič 3x16A/B</t>
  </si>
  <si>
    <t>Jistič 1x13A/B</t>
  </si>
  <si>
    <t>1f elektroměr na DIN 0,025-45A, úředně ověřený</t>
  </si>
  <si>
    <t>3f elektroměr 0,25-100A</t>
  </si>
  <si>
    <t>Řadová svornice barevná - zelená, vel. 70</t>
  </si>
  <si>
    <t>Řadová svornice, vel 6</t>
  </si>
  <si>
    <t>Řadová svornice, vel. 2,5</t>
  </si>
  <si>
    <t>Řadová svornice PEN, vel. 70</t>
  </si>
  <si>
    <t>Řadová svornice PE, vel. 6</t>
  </si>
  <si>
    <t>Řadová svornice PE, vel. 2,5</t>
  </si>
  <si>
    <t>Vývodka k instalaci do vnitřních prostor IP 65, M50</t>
  </si>
  <si>
    <t>Vývodka k instalaci do vnitřních prostor IP 65, M32</t>
  </si>
  <si>
    <t>Vývodka k instalaci do vnitřních prostor IP 65, M25</t>
  </si>
  <si>
    <t>Vývodka k instalaci do vnitřních prostor IP 65, M20</t>
  </si>
  <si>
    <t>LED svítidlo interiérové vestavné do podhledu s LED modulem 4700 lm, spektrum 840 - parabolická mřížka</t>
  </si>
  <si>
    <t>Detektor magnetický kontakt mini samolepící</t>
  </si>
  <si>
    <t>KANÁL ELEKTROINSTALAČNÍ, 100x40</t>
  </si>
  <si>
    <t>KRABICE PANCÉŘOVÁ se svorkovnicí</t>
  </si>
  <si>
    <t>KRABICE LIŠTOVÁ se svorkovnicí</t>
  </si>
  <si>
    <t>LIŠTA HRANATÁ, 15x10</t>
  </si>
  <si>
    <t>TRUBKA OHEBNÁ EN LPE 320N, vel.23</t>
  </si>
  <si>
    <t>1-CYKY-J 5x50SM/ RM , pevně</t>
  </si>
  <si>
    <t>MCY-MHP404HS8-E</t>
  </si>
  <si>
    <t xml:space="preserve"> MMK-AP0073H1</t>
  </si>
  <si>
    <t>MMK-AP0123H1</t>
  </si>
  <si>
    <t xml:space="preserve"> MMK-AP0123H1</t>
  </si>
  <si>
    <t>MMK-AP0153H1</t>
  </si>
  <si>
    <t xml:space="preserve"> MMK-AP0183H1</t>
  </si>
  <si>
    <t xml:space="preserve"> MMK-AP0243H1</t>
  </si>
  <si>
    <t xml:space="preserve"> RAV-RM 801 KRT-E</t>
  </si>
  <si>
    <t xml:space="preserve"> RAV-SM 1404ATP-E </t>
  </si>
  <si>
    <t xml:space="preserve"> MMY-MAP1606HT8P-E</t>
  </si>
  <si>
    <t xml:space="preserve"> MMK-AP0153H1</t>
  </si>
  <si>
    <t>MMY-MAP1606HT8P-E</t>
  </si>
  <si>
    <t>Seznam strojů a zařízení</t>
  </si>
  <si>
    <t>REKAPITULACE</t>
  </si>
  <si>
    <t>D.1.4.1. klimatizace</t>
  </si>
  <si>
    <t xml:space="preserve"> jednotka vč. Infraovladače</t>
  </si>
  <si>
    <t xml:space="preserve"> venkovní jednotka</t>
  </si>
  <si>
    <t xml:space="preserve">Nástěnná jednotka </t>
  </si>
  <si>
    <t>venkovní jednotka</t>
  </si>
  <si>
    <t xml:space="preserve"> RAV-RM 801 KRT-E/RAV-GM 801 ATP-E</t>
  </si>
  <si>
    <t>RAV-RM 801 KRT-E/RAV-GM 801 ATP-E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</si>
</sst>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%"/>
    <numFmt numFmtId="165" formatCode="dd\.mm\.yyyy"/>
    <numFmt numFmtId="166" formatCode="#,##0.00000"/>
    <numFmt numFmtId="167" formatCode="#,##0.000"/>
    <numFmt numFmtId="168" formatCode="[$-405]mmmm\ yy;@"/>
    <numFmt numFmtId="169" formatCode="#,##0.00\ _K_č"/>
  </numFmts>
  <fonts count="83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0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Arial CE"/>
      <charset val="238"/>
    </font>
    <font>
      <sz val="10"/>
      <name val="Tahoma"/>
      <family val="2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sz val="7"/>
      <name val="Arial CE"/>
      <charset val="238"/>
    </font>
    <font>
      <sz val="9"/>
      <name val="Tahom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7"/>
      <name val="Tahoma"/>
      <family val="2"/>
      <charset val="238"/>
    </font>
    <font>
      <sz val="9"/>
      <name val="Arial CE"/>
      <charset val="238"/>
    </font>
    <font>
      <b/>
      <sz val="12"/>
      <name val="Arial"/>
      <family val="2"/>
      <charset val="238"/>
    </font>
    <font>
      <sz val="8"/>
      <name val="Tahoma"/>
      <family val="2"/>
    </font>
    <font>
      <b/>
      <sz val="7"/>
      <name val="Arial"/>
      <family val="2"/>
      <charset val="238"/>
    </font>
    <font>
      <b/>
      <sz val="7"/>
      <name val="Arial CE"/>
      <charset val="238"/>
    </font>
    <font>
      <b/>
      <sz val="8"/>
      <name val="Arial"/>
      <family val="2"/>
      <charset val="238"/>
    </font>
    <font>
      <b/>
      <sz val="8"/>
      <color rgb="FFFF66CC"/>
      <name val="Arial"/>
      <family val="2"/>
      <charset val="238"/>
    </font>
    <font>
      <b/>
      <sz val="10"/>
      <color rgb="FFFF66CC"/>
      <name val="Arial"/>
      <family val="2"/>
      <charset val="238"/>
    </font>
    <font>
      <sz val="10"/>
      <color rgb="FFFF66CC"/>
      <name val="Arial CE"/>
      <charset val="238"/>
    </font>
    <font>
      <sz val="7"/>
      <name val="Tahoma"/>
      <family val="2"/>
    </font>
    <font>
      <i/>
      <sz val="8"/>
      <name val="Arial CE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EAFF"/>
        <bgColor indexed="64"/>
      </patternFill>
    </fill>
  </fills>
  <borders count="9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39" fillId="0" borderId="0" applyNumberFormat="0" applyFill="0" applyBorder="0" applyAlignment="0" applyProtection="0"/>
    <xf numFmtId="0" fontId="41" fillId="0" borderId="1"/>
    <xf numFmtId="0" fontId="51" fillId="0" borderId="1"/>
    <xf numFmtId="0" fontId="2" fillId="0" borderId="1"/>
  </cellStyleXfs>
  <cellXfs count="6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6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4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165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6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6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1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  <protection locked="0"/>
    </xf>
    <xf numFmtId="4" fontId="9" fillId="0" borderId="21" xfId="0" applyNumberFormat="1" applyFont="1" applyBorder="1" applyAlignment="1" applyProtection="1">
      <alignment vertical="center"/>
    </xf>
    <xf numFmtId="0" fontId="9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10" fillId="0" borderId="4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>
      <protection locked="0"/>
    </xf>
    <xf numFmtId="4" fontId="8" fillId="0" borderId="0" xfId="0" applyNumberFormat="1" applyFont="1" applyAlignment="1" applyProtection="1"/>
    <xf numFmtId="0" fontId="10" fillId="0" borderId="4" xfId="0" applyFont="1" applyBorder="1" applyAlignment="1"/>
    <xf numFmtId="0" fontId="10" fillId="0" borderId="15" xfId="0" applyFont="1" applyBorder="1" applyAlignment="1" applyProtection="1"/>
    <xf numFmtId="0" fontId="10" fillId="0" borderId="0" xfId="0" applyFont="1" applyBorder="1" applyAlignment="1" applyProtection="1"/>
    <xf numFmtId="166" fontId="10" fillId="0" borderId="0" xfId="0" applyNumberFormat="1" applyFont="1" applyBorder="1" applyAlignment="1" applyProtection="1"/>
    <xf numFmtId="166" fontId="10" fillId="0" borderId="16" xfId="0" applyNumberFormat="1" applyFont="1" applyBorder="1" applyAlignme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  <xf numFmtId="0" fontId="41" fillId="0" borderId="1" xfId="2" applyAlignment="1">
      <alignment vertical="center"/>
    </xf>
    <xf numFmtId="0" fontId="41" fillId="0" borderId="4" xfId="2" applyBorder="1" applyAlignment="1">
      <alignment vertical="center"/>
    </xf>
    <xf numFmtId="49" fontId="43" fillId="0" borderId="37" xfId="2" applyNumberFormat="1" applyFont="1" applyBorder="1" applyAlignment="1">
      <alignment horizontal="left" vertical="center"/>
    </xf>
    <xf numFmtId="49" fontId="43" fillId="0" borderId="38" xfId="2" applyNumberFormat="1" applyFont="1" applyBorder="1" applyAlignment="1">
      <alignment horizontal="left" vertical="center"/>
    </xf>
    <xf numFmtId="49" fontId="43" fillId="0" borderId="38" xfId="2" applyNumberFormat="1" applyFont="1" applyBorder="1" applyAlignment="1">
      <alignment horizontal="center" vertical="center"/>
    </xf>
    <xf numFmtId="49" fontId="43" fillId="0" borderId="39" xfId="2" applyNumberFormat="1" applyFont="1" applyBorder="1" applyAlignment="1">
      <alignment horizontal="center" vertical="center"/>
    </xf>
    <xf numFmtId="49" fontId="43" fillId="0" borderId="41" xfId="2" applyNumberFormat="1" applyFont="1" applyBorder="1" applyAlignment="1">
      <alignment horizontal="center" vertical="center"/>
    </xf>
    <xf numFmtId="0" fontId="41" fillId="0" borderId="42" xfId="2" applyBorder="1" applyAlignment="1">
      <alignment vertical="center"/>
    </xf>
    <xf numFmtId="49" fontId="41" fillId="0" borderId="43" xfId="2" applyNumberFormat="1" applyBorder="1" applyAlignment="1">
      <alignment horizontal="left" vertical="center"/>
    </xf>
    <xf numFmtId="49" fontId="41" fillId="0" borderId="44" xfId="2" applyNumberFormat="1" applyBorder="1" applyAlignment="1">
      <alignment horizontal="left" vertical="center"/>
    </xf>
    <xf numFmtId="49" fontId="43" fillId="0" borderId="45" xfId="2" applyNumberFormat="1" applyFont="1" applyBorder="1" applyAlignment="1">
      <alignment horizontal="center" vertical="center"/>
    </xf>
    <xf numFmtId="49" fontId="43" fillId="0" borderId="46" xfId="2" applyNumberFormat="1" applyFont="1" applyBorder="1" applyAlignment="1">
      <alignment horizontal="center" vertical="center"/>
    </xf>
    <xf numFmtId="49" fontId="43" fillId="0" borderId="47" xfId="2" applyNumberFormat="1" applyFont="1" applyBorder="1" applyAlignment="1">
      <alignment horizontal="center" vertical="center"/>
    </xf>
    <xf numFmtId="49" fontId="43" fillId="0" borderId="48" xfId="2" applyNumberFormat="1" applyFont="1" applyBorder="1" applyAlignment="1">
      <alignment horizontal="center" vertical="center"/>
    </xf>
    <xf numFmtId="49" fontId="43" fillId="0" borderId="49" xfId="2" applyNumberFormat="1" applyFont="1" applyBorder="1" applyAlignment="1">
      <alignment horizontal="center" vertical="center"/>
    </xf>
    <xf numFmtId="49" fontId="43" fillId="5" borderId="1" xfId="2" applyNumberFormat="1" applyFont="1" applyFill="1" applyAlignment="1">
      <alignment horizontal="right" vertical="center"/>
    </xf>
    <xf numFmtId="49" fontId="41" fillId="5" borderId="50" xfId="2" applyNumberFormat="1" applyFill="1" applyBorder="1" applyAlignment="1">
      <alignment horizontal="left" vertical="center"/>
    </xf>
    <xf numFmtId="49" fontId="43" fillId="5" borderId="50" xfId="2" applyNumberFormat="1" applyFont="1" applyFill="1" applyBorder="1" applyAlignment="1">
      <alignment horizontal="left" vertical="center"/>
    </xf>
    <xf numFmtId="4" fontId="43" fillId="5" borderId="50" xfId="2" applyNumberFormat="1" applyFont="1" applyFill="1" applyBorder="1" applyAlignment="1">
      <alignment horizontal="right" vertical="center"/>
    </xf>
    <xf numFmtId="49" fontId="43" fillId="5" borderId="50" xfId="2" applyNumberFormat="1" applyFont="1" applyFill="1" applyBorder="1" applyAlignment="1">
      <alignment horizontal="right" vertical="center"/>
    </xf>
    <xf numFmtId="4" fontId="43" fillId="5" borderId="1" xfId="2" applyNumberFormat="1" applyFont="1" applyFill="1" applyAlignment="1">
      <alignment horizontal="right" vertical="center"/>
    </xf>
    <xf numFmtId="49" fontId="41" fillId="0" borderId="1" xfId="2" applyNumberFormat="1" applyAlignment="1">
      <alignment horizontal="left" vertical="center"/>
    </xf>
    <xf numFmtId="4" fontId="41" fillId="0" borderId="1" xfId="2" applyNumberFormat="1" applyAlignment="1">
      <alignment horizontal="right" vertical="center"/>
    </xf>
    <xf numFmtId="49" fontId="41" fillId="0" borderId="1" xfId="2" applyNumberFormat="1" applyAlignment="1">
      <alignment horizontal="right" vertical="center"/>
    </xf>
    <xf numFmtId="4" fontId="44" fillId="0" borderId="1" xfId="2" applyNumberFormat="1" applyFont="1" applyAlignment="1">
      <alignment horizontal="right" vertical="center"/>
    </xf>
    <xf numFmtId="49" fontId="41" fillId="5" borderId="1" xfId="2" applyNumberFormat="1" applyFill="1" applyAlignment="1">
      <alignment horizontal="left" vertical="center"/>
    </xf>
    <xf numFmtId="49" fontId="43" fillId="5" borderId="1" xfId="2" applyNumberFormat="1" applyFont="1" applyFill="1" applyAlignment="1">
      <alignment horizontal="left" vertical="center"/>
    </xf>
    <xf numFmtId="0" fontId="41" fillId="0" borderId="11" xfId="2" applyBorder="1" applyAlignment="1">
      <alignment vertical="center"/>
    </xf>
    <xf numFmtId="4" fontId="44" fillId="0" borderId="11" xfId="2" applyNumberFormat="1" applyFont="1" applyBorder="1" applyAlignment="1">
      <alignment horizontal="right" vertical="center"/>
    </xf>
    <xf numFmtId="0" fontId="41" fillId="0" borderId="3" xfId="2" applyBorder="1" applyAlignment="1">
      <alignment vertical="center"/>
    </xf>
    <xf numFmtId="4" fontId="43" fillId="0" borderId="3" xfId="2" applyNumberFormat="1" applyFont="1" applyBorder="1" applyAlignment="1">
      <alignment horizontal="right" vertical="center"/>
    </xf>
    <xf numFmtId="49" fontId="45" fillId="0" borderId="1" xfId="2" applyNumberFormat="1" applyFont="1" applyAlignment="1">
      <alignment horizontal="left" vertical="center"/>
    </xf>
    <xf numFmtId="0" fontId="41" fillId="0" borderId="11" xfId="2" applyBorder="1"/>
    <xf numFmtId="49" fontId="47" fillId="5" borderId="53" xfId="2" applyNumberFormat="1" applyFont="1" applyFill="1" applyBorder="1" applyAlignment="1">
      <alignment horizontal="center" vertical="center"/>
    </xf>
    <xf numFmtId="49" fontId="49" fillId="0" borderId="54" xfId="2" applyNumberFormat="1" applyFont="1" applyBorder="1" applyAlignment="1">
      <alignment horizontal="left" vertical="center"/>
    </xf>
    <xf numFmtId="49" fontId="50" fillId="0" borderId="53" xfId="2" applyNumberFormat="1" applyFont="1" applyBorder="1" applyAlignment="1">
      <alignment horizontal="left" vertical="center"/>
    </xf>
    <xf numFmtId="4" fontId="50" fillId="0" borderId="53" xfId="2" applyNumberFormat="1" applyFont="1" applyBorder="1" applyAlignment="1">
      <alignment horizontal="right" vertical="center"/>
    </xf>
    <xf numFmtId="49" fontId="49" fillId="0" borderId="55" xfId="2" applyNumberFormat="1" applyFont="1" applyBorder="1" applyAlignment="1">
      <alignment horizontal="left" vertical="center"/>
    </xf>
    <xf numFmtId="49" fontId="50" fillId="0" borderId="53" xfId="2" applyNumberFormat="1" applyFont="1" applyBorder="1" applyAlignment="1">
      <alignment horizontal="right" vertical="center"/>
    </xf>
    <xf numFmtId="0" fontId="41" fillId="0" borderId="32" xfId="2" applyBorder="1" applyAlignment="1">
      <alignment vertical="center"/>
    </xf>
    <xf numFmtId="4" fontId="50" fillId="0" borderId="47" xfId="2" applyNumberFormat="1" applyFont="1" applyBorder="1" applyAlignment="1">
      <alignment horizontal="right" vertical="center"/>
    </xf>
    <xf numFmtId="0" fontId="41" fillId="0" borderId="56" xfId="2" applyBorder="1" applyAlignment="1">
      <alignment vertical="center"/>
    </xf>
    <xf numFmtId="0" fontId="41" fillId="0" borderId="57" xfId="2" applyBorder="1" applyAlignment="1">
      <alignment vertical="center"/>
    </xf>
    <xf numFmtId="0" fontId="41" fillId="0" borderId="33" xfId="2" applyBorder="1" applyAlignment="1">
      <alignment vertical="center"/>
    </xf>
    <xf numFmtId="4" fontId="49" fillId="5" borderId="58" xfId="2" applyNumberFormat="1" applyFont="1" applyFill="1" applyBorder="1" applyAlignment="1">
      <alignment horizontal="right" vertical="center"/>
    </xf>
    <xf numFmtId="0" fontId="41" fillId="0" borderId="10" xfId="2" applyBorder="1" applyAlignment="1">
      <alignment vertical="center"/>
    </xf>
    <xf numFmtId="0" fontId="41" fillId="0" borderId="59" xfId="2" applyBorder="1" applyAlignment="1">
      <alignment vertical="center"/>
    </xf>
    <xf numFmtId="49" fontId="45" fillId="0" borderId="50" xfId="2" applyNumberFormat="1" applyFont="1" applyBorder="1" applyAlignment="1">
      <alignment horizontal="left" vertical="center"/>
    </xf>
    <xf numFmtId="0" fontId="41" fillId="0" borderId="50" xfId="2" applyBorder="1" applyAlignment="1">
      <alignment vertical="center"/>
    </xf>
    <xf numFmtId="0" fontId="52" fillId="6" borderId="1" xfId="3" applyFont="1" applyFill="1"/>
    <xf numFmtId="0" fontId="52" fillId="0" borderId="1" xfId="3" applyFont="1"/>
    <xf numFmtId="0" fontId="51" fillId="6" borderId="1" xfId="3" applyFill="1"/>
    <xf numFmtId="0" fontId="54" fillId="6" borderId="27" xfId="3" applyFont="1" applyFill="1" applyBorder="1"/>
    <xf numFmtId="0" fontId="52" fillId="0" borderId="26" xfId="3" applyFont="1" applyBorder="1" applyAlignment="1">
      <alignment vertical="center"/>
    </xf>
    <xf numFmtId="0" fontId="54" fillId="0" borderId="25" xfId="3" applyFont="1" applyBorder="1" applyAlignment="1">
      <alignment vertical="center"/>
    </xf>
    <xf numFmtId="0" fontId="51" fillId="0" borderId="26" xfId="3" applyBorder="1" applyAlignment="1">
      <alignment vertical="center"/>
    </xf>
    <xf numFmtId="0" fontId="58" fillId="6" borderId="1" xfId="3" applyFont="1" applyFill="1"/>
    <xf numFmtId="0" fontId="58" fillId="0" borderId="1" xfId="3" applyFont="1"/>
    <xf numFmtId="0" fontId="61" fillId="0" borderId="26" xfId="3" applyFont="1" applyBorder="1" applyAlignment="1">
      <alignment vertical="center"/>
    </xf>
    <xf numFmtId="0" fontId="61" fillId="0" borderId="25" xfId="3" applyFont="1" applyBorder="1" applyAlignment="1">
      <alignment vertical="center"/>
    </xf>
    <xf numFmtId="0" fontId="54" fillId="0" borderId="61" xfId="3" applyFont="1" applyBorder="1" applyAlignment="1">
      <alignment vertical="center"/>
    </xf>
    <xf numFmtId="0" fontId="59" fillId="0" borderId="62" xfId="3" applyFont="1" applyBorder="1" applyAlignment="1">
      <alignment horizontal="center" vertical="center"/>
    </xf>
    <xf numFmtId="0" fontId="63" fillId="6" borderId="1" xfId="3" applyFont="1" applyFill="1"/>
    <xf numFmtId="0" fontId="52" fillId="0" borderId="25" xfId="3" applyFont="1" applyBorder="1" applyAlignment="1">
      <alignment vertical="center"/>
    </xf>
    <xf numFmtId="0" fontId="60" fillId="0" borderId="62" xfId="3" applyFont="1" applyBorder="1" applyAlignment="1">
      <alignment horizontal="center" vertical="center"/>
    </xf>
    <xf numFmtId="0" fontId="64" fillId="6" borderId="1" xfId="3" applyFont="1" applyFill="1" applyAlignment="1">
      <alignment vertical="center"/>
    </xf>
    <xf numFmtId="0" fontId="65" fillId="0" borderId="67" xfId="3" applyFont="1" applyBorder="1" applyAlignment="1">
      <alignment horizontal="center" vertical="center"/>
    </xf>
    <xf numFmtId="0" fontId="65" fillId="0" borderId="68" xfId="3" applyFont="1" applyBorder="1" applyAlignment="1">
      <alignment horizontal="center" vertical="center"/>
    </xf>
    <xf numFmtId="0" fontId="65" fillId="0" borderId="69" xfId="3" applyFont="1" applyBorder="1" applyAlignment="1">
      <alignment horizontal="center" vertical="center"/>
    </xf>
    <xf numFmtId="0" fontId="64" fillId="0" borderId="1" xfId="3" applyFont="1" applyAlignment="1">
      <alignment vertical="center"/>
    </xf>
    <xf numFmtId="0" fontId="56" fillId="0" borderId="70" xfId="3" applyFont="1" applyBorder="1" applyAlignment="1">
      <alignment horizontal="center" vertical="center"/>
    </xf>
    <xf numFmtId="0" fontId="56" fillId="0" borderId="71" xfId="3" applyFont="1" applyBorder="1" applyAlignment="1">
      <alignment horizontal="center" vertical="center"/>
    </xf>
    <xf numFmtId="0" fontId="65" fillId="0" borderId="72" xfId="3" applyFont="1" applyBorder="1" applyAlignment="1">
      <alignment horizontal="center" vertical="center"/>
    </xf>
    <xf numFmtId="49" fontId="67" fillId="6" borderId="66" xfId="3" applyNumberFormat="1" applyFont="1" applyFill="1" applyBorder="1" applyAlignment="1">
      <alignment horizontal="center"/>
    </xf>
    <xf numFmtId="0" fontId="54" fillId="6" borderId="66" xfId="3" applyFont="1" applyFill="1" applyBorder="1"/>
    <xf numFmtId="0" fontId="54" fillId="6" borderId="66" xfId="3" applyFont="1" applyFill="1" applyBorder="1" applyProtection="1">
      <protection locked="0"/>
    </xf>
    <xf numFmtId="0" fontId="64" fillId="0" borderId="1" xfId="3" applyFont="1"/>
    <xf numFmtId="49" fontId="56" fillId="0" borderId="67" xfId="3" applyNumberFormat="1" applyFont="1" applyBorder="1" applyAlignment="1">
      <alignment horizontal="center"/>
    </xf>
    <xf numFmtId="0" fontId="56" fillId="0" borderId="68" xfId="3" applyFont="1" applyBorder="1" applyAlignment="1">
      <alignment horizontal="center"/>
    </xf>
    <xf numFmtId="169" fontId="56" fillId="7" borderId="68" xfId="3" applyNumberFormat="1" applyFont="1" applyFill="1" applyBorder="1" applyAlignment="1" applyProtection="1">
      <alignment horizontal="right"/>
      <protection locked="0"/>
    </xf>
    <xf numFmtId="169" fontId="65" fillId="7" borderId="69" xfId="3" applyNumberFormat="1" applyFont="1" applyFill="1" applyBorder="1" applyProtection="1">
      <protection locked="0"/>
    </xf>
    <xf numFmtId="49" fontId="56" fillId="0" borderId="70" xfId="3" applyNumberFormat="1" applyFont="1" applyBorder="1"/>
    <xf numFmtId="0" fontId="56" fillId="0" borderId="71" xfId="3" applyFont="1" applyBorder="1" applyAlignment="1">
      <alignment horizontal="center"/>
    </xf>
    <xf numFmtId="0" fontId="56" fillId="7" borderId="71" xfId="3" applyFont="1" applyFill="1" applyBorder="1" applyAlignment="1" applyProtection="1">
      <alignment horizontal="right"/>
      <protection locked="0"/>
    </xf>
    <xf numFmtId="2" fontId="56" fillId="7" borderId="71" xfId="3" applyNumberFormat="1" applyFont="1" applyFill="1" applyBorder="1" applyAlignment="1" applyProtection="1">
      <alignment horizontal="right"/>
      <protection locked="0"/>
    </xf>
    <xf numFmtId="0" fontId="56" fillId="7" borderId="72" xfId="3" applyFont="1" applyFill="1" applyBorder="1" applyProtection="1">
      <protection locked="0"/>
    </xf>
    <xf numFmtId="0" fontId="64" fillId="6" borderId="1" xfId="3" applyFont="1" applyFill="1"/>
    <xf numFmtId="0" fontId="67" fillId="0" borderId="68" xfId="3" applyFont="1" applyBorder="1" applyAlignment="1">
      <alignment horizontal="center"/>
    </xf>
    <xf numFmtId="0" fontId="67" fillId="0" borderId="68" xfId="3" applyFont="1" applyBorder="1" applyAlignment="1" applyProtection="1">
      <alignment horizontal="right"/>
      <protection locked="0"/>
    </xf>
    <xf numFmtId="169" fontId="67" fillId="0" borderId="68" xfId="3" applyNumberFormat="1" applyFont="1" applyBorder="1" applyAlignment="1" applyProtection="1">
      <alignment horizontal="right"/>
      <protection locked="0"/>
    </xf>
    <xf numFmtId="169" fontId="67" fillId="0" borderId="69" xfId="3" applyNumberFormat="1" applyFont="1" applyBorder="1" applyProtection="1">
      <protection locked="0"/>
    </xf>
    <xf numFmtId="0" fontId="67" fillId="0" borderId="77" xfId="3" applyFont="1" applyBorder="1" applyAlignment="1">
      <alignment horizontal="center"/>
    </xf>
    <xf numFmtId="0" fontId="67" fillId="0" borderId="77" xfId="3" applyFont="1" applyBorder="1" applyAlignment="1" applyProtection="1">
      <alignment horizontal="right"/>
      <protection locked="0"/>
    </xf>
    <xf numFmtId="169" fontId="67" fillId="0" borderId="77" xfId="3" applyNumberFormat="1" applyFont="1" applyBorder="1" applyAlignment="1" applyProtection="1">
      <alignment horizontal="right"/>
      <protection locked="0"/>
    </xf>
    <xf numFmtId="169" fontId="67" fillId="0" borderId="78" xfId="3" applyNumberFormat="1" applyFont="1" applyBorder="1" applyProtection="1">
      <protection locked="0"/>
    </xf>
    <xf numFmtId="49" fontId="56" fillId="0" borderId="75" xfId="3" applyNumberFormat="1" applyFont="1" applyBorder="1"/>
    <xf numFmtId="0" fontId="51" fillId="0" borderId="76" xfId="3" applyBorder="1"/>
    <xf numFmtId="2" fontId="64" fillId="6" borderId="1" xfId="3" applyNumberFormat="1" applyFont="1" applyFill="1"/>
    <xf numFmtId="49" fontId="54" fillId="0" borderId="67" xfId="3" applyNumberFormat="1" applyFont="1" applyBorder="1"/>
    <xf numFmtId="49" fontId="54" fillId="0" borderId="79" xfId="3" applyNumberFormat="1" applyFont="1" applyBorder="1"/>
    <xf numFmtId="49" fontId="56" fillId="0" borderId="79" xfId="3" applyNumberFormat="1" applyFont="1" applyBorder="1" applyAlignment="1">
      <alignment horizontal="center"/>
    </xf>
    <xf numFmtId="49" fontId="56" fillId="0" borderId="80" xfId="3" applyNumberFormat="1" applyFont="1" applyBorder="1"/>
    <xf numFmtId="49" fontId="56" fillId="0" borderId="81" xfId="3" applyNumberFormat="1" applyFont="1" applyBorder="1"/>
    <xf numFmtId="0" fontId="56" fillId="0" borderId="77" xfId="3" applyFont="1" applyBorder="1" applyAlignment="1">
      <alignment horizontal="center"/>
    </xf>
    <xf numFmtId="169" fontId="56" fillId="7" borderId="77" xfId="3" applyNumberFormat="1" applyFont="1" applyFill="1" applyBorder="1" applyAlignment="1" applyProtection="1">
      <alignment horizontal="right"/>
      <protection locked="0"/>
    </xf>
    <xf numFmtId="169" fontId="65" fillId="7" borderId="78" xfId="3" applyNumberFormat="1" applyFont="1" applyFill="1" applyBorder="1" applyProtection="1">
      <protection locked="0"/>
    </xf>
    <xf numFmtId="169" fontId="56" fillId="7" borderId="69" xfId="3" applyNumberFormat="1" applyFont="1" applyFill="1" applyBorder="1" applyProtection="1">
      <protection locked="0"/>
    </xf>
    <xf numFmtId="49" fontId="54" fillId="0" borderId="70" xfId="3" applyNumberFormat="1" applyFont="1" applyBorder="1"/>
    <xf numFmtId="0" fontId="54" fillId="0" borderId="71" xfId="3" applyFont="1" applyBorder="1"/>
    <xf numFmtId="2" fontId="54" fillId="0" borderId="71" xfId="3" applyNumberFormat="1" applyFont="1" applyBorder="1" applyProtection="1">
      <protection locked="0"/>
    </xf>
    <xf numFmtId="0" fontId="54" fillId="0" borderId="71" xfId="3" applyFont="1" applyBorder="1" applyProtection="1">
      <protection locked="0"/>
    </xf>
    <xf numFmtId="2" fontId="54" fillId="0" borderId="72" xfId="3" applyNumberFormat="1" applyFont="1" applyBorder="1" applyProtection="1">
      <protection locked="0"/>
    </xf>
    <xf numFmtId="0" fontId="71" fillId="0" borderId="1" xfId="3" applyFont="1"/>
    <xf numFmtId="0" fontId="51" fillId="0" borderId="1" xfId="3"/>
    <xf numFmtId="0" fontId="56" fillId="0" borderId="24" xfId="3" applyFont="1" applyBorder="1"/>
    <xf numFmtId="0" fontId="51" fillId="0" borderId="25" xfId="3" applyBorder="1"/>
    <xf numFmtId="0" fontId="57" fillId="0" borderId="24" xfId="3" applyFont="1" applyBorder="1"/>
    <xf numFmtId="0" fontId="51" fillId="0" borderId="26" xfId="3" applyBorder="1"/>
    <xf numFmtId="0" fontId="56" fillId="0" borderId="27" xfId="3" applyFont="1" applyBorder="1" applyAlignment="1">
      <alignment horizontal="left" vertical="center"/>
    </xf>
    <xf numFmtId="0" fontId="74" fillId="0" borderId="1" xfId="3" applyFont="1" applyAlignment="1">
      <alignment horizontal="center"/>
    </xf>
    <xf numFmtId="0" fontId="51" fillId="0" borderId="1" xfId="3" applyAlignment="1">
      <alignment horizontal="center"/>
    </xf>
    <xf numFmtId="0" fontId="51" fillId="0" borderId="28" xfId="3" applyBorder="1" applyAlignment="1">
      <alignment horizontal="center"/>
    </xf>
    <xf numFmtId="0" fontId="56" fillId="0" borderId="61" xfId="3" applyFont="1" applyBorder="1" applyAlignment="1">
      <alignment horizontal="left" vertical="center"/>
    </xf>
    <xf numFmtId="0" fontId="65" fillId="0" borderId="83" xfId="3" applyFont="1" applyBorder="1" applyAlignment="1">
      <alignment horizontal="center" vertical="center"/>
    </xf>
    <xf numFmtId="169" fontId="56" fillId="7" borderId="87" xfId="3" applyNumberFormat="1" applyFont="1" applyFill="1" applyBorder="1" applyAlignment="1">
      <alignment horizontal="center" vertical="center"/>
    </xf>
    <xf numFmtId="169" fontId="56" fillId="7" borderId="91" xfId="3" applyNumberFormat="1" applyFont="1" applyFill="1" applyBorder="1" applyAlignment="1">
      <alignment horizontal="center" vertical="center"/>
    </xf>
    <xf numFmtId="0" fontId="65" fillId="0" borderId="82" xfId="3" applyFont="1" applyBorder="1" applyAlignment="1">
      <alignment horizontal="center" vertical="center"/>
    </xf>
    <xf numFmtId="49" fontId="56" fillId="0" borderId="85" xfId="3" applyNumberFormat="1" applyFont="1" applyBorder="1" applyAlignment="1">
      <alignment horizontal="center" vertical="center"/>
    </xf>
    <xf numFmtId="0" fontId="56" fillId="0" borderId="87" xfId="3" applyFont="1" applyBorder="1" applyAlignment="1">
      <alignment horizontal="center" vertical="center"/>
    </xf>
    <xf numFmtId="49" fontId="56" fillId="0" borderId="70" xfId="3" applyNumberFormat="1" applyFont="1" applyBorder="1" applyAlignment="1">
      <alignment horizontal="center" vertical="center"/>
    </xf>
    <xf numFmtId="0" fontId="51" fillId="0" borderId="71" xfId="3" applyBorder="1" applyAlignment="1">
      <alignment horizontal="center" vertical="center"/>
    </xf>
    <xf numFmtId="169" fontId="56" fillId="7" borderId="71" xfId="3" applyNumberFormat="1" applyFont="1" applyFill="1" applyBorder="1" applyAlignment="1">
      <alignment horizontal="center" vertical="center"/>
    </xf>
    <xf numFmtId="2" fontId="56" fillId="7" borderId="71" xfId="3" applyNumberFormat="1" applyFont="1" applyFill="1" applyBorder="1" applyAlignment="1">
      <alignment horizontal="center" vertical="center"/>
    </xf>
    <xf numFmtId="0" fontId="65" fillId="0" borderId="95" xfId="3" applyFont="1" applyBorder="1" applyAlignment="1">
      <alignment horizontal="center" vertical="center"/>
    </xf>
    <xf numFmtId="0" fontId="65" fillId="0" borderId="97" xfId="3" applyFont="1" applyBorder="1" applyAlignment="1">
      <alignment horizontal="center" vertical="center"/>
    </xf>
    <xf numFmtId="169" fontId="77" fillId="7" borderId="83" xfId="3" applyNumberFormat="1" applyFont="1" applyFill="1" applyBorder="1" applyAlignment="1">
      <alignment horizontal="center" vertical="center"/>
    </xf>
    <xf numFmtId="3" fontId="77" fillId="7" borderId="83" xfId="3" applyNumberFormat="1" applyFont="1" applyFill="1" applyBorder="1" applyAlignment="1">
      <alignment horizontal="center" vertical="center"/>
    </xf>
    <xf numFmtId="0" fontId="56" fillId="0" borderId="84" xfId="3" applyFont="1" applyBorder="1" applyAlignment="1">
      <alignment horizontal="center" vertical="center"/>
    </xf>
    <xf numFmtId="0" fontId="51" fillId="6" borderId="28" xfId="3" applyFill="1" applyBorder="1"/>
    <xf numFmtId="49" fontId="81" fillId="9" borderId="98" xfId="4" applyNumberFormat="1" applyFont="1" applyFill="1" applyBorder="1" applyAlignment="1">
      <alignment horizontal="left"/>
    </xf>
    <xf numFmtId="4" fontId="81" fillId="9" borderId="98" xfId="4" applyNumberFormat="1" applyFont="1" applyFill="1" applyBorder="1" applyAlignment="1">
      <alignment horizontal="left"/>
    </xf>
    <xf numFmtId="0" fontId="2" fillId="0" borderId="98" xfId="4" applyBorder="1"/>
    <xf numFmtId="0" fontId="2" fillId="0" borderId="1" xfId="4"/>
    <xf numFmtId="49" fontId="48" fillId="10" borderId="98" xfId="4" applyNumberFormat="1" applyFont="1" applyFill="1" applyBorder="1" applyAlignment="1">
      <alignment horizontal="left"/>
    </xf>
    <xf numFmtId="4" fontId="48" fillId="10" borderId="98" xfId="4" applyNumberFormat="1" applyFont="1" applyFill="1" applyBorder="1" applyAlignment="1">
      <alignment horizontal="right"/>
    </xf>
    <xf numFmtId="49" fontId="81" fillId="11" borderId="98" xfId="4" applyNumberFormat="1" applyFont="1" applyFill="1" applyBorder="1" applyAlignment="1">
      <alignment horizontal="left"/>
    </xf>
    <xf numFmtId="4" fontId="81" fillId="11" borderId="98" xfId="4" applyNumberFormat="1" applyFont="1" applyFill="1" applyBorder="1" applyAlignment="1">
      <alignment horizontal="right"/>
    </xf>
    <xf numFmtId="49" fontId="44" fillId="12" borderId="98" xfId="4" applyNumberFormat="1" applyFont="1" applyFill="1" applyBorder="1" applyAlignment="1">
      <alignment horizontal="left"/>
    </xf>
    <xf numFmtId="4" fontId="44" fillId="12" borderId="98" xfId="4" applyNumberFormat="1" applyFont="1" applyFill="1" applyBorder="1" applyAlignment="1">
      <alignment horizontal="left"/>
    </xf>
    <xf numFmtId="4" fontId="44" fillId="12" borderId="98" xfId="4" applyNumberFormat="1" applyFont="1" applyFill="1" applyBorder="1" applyAlignment="1">
      <alignment horizontal="right"/>
    </xf>
    <xf numFmtId="49" fontId="2" fillId="0" borderId="1" xfId="4" applyNumberFormat="1"/>
    <xf numFmtId="4" fontId="2" fillId="0" borderId="1" xfId="4" applyNumberFormat="1"/>
    <xf numFmtId="49" fontId="43" fillId="13" borderId="98" xfId="4" applyNumberFormat="1" applyFont="1" applyFill="1" applyBorder="1" applyAlignment="1">
      <alignment horizontal="left"/>
    </xf>
    <xf numFmtId="4" fontId="43" fillId="13" borderId="98" xfId="4" applyNumberFormat="1" applyFont="1" applyFill="1" applyBorder="1" applyAlignment="1">
      <alignment horizontal="right"/>
    </xf>
    <xf numFmtId="49" fontId="82" fillId="14" borderId="98" xfId="4" applyNumberFormat="1" applyFont="1" applyFill="1" applyBorder="1" applyAlignment="1">
      <alignment horizontal="left"/>
    </xf>
    <xf numFmtId="4" fontId="82" fillId="14" borderId="98" xfId="4" applyNumberFormat="1" applyFont="1" applyFill="1" applyBorder="1" applyAlignment="1">
      <alignment horizontal="right"/>
    </xf>
    <xf numFmtId="49" fontId="43" fillId="13" borderId="98" xfId="4" applyNumberFormat="1" applyFont="1" applyFill="1" applyBorder="1" applyAlignment="1">
      <alignment horizontal="center"/>
    </xf>
    <xf numFmtId="49" fontId="81" fillId="9" borderId="98" xfId="4" applyNumberFormat="1" applyFont="1" applyFill="1" applyBorder="1" applyAlignment="1">
      <alignment horizontal="left" wrapText="1"/>
    </xf>
    <xf numFmtId="49" fontId="41" fillId="0" borderId="1" xfId="2" applyNumberFormat="1" applyAlignment="1">
      <alignment horizontal="left" vertical="center" wrapText="1"/>
    </xf>
    <xf numFmtId="49" fontId="44" fillId="0" borderId="1" xfId="2" applyNumberFormat="1" applyFont="1" applyAlignment="1">
      <alignment horizontal="left" vertical="center" wrapText="1"/>
    </xf>
    <xf numFmtId="49" fontId="43" fillId="5" borderId="1" xfId="2" applyNumberFormat="1" applyFont="1" applyFill="1" applyAlignment="1">
      <alignment horizontal="left" vertical="center" wrapText="1"/>
    </xf>
    <xf numFmtId="49" fontId="44" fillId="0" borderId="11" xfId="2" applyNumberFormat="1" applyFont="1" applyBorder="1" applyAlignment="1">
      <alignment horizontal="left" vertical="center" wrapText="1"/>
    </xf>
    <xf numFmtId="49" fontId="81" fillId="11" borderId="98" xfId="0" applyNumberFormat="1" applyFont="1" applyFill="1" applyBorder="1" applyAlignment="1">
      <alignment horizontal="left" wrapText="1"/>
    </xf>
    <xf numFmtId="49" fontId="81" fillId="11" borderId="98" xfId="0" applyNumberFormat="1" applyFont="1" applyFill="1" applyBorder="1" applyAlignment="1">
      <alignment horizontal="left"/>
    </xf>
    <xf numFmtId="4" fontId="81" fillId="11" borderId="98" xfId="0" applyNumberFormat="1" applyFont="1" applyFill="1" applyBorder="1" applyAlignment="1">
      <alignment horizontal="right"/>
    </xf>
    <xf numFmtId="49" fontId="1" fillId="0" borderId="1" xfId="4" applyNumberFormat="1" applyFont="1"/>
    <xf numFmtId="0" fontId="0" fillId="0" borderId="0" xfId="0"/>
    <xf numFmtId="4" fontId="1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64" fontId="3" fillId="0" borderId="0" xfId="0" applyNumberFormat="1" applyFont="1" applyAlignment="1" applyProtection="1">
      <alignment horizontal="left" vertical="center"/>
    </xf>
    <xf numFmtId="4" fontId="6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Protection="1"/>
    <xf numFmtId="0" fontId="5" fillId="0" borderId="0" xfId="0" applyFont="1" applyAlignment="1" applyProtection="1">
      <alignment horizontal="left" vertical="top" wrapText="1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165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1" fillId="0" borderId="1" xfId="2"/>
    <xf numFmtId="0" fontId="41" fillId="0" borderId="60" xfId="2" applyBorder="1"/>
    <xf numFmtId="49" fontId="50" fillId="0" borderId="49" xfId="2" applyNumberFormat="1" applyFont="1" applyBorder="1" applyAlignment="1">
      <alignment horizontal="left" vertical="center"/>
    </xf>
    <xf numFmtId="49" fontId="49" fillId="5" borderId="57" xfId="2" applyNumberFormat="1" applyFont="1" applyFill="1" applyBorder="1" applyAlignment="1">
      <alignment horizontal="left" vertical="center"/>
    </xf>
    <xf numFmtId="49" fontId="50" fillId="0" borderId="41" xfId="2" applyNumberFormat="1" applyFont="1" applyBorder="1" applyAlignment="1">
      <alignment horizontal="left" vertical="center"/>
    </xf>
    <xf numFmtId="49" fontId="49" fillId="0" borderId="53" xfId="2" applyNumberFormat="1" applyFont="1" applyBorder="1" applyAlignment="1">
      <alignment horizontal="left" vertical="center"/>
    </xf>
    <xf numFmtId="0" fontId="41" fillId="0" borderId="53" xfId="2" applyBorder="1"/>
    <xf numFmtId="49" fontId="50" fillId="0" borderId="53" xfId="2" applyNumberFormat="1" applyFont="1" applyBorder="1" applyAlignment="1">
      <alignment horizontal="left" vertical="center"/>
    </xf>
    <xf numFmtId="49" fontId="46" fillId="0" borderId="52" xfId="2" applyNumberFormat="1" applyFont="1" applyBorder="1" applyAlignment="1">
      <alignment horizontal="center" vertical="center"/>
    </xf>
    <xf numFmtId="49" fontId="48" fillId="0" borderId="53" xfId="2" applyNumberFormat="1" applyFont="1" applyBorder="1" applyAlignment="1">
      <alignment horizontal="left" vertical="center"/>
    </xf>
    <xf numFmtId="49" fontId="41" fillId="0" borderId="51" xfId="2" applyNumberFormat="1" applyBorder="1" applyAlignment="1">
      <alignment horizontal="left" vertical="center" wrapText="1"/>
    </xf>
    <xf numFmtId="0" fontId="41" fillId="0" borderId="51" xfId="2" applyBorder="1" applyAlignment="1">
      <alignment horizontal="left" vertical="center" wrapText="1"/>
    </xf>
    <xf numFmtId="0" fontId="41" fillId="0" borderId="4" xfId="2" applyBorder="1" applyAlignment="1">
      <alignment horizontal="left" vertical="center" wrapText="1"/>
    </xf>
    <xf numFmtId="49" fontId="41" fillId="0" borderId="1" xfId="2" applyNumberFormat="1" applyAlignment="1">
      <alignment horizontal="left" vertical="center" wrapText="1"/>
    </xf>
    <xf numFmtId="0" fontId="41" fillId="0" borderId="1" xfId="2" applyAlignment="1">
      <alignment horizontal="left" vertical="center" wrapText="1"/>
    </xf>
    <xf numFmtId="49" fontId="41" fillId="0" borderId="1" xfId="2" applyNumberFormat="1" applyAlignment="1">
      <alignment horizontal="left" vertical="center"/>
    </xf>
    <xf numFmtId="49" fontId="41" fillId="0" borderId="33" xfId="2" applyNumberFormat="1" applyBorder="1" applyAlignment="1">
      <alignment horizontal="left" vertical="center"/>
    </xf>
    <xf numFmtId="0" fontId="41" fillId="0" borderId="10" xfId="2" applyBorder="1" applyAlignment="1">
      <alignment horizontal="left" vertical="center" wrapText="1"/>
    </xf>
    <xf numFmtId="0" fontId="41" fillId="0" borderId="11" xfId="2" applyBorder="1" applyAlignment="1">
      <alignment horizontal="left" vertical="center" wrapText="1"/>
    </xf>
    <xf numFmtId="49" fontId="41" fillId="0" borderId="11" xfId="2" applyNumberFormat="1" applyBorder="1" applyAlignment="1">
      <alignment horizontal="left" vertical="center"/>
    </xf>
    <xf numFmtId="0" fontId="41" fillId="0" borderId="33" xfId="2" applyBorder="1"/>
    <xf numFmtId="0" fontId="42" fillId="0" borderId="11" xfId="2" applyFont="1" applyBorder="1" applyAlignment="1">
      <alignment horizontal="center" vertical="center" wrapText="1"/>
    </xf>
    <xf numFmtId="0" fontId="41" fillId="0" borderId="2" xfId="2" applyBorder="1" applyAlignment="1">
      <alignment horizontal="left" vertical="center" wrapText="1"/>
    </xf>
    <xf numFmtId="0" fontId="43" fillId="0" borderId="3" xfId="2" applyFont="1" applyBorder="1" applyAlignment="1">
      <alignment horizontal="left" vertical="center" wrapText="1"/>
    </xf>
    <xf numFmtId="0" fontId="41" fillId="0" borderId="3" xfId="2" applyBorder="1" applyAlignment="1">
      <alignment horizontal="left" vertical="center" wrapText="1"/>
    </xf>
    <xf numFmtId="0" fontId="41" fillId="0" borderId="32" xfId="2" applyBorder="1"/>
    <xf numFmtId="49" fontId="43" fillId="0" borderId="3" xfId="2" applyNumberFormat="1" applyFont="1" applyBorder="1" applyAlignment="1">
      <alignment horizontal="left" vertical="center"/>
    </xf>
    <xf numFmtId="49" fontId="43" fillId="0" borderId="38" xfId="2" applyNumberFormat="1" applyFont="1" applyBorder="1" applyAlignment="1">
      <alignment horizontal="left" vertical="center"/>
    </xf>
    <xf numFmtId="49" fontId="43" fillId="0" borderId="40" xfId="2" applyNumberFormat="1" applyFont="1" applyBorder="1" applyAlignment="1">
      <alignment horizontal="center" vertical="center"/>
    </xf>
    <xf numFmtId="49" fontId="43" fillId="0" borderId="44" xfId="2" applyNumberFormat="1" applyFont="1" applyBorder="1" applyAlignment="1">
      <alignment horizontal="left" vertical="center"/>
    </xf>
    <xf numFmtId="49" fontId="43" fillId="5" borderId="50" xfId="2" applyNumberFormat="1" applyFont="1" applyFill="1" applyBorder="1" applyAlignment="1">
      <alignment horizontal="left" vertical="center"/>
    </xf>
    <xf numFmtId="0" fontId="41" fillId="0" borderId="34" xfId="2" applyBorder="1" applyAlignment="1">
      <alignment horizontal="left" vertical="center" wrapText="1"/>
    </xf>
    <xf numFmtId="0" fontId="41" fillId="0" borderId="35" xfId="2" applyBorder="1" applyAlignment="1">
      <alignment horizontal="left" vertical="center" wrapText="1"/>
    </xf>
    <xf numFmtId="49" fontId="41" fillId="0" borderId="35" xfId="2" applyNumberFormat="1" applyBorder="1" applyAlignment="1">
      <alignment horizontal="left" vertical="center"/>
    </xf>
    <xf numFmtId="0" fontId="41" fillId="0" borderId="33" xfId="2" applyBorder="1" applyAlignment="1">
      <alignment horizontal="left" vertical="center" wrapText="1"/>
    </xf>
    <xf numFmtId="49" fontId="42" fillId="0" borderId="11" xfId="2" applyNumberFormat="1" applyFont="1" applyBorder="1" applyAlignment="1">
      <alignment horizontal="center"/>
    </xf>
    <xf numFmtId="49" fontId="41" fillId="0" borderId="3" xfId="2" applyNumberFormat="1" applyBorder="1" applyAlignment="1">
      <alignment horizontal="left" vertical="center"/>
    </xf>
    <xf numFmtId="0" fontId="41" fillId="0" borderId="32" xfId="2" applyBorder="1" applyAlignment="1">
      <alignment horizontal="left" vertical="center" wrapText="1"/>
    </xf>
    <xf numFmtId="0" fontId="41" fillId="0" borderId="36" xfId="2" applyBorder="1" applyAlignment="1">
      <alignment horizontal="left" vertical="center" wrapText="1"/>
    </xf>
    <xf numFmtId="0" fontId="75" fillId="6" borderId="25" xfId="3" applyFont="1" applyFill="1" applyBorder="1"/>
    <xf numFmtId="0" fontId="51" fillId="6" borderId="25" xfId="3" applyFill="1" applyBorder="1"/>
    <xf numFmtId="0" fontId="76" fillId="8" borderId="61" xfId="3" applyFont="1" applyFill="1" applyBorder="1" applyAlignment="1">
      <alignment horizontal="center" vertical="center"/>
    </xf>
    <xf numFmtId="0" fontId="76" fillId="8" borderId="66" xfId="3" applyFont="1" applyFill="1" applyBorder="1" applyAlignment="1">
      <alignment horizontal="center" vertical="center"/>
    </xf>
    <xf numFmtId="0" fontId="76" fillId="8" borderId="62" xfId="3" applyFont="1" applyFill="1" applyBorder="1" applyAlignment="1">
      <alignment horizontal="center" vertical="center"/>
    </xf>
    <xf numFmtId="0" fontId="65" fillId="0" borderId="94" xfId="3" applyFont="1" applyBorder="1" applyAlignment="1">
      <alignment horizontal="center" vertical="center"/>
    </xf>
    <xf numFmtId="0" fontId="65" fillId="0" borderId="95" xfId="3" applyFont="1" applyBorder="1" applyAlignment="1">
      <alignment horizontal="center" vertical="center"/>
    </xf>
    <xf numFmtId="0" fontId="65" fillId="0" borderId="96" xfId="3" applyFont="1" applyBorder="1" applyAlignment="1">
      <alignment horizontal="center" vertical="center"/>
    </xf>
    <xf numFmtId="0" fontId="65" fillId="0" borderId="93" xfId="3" applyFont="1" applyBorder="1" applyAlignment="1">
      <alignment horizontal="center" vertical="center"/>
    </xf>
    <xf numFmtId="169" fontId="77" fillId="7" borderId="82" xfId="3" applyNumberFormat="1" applyFont="1" applyFill="1" applyBorder="1" applyAlignment="1">
      <alignment horizontal="center" vertical="center"/>
    </xf>
    <xf numFmtId="169" fontId="77" fillId="7" borderId="83" xfId="3" applyNumberFormat="1" applyFont="1" applyFill="1" applyBorder="1" applyAlignment="1">
      <alignment horizontal="center" vertical="center"/>
    </xf>
    <xf numFmtId="169" fontId="77" fillId="7" borderId="96" xfId="3" applyNumberFormat="1" applyFont="1" applyFill="1" applyBorder="1" applyAlignment="1">
      <alignment horizontal="center" vertical="center"/>
    </xf>
    <xf numFmtId="169" fontId="77" fillId="7" borderId="93" xfId="3" applyNumberFormat="1" applyFont="1" applyFill="1" applyBorder="1" applyAlignment="1">
      <alignment horizontal="center" vertical="center"/>
    </xf>
    <xf numFmtId="169" fontId="56" fillId="7" borderId="87" xfId="3" applyNumberFormat="1" applyFont="1" applyFill="1" applyBorder="1" applyAlignment="1">
      <alignment horizontal="center" vertical="center"/>
    </xf>
    <xf numFmtId="0" fontId="51" fillId="7" borderId="87" xfId="3" applyFill="1" applyBorder="1" applyAlignment="1">
      <alignment horizontal="center" vertical="center"/>
    </xf>
    <xf numFmtId="4" fontId="56" fillId="7" borderId="87" xfId="3" applyNumberFormat="1" applyFont="1" applyFill="1" applyBorder="1" applyAlignment="1">
      <alignment horizontal="center" vertical="center"/>
    </xf>
    <xf numFmtId="0" fontId="57" fillId="7" borderId="88" xfId="3" applyFont="1" applyFill="1" applyBorder="1" applyAlignment="1">
      <alignment horizontal="center" vertical="center"/>
    </xf>
    <xf numFmtId="169" fontId="56" fillId="7" borderId="71" xfId="3" applyNumberFormat="1" applyFont="1" applyFill="1" applyBorder="1" applyAlignment="1">
      <alignment horizontal="center" vertical="center"/>
    </xf>
    <xf numFmtId="0" fontId="51" fillId="7" borderId="71" xfId="3" applyFill="1" applyBorder="1" applyAlignment="1">
      <alignment horizontal="center" vertical="center"/>
    </xf>
    <xf numFmtId="4" fontId="56" fillId="7" borderId="71" xfId="3" applyNumberFormat="1" applyFont="1" applyFill="1" applyBorder="1" applyAlignment="1">
      <alignment horizontal="center" vertical="center"/>
    </xf>
    <xf numFmtId="0" fontId="57" fillId="7" borderId="72" xfId="3" applyFont="1" applyFill="1" applyBorder="1" applyAlignment="1">
      <alignment horizontal="center" vertical="center"/>
    </xf>
    <xf numFmtId="49" fontId="65" fillId="0" borderId="61" xfId="3" applyNumberFormat="1" applyFont="1" applyBorder="1" applyAlignment="1">
      <alignment horizontal="left" vertical="center"/>
    </xf>
    <xf numFmtId="0" fontId="66" fillId="0" borderId="66" xfId="3" applyFont="1" applyBorder="1" applyAlignment="1">
      <alignment horizontal="left" vertical="center"/>
    </xf>
    <xf numFmtId="0" fontId="57" fillId="0" borderId="66" xfId="3" applyFont="1" applyBorder="1" applyAlignment="1">
      <alignment horizontal="left" vertical="center"/>
    </xf>
    <xf numFmtId="0" fontId="57" fillId="0" borderId="93" xfId="3" applyFont="1" applyBorder="1" applyAlignment="1">
      <alignment horizontal="left" vertical="center"/>
    </xf>
    <xf numFmtId="4" fontId="65" fillId="7" borderId="71" xfId="3" applyNumberFormat="1" applyFont="1" applyFill="1" applyBorder="1" applyAlignment="1">
      <alignment horizontal="center" vertical="center"/>
    </xf>
    <xf numFmtId="0" fontId="66" fillId="7" borderId="72" xfId="3" applyFont="1" applyFill="1" applyBorder="1" applyAlignment="1">
      <alignment horizontal="center" vertical="center"/>
    </xf>
    <xf numFmtId="4" fontId="65" fillId="7" borderId="83" xfId="3" applyNumberFormat="1" applyFont="1" applyFill="1" applyBorder="1" applyAlignment="1">
      <alignment horizontal="center" vertical="center"/>
    </xf>
    <xf numFmtId="0" fontId="66" fillId="7" borderId="84" xfId="3" applyFont="1" applyFill="1" applyBorder="1" applyAlignment="1">
      <alignment horizontal="center" vertical="center"/>
    </xf>
    <xf numFmtId="0" fontId="65" fillId="0" borderId="83" xfId="3" applyFont="1" applyBorder="1" applyAlignment="1">
      <alignment horizontal="center" vertical="center"/>
    </xf>
    <xf numFmtId="0" fontId="65" fillId="0" borderId="84" xfId="3" applyFont="1" applyBorder="1" applyAlignment="1">
      <alignment horizontal="center" vertical="center"/>
    </xf>
    <xf numFmtId="49" fontId="56" fillId="0" borderId="85" xfId="3" applyNumberFormat="1" applyFont="1" applyBorder="1" applyAlignment="1">
      <alignment horizontal="center" vertical="center" wrapText="1"/>
    </xf>
    <xf numFmtId="0" fontId="56" fillId="0" borderId="86" xfId="3" applyFont="1" applyBorder="1" applyAlignment="1">
      <alignment horizontal="center" vertical="center" wrapText="1"/>
    </xf>
    <xf numFmtId="169" fontId="57" fillId="7" borderId="87" xfId="3" applyNumberFormat="1" applyFont="1" applyFill="1" applyBorder="1" applyAlignment="1">
      <alignment horizontal="center" vertical="center"/>
    </xf>
    <xf numFmtId="49" fontId="56" fillId="0" borderId="89" xfId="3" applyNumberFormat="1" applyFont="1" applyBorder="1" applyAlignment="1">
      <alignment horizontal="center" vertical="center"/>
    </xf>
    <xf numFmtId="0" fontId="51" fillId="0" borderId="90" xfId="3" applyBorder="1" applyAlignment="1">
      <alignment horizontal="center" vertical="center"/>
    </xf>
    <xf numFmtId="169" fontId="56" fillId="7" borderId="91" xfId="3" applyNumberFormat="1" applyFont="1" applyFill="1" applyBorder="1" applyAlignment="1">
      <alignment horizontal="center" vertical="center"/>
    </xf>
    <xf numFmtId="0" fontId="51" fillId="7" borderId="91" xfId="3" applyFill="1" applyBorder="1" applyAlignment="1">
      <alignment horizontal="center" vertical="center"/>
    </xf>
    <xf numFmtId="4" fontId="56" fillId="7" borderId="90" xfId="3" applyNumberFormat="1" applyFont="1" applyFill="1" applyBorder="1" applyAlignment="1">
      <alignment horizontal="center" vertical="center"/>
    </xf>
    <xf numFmtId="0" fontId="57" fillId="7" borderId="92" xfId="3" applyFont="1" applyFill="1" applyBorder="1" applyAlignment="1">
      <alignment horizontal="center" vertical="center"/>
    </xf>
    <xf numFmtId="49" fontId="56" fillId="0" borderId="85" xfId="3" applyNumberFormat="1" applyFont="1" applyBorder="1" applyAlignment="1">
      <alignment horizontal="center" vertical="center"/>
    </xf>
    <xf numFmtId="0" fontId="56" fillId="0" borderId="86" xfId="3" applyFont="1" applyBorder="1" applyAlignment="1">
      <alignment horizontal="center" vertical="center"/>
    </xf>
    <xf numFmtId="0" fontId="65" fillId="0" borderId="82" xfId="3" applyFont="1" applyBorder="1" applyAlignment="1">
      <alignment horizontal="center" vertical="center"/>
    </xf>
    <xf numFmtId="0" fontId="73" fillId="0" borderId="83" xfId="3" applyFont="1" applyBorder="1" applyAlignment="1">
      <alignment horizontal="center" vertical="center"/>
    </xf>
    <xf numFmtId="0" fontId="59" fillId="0" borderId="27" xfId="3" applyFont="1" applyBorder="1" applyAlignment="1">
      <alignment horizontal="center" vertical="center"/>
    </xf>
    <xf numFmtId="0" fontId="59" fillId="0" borderId="1" xfId="3" applyFont="1" applyAlignment="1">
      <alignment horizontal="center" vertical="center"/>
    </xf>
    <xf numFmtId="0" fontId="59" fillId="0" borderId="28" xfId="3" applyFont="1" applyBorder="1" applyAlignment="1">
      <alignment horizontal="center" vertical="center"/>
    </xf>
    <xf numFmtId="0" fontId="62" fillId="0" borderId="27" xfId="3" applyFont="1" applyBorder="1" applyAlignment="1">
      <alignment horizontal="center" vertical="center"/>
    </xf>
    <xf numFmtId="0" fontId="62" fillId="0" borderId="28" xfId="3" applyFont="1" applyBorder="1" applyAlignment="1">
      <alignment horizontal="center" vertical="center"/>
    </xf>
    <xf numFmtId="0" fontId="60" fillId="0" borderId="28" xfId="3" applyFont="1" applyBorder="1" applyAlignment="1">
      <alignment horizontal="center" vertical="center"/>
    </xf>
    <xf numFmtId="0" fontId="60" fillId="0" borderId="65" xfId="3" applyFont="1" applyBorder="1" applyAlignment="1">
      <alignment horizontal="center" vertical="center"/>
    </xf>
    <xf numFmtId="0" fontId="56" fillId="0" borderId="24" xfId="3" applyFont="1" applyBorder="1" applyAlignment="1">
      <alignment horizontal="left" vertical="center"/>
    </xf>
    <xf numFmtId="0" fontId="51" fillId="0" borderId="26" xfId="3" applyBorder="1" applyAlignment="1">
      <alignment horizontal="left" vertical="center"/>
    </xf>
    <xf numFmtId="0" fontId="62" fillId="0" borderId="66" xfId="3" applyFont="1" applyBorder="1" applyAlignment="1">
      <alignment horizontal="center" vertical="center"/>
    </xf>
    <xf numFmtId="0" fontId="62" fillId="0" borderId="62" xfId="3" applyFont="1" applyBorder="1" applyAlignment="1">
      <alignment horizontal="center" vertical="center"/>
    </xf>
    <xf numFmtId="0" fontId="62" fillId="0" borderId="29" xfId="3" applyFont="1" applyBorder="1" applyAlignment="1">
      <alignment horizontal="center" vertical="center"/>
    </xf>
    <xf numFmtId="0" fontId="62" fillId="0" borderId="31" xfId="3" applyFont="1" applyBorder="1" applyAlignment="1">
      <alignment horizontal="center" vertical="center"/>
    </xf>
    <xf numFmtId="168" fontId="60" fillId="0" borderId="30" xfId="3" applyNumberFormat="1" applyFont="1" applyBorder="1" applyAlignment="1">
      <alignment horizontal="center" vertical="center"/>
    </xf>
    <xf numFmtId="168" fontId="60" fillId="0" borderId="31" xfId="3" applyNumberFormat="1" applyFont="1" applyBorder="1" applyAlignment="1">
      <alignment horizontal="center" vertical="center"/>
    </xf>
    <xf numFmtId="0" fontId="56" fillId="0" borderId="26" xfId="3" applyFont="1" applyBorder="1" applyAlignment="1">
      <alignment horizontal="left" vertical="center"/>
    </xf>
    <xf numFmtId="0" fontId="51" fillId="0" borderId="63" xfId="3" applyBorder="1"/>
    <xf numFmtId="0" fontId="51" fillId="0" borderId="65" xfId="3" applyBorder="1"/>
    <xf numFmtId="0" fontId="51" fillId="0" borderId="64" xfId="3" applyBorder="1"/>
    <xf numFmtId="0" fontId="51" fillId="0" borderId="25" xfId="3" applyBorder="1"/>
    <xf numFmtId="0" fontId="51" fillId="0" borderId="61" xfId="3" applyBorder="1"/>
    <xf numFmtId="0" fontId="51" fillId="0" borderId="62" xfId="3" applyBorder="1"/>
    <xf numFmtId="0" fontId="53" fillId="0" borderId="1" xfId="3" applyFont="1" applyAlignment="1">
      <alignment horizontal="center" vertical="center"/>
    </xf>
    <xf numFmtId="0" fontId="54" fillId="0" borderId="61" xfId="3" applyFont="1" applyBorder="1"/>
    <xf numFmtId="0" fontId="72" fillId="0" borderId="27" xfId="3" applyFont="1" applyBorder="1" applyAlignment="1">
      <alignment horizontal="center" vertical="center"/>
    </xf>
    <xf numFmtId="0" fontId="51" fillId="0" borderId="1" xfId="3" applyAlignment="1">
      <alignment horizontal="center" vertical="center"/>
    </xf>
    <xf numFmtId="0" fontId="51" fillId="0" borderId="28" xfId="3" applyBorder="1" applyAlignment="1">
      <alignment horizontal="center" vertical="center"/>
    </xf>
    <xf numFmtId="0" fontId="51" fillId="0" borderId="29" xfId="3" applyBorder="1"/>
    <xf numFmtId="0" fontId="54" fillId="6" borderId="25" xfId="3" applyFont="1" applyFill="1" applyBorder="1" applyAlignment="1">
      <alignment horizontal="right" vertical="center"/>
    </xf>
    <xf numFmtId="0" fontId="51" fillId="6" borderId="25" xfId="3" applyFill="1" applyBorder="1" applyAlignment="1">
      <alignment horizontal="right" vertical="center"/>
    </xf>
    <xf numFmtId="0" fontId="51" fillId="0" borderId="26" xfId="3" applyBorder="1"/>
    <xf numFmtId="0" fontId="73" fillId="0" borderId="30" xfId="3" applyFont="1" applyBorder="1" applyAlignment="1">
      <alignment horizontal="center" vertical="center" wrapText="1"/>
    </xf>
    <xf numFmtId="0" fontId="73" fillId="0" borderId="29" xfId="3" applyFont="1" applyBorder="1" applyAlignment="1">
      <alignment horizontal="center" vertical="center" wrapText="1"/>
    </xf>
    <xf numFmtId="0" fontId="73" fillId="0" borderId="31" xfId="3" applyFont="1" applyBorder="1" applyAlignment="1">
      <alignment horizontal="center" vertical="center" wrapText="1"/>
    </xf>
    <xf numFmtId="0" fontId="60" fillId="0" borderId="30" xfId="3" applyFont="1" applyBorder="1" applyAlignment="1">
      <alignment horizontal="center" vertical="center" wrapText="1"/>
    </xf>
    <xf numFmtId="0" fontId="60" fillId="0" borderId="31" xfId="3" applyFont="1" applyBorder="1" applyAlignment="1">
      <alignment horizontal="center" vertical="center" wrapText="1"/>
    </xf>
    <xf numFmtId="0" fontId="59" fillId="0" borderId="64" xfId="3" applyFont="1" applyBorder="1" applyAlignment="1">
      <alignment horizontal="center" vertical="center"/>
    </xf>
    <xf numFmtId="49" fontId="54" fillId="0" borderId="71" xfId="3" applyNumberFormat="1" applyFont="1" applyBorder="1"/>
    <xf numFmtId="0" fontId="51" fillId="0" borderId="71" xfId="3" applyBorder="1"/>
    <xf numFmtId="49" fontId="67" fillId="6" borderId="66" xfId="3" applyNumberFormat="1" applyFont="1" applyFill="1" applyBorder="1"/>
    <xf numFmtId="0" fontId="51" fillId="6" borderId="66" xfId="3" applyFill="1" applyBorder="1"/>
    <xf numFmtId="49" fontId="67" fillId="0" borderId="68" xfId="3" applyNumberFormat="1" applyFont="1" applyBorder="1"/>
    <xf numFmtId="0" fontId="51" fillId="0" borderId="68" xfId="3" applyBorder="1"/>
    <xf numFmtId="49" fontId="56" fillId="0" borderId="68" xfId="3" applyNumberFormat="1" applyFont="1" applyBorder="1"/>
    <xf numFmtId="0" fontId="57" fillId="0" borderId="68" xfId="3" applyFont="1" applyBorder="1"/>
    <xf numFmtId="49" fontId="56" fillId="0" borderId="71" xfId="3" applyNumberFormat="1" applyFont="1" applyBorder="1"/>
    <xf numFmtId="0" fontId="57" fillId="0" borderId="71" xfId="3" applyFont="1" applyBorder="1"/>
    <xf numFmtId="49" fontId="56" fillId="0" borderId="68" xfId="3" applyNumberFormat="1" applyFont="1" applyBorder="1" applyAlignment="1">
      <alignment wrapText="1"/>
    </xf>
    <xf numFmtId="0" fontId="57" fillId="0" borderId="68" xfId="3" applyFont="1" applyBorder="1" applyAlignment="1">
      <alignment wrapText="1"/>
    </xf>
    <xf numFmtId="49" fontId="56" fillId="0" borderId="75" xfId="3" applyNumberFormat="1" applyFont="1" applyBorder="1"/>
    <xf numFmtId="49" fontId="56" fillId="0" borderId="76" xfId="3" applyNumberFormat="1" applyFont="1" applyBorder="1"/>
    <xf numFmtId="49" fontId="56" fillId="0" borderId="73" xfId="3" applyNumberFormat="1" applyFont="1" applyBorder="1" applyAlignment="1">
      <alignment wrapText="1"/>
    </xf>
    <xf numFmtId="49" fontId="56" fillId="0" borderId="74" xfId="3" applyNumberFormat="1" applyFont="1" applyBorder="1"/>
    <xf numFmtId="49" fontId="67" fillId="0" borderId="75" xfId="3" applyNumberFormat="1" applyFont="1" applyBorder="1"/>
    <xf numFmtId="0" fontId="51" fillId="0" borderId="76" xfId="3" applyBorder="1"/>
    <xf numFmtId="49" fontId="56" fillId="0" borderId="73" xfId="3" applyNumberFormat="1" applyFont="1" applyBorder="1"/>
    <xf numFmtId="0" fontId="51" fillId="0" borderId="74" xfId="3" applyBorder="1"/>
    <xf numFmtId="49" fontId="67" fillId="0" borderId="73" xfId="3" applyNumberFormat="1" applyFont="1" applyBorder="1"/>
    <xf numFmtId="49" fontId="67" fillId="0" borderId="74" xfId="3" applyNumberFormat="1" applyFont="1" applyBorder="1"/>
    <xf numFmtId="49" fontId="67" fillId="0" borderId="76" xfId="3" applyNumberFormat="1" applyFont="1" applyBorder="1"/>
    <xf numFmtId="49" fontId="68" fillId="6" borderId="66" xfId="3" applyNumberFormat="1" applyFont="1" applyFill="1" applyBorder="1"/>
    <xf numFmtId="0" fontId="70" fillId="6" borderId="66" xfId="3" applyFont="1" applyFill="1" applyBorder="1"/>
    <xf numFmtId="0" fontId="65" fillId="0" borderId="68" xfId="3" applyFont="1" applyBorder="1" applyAlignment="1">
      <alignment horizontal="center" vertical="center"/>
    </xf>
    <xf numFmtId="0" fontId="66" fillId="0" borderId="68" xfId="3" applyFont="1" applyBorder="1" applyAlignment="1">
      <alignment horizontal="center" vertical="center"/>
    </xf>
    <xf numFmtId="0" fontId="56" fillId="0" borderId="71" xfId="3" applyFont="1" applyBorder="1" applyAlignment="1">
      <alignment horizontal="center" vertical="center"/>
    </xf>
    <xf numFmtId="0" fontId="57" fillId="0" borderId="71" xfId="3" applyFont="1" applyBorder="1" applyAlignment="1">
      <alignment horizontal="center" vertical="center"/>
    </xf>
    <xf numFmtId="0" fontId="56" fillId="0" borderId="25" xfId="3" applyFont="1" applyBorder="1" applyAlignment="1">
      <alignment vertical="center"/>
    </xf>
    <xf numFmtId="0" fontId="57" fillId="0" borderId="25" xfId="3" applyFont="1" applyBorder="1" applyAlignment="1">
      <alignment vertical="center"/>
    </xf>
    <xf numFmtId="0" fontId="56" fillId="0" borderId="63" xfId="3" applyFont="1" applyBorder="1" applyAlignment="1">
      <alignment vertical="center"/>
    </xf>
    <xf numFmtId="0" fontId="57" fillId="0" borderId="63" xfId="3" applyFont="1" applyBorder="1" applyAlignment="1">
      <alignment vertical="center"/>
    </xf>
    <xf numFmtId="14" fontId="56" fillId="0" borderId="61" xfId="3" applyNumberFormat="1" applyFont="1" applyBorder="1" applyAlignment="1">
      <alignment horizontal="left" vertical="center"/>
    </xf>
    <xf numFmtId="14" fontId="56" fillId="0" borderId="66" xfId="3" applyNumberFormat="1" applyFont="1" applyBorder="1" applyAlignment="1">
      <alignment horizontal="left" vertical="center"/>
    </xf>
    <xf numFmtId="0" fontId="60" fillId="0" borderId="64" xfId="3" applyFont="1" applyBorder="1" applyAlignment="1">
      <alignment horizontal="center" vertical="center"/>
    </xf>
    <xf numFmtId="168" fontId="62" fillId="0" borderId="30" xfId="3" applyNumberFormat="1" applyFont="1" applyBorder="1" applyAlignment="1">
      <alignment horizontal="center" vertical="center"/>
    </xf>
    <xf numFmtId="168" fontId="62" fillId="0" borderId="31" xfId="3" applyNumberFormat="1" applyFont="1" applyBorder="1" applyAlignment="1">
      <alignment horizontal="center" vertical="center"/>
    </xf>
    <xf numFmtId="0" fontId="56" fillId="0" borderId="24" xfId="3" applyFont="1" applyBorder="1" applyAlignment="1">
      <alignment vertical="center"/>
    </xf>
    <xf numFmtId="0" fontId="62" fillId="0" borderId="64" xfId="3" applyFont="1" applyBorder="1" applyAlignment="1">
      <alignment horizontal="center" vertical="center"/>
    </xf>
    <xf numFmtId="0" fontId="59" fillId="0" borderId="30" xfId="3" applyFont="1" applyBorder="1" applyAlignment="1">
      <alignment horizontal="center" vertical="center" wrapText="1"/>
    </xf>
    <xf numFmtId="0" fontId="59" fillId="0" borderId="29" xfId="3" applyFont="1" applyBorder="1" applyAlignment="1">
      <alignment horizontal="center" vertical="center"/>
    </xf>
    <xf numFmtId="0" fontId="59" fillId="0" borderId="31" xfId="3" applyFont="1" applyBorder="1" applyAlignment="1">
      <alignment horizontal="center" vertical="center"/>
    </xf>
    <xf numFmtId="0" fontId="52" fillId="0" borderId="24" xfId="3" applyFont="1" applyBorder="1"/>
    <xf numFmtId="0" fontId="51" fillId="0" borderId="27" xfId="3" applyBorder="1"/>
    <xf numFmtId="0" fontId="51" fillId="0" borderId="28" xfId="3" applyBorder="1"/>
    <xf numFmtId="0" fontId="51" fillId="0" borderId="30" xfId="3" applyBorder="1"/>
    <xf numFmtId="0" fontId="51" fillId="0" borderId="31" xfId="3" applyBorder="1"/>
    <xf numFmtId="0" fontId="52" fillId="0" borderId="25" xfId="3" applyFont="1" applyBorder="1"/>
    <xf numFmtId="0" fontId="52" fillId="0" borderId="61" xfId="3" applyFont="1" applyBorder="1"/>
    <xf numFmtId="0" fontId="53" fillId="0" borderId="1" xfId="3" applyFont="1" applyAlignment="1">
      <alignment horizontal="center" vertical="top"/>
    </xf>
    <xf numFmtId="0" fontId="53" fillId="0" borderId="28" xfId="3" applyFont="1" applyBorder="1" applyAlignment="1">
      <alignment horizontal="center" vertical="top"/>
    </xf>
    <xf numFmtId="0" fontId="55" fillId="0" borderId="1" xfId="3" applyFont="1" applyAlignment="1">
      <alignment horizontal="center" vertical="center"/>
    </xf>
    <xf numFmtId="0" fontId="55" fillId="0" borderId="28" xfId="3" applyFont="1" applyBorder="1" applyAlignment="1">
      <alignment horizontal="center" vertical="center"/>
    </xf>
    <xf numFmtId="0" fontId="52" fillId="0" borderId="29" xfId="3" applyFont="1" applyBorder="1"/>
    <xf numFmtId="49" fontId="56" fillId="0" borderId="1" xfId="3" applyNumberFormat="1" applyFont="1"/>
    <xf numFmtId="169" fontId="56" fillId="7" borderId="68" xfId="3" applyNumberFormat="1" applyFont="1" applyFill="1" applyBorder="1" applyAlignment="1">
      <alignment horizontal="center" vertical="center"/>
    </xf>
    <xf numFmtId="169" fontId="57" fillId="7" borderId="68" xfId="3" applyNumberFormat="1" applyFont="1" applyFill="1" applyBorder="1" applyAlignment="1">
      <alignment horizontal="center" vertical="center"/>
    </xf>
    <xf numFmtId="0" fontId="73" fillId="0" borderId="84" xfId="3" applyFont="1" applyBorder="1" applyAlignment="1">
      <alignment horizontal="center" vertical="center"/>
    </xf>
    <xf numFmtId="0" fontId="62" fillId="0" borderId="30" xfId="3" applyFont="1" applyBorder="1" applyAlignment="1">
      <alignment horizontal="center" vertical="center"/>
    </xf>
    <xf numFmtId="0" fontId="60" fillId="0" borderId="27" xfId="3" applyFont="1" applyBorder="1" applyAlignment="1">
      <alignment horizontal="center" vertical="center"/>
    </xf>
    <xf numFmtId="0" fontId="60" fillId="0" borderId="1" xfId="3" applyFont="1" applyAlignment="1">
      <alignment horizontal="center" vertical="center"/>
    </xf>
    <xf numFmtId="0" fontId="60" fillId="0" borderId="30" xfId="3" applyFont="1" applyBorder="1" applyAlignment="1">
      <alignment horizontal="center" vertical="center"/>
    </xf>
    <xf numFmtId="0" fontId="60" fillId="0" borderId="29" xfId="3" applyFont="1" applyBorder="1" applyAlignment="1">
      <alignment horizontal="center" vertical="center"/>
    </xf>
    <xf numFmtId="0" fontId="60" fillId="0" borderId="31" xfId="3" applyFont="1" applyBorder="1" applyAlignment="1">
      <alignment horizontal="center" vertical="center"/>
    </xf>
    <xf numFmtId="0" fontId="80" fillId="0" borderId="66" xfId="3" applyFont="1" applyBorder="1" applyAlignment="1">
      <alignment horizontal="center" vertical="center"/>
    </xf>
    <xf numFmtId="0" fontId="80" fillId="0" borderId="30" xfId="3" applyFont="1" applyBorder="1" applyAlignment="1">
      <alignment horizontal="center" vertical="center"/>
    </xf>
    <xf numFmtId="14" fontId="62" fillId="0" borderId="30" xfId="3" applyNumberFormat="1" applyFont="1" applyBorder="1" applyAlignment="1">
      <alignment horizontal="center" vertical="center"/>
    </xf>
    <xf numFmtId="14" fontId="62" fillId="0" borderId="31" xfId="3" applyNumberFormat="1" applyFont="1" applyBorder="1" applyAlignment="1">
      <alignment horizontal="center" vertical="center"/>
    </xf>
    <xf numFmtId="0" fontId="59" fillId="0" borderId="30" xfId="3" applyFont="1" applyBorder="1" applyAlignment="1">
      <alignment horizontal="center" vertical="center"/>
    </xf>
    <xf numFmtId="49" fontId="65" fillId="0" borderId="71" xfId="3" applyNumberFormat="1" applyFont="1" applyBorder="1"/>
    <xf numFmtId="0" fontId="78" fillId="0" borderId="71" xfId="3" applyFont="1" applyBorder="1"/>
    <xf numFmtId="0" fontId="79" fillId="0" borderId="68" xfId="3" applyFont="1" applyBorder="1"/>
    <xf numFmtId="0" fontId="79" fillId="0" borderId="71" xfId="3" applyFont="1" applyBorder="1"/>
    <xf numFmtId="49" fontId="51" fillId="6" borderId="66" xfId="3" applyNumberFormat="1" applyFill="1" applyBorder="1"/>
    <xf numFmtId="0" fontId="60" fillId="0" borderId="64" xfId="3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left" wrapText="1"/>
    </xf>
    <xf numFmtId="0" fontId="33" fillId="0" borderId="1" xfId="0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/>
    </xf>
  </cellXfs>
  <cellStyles count="5">
    <cellStyle name="Hypertextový odkaz" xfId="1" builtinId="8"/>
    <cellStyle name="Normální" xfId="0" builtinId="0" customBuiltin="1"/>
    <cellStyle name="Normální 2" xfId="2" xr:uid="{C41C7BCC-886C-4C5C-923A-064DAE2F9000}"/>
    <cellStyle name="Normální 3" xfId="3" xr:uid="{CE1A26CA-5893-41E2-B18F-AF5F26359A19}"/>
    <cellStyle name="Normální 4" xfId="4" xr:uid="{D6EA4306-F1A8-45F5-9BEC-40E62FF8A9C4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95353" cy="885825"/>
    <xdr:pic>
      <xdr:nvPicPr>
        <xdr:cNvPr id="2" name="Picture 1">
          <a:extLst>
            <a:ext uri="{FF2B5EF4-FFF2-40B4-BE49-F238E27FC236}">
              <a16:creationId xmlns:a16="http://schemas.microsoft.com/office/drawing/2014/main" id="{A2C769EB-5D0F-4B4C-87E1-C6695D16E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95353" cy="8858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0</xdr:row>
      <xdr:rowOff>15240</xdr:rowOff>
    </xdr:from>
    <xdr:ext cx="904871" cy="885825"/>
    <xdr:pic>
      <xdr:nvPicPr>
        <xdr:cNvPr id="2" name="Picture 1">
          <a:extLst>
            <a:ext uri="{FF2B5EF4-FFF2-40B4-BE49-F238E27FC236}">
              <a16:creationId xmlns:a16="http://schemas.microsoft.com/office/drawing/2014/main" id="{668FC300-E44D-4E38-85B2-238F86F8E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3840" y="15240"/>
          <a:ext cx="904871" cy="8858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136154</xdr:colOff>
      <xdr:row>1</xdr:row>
      <xdr:rowOff>209550</xdr:rowOff>
    </xdr:from>
    <xdr:to>
      <xdr:col>1</xdr:col>
      <xdr:colOff>1552574</xdr:colOff>
      <xdr:row>4</xdr:row>
      <xdr:rowOff>9525</xdr:rowOff>
    </xdr:to>
    <xdr:pic>
      <xdr:nvPicPr>
        <xdr:cNvPr id="2" name="Picture 1" descr="logo2">
          <a:extLst>
            <a:ext uri="{FF2B5EF4-FFF2-40B4-BE49-F238E27FC236}">
              <a16:creationId xmlns:a16="http://schemas.microsoft.com/office/drawing/2014/main" id="{827FB7E6-4820-4860-8C49-7A581D12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454" y="323850"/>
          <a:ext cx="141642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1</xdr:row>
      <xdr:rowOff>200025</xdr:rowOff>
    </xdr:from>
    <xdr:to>
      <xdr:col>2</xdr:col>
      <xdr:colOff>1257300</xdr:colOff>
      <xdr:row>4</xdr:row>
      <xdr:rowOff>30362</xdr:rowOff>
    </xdr:to>
    <xdr:pic>
      <xdr:nvPicPr>
        <xdr:cNvPr id="2" name="Picture 1" descr="logo2">
          <a:extLst>
            <a:ext uri="{FF2B5EF4-FFF2-40B4-BE49-F238E27FC236}">
              <a16:creationId xmlns:a16="http://schemas.microsoft.com/office/drawing/2014/main" id="{95797BF7-ED3A-4799-ACAC-6FEFE2EA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314325"/>
          <a:ext cx="1504949" cy="516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136154</xdr:colOff>
      <xdr:row>1</xdr:row>
      <xdr:rowOff>209550</xdr:rowOff>
    </xdr:from>
    <xdr:to>
      <xdr:col>1</xdr:col>
      <xdr:colOff>1552574</xdr:colOff>
      <xdr:row>4</xdr:row>
      <xdr:rowOff>9525</xdr:rowOff>
    </xdr:to>
    <xdr:pic>
      <xdr:nvPicPr>
        <xdr:cNvPr id="2" name="Picture 1" descr="logo2">
          <a:extLst>
            <a:ext uri="{FF2B5EF4-FFF2-40B4-BE49-F238E27FC236}">
              <a16:creationId xmlns:a16="http://schemas.microsoft.com/office/drawing/2014/main" id="{990D9FF1-0FBB-46B3-A576-3E548C286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454" y="323850"/>
          <a:ext cx="141642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1</xdr:row>
      <xdr:rowOff>200025</xdr:rowOff>
    </xdr:from>
    <xdr:to>
      <xdr:col>2</xdr:col>
      <xdr:colOff>1257300</xdr:colOff>
      <xdr:row>4</xdr:row>
      <xdr:rowOff>30362</xdr:rowOff>
    </xdr:to>
    <xdr:pic>
      <xdr:nvPicPr>
        <xdr:cNvPr id="2" name="Picture 1" descr="logo2">
          <a:extLst>
            <a:ext uri="{FF2B5EF4-FFF2-40B4-BE49-F238E27FC236}">
              <a16:creationId xmlns:a16="http://schemas.microsoft.com/office/drawing/2014/main" id="{1E5B32CD-1D73-4CEE-B3A1-49F6FC87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314325"/>
          <a:ext cx="1504949" cy="516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CI.CZ\Zak&#225;zky\Zak&#225;zky%202019\19-043-150%20NCI%20-%20&#268;R-MZe%20-%20PD%20VZT%20a%20in&#382;en&#253;r.&#269;innost%20,MZe%20&#218;st&#237;%20nad%20Labem\Projekt\KLIMATIZACE\DPS%20&#250;nor%202020\SSaZ%20R\D.1.1\V&#253;kaz%20v&#253;m&#283;r\v&#253;kaz%20v&#253;m&#283;r.od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CI.CZ\Zak&#225;zky\Zak&#225;zky%202019\19-043-150%20NCI%20-%20&#268;R-MZe%20-%20PD%20VZT%20a%20in&#382;en&#253;r.&#269;innost%20,MZe%20&#218;st&#237;%20nad%20Labem\Projekt\KLIMATIZACE\DPS%20&#250;nor%202020\SSaZ%20R\D.1.4.1.%20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_rozpočet"/>
      <sheetName val="Stavební_rozpočet_-_součet"/>
      <sheetName val="Krycí_list_rozpočtu"/>
    </sheetNames>
    <sheetDataSet>
      <sheetData sheetId="0">
        <row r="4">
          <cell r="I4" t="str">
            <v>NCI.CZ ENGINEERING s.r.o.</v>
          </cell>
        </row>
        <row r="6">
          <cell r="C6" t="str">
            <v>Ústí nad Labem</v>
          </cell>
        </row>
        <row r="13">
          <cell r="AE13">
            <v>0</v>
          </cell>
        </row>
        <row r="15">
          <cell r="AE15">
            <v>0</v>
          </cell>
        </row>
        <row r="17">
          <cell r="AE17">
            <v>0</v>
          </cell>
        </row>
        <row r="20">
          <cell r="AE20">
            <v>0</v>
          </cell>
        </row>
        <row r="22">
          <cell r="AE22">
            <v>0</v>
          </cell>
        </row>
        <row r="24">
          <cell r="AE24">
            <v>0</v>
          </cell>
        </row>
        <row r="27">
          <cell r="AE27">
            <v>0</v>
          </cell>
        </row>
        <row r="33">
          <cell r="AE33">
            <v>0</v>
          </cell>
        </row>
        <row r="40">
          <cell r="AE40">
            <v>0</v>
          </cell>
        </row>
        <row r="43">
          <cell r="AE43">
            <v>0</v>
          </cell>
        </row>
        <row r="45">
          <cell r="AE45">
            <v>0</v>
          </cell>
        </row>
        <row r="50">
          <cell r="AE50">
            <v>0</v>
          </cell>
        </row>
        <row r="53">
          <cell r="AE53">
            <v>0</v>
          </cell>
        </row>
        <row r="55">
          <cell r="AE55">
            <v>0</v>
          </cell>
        </row>
        <row r="57">
          <cell r="AE57">
            <v>0</v>
          </cell>
        </row>
        <row r="60">
          <cell r="AE60">
            <v>0</v>
          </cell>
        </row>
        <row r="63">
          <cell r="AE63">
            <v>0</v>
          </cell>
        </row>
        <row r="65">
          <cell r="AE65">
            <v>0</v>
          </cell>
        </row>
        <row r="68">
          <cell r="AE68">
            <v>0</v>
          </cell>
        </row>
        <row r="78">
          <cell r="AE78">
            <v>0</v>
          </cell>
        </row>
        <row r="80">
          <cell r="AE80">
            <v>0</v>
          </cell>
        </row>
        <row r="84">
          <cell r="AE84">
            <v>0</v>
          </cell>
        </row>
        <row r="87">
          <cell r="AE87">
            <v>0</v>
          </cell>
        </row>
        <row r="90">
          <cell r="AE90">
            <v>0</v>
          </cell>
        </row>
        <row r="94">
          <cell r="AE94">
            <v>0</v>
          </cell>
        </row>
        <row r="100">
          <cell r="AE100">
            <v>0</v>
          </cell>
        </row>
        <row r="103">
          <cell r="AE103">
            <v>0</v>
          </cell>
        </row>
        <row r="108">
          <cell r="AE108">
            <v>0</v>
          </cell>
        </row>
        <row r="113">
          <cell r="AE113">
            <v>0</v>
          </cell>
        </row>
        <row r="116">
          <cell r="AE116">
            <v>0</v>
          </cell>
        </row>
        <row r="118">
          <cell r="AE118">
            <v>0</v>
          </cell>
        </row>
        <row r="120">
          <cell r="AE120">
            <v>0</v>
          </cell>
        </row>
        <row r="123">
          <cell r="AE123">
            <v>0</v>
          </cell>
        </row>
        <row r="128">
          <cell r="AE128">
            <v>0</v>
          </cell>
        </row>
        <row r="130">
          <cell r="AE130">
            <v>0</v>
          </cell>
        </row>
        <row r="133">
          <cell r="AE133">
            <v>0</v>
          </cell>
        </row>
        <row r="139">
          <cell r="AE139">
            <v>0</v>
          </cell>
        </row>
        <row r="142">
          <cell r="AE142">
            <v>0</v>
          </cell>
        </row>
        <row r="145">
          <cell r="AE145">
            <v>0</v>
          </cell>
        </row>
        <row r="147">
          <cell r="AE147">
            <v>0</v>
          </cell>
        </row>
        <row r="149">
          <cell r="AE149">
            <v>0</v>
          </cell>
        </row>
        <row r="151">
          <cell r="AE151">
            <v>0</v>
          </cell>
        </row>
        <row r="153">
          <cell r="AE153">
            <v>0</v>
          </cell>
        </row>
        <row r="155">
          <cell r="AE155">
            <v>0</v>
          </cell>
        </row>
        <row r="157">
          <cell r="AE157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Rozpočet"/>
    </sheetNames>
    <sheetDataSet>
      <sheetData sheetId="0"/>
      <sheetData sheetId="1">
        <row r="17">
          <cell r="C17" t="str">
            <v xml:space="preserve">Zařízení č.01 - Klimatizace 1.NP </v>
          </cell>
        </row>
        <row r="30">
          <cell r="C30" t="str">
            <v>CELKEM: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" customHeight="1">
      <c r="AR2" s="443"/>
      <c r="AS2" s="443"/>
      <c r="AT2" s="443"/>
      <c r="AU2" s="443"/>
      <c r="AV2" s="443"/>
      <c r="AW2" s="443"/>
      <c r="AX2" s="443"/>
      <c r="AY2" s="443"/>
      <c r="AZ2" s="443"/>
      <c r="BA2" s="443"/>
      <c r="BB2" s="443"/>
      <c r="BC2" s="443"/>
      <c r="BD2" s="443"/>
      <c r="BE2" s="443"/>
      <c r="BS2" s="15" t="s">
        <v>6</v>
      </c>
      <c r="BT2" s="15" t="s">
        <v>7</v>
      </c>
    </row>
    <row r="3" spans="1:74" s="1" customFormat="1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454" t="s">
        <v>14</v>
      </c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55"/>
      <c r="AP5" s="20"/>
      <c r="AQ5" s="20"/>
      <c r="AR5" s="18"/>
      <c r="BE5" s="451" t="s">
        <v>15</v>
      </c>
      <c r="BS5" s="15" t="s">
        <v>6</v>
      </c>
    </row>
    <row r="6" spans="1:74" s="1" customFormat="1" ht="36.9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456" t="s">
        <v>17</v>
      </c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20"/>
      <c r="AQ6" s="20"/>
      <c r="AR6" s="18"/>
      <c r="BE6" s="452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19</v>
      </c>
      <c r="AO7" s="20"/>
      <c r="AP7" s="20"/>
      <c r="AQ7" s="20"/>
      <c r="AR7" s="18"/>
      <c r="BE7" s="452"/>
      <c r="BS7" s="15" t="s">
        <v>6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E8" s="452"/>
      <c r="BS8" s="15" t="s">
        <v>6</v>
      </c>
    </row>
    <row r="9" spans="1:74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452"/>
      <c r="BS9" s="15" t="s">
        <v>6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27</v>
      </c>
      <c r="AO10" s="20"/>
      <c r="AP10" s="20"/>
      <c r="AQ10" s="20"/>
      <c r="AR10" s="18"/>
      <c r="BE10" s="452"/>
      <c r="BS10" s="15" t="s">
        <v>6</v>
      </c>
    </row>
    <row r="11" spans="1:74" s="1" customFormat="1" ht="18.45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29</v>
      </c>
      <c r="AL11" s="20"/>
      <c r="AM11" s="20"/>
      <c r="AN11" s="25" t="s">
        <v>30</v>
      </c>
      <c r="AO11" s="20"/>
      <c r="AP11" s="20"/>
      <c r="AQ11" s="20"/>
      <c r="AR11" s="18"/>
      <c r="BE11" s="452"/>
      <c r="BS11" s="15" t="s">
        <v>6</v>
      </c>
    </row>
    <row r="12" spans="1:74" s="1" customFormat="1" ht="6.9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452"/>
      <c r="BS12" s="15" t="s">
        <v>6</v>
      </c>
    </row>
    <row r="13" spans="1:74" s="1" customFormat="1" ht="12" customHeight="1">
      <c r="B13" s="19"/>
      <c r="C13" s="20"/>
      <c r="D13" s="27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32</v>
      </c>
      <c r="AO13" s="20"/>
      <c r="AP13" s="20"/>
      <c r="AQ13" s="20"/>
      <c r="AR13" s="18"/>
      <c r="BE13" s="452"/>
      <c r="BS13" s="15" t="s">
        <v>6</v>
      </c>
    </row>
    <row r="14" spans="1:74" ht="13.2">
      <c r="B14" s="19"/>
      <c r="C14" s="20"/>
      <c r="D14" s="20"/>
      <c r="E14" s="457" t="s">
        <v>32</v>
      </c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27" t="s">
        <v>29</v>
      </c>
      <c r="AL14" s="20"/>
      <c r="AM14" s="20"/>
      <c r="AN14" s="29" t="s">
        <v>32</v>
      </c>
      <c r="AO14" s="20"/>
      <c r="AP14" s="20"/>
      <c r="AQ14" s="20"/>
      <c r="AR14" s="18"/>
      <c r="BE14" s="452"/>
      <c r="BS14" s="15" t="s">
        <v>6</v>
      </c>
    </row>
    <row r="15" spans="1:74" s="1" customFormat="1" ht="6.9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452"/>
      <c r="BS15" s="15" t="s">
        <v>4</v>
      </c>
    </row>
    <row r="16" spans="1:74" s="1" customFormat="1" ht="12" customHeight="1">
      <c r="B16" s="19"/>
      <c r="C16" s="20"/>
      <c r="D16" s="27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34</v>
      </c>
      <c r="AO16" s="20"/>
      <c r="AP16" s="20"/>
      <c r="AQ16" s="20"/>
      <c r="AR16" s="18"/>
      <c r="BE16" s="452"/>
      <c r="BS16" s="15" t="s">
        <v>4</v>
      </c>
    </row>
    <row r="17" spans="1:71" s="1" customFormat="1" ht="18.45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29</v>
      </c>
      <c r="AL17" s="20"/>
      <c r="AM17" s="20"/>
      <c r="AN17" s="25" t="s">
        <v>36</v>
      </c>
      <c r="AO17" s="20"/>
      <c r="AP17" s="20"/>
      <c r="AQ17" s="20"/>
      <c r="AR17" s="18"/>
      <c r="BE17" s="452"/>
      <c r="BS17" s="15" t="s">
        <v>37</v>
      </c>
    </row>
    <row r="18" spans="1:71" s="1" customFormat="1" ht="6.9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452"/>
      <c r="BS18" s="15" t="s">
        <v>6</v>
      </c>
    </row>
    <row r="19" spans="1:71" s="1" customFormat="1" ht="12" customHeight="1">
      <c r="B19" s="19"/>
      <c r="C19" s="20"/>
      <c r="D19" s="27" t="s">
        <v>38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34</v>
      </c>
      <c r="AO19" s="20"/>
      <c r="AP19" s="20"/>
      <c r="AQ19" s="20"/>
      <c r="AR19" s="18"/>
      <c r="BE19" s="452"/>
      <c r="BS19" s="15" t="s">
        <v>6</v>
      </c>
    </row>
    <row r="20" spans="1:71" s="1" customFormat="1" ht="18.45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29</v>
      </c>
      <c r="AL20" s="20"/>
      <c r="AM20" s="20"/>
      <c r="AN20" s="25" t="s">
        <v>36</v>
      </c>
      <c r="AO20" s="20"/>
      <c r="AP20" s="20"/>
      <c r="AQ20" s="20"/>
      <c r="AR20" s="18"/>
      <c r="BE20" s="452"/>
      <c r="BS20" s="15" t="s">
        <v>4</v>
      </c>
    </row>
    <row r="21" spans="1:71" s="1" customFormat="1" ht="6.9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452"/>
    </row>
    <row r="22" spans="1:71" s="1" customFormat="1" ht="12" customHeight="1">
      <c r="B22" s="19"/>
      <c r="C22" s="20"/>
      <c r="D22" s="27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452"/>
    </row>
    <row r="23" spans="1:71" s="1" customFormat="1" ht="47.25" customHeight="1">
      <c r="B23" s="19"/>
      <c r="C23" s="20"/>
      <c r="D23" s="20"/>
      <c r="E23" s="459" t="s">
        <v>40</v>
      </c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20"/>
      <c r="AP23" s="20"/>
      <c r="AQ23" s="20"/>
      <c r="AR23" s="18"/>
      <c r="BE23" s="452"/>
    </row>
    <row r="24" spans="1:71" s="1" customFormat="1" ht="6.9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452"/>
    </row>
    <row r="25" spans="1:71" s="1" customFormat="1" ht="6.9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452"/>
    </row>
    <row r="26" spans="1:71" s="2" customFormat="1" ht="25.95" customHeight="1">
      <c r="A26" s="32"/>
      <c r="B26" s="33"/>
      <c r="C26" s="34"/>
      <c r="D26" s="35" t="s">
        <v>41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460">
        <f>ROUND(AG54,2)</f>
        <v>0</v>
      </c>
      <c r="AL26" s="461"/>
      <c r="AM26" s="461"/>
      <c r="AN26" s="461"/>
      <c r="AO26" s="461"/>
      <c r="AP26" s="34"/>
      <c r="AQ26" s="34"/>
      <c r="AR26" s="37"/>
      <c r="BE26" s="452"/>
    </row>
    <row r="27" spans="1:71" s="2" customFormat="1" ht="6.9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452"/>
    </row>
    <row r="28" spans="1:71" s="2" customFormat="1" ht="13.2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462" t="s">
        <v>42</v>
      </c>
      <c r="M28" s="462"/>
      <c r="N28" s="462"/>
      <c r="O28" s="462"/>
      <c r="P28" s="462"/>
      <c r="Q28" s="34"/>
      <c r="R28" s="34"/>
      <c r="S28" s="34"/>
      <c r="T28" s="34"/>
      <c r="U28" s="34"/>
      <c r="V28" s="34"/>
      <c r="W28" s="462" t="s">
        <v>43</v>
      </c>
      <c r="X28" s="462"/>
      <c r="Y28" s="462"/>
      <c r="Z28" s="462"/>
      <c r="AA28" s="462"/>
      <c r="AB28" s="462"/>
      <c r="AC28" s="462"/>
      <c r="AD28" s="462"/>
      <c r="AE28" s="462"/>
      <c r="AF28" s="34"/>
      <c r="AG28" s="34"/>
      <c r="AH28" s="34"/>
      <c r="AI28" s="34"/>
      <c r="AJ28" s="34"/>
      <c r="AK28" s="462" t="s">
        <v>44</v>
      </c>
      <c r="AL28" s="462"/>
      <c r="AM28" s="462"/>
      <c r="AN28" s="462"/>
      <c r="AO28" s="462"/>
      <c r="AP28" s="34"/>
      <c r="AQ28" s="34"/>
      <c r="AR28" s="37"/>
      <c r="BE28" s="452"/>
    </row>
    <row r="29" spans="1:71" s="3" customFormat="1" ht="14.4" customHeight="1">
      <c r="B29" s="38"/>
      <c r="C29" s="39"/>
      <c r="D29" s="27" t="s">
        <v>45</v>
      </c>
      <c r="E29" s="39"/>
      <c r="F29" s="27" t="s">
        <v>46</v>
      </c>
      <c r="G29" s="39"/>
      <c r="H29" s="39"/>
      <c r="I29" s="39"/>
      <c r="J29" s="39"/>
      <c r="K29" s="39"/>
      <c r="L29" s="446">
        <v>0.21</v>
      </c>
      <c r="M29" s="445"/>
      <c r="N29" s="445"/>
      <c r="O29" s="445"/>
      <c r="P29" s="445"/>
      <c r="Q29" s="39"/>
      <c r="R29" s="39"/>
      <c r="S29" s="39"/>
      <c r="T29" s="39"/>
      <c r="U29" s="39"/>
      <c r="V29" s="39"/>
      <c r="W29" s="444">
        <f>ROUND(AZ54, 2)</f>
        <v>0</v>
      </c>
      <c r="X29" s="445"/>
      <c r="Y29" s="445"/>
      <c r="Z29" s="445"/>
      <c r="AA29" s="445"/>
      <c r="AB29" s="445"/>
      <c r="AC29" s="445"/>
      <c r="AD29" s="445"/>
      <c r="AE29" s="445"/>
      <c r="AF29" s="39"/>
      <c r="AG29" s="39"/>
      <c r="AH29" s="39"/>
      <c r="AI29" s="39"/>
      <c r="AJ29" s="39"/>
      <c r="AK29" s="444">
        <f>ROUND(AV54, 2)</f>
        <v>0</v>
      </c>
      <c r="AL29" s="445"/>
      <c r="AM29" s="445"/>
      <c r="AN29" s="445"/>
      <c r="AO29" s="445"/>
      <c r="AP29" s="39"/>
      <c r="AQ29" s="39"/>
      <c r="AR29" s="40"/>
      <c r="BE29" s="453"/>
    </row>
    <row r="30" spans="1:71" s="3" customFormat="1" ht="14.4" customHeight="1">
      <c r="B30" s="38"/>
      <c r="C30" s="39"/>
      <c r="D30" s="39"/>
      <c r="E30" s="39"/>
      <c r="F30" s="27" t="s">
        <v>47</v>
      </c>
      <c r="G30" s="39"/>
      <c r="H30" s="39"/>
      <c r="I30" s="39"/>
      <c r="J30" s="39"/>
      <c r="K30" s="39"/>
      <c r="L30" s="446">
        <v>0.15</v>
      </c>
      <c r="M30" s="445"/>
      <c r="N30" s="445"/>
      <c r="O30" s="445"/>
      <c r="P30" s="445"/>
      <c r="Q30" s="39"/>
      <c r="R30" s="39"/>
      <c r="S30" s="39"/>
      <c r="T30" s="39"/>
      <c r="U30" s="39"/>
      <c r="V30" s="39"/>
      <c r="W30" s="444">
        <f>ROUND(BA54, 2)</f>
        <v>0</v>
      </c>
      <c r="X30" s="445"/>
      <c r="Y30" s="445"/>
      <c r="Z30" s="445"/>
      <c r="AA30" s="445"/>
      <c r="AB30" s="445"/>
      <c r="AC30" s="445"/>
      <c r="AD30" s="445"/>
      <c r="AE30" s="445"/>
      <c r="AF30" s="39"/>
      <c r="AG30" s="39"/>
      <c r="AH30" s="39"/>
      <c r="AI30" s="39"/>
      <c r="AJ30" s="39"/>
      <c r="AK30" s="444">
        <f>ROUND(AW54, 2)</f>
        <v>0</v>
      </c>
      <c r="AL30" s="445"/>
      <c r="AM30" s="445"/>
      <c r="AN30" s="445"/>
      <c r="AO30" s="445"/>
      <c r="AP30" s="39"/>
      <c r="AQ30" s="39"/>
      <c r="AR30" s="40"/>
      <c r="BE30" s="453"/>
    </row>
    <row r="31" spans="1:71" s="3" customFormat="1" ht="14.4" hidden="1" customHeight="1">
      <c r="B31" s="38"/>
      <c r="C31" s="39"/>
      <c r="D31" s="39"/>
      <c r="E31" s="39"/>
      <c r="F31" s="27" t="s">
        <v>48</v>
      </c>
      <c r="G31" s="39"/>
      <c r="H31" s="39"/>
      <c r="I31" s="39"/>
      <c r="J31" s="39"/>
      <c r="K31" s="39"/>
      <c r="L31" s="446">
        <v>0.21</v>
      </c>
      <c r="M31" s="445"/>
      <c r="N31" s="445"/>
      <c r="O31" s="445"/>
      <c r="P31" s="445"/>
      <c r="Q31" s="39"/>
      <c r="R31" s="39"/>
      <c r="S31" s="39"/>
      <c r="T31" s="39"/>
      <c r="U31" s="39"/>
      <c r="V31" s="39"/>
      <c r="W31" s="444">
        <f>ROUND(BB54, 2)</f>
        <v>0</v>
      </c>
      <c r="X31" s="445"/>
      <c r="Y31" s="445"/>
      <c r="Z31" s="445"/>
      <c r="AA31" s="445"/>
      <c r="AB31" s="445"/>
      <c r="AC31" s="445"/>
      <c r="AD31" s="445"/>
      <c r="AE31" s="445"/>
      <c r="AF31" s="39"/>
      <c r="AG31" s="39"/>
      <c r="AH31" s="39"/>
      <c r="AI31" s="39"/>
      <c r="AJ31" s="39"/>
      <c r="AK31" s="444">
        <v>0</v>
      </c>
      <c r="AL31" s="445"/>
      <c r="AM31" s="445"/>
      <c r="AN31" s="445"/>
      <c r="AO31" s="445"/>
      <c r="AP31" s="39"/>
      <c r="AQ31" s="39"/>
      <c r="AR31" s="40"/>
      <c r="BE31" s="453"/>
    </row>
    <row r="32" spans="1:71" s="3" customFormat="1" ht="14.4" hidden="1" customHeight="1">
      <c r="B32" s="38"/>
      <c r="C32" s="39"/>
      <c r="D32" s="39"/>
      <c r="E32" s="39"/>
      <c r="F32" s="27" t="s">
        <v>49</v>
      </c>
      <c r="G32" s="39"/>
      <c r="H32" s="39"/>
      <c r="I32" s="39"/>
      <c r="J32" s="39"/>
      <c r="K32" s="39"/>
      <c r="L32" s="446">
        <v>0.15</v>
      </c>
      <c r="M32" s="445"/>
      <c r="N32" s="445"/>
      <c r="O32" s="445"/>
      <c r="P32" s="445"/>
      <c r="Q32" s="39"/>
      <c r="R32" s="39"/>
      <c r="S32" s="39"/>
      <c r="T32" s="39"/>
      <c r="U32" s="39"/>
      <c r="V32" s="39"/>
      <c r="W32" s="444">
        <f>ROUND(BC54, 2)</f>
        <v>0</v>
      </c>
      <c r="X32" s="445"/>
      <c r="Y32" s="445"/>
      <c r="Z32" s="445"/>
      <c r="AA32" s="445"/>
      <c r="AB32" s="445"/>
      <c r="AC32" s="445"/>
      <c r="AD32" s="445"/>
      <c r="AE32" s="445"/>
      <c r="AF32" s="39"/>
      <c r="AG32" s="39"/>
      <c r="AH32" s="39"/>
      <c r="AI32" s="39"/>
      <c r="AJ32" s="39"/>
      <c r="AK32" s="444">
        <v>0</v>
      </c>
      <c r="AL32" s="445"/>
      <c r="AM32" s="445"/>
      <c r="AN32" s="445"/>
      <c r="AO32" s="445"/>
      <c r="AP32" s="39"/>
      <c r="AQ32" s="39"/>
      <c r="AR32" s="40"/>
      <c r="BE32" s="453"/>
    </row>
    <row r="33" spans="1:57" s="3" customFormat="1" ht="14.4" hidden="1" customHeight="1">
      <c r="B33" s="38"/>
      <c r="C33" s="39"/>
      <c r="D33" s="39"/>
      <c r="E33" s="39"/>
      <c r="F33" s="27" t="s">
        <v>50</v>
      </c>
      <c r="G33" s="39"/>
      <c r="H33" s="39"/>
      <c r="I33" s="39"/>
      <c r="J33" s="39"/>
      <c r="K33" s="39"/>
      <c r="L33" s="446">
        <v>0</v>
      </c>
      <c r="M33" s="445"/>
      <c r="N33" s="445"/>
      <c r="O33" s="445"/>
      <c r="P33" s="445"/>
      <c r="Q33" s="39"/>
      <c r="R33" s="39"/>
      <c r="S33" s="39"/>
      <c r="T33" s="39"/>
      <c r="U33" s="39"/>
      <c r="V33" s="39"/>
      <c r="W33" s="444">
        <f>ROUND(BD54, 2)</f>
        <v>0</v>
      </c>
      <c r="X33" s="445"/>
      <c r="Y33" s="445"/>
      <c r="Z33" s="445"/>
      <c r="AA33" s="445"/>
      <c r="AB33" s="445"/>
      <c r="AC33" s="445"/>
      <c r="AD33" s="445"/>
      <c r="AE33" s="445"/>
      <c r="AF33" s="39"/>
      <c r="AG33" s="39"/>
      <c r="AH33" s="39"/>
      <c r="AI33" s="39"/>
      <c r="AJ33" s="39"/>
      <c r="AK33" s="444">
        <v>0</v>
      </c>
      <c r="AL33" s="445"/>
      <c r="AM33" s="445"/>
      <c r="AN33" s="445"/>
      <c r="AO33" s="445"/>
      <c r="AP33" s="39"/>
      <c r="AQ33" s="39"/>
      <c r="AR33" s="40"/>
    </row>
    <row r="34" spans="1:57" s="2" customFormat="1" ht="6.9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5" customHeight="1">
      <c r="A35" s="32"/>
      <c r="B35" s="33"/>
      <c r="C35" s="41"/>
      <c r="D35" s="42" t="s">
        <v>51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52</v>
      </c>
      <c r="U35" s="43"/>
      <c r="V35" s="43"/>
      <c r="W35" s="43"/>
      <c r="X35" s="450" t="s">
        <v>53</v>
      </c>
      <c r="Y35" s="448"/>
      <c r="Z35" s="448"/>
      <c r="AA35" s="448"/>
      <c r="AB35" s="448"/>
      <c r="AC35" s="43"/>
      <c r="AD35" s="43"/>
      <c r="AE35" s="43"/>
      <c r="AF35" s="43"/>
      <c r="AG35" s="43"/>
      <c r="AH35" s="43"/>
      <c r="AI35" s="43"/>
      <c r="AJ35" s="43"/>
      <c r="AK35" s="447">
        <f>SUM(AK26:AK33)</f>
        <v>0</v>
      </c>
      <c r="AL35" s="448"/>
      <c r="AM35" s="448"/>
      <c r="AN35" s="448"/>
      <c r="AO35" s="449"/>
      <c r="AP35" s="41"/>
      <c r="AQ35" s="41"/>
      <c r="AR35" s="37"/>
      <c r="BE35" s="32"/>
    </row>
    <row r="36" spans="1:57" s="2" customFormat="1" ht="6.9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" customHeight="1">
      <c r="A42" s="32"/>
      <c r="B42" s="33"/>
      <c r="C42" s="21" t="s">
        <v>54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19-043-150NCI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465" t="str">
        <f>K6</f>
        <v>Komplexní klimatizace v objektu MZe Ústí nad Labem</v>
      </c>
      <c r="M45" s="466"/>
      <c r="N45" s="466"/>
      <c r="O45" s="466"/>
      <c r="P45" s="466"/>
      <c r="Q45" s="466"/>
      <c r="R45" s="466"/>
      <c r="S45" s="466"/>
      <c r="T45" s="466"/>
      <c r="U45" s="466"/>
      <c r="V45" s="466"/>
      <c r="W45" s="466"/>
      <c r="X45" s="466"/>
      <c r="Y45" s="466"/>
      <c r="Z45" s="466"/>
      <c r="AA45" s="466"/>
      <c r="AB45" s="466"/>
      <c r="AC45" s="466"/>
      <c r="AD45" s="466"/>
      <c r="AE45" s="466"/>
      <c r="AF45" s="466"/>
      <c r="AG45" s="466"/>
      <c r="AH45" s="466"/>
      <c r="AI45" s="466"/>
      <c r="AJ45" s="466"/>
      <c r="AK45" s="466"/>
      <c r="AL45" s="466"/>
      <c r="AM45" s="466"/>
      <c r="AN45" s="466"/>
      <c r="AO45" s="466"/>
      <c r="AP45" s="54"/>
      <c r="AQ45" s="54"/>
      <c r="AR45" s="55"/>
    </row>
    <row r="46" spans="1:57" s="2" customFormat="1" ht="6.9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7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Ústí nad Labem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23</v>
      </c>
      <c r="AJ47" s="34"/>
      <c r="AK47" s="34"/>
      <c r="AL47" s="34"/>
      <c r="AM47" s="467" t="str">
        <f>IF(AN8= "","",AN8)</f>
        <v>21. 2. 2020</v>
      </c>
      <c r="AN47" s="467"/>
      <c r="AO47" s="34"/>
      <c r="AP47" s="34"/>
      <c r="AQ47" s="34"/>
      <c r="AR47" s="37"/>
      <c r="BE47" s="32"/>
    </row>
    <row r="48" spans="1:57" s="2" customFormat="1" ht="6.9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1" s="2" customFormat="1" ht="25.65" customHeight="1">
      <c r="A49" s="32"/>
      <c r="B49" s="33"/>
      <c r="C49" s="27" t="s">
        <v>25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Česká republika - Ministerstvo zemědělství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33</v>
      </c>
      <c r="AJ49" s="34"/>
      <c r="AK49" s="34"/>
      <c r="AL49" s="34"/>
      <c r="AM49" s="468" t="str">
        <f>IF(E17="","",E17)</f>
        <v>NCI.CZ ENGINEERING s.r.o.</v>
      </c>
      <c r="AN49" s="469"/>
      <c r="AO49" s="469"/>
      <c r="AP49" s="469"/>
      <c r="AQ49" s="34"/>
      <c r="AR49" s="37"/>
      <c r="AS49" s="473" t="s">
        <v>55</v>
      </c>
      <c r="AT49" s="474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1" s="2" customFormat="1" ht="25.65" customHeight="1">
      <c r="A50" s="32"/>
      <c r="B50" s="33"/>
      <c r="C50" s="27" t="s">
        <v>31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38</v>
      </c>
      <c r="AJ50" s="34"/>
      <c r="AK50" s="34"/>
      <c r="AL50" s="34"/>
      <c r="AM50" s="468" t="str">
        <f>IF(E20="","",E20)</f>
        <v>NCI.CZ ENGINEERING s.r.o.</v>
      </c>
      <c r="AN50" s="469"/>
      <c r="AO50" s="469"/>
      <c r="AP50" s="469"/>
      <c r="AQ50" s="34"/>
      <c r="AR50" s="37"/>
      <c r="AS50" s="475"/>
      <c r="AT50" s="476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1" s="2" customFormat="1" ht="10.95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477"/>
      <c r="AT51" s="478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1" s="2" customFormat="1" ht="29.25" customHeight="1">
      <c r="A52" s="32"/>
      <c r="B52" s="33"/>
      <c r="C52" s="479" t="s">
        <v>56</v>
      </c>
      <c r="D52" s="480"/>
      <c r="E52" s="480"/>
      <c r="F52" s="480"/>
      <c r="G52" s="480"/>
      <c r="H52" s="64"/>
      <c r="I52" s="482" t="s">
        <v>57</v>
      </c>
      <c r="J52" s="480"/>
      <c r="K52" s="480"/>
      <c r="L52" s="480"/>
      <c r="M52" s="480"/>
      <c r="N52" s="480"/>
      <c r="O52" s="480"/>
      <c r="P52" s="480"/>
      <c r="Q52" s="480"/>
      <c r="R52" s="480"/>
      <c r="S52" s="480"/>
      <c r="T52" s="480"/>
      <c r="U52" s="480"/>
      <c r="V52" s="480"/>
      <c r="W52" s="480"/>
      <c r="X52" s="480"/>
      <c r="Y52" s="480"/>
      <c r="Z52" s="480"/>
      <c r="AA52" s="480"/>
      <c r="AB52" s="480"/>
      <c r="AC52" s="480"/>
      <c r="AD52" s="480"/>
      <c r="AE52" s="480"/>
      <c r="AF52" s="480"/>
      <c r="AG52" s="481" t="s">
        <v>58</v>
      </c>
      <c r="AH52" s="480"/>
      <c r="AI52" s="480"/>
      <c r="AJ52" s="480"/>
      <c r="AK52" s="480"/>
      <c r="AL52" s="480"/>
      <c r="AM52" s="480"/>
      <c r="AN52" s="482" t="s">
        <v>59</v>
      </c>
      <c r="AO52" s="480"/>
      <c r="AP52" s="480"/>
      <c r="AQ52" s="65" t="s">
        <v>60</v>
      </c>
      <c r="AR52" s="37"/>
      <c r="AS52" s="66" t="s">
        <v>61</v>
      </c>
      <c r="AT52" s="67" t="s">
        <v>62</v>
      </c>
      <c r="AU52" s="67" t="s">
        <v>63</v>
      </c>
      <c r="AV52" s="67" t="s">
        <v>64</v>
      </c>
      <c r="AW52" s="67" t="s">
        <v>65</v>
      </c>
      <c r="AX52" s="67" t="s">
        <v>66</v>
      </c>
      <c r="AY52" s="67" t="s">
        <v>67</v>
      </c>
      <c r="AZ52" s="67" t="s">
        <v>68</v>
      </c>
      <c r="BA52" s="67" t="s">
        <v>69</v>
      </c>
      <c r="BB52" s="67" t="s">
        <v>70</v>
      </c>
      <c r="BC52" s="67" t="s">
        <v>71</v>
      </c>
      <c r="BD52" s="68" t="s">
        <v>72</v>
      </c>
      <c r="BE52" s="32"/>
    </row>
    <row r="53" spans="1:91" s="2" customFormat="1" ht="10.95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1" s="6" customFormat="1" ht="32.4" customHeight="1">
      <c r="B54" s="72"/>
      <c r="C54" s="73" t="s">
        <v>73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470">
        <f>ROUND(SUM(AG55:AG58),2)</f>
        <v>0</v>
      </c>
      <c r="AH54" s="470"/>
      <c r="AI54" s="470"/>
      <c r="AJ54" s="470"/>
      <c r="AK54" s="470"/>
      <c r="AL54" s="470"/>
      <c r="AM54" s="470"/>
      <c r="AN54" s="471">
        <f>SUM(AG54,AT54)</f>
        <v>0</v>
      </c>
      <c r="AO54" s="471"/>
      <c r="AP54" s="471"/>
      <c r="AQ54" s="76" t="s">
        <v>19</v>
      </c>
      <c r="AR54" s="77"/>
      <c r="AS54" s="78">
        <f>ROUND(SUM(AS55:AS58),2)</f>
        <v>0</v>
      </c>
      <c r="AT54" s="79">
        <f>ROUND(SUM(AV54:AW54),2)</f>
        <v>0</v>
      </c>
      <c r="AU54" s="80">
        <f>ROUND(SUM(AU55:AU58),5)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ROUND(SUM(AZ55:AZ58),2)</f>
        <v>0</v>
      </c>
      <c r="BA54" s="79">
        <f>ROUND(SUM(BA55:BA58),2)</f>
        <v>0</v>
      </c>
      <c r="BB54" s="79">
        <f>ROUND(SUM(BB55:BB58),2)</f>
        <v>0</v>
      </c>
      <c r="BC54" s="79">
        <f>ROUND(SUM(BC55:BC58),2)</f>
        <v>0</v>
      </c>
      <c r="BD54" s="81">
        <f>ROUND(SUM(BD55:BD58),2)</f>
        <v>0</v>
      </c>
      <c r="BS54" s="82" t="s">
        <v>74</v>
      </c>
      <c r="BT54" s="82" t="s">
        <v>75</v>
      </c>
      <c r="BU54" s="83" t="s">
        <v>76</v>
      </c>
      <c r="BV54" s="82" t="s">
        <v>77</v>
      </c>
      <c r="BW54" s="82" t="s">
        <v>5</v>
      </c>
      <c r="BX54" s="82" t="s">
        <v>78</v>
      </c>
      <c r="CL54" s="82" t="s">
        <v>19</v>
      </c>
    </row>
    <row r="55" spans="1:91" s="7" customFormat="1" ht="16.5" customHeight="1">
      <c r="A55" s="84" t="s">
        <v>79</v>
      </c>
      <c r="B55" s="85"/>
      <c r="C55" s="86"/>
      <c r="D55" s="472" t="s">
        <v>80</v>
      </c>
      <c r="E55" s="472"/>
      <c r="F55" s="472"/>
      <c r="G55" s="472"/>
      <c r="H55" s="472"/>
      <c r="I55" s="87"/>
      <c r="J55" s="472" t="s">
        <v>81</v>
      </c>
      <c r="K55" s="472"/>
      <c r="L55" s="472"/>
      <c r="M55" s="472"/>
      <c r="N55" s="472"/>
      <c r="O55" s="472"/>
      <c r="P55" s="472"/>
      <c r="Q55" s="472"/>
      <c r="R55" s="472"/>
      <c r="S55" s="472"/>
      <c r="T55" s="472"/>
      <c r="U55" s="472"/>
      <c r="V55" s="472"/>
      <c r="W55" s="472"/>
      <c r="X55" s="472"/>
      <c r="Y55" s="472"/>
      <c r="Z55" s="472"/>
      <c r="AA55" s="472"/>
      <c r="AB55" s="472"/>
      <c r="AC55" s="472"/>
      <c r="AD55" s="472"/>
      <c r="AE55" s="472"/>
      <c r="AF55" s="472"/>
      <c r="AG55" s="463">
        <f>'D.1.1 - Architektonicko s...'!J30</f>
        <v>0</v>
      </c>
      <c r="AH55" s="464"/>
      <c r="AI55" s="464"/>
      <c r="AJ55" s="464"/>
      <c r="AK55" s="464"/>
      <c r="AL55" s="464"/>
      <c r="AM55" s="464"/>
      <c r="AN55" s="463">
        <f>SUM(AG55,AT55)</f>
        <v>0</v>
      </c>
      <c r="AO55" s="464"/>
      <c r="AP55" s="464"/>
      <c r="AQ55" s="88" t="s">
        <v>82</v>
      </c>
      <c r="AR55" s="89"/>
      <c r="AS55" s="90">
        <v>0</v>
      </c>
      <c r="AT55" s="91">
        <f>ROUND(SUM(AV55:AW55),2)</f>
        <v>0</v>
      </c>
      <c r="AU55" s="92">
        <f>'D.1.1 - Architektonicko s...'!P81</f>
        <v>0</v>
      </c>
      <c r="AV55" s="91">
        <f>'D.1.1 - Architektonicko s...'!J33</f>
        <v>0</v>
      </c>
      <c r="AW55" s="91">
        <f>'D.1.1 - Architektonicko s...'!J34</f>
        <v>0</v>
      </c>
      <c r="AX55" s="91">
        <f>'D.1.1 - Architektonicko s...'!J35</f>
        <v>0</v>
      </c>
      <c r="AY55" s="91">
        <f>'D.1.1 - Architektonicko s...'!J36</f>
        <v>0</v>
      </c>
      <c r="AZ55" s="91">
        <f>'D.1.1 - Architektonicko s...'!F33</f>
        <v>0</v>
      </c>
      <c r="BA55" s="91">
        <f>'D.1.1 - Architektonicko s...'!F34</f>
        <v>0</v>
      </c>
      <c r="BB55" s="91">
        <f>'D.1.1 - Architektonicko s...'!F35</f>
        <v>0</v>
      </c>
      <c r="BC55" s="91">
        <f>'D.1.1 - Architektonicko s...'!F36</f>
        <v>0</v>
      </c>
      <c r="BD55" s="93">
        <f>'D.1.1 - Architektonicko s...'!F37</f>
        <v>0</v>
      </c>
      <c r="BT55" s="94" t="s">
        <v>83</v>
      </c>
      <c r="BV55" s="94" t="s">
        <v>77</v>
      </c>
      <c r="BW55" s="94" t="s">
        <v>84</v>
      </c>
      <c r="BX55" s="94" t="s">
        <v>5</v>
      </c>
      <c r="CL55" s="94" t="s">
        <v>19</v>
      </c>
      <c r="CM55" s="94" t="s">
        <v>85</v>
      </c>
    </row>
    <row r="56" spans="1:91" s="7" customFormat="1" ht="16.5" customHeight="1">
      <c r="A56" s="84" t="s">
        <v>79</v>
      </c>
      <c r="B56" s="85"/>
      <c r="C56" s="86"/>
      <c r="D56" s="472" t="s">
        <v>86</v>
      </c>
      <c r="E56" s="472"/>
      <c r="F56" s="472"/>
      <c r="G56" s="472"/>
      <c r="H56" s="472"/>
      <c r="I56" s="87"/>
      <c r="J56" s="472" t="s">
        <v>87</v>
      </c>
      <c r="K56" s="472"/>
      <c r="L56" s="472"/>
      <c r="M56" s="472"/>
      <c r="N56" s="472"/>
      <c r="O56" s="472"/>
      <c r="P56" s="472"/>
      <c r="Q56" s="472"/>
      <c r="R56" s="472"/>
      <c r="S56" s="472"/>
      <c r="T56" s="472"/>
      <c r="U56" s="472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463">
        <f>'D.1.4.1 - Klimatizace'!J30</f>
        <v>0</v>
      </c>
      <c r="AH56" s="464"/>
      <c r="AI56" s="464"/>
      <c r="AJ56" s="464"/>
      <c r="AK56" s="464"/>
      <c r="AL56" s="464"/>
      <c r="AM56" s="464"/>
      <c r="AN56" s="463">
        <f>SUM(AG56,AT56)</f>
        <v>0</v>
      </c>
      <c r="AO56" s="464"/>
      <c r="AP56" s="464"/>
      <c r="AQ56" s="88" t="s">
        <v>82</v>
      </c>
      <c r="AR56" s="89"/>
      <c r="AS56" s="90">
        <v>0</v>
      </c>
      <c r="AT56" s="91">
        <f>ROUND(SUM(AV56:AW56),2)</f>
        <v>0</v>
      </c>
      <c r="AU56" s="92">
        <f>'D.1.4.1 - Klimatizace'!P81</f>
        <v>0</v>
      </c>
      <c r="AV56" s="91">
        <f>'D.1.4.1 - Klimatizace'!J33</f>
        <v>0</v>
      </c>
      <c r="AW56" s="91">
        <f>'D.1.4.1 - Klimatizace'!J34</f>
        <v>0</v>
      </c>
      <c r="AX56" s="91">
        <f>'D.1.4.1 - Klimatizace'!J35</f>
        <v>0</v>
      </c>
      <c r="AY56" s="91">
        <f>'D.1.4.1 - Klimatizace'!J36</f>
        <v>0</v>
      </c>
      <c r="AZ56" s="91">
        <f>'D.1.4.1 - Klimatizace'!F33</f>
        <v>0</v>
      </c>
      <c r="BA56" s="91">
        <f>'D.1.4.1 - Klimatizace'!F34</f>
        <v>0</v>
      </c>
      <c r="BB56" s="91">
        <f>'D.1.4.1 - Klimatizace'!F35</f>
        <v>0</v>
      </c>
      <c r="BC56" s="91">
        <f>'D.1.4.1 - Klimatizace'!F36</f>
        <v>0</v>
      </c>
      <c r="BD56" s="93">
        <f>'D.1.4.1 - Klimatizace'!F37</f>
        <v>0</v>
      </c>
      <c r="BT56" s="94" t="s">
        <v>83</v>
      </c>
      <c r="BV56" s="94" t="s">
        <v>77</v>
      </c>
      <c r="BW56" s="94" t="s">
        <v>88</v>
      </c>
      <c r="BX56" s="94" t="s">
        <v>5</v>
      </c>
      <c r="CL56" s="94" t="s">
        <v>19</v>
      </c>
      <c r="CM56" s="94" t="s">
        <v>85</v>
      </c>
    </row>
    <row r="57" spans="1:91" s="7" customFormat="1" ht="16.5" customHeight="1">
      <c r="A57" s="84" t="s">
        <v>79</v>
      </c>
      <c r="B57" s="85"/>
      <c r="C57" s="86"/>
      <c r="D57" s="472" t="s">
        <v>89</v>
      </c>
      <c r="E57" s="472"/>
      <c r="F57" s="472"/>
      <c r="G57" s="472"/>
      <c r="H57" s="472"/>
      <c r="I57" s="87"/>
      <c r="J57" s="472" t="s">
        <v>90</v>
      </c>
      <c r="K57" s="472"/>
      <c r="L57" s="472"/>
      <c r="M57" s="472"/>
      <c r="N57" s="472"/>
      <c r="O57" s="472"/>
      <c r="P57" s="472"/>
      <c r="Q57" s="472"/>
      <c r="R57" s="472"/>
      <c r="S57" s="472"/>
      <c r="T57" s="472"/>
      <c r="U57" s="472"/>
      <c r="V57" s="472"/>
      <c r="W57" s="472"/>
      <c r="X57" s="472"/>
      <c r="Y57" s="472"/>
      <c r="Z57" s="472"/>
      <c r="AA57" s="472"/>
      <c r="AB57" s="472"/>
      <c r="AC57" s="472"/>
      <c r="AD57" s="472"/>
      <c r="AE57" s="472"/>
      <c r="AF57" s="472"/>
      <c r="AG57" s="463">
        <f>'D.1.4.2 - Zařízení silnop...'!J30</f>
        <v>0</v>
      </c>
      <c r="AH57" s="464"/>
      <c r="AI57" s="464"/>
      <c r="AJ57" s="464"/>
      <c r="AK57" s="464"/>
      <c r="AL57" s="464"/>
      <c r="AM57" s="464"/>
      <c r="AN57" s="463">
        <f>SUM(AG57,AT57)</f>
        <v>0</v>
      </c>
      <c r="AO57" s="464"/>
      <c r="AP57" s="464"/>
      <c r="AQ57" s="88" t="s">
        <v>82</v>
      </c>
      <c r="AR57" s="89"/>
      <c r="AS57" s="90">
        <v>0</v>
      </c>
      <c r="AT57" s="91">
        <f>ROUND(SUM(AV57:AW57),2)</f>
        <v>0</v>
      </c>
      <c r="AU57" s="92">
        <f>'D.1.4.2 - Zařízení silnop...'!P81</f>
        <v>0</v>
      </c>
      <c r="AV57" s="91">
        <f>'D.1.4.2 - Zařízení silnop...'!J33</f>
        <v>0</v>
      </c>
      <c r="AW57" s="91">
        <f>'D.1.4.2 - Zařízení silnop...'!J34</f>
        <v>0</v>
      </c>
      <c r="AX57" s="91">
        <f>'D.1.4.2 - Zařízení silnop...'!J35</f>
        <v>0</v>
      </c>
      <c r="AY57" s="91">
        <f>'D.1.4.2 - Zařízení silnop...'!J36</f>
        <v>0</v>
      </c>
      <c r="AZ57" s="91">
        <f>'D.1.4.2 - Zařízení silnop...'!F33</f>
        <v>0</v>
      </c>
      <c r="BA57" s="91">
        <f>'D.1.4.2 - Zařízení silnop...'!F34</f>
        <v>0</v>
      </c>
      <c r="BB57" s="91">
        <f>'D.1.4.2 - Zařízení silnop...'!F35</f>
        <v>0</v>
      </c>
      <c r="BC57" s="91">
        <f>'D.1.4.2 - Zařízení silnop...'!F36</f>
        <v>0</v>
      </c>
      <c r="BD57" s="93">
        <f>'D.1.4.2 - Zařízení silnop...'!F37</f>
        <v>0</v>
      </c>
      <c r="BT57" s="94" t="s">
        <v>83</v>
      </c>
      <c r="BV57" s="94" t="s">
        <v>77</v>
      </c>
      <c r="BW57" s="94" t="s">
        <v>91</v>
      </c>
      <c r="BX57" s="94" t="s">
        <v>5</v>
      </c>
      <c r="CL57" s="94" t="s">
        <v>19</v>
      </c>
      <c r="CM57" s="94" t="s">
        <v>85</v>
      </c>
    </row>
    <row r="58" spans="1:91" s="7" customFormat="1" ht="16.5" customHeight="1">
      <c r="A58" s="84" t="s">
        <v>79</v>
      </c>
      <c r="B58" s="85"/>
      <c r="C58" s="86"/>
      <c r="D58" s="472" t="s">
        <v>92</v>
      </c>
      <c r="E58" s="472"/>
      <c r="F58" s="472"/>
      <c r="G58" s="472"/>
      <c r="H58" s="472"/>
      <c r="I58" s="87"/>
      <c r="J58" s="472" t="s">
        <v>93</v>
      </c>
      <c r="K58" s="472"/>
      <c r="L58" s="472"/>
      <c r="M58" s="472"/>
      <c r="N58" s="472"/>
      <c r="O58" s="472"/>
      <c r="P58" s="472"/>
      <c r="Q58" s="472"/>
      <c r="R58" s="472"/>
      <c r="S58" s="472"/>
      <c r="T58" s="472"/>
      <c r="U58" s="472"/>
      <c r="V58" s="472"/>
      <c r="W58" s="472"/>
      <c r="X58" s="472"/>
      <c r="Y58" s="472"/>
      <c r="Z58" s="472"/>
      <c r="AA58" s="472"/>
      <c r="AB58" s="472"/>
      <c r="AC58" s="472"/>
      <c r="AD58" s="472"/>
      <c r="AE58" s="472"/>
      <c r="AF58" s="472"/>
      <c r="AG58" s="463">
        <f>'D.1.4.3 - Zdravotnětechni...'!J30</f>
        <v>0</v>
      </c>
      <c r="AH58" s="464"/>
      <c r="AI58" s="464"/>
      <c r="AJ58" s="464"/>
      <c r="AK58" s="464"/>
      <c r="AL58" s="464"/>
      <c r="AM58" s="464"/>
      <c r="AN58" s="463">
        <f>SUM(AG58,AT58)</f>
        <v>0</v>
      </c>
      <c r="AO58" s="464"/>
      <c r="AP58" s="464"/>
      <c r="AQ58" s="88" t="s">
        <v>82</v>
      </c>
      <c r="AR58" s="89"/>
      <c r="AS58" s="95">
        <v>0</v>
      </c>
      <c r="AT58" s="96">
        <f>ROUND(SUM(AV58:AW58),2)</f>
        <v>0</v>
      </c>
      <c r="AU58" s="97">
        <f>'D.1.4.3 - Zdravotnětechni...'!P81</f>
        <v>0</v>
      </c>
      <c r="AV58" s="96">
        <f>'D.1.4.3 - Zdravotnětechni...'!J33</f>
        <v>0</v>
      </c>
      <c r="AW58" s="96">
        <f>'D.1.4.3 - Zdravotnětechni...'!J34</f>
        <v>0</v>
      </c>
      <c r="AX58" s="96">
        <f>'D.1.4.3 - Zdravotnětechni...'!J35</f>
        <v>0</v>
      </c>
      <c r="AY58" s="96">
        <f>'D.1.4.3 - Zdravotnětechni...'!J36</f>
        <v>0</v>
      </c>
      <c r="AZ58" s="96">
        <f>'D.1.4.3 - Zdravotnětechni...'!F33</f>
        <v>0</v>
      </c>
      <c r="BA58" s="96">
        <f>'D.1.4.3 - Zdravotnětechni...'!F34</f>
        <v>0</v>
      </c>
      <c r="BB58" s="96">
        <f>'D.1.4.3 - Zdravotnětechni...'!F35</f>
        <v>0</v>
      </c>
      <c r="BC58" s="96">
        <f>'D.1.4.3 - Zdravotnětechni...'!F36</f>
        <v>0</v>
      </c>
      <c r="BD58" s="98">
        <f>'D.1.4.3 - Zdravotnětechni...'!F37</f>
        <v>0</v>
      </c>
      <c r="BT58" s="94" t="s">
        <v>83</v>
      </c>
      <c r="BV58" s="94" t="s">
        <v>77</v>
      </c>
      <c r="BW58" s="94" t="s">
        <v>94</v>
      </c>
      <c r="BX58" s="94" t="s">
        <v>5</v>
      </c>
      <c r="CL58" s="94" t="s">
        <v>19</v>
      </c>
      <c r="CM58" s="94" t="s">
        <v>85</v>
      </c>
    </row>
    <row r="59" spans="1:91" s="2" customFormat="1" ht="30" customHeight="1">
      <c r="A59" s="32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7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</row>
    <row r="60" spans="1:91" s="2" customFormat="1" ht="6.9" customHeight="1">
      <c r="A60" s="32"/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37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</row>
  </sheetData>
  <sheetProtection algorithmName="SHA-512" hashValue="Uw/NvKD5aUni2RcHOdK2vxgXXSEeXEF+ro9Py5hsXlHEdGtP22AdXOQd5KNBT6Jh/SdOGvkgtyGBtQufq5TM+g==" saltValue="GRszB8N/jXHEVB8dM3h7slspXwei/9+KtmUo6x5P95MK4XsTqx79F8eBjBQCXbbnSs+SbnmN8smLovUDPIHWLA==" spinCount="100000" sheet="1" objects="1" scenarios="1" formatColumns="0" formatRows="0"/>
  <mergeCells count="54">
    <mergeCell ref="AS49:AT51"/>
    <mergeCell ref="AM50:AP50"/>
    <mergeCell ref="C52:G52"/>
    <mergeCell ref="AG52:AM52"/>
    <mergeCell ref="I52:AF52"/>
    <mergeCell ref="AN52:AP52"/>
    <mergeCell ref="D58:H58"/>
    <mergeCell ref="J58:AF58"/>
    <mergeCell ref="AN57:AP57"/>
    <mergeCell ref="D57:H57"/>
    <mergeCell ref="J57:AF57"/>
    <mergeCell ref="AG57:AM57"/>
    <mergeCell ref="D56:H56"/>
    <mergeCell ref="AG56:AM56"/>
    <mergeCell ref="AN56:AP56"/>
    <mergeCell ref="D55:H55"/>
    <mergeCell ref="AG55:AM55"/>
    <mergeCell ref="J55:AF55"/>
    <mergeCell ref="AN55:AP55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G54:AM54"/>
    <mergeCell ref="AN54:AP54"/>
    <mergeCell ref="J56:AF56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D.1.1 - Architektonicko s...'!C2" display="/" xr:uid="{00000000-0004-0000-0000-000000000000}"/>
    <hyperlink ref="A56" location="'D.1.4.1 - Klimatizace'!C2" display="/" xr:uid="{00000000-0004-0000-0000-000001000000}"/>
    <hyperlink ref="A57" location="'D.1.4.2 - Zařízení silnop...'!C2" display="/" xr:uid="{00000000-0004-0000-0000-000002000000}"/>
    <hyperlink ref="A58" location="'D.1.4.3 - Zdravotnětechni...'!C2" display="/" xr:uid="{00000000-0004-0000-0000-000003000000}"/>
  </hyperlinks>
  <pageMargins left="0.25" right="0.25" top="0.75" bottom="0.75" header="0.3" footer="0.3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5"/>
  <sheetViews>
    <sheetView showGridLines="0" workbookViewId="0">
      <selection activeCell="I85" sqref="I8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9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9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AT2" s="15" t="s">
        <v>84</v>
      </c>
    </row>
    <row r="3" spans="1:46" s="1" customFormat="1" ht="6.9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8"/>
      <c r="AT3" s="15" t="s">
        <v>85</v>
      </c>
    </row>
    <row r="4" spans="1:46" s="1" customFormat="1" ht="24.9" customHeight="1">
      <c r="B4" s="18"/>
      <c r="D4" s="103" t="s">
        <v>95</v>
      </c>
      <c r="I4" s="99"/>
      <c r="L4" s="18"/>
      <c r="M4" s="104" t="s">
        <v>10</v>
      </c>
      <c r="AT4" s="15" t="s">
        <v>4</v>
      </c>
    </row>
    <row r="5" spans="1:46" s="1" customFormat="1" ht="6.9" customHeight="1">
      <c r="B5" s="18"/>
      <c r="I5" s="99"/>
      <c r="L5" s="18"/>
    </row>
    <row r="6" spans="1:46" s="1" customFormat="1" ht="12" customHeight="1">
      <c r="B6" s="18"/>
      <c r="D6" s="105" t="s">
        <v>16</v>
      </c>
      <c r="I6" s="99"/>
      <c r="L6" s="18"/>
    </row>
    <row r="7" spans="1:46" s="1" customFormat="1" ht="16.5" customHeight="1">
      <c r="B7" s="18"/>
      <c r="E7" s="486" t="str">
        <f>'Rekapitulace stavby'!K6</f>
        <v>Komplexní klimatizace v objektu MZe Ústí nad Labem</v>
      </c>
      <c r="F7" s="487"/>
      <c r="G7" s="487"/>
      <c r="H7" s="487"/>
      <c r="I7" s="99"/>
      <c r="L7" s="18"/>
    </row>
    <row r="8" spans="1:46" s="2" customFormat="1" ht="12" customHeight="1">
      <c r="A8" s="32"/>
      <c r="B8" s="37"/>
      <c r="C8" s="32"/>
      <c r="D8" s="105" t="s">
        <v>96</v>
      </c>
      <c r="E8" s="32"/>
      <c r="F8" s="32"/>
      <c r="G8" s="32"/>
      <c r="H8" s="32"/>
      <c r="I8" s="106"/>
      <c r="J8" s="32"/>
      <c r="K8" s="32"/>
      <c r="L8" s="10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488" t="s">
        <v>97</v>
      </c>
      <c r="F9" s="489"/>
      <c r="G9" s="489"/>
      <c r="H9" s="489"/>
      <c r="I9" s="106"/>
      <c r="J9" s="32"/>
      <c r="K9" s="32"/>
      <c r="L9" s="10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106"/>
      <c r="J10" s="32"/>
      <c r="K10" s="32"/>
      <c r="L10" s="10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5" t="s">
        <v>18</v>
      </c>
      <c r="E11" s="32"/>
      <c r="F11" s="108" t="s">
        <v>19</v>
      </c>
      <c r="G11" s="32"/>
      <c r="H11" s="32"/>
      <c r="I11" s="109" t="s">
        <v>20</v>
      </c>
      <c r="J11" s="108" t="s">
        <v>19</v>
      </c>
      <c r="K11" s="32"/>
      <c r="L11" s="10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5" t="s">
        <v>21</v>
      </c>
      <c r="E12" s="32"/>
      <c r="F12" s="108" t="s">
        <v>22</v>
      </c>
      <c r="G12" s="32"/>
      <c r="H12" s="32"/>
      <c r="I12" s="109" t="s">
        <v>23</v>
      </c>
      <c r="J12" s="110" t="str">
        <f>'Rekapitulace stavby'!AN8</f>
        <v>21. 2. 2020</v>
      </c>
      <c r="K12" s="32"/>
      <c r="L12" s="10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5" customHeight="1">
      <c r="A13" s="32"/>
      <c r="B13" s="37"/>
      <c r="C13" s="32"/>
      <c r="D13" s="32"/>
      <c r="E13" s="32"/>
      <c r="F13" s="32"/>
      <c r="G13" s="32"/>
      <c r="H13" s="32"/>
      <c r="I13" s="106"/>
      <c r="J13" s="32"/>
      <c r="K13" s="32"/>
      <c r="L13" s="10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5" t="s">
        <v>25</v>
      </c>
      <c r="E14" s="32"/>
      <c r="F14" s="32"/>
      <c r="G14" s="32"/>
      <c r="H14" s="32"/>
      <c r="I14" s="109" t="s">
        <v>26</v>
      </c>
      <c r="J14" s="108" t="s">
        <v>27</v>
      </c>
      <c r="K14" s="32"/>
      <c r="L14" s="10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8" t="s">
        <v>28</v>
      </c>
      <c r="F15" s="32"/>
      <c r="G15" s="32"/>
      <c r="H15" s="32"/>
      <c r="I15" s="109" t="s">
        <v>29</v>
      </c>
      <c r="J15" s="108" t="s">
        <v>30</v>
      </c>
      <c r="K15" s="32"/>
      <c r="L15" s="10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7"/>
      <c r="C16" s="32"/>
      <c r="D16" s="32"/>
      <c r="E16" s="32"/>
      <c r="F16" s="32"/>
      <c r="G16" s="32"/>
      <c r="H16" s="32"/>
      <c r="I16" s="106"/>
      <c r="J16" s="32"/>
      <c r="K16" s="32"/>
      <c r="L16" s="10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5" t="s">
        <v>31</v>
      </c>
      <c r="E17" s="32"/>
      <c r="F17" s="32"/>
      <c r="G17" s="32"/>
      <c r="H17" s="32"/>
      <c r="I17" s="109" t="s">
        <v>26</v>
      </c>
      <c r="J17" s="28" t="str">
        <f>'Rekapitulace stavby'!AN13</f>
        <v>Vyplň údaj</v>
      </c>
      <c r="K17" s="32"/>
      <c r="L17" s="10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490" t="str">
        <f>'Rekapitulace stavby'!E14</f>
        <v>Vyplň údaj</v>
      </c>
      <c r="F18" s="491"/>
      <c r="G18" s="491"/>
      <c r="H18" s="491"/>
      <c r="I18" s="109" t="s">
        <v>29</v>
      </c>
      <c r="J18" s="28" t="str">
        <f>'Rekapitulace stavby'!AN14</f>
        <v>Vyplň údaj</v>
      </c>
      <c r="K18" s="32"/>
      <c r="L18" s="10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7"/>
      <c r="C19" s="32"/>
      <c r="D19" s="32"/>
      <c r="E19" s="32"/>
      <c r="F19" s="32"/>
      <c r="G19" s="32"/>
      <c r="H19" s="32"/>
      <c r="I19" s="106"/>
      <c r="J19" s="32"/>
      <c r="K19" s="32"/>
      <c r="L19" s="10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5" t="s">
        <v>33</v>
      </c>
      <c r="E20" s="32"/>
      <c r="F20" s="32"/>
      <c r="G20" s="32"/>
      <c r="H20" s="32"/>
      <c r="I20" s="109" t="s">
        <v>26</v>
      </c>
      <c r="J20" s="108" t="s">
        <v>34</v>
      </c>
      <c r="K20" s="32"/>
      <c r="L20" s="10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8" t="s">
        <v>35</v>
      </c>
      <c r="F21" s="32"/>
      <c r="G21" s="32"/>
      <c r="H21" s="32"/>
      <c r="I21" s="109" t="s">
        <v>29</v>
      </c>
      <c r="J21" s="108" t="s">
        <v>36</v>
      </c>
      <c r="K21" s="32"/>
      <c r="L21" s="10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7"/>
      <c r="C22" s="32"/>
      <c r="D22" s="32"/>
      <c r="E22" s="32"/>
      <c r="F22" s="32"/>
      <c r="G22" s="32"/>
      <c r="H22" s="32"/>
      <c r="I22" s="106"/>
      <c r="J22" s="32"/>
      <c r="K22" s="32"/>
      <c r="L22" s="10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5" t="s">
        <v>38</v>
      </c>
      <c r="E23" s="32"/>
      <c r="F23" s="32"/>
      <c r="G23" s="32"/>
      <c r="H23" s="32"/>
      <c r="I23" s="109" t="s">
        <v>26</v>
      </c>
      <c r="J23" s="108" t="s">
        <v>34</v>
      </c>
      <c r="K23" s="32"/>
      <c r="L23" s="10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8" t="s">
        <v>35</v>
      </c>
      <c r="F24" s="32"/>
      <c r="G24" s="32"/>
      <c r="H24" s="32"/>
      <c r="I24" s="109" t="s">
        <v>29</v>
      </c>
      <c r="J24" s="108" t="s">
        <v>36</v>
      </c>
      <c r="K24" s="32"/>
      <c r="L24" s="10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7"/>
      <c r="C25" s="32"/>
      <c r="D25" s="32"/>
      <c r="E25" s="32"/>
      <c r="F25" s="32"/>
      <c r="G25" s="32"/>
      <c r="H25" s="32"/>
      <c r="I25" s="106"/>
      <c r="J25" s="32"/>
      <c r="K25" s="32"/>
      <c r="L25" s="10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5" t="s">
        <v>39</v>
      </c>
      <c r="E26" s="32"/>
      <c r="F26" s="32"/>
      <c r="G26" s="32"/>
      <c r="H26" s="32"/>
      <c r="I26" s="106"/>
      <c r="J26" s="32"/>
      <c r="K26" s="32"/>
      <c r="L26" s="10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1"/>
      <c r="B27" s="112"/>
      <c r="C27" s="111"/>
      <c r="D27" s="111"/>
      <c r="E27" s="492" t="s">
        <v>19</v>
      </c>
      <c r="F27" s="492"/>
      <c r="G27" s="492"/>
      <c r="H27" s="492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2"/>
      <c r="B28" s="37"/>
      <c r="C28" s="32"/>
      <c r="D28" s="32"/>
      <c r="E28" s="32"/>
      <c r="F28" s="32"/>
      <c r="G28" s="32"/>
      <c r="H28" s="32"/>
      <c r="I28" s="106"/>
      <c r="J28" s="32"/>
      <c r="K28" s="32"/>
      <c r="L28" s="10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7"/>
      <c r="C29" s="32"/>
      <c r="D29" s="115"/>
      <c r="E29" s="115"/>
      <c r="F29" s="115"/>
      <c r="G29" s="115"/>
      <c r="H29" s="115"/>
      <c r="I29" s="116"/>
      <c r="J29" s="115"/>
      <c r="K29" s="115"/>
      <c r="L29" s="10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41</v>
      </c>
      <c r="E30" s="32"/>
      <c r="F30" s="32"/>
      <c r="G30" s="32"/>
      <c r="H30" s="32"/>
      <c r="I30" s="106"/>
      <c r="J30" s="118">
        <f>ROUND(J81, 2)</f>
        <v>0</v>
      </c>
      <c r="K30" s="32"/>
      <c r="L30" s="10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7"/>
      <c r="C31" s="32"/>
      <c r="D31" s="115"/>
      <c r="E31" s="115"/>
      <c r="F31" s="115"/>
      <c r="G31" s="115"/>
      <c r="H31" s="115"/>
      <c r="I31" s="116"/>
      <c r="J31" s="115"/>
      <c r="K31" s="115"/>
      <c r="L31" s="10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7"/>
      <c r="C32" s="32"/>
      <c r="D32" s="32"/>
      <c r="E32" s="32"/>
      <c r="F32" s="119" t="s">
        <v>43</v>
      </c>
      <c r="G32" s="32"/>
      <c r="H32" s="32"/>
      <c r="I32" s="120" t="s">
        <v>42</v>
      </c>
      <c r="J32" s="119" t="s">
        <v>44</v>
      </c>
      <c r="K32" s="32"/>
      <c r="L32" s="10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7"/>
      <c r="C33" s="32"/>
      <c r="D33" s="121" t="s">
        <v>45</v>
      </c>
      <c r="E33" s="105" t="s">
        <v>46</v>
      </c>
      <c r="F33" s="122">
        <f>ROUND((SUM(BE81:BE84)),  2)</f>
        <v>0</v>
      </c>
      <c r="G33" s="32"/>
      <c r="H33" s="32"/>
      <c r="I33" s="123">
        <v>0.21</v>
      </c>
      <c r="J33" s="122">
        <f>ROUND(((SUM(BE81:BE84))*I33),  2)</f>
        <v>0</v>
      </c>
      <c r="K33" s="32"/>
      <c r="L33" s="10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7"/>
      <c r="C34" s="32"/>
      <c r="D34" s="32"/>
      <c r="E34" s="105" t="s">
        <v>47</v>
      </c>
      <c r="F34" s="122">
        <f>ROUND((SUM(BF81:BF84)),  2)</f>
        <v>0</v>
      </c>
      <c r="G34" s="32"/>
      <c r="H34" s="32"/>
      <c r="I34" s="123">
        <v>0.15</v>
      </c>
      <c r="J34" s="122">
        <f>ROUND(((SUM(BF81:BF84))*I34),  2)</f>
        <v>0</v>
      </c>
      <c r="K34" s="32"/>
      <c r="L34" s="10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7"/>
      <c r="C35" s="32"/>
      <c r="D35" s="32"/>
      <c r="E35" s="105" t="s">
        <v>48</v>
      </c>
      <c r="F35" s="122">
        <f>ROUND((SUM(BG81:BG84)),  2)</f>
        <v>0</v>
      </c>
      <c r="G35" s="32"/>
      <c r="H35" s="32"/>
      <c r="I35" s="123">
        <v>0.21</v>
      </c>
      <c r="J35" s="122">
        <f>0</f>
        <v>0</v>
      </c>
      <c r="K35" s="32"/>
      <c r="L35" s="10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7"/>
      <c r="C36" s="32"/>
      <c r="D36" s="32"/>
      <c r="E36" s="105" t="s">
        <v>49</v>
      </c>
      <c r="F36" s="122">
        <f>ROUND((SUM(BH81:BH84)),  2)</f>
        <v>0</v>
      </c>
      <c r="G36" s="32"/>
      <c r="H36" s="32"/>
      <c r="I36" s="123">
        <v>0.15</v>
      </c>
      <c r="J36" s="122">
        <f>0</f>
        <v>0</v>
      </c>
      <c r="K36" s="32"/>
      <c r="L36" s="10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7"/>
      <c r="C37" s="32"/>
      <c r="D37" s="32"/>
      <c r="E37" s="105" t="s">
        <v>50</v>
      </c>
      <c r="F37" s="122">
        <f>ROUND((SUM(BI81:BI84)),  2)</f>
        <v>0</v>
      </c>
      <c r="G37" s="32"/>
      <c r="H37" s="32"/>
      <c r="I37" s="123">
        <v>0</v>
      </c>
      <c r="J37" s="122">
        <f>0</f>
        <v>0</v>
      </c>
      <c r="K37" s="32"/>
      <c r="L37" s="10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7"/>
      <c r="C38" s="32"/>
      <c r="D38" s="32"/>
      <c r="E38" s="32"/>
      <c r="F38" s="32"/>
      <c r="G38" s="32"/>
      <c r="H38" s="32"/>
      <c r="I38" s="106"/>
      <c r="J38" s="32"/>
      <c r="K38" s="32"/>
      <c r="L38" s="10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4"/>
      <c r="D39" s="125" t="s">
        <v>51</v>
      </c>
      <c r="E39" s="126"/>
      <c r="F39" s="126"/>
      <c r="G39" s="127" t="s">
        <v>52</v>
      </c>
      <c r="H39" s="128" t="s">
        <v>53</v>
      </c>
      <c r="I39" s="129"/>
      <c r="J39" s="130">
        <f>SUM(J30:J37)</f>
        <v>0</v>
      </c>
      <c r="K39" s="131"/>
      <c r="L39" s="10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132"/>
      <c r="C40" s="133"/>
      <c r="D40" s="133"/>
      <c r="E40" s="133"/>
      <c r="F40" s="133"/>
      <c r="G40" s="133"/>
      <c r="H40" s="133"/>
      <c r="I40" s="134"/>
      <c r="J40" s="133"/>
      <c r="K40" s="133"/>
      <c r="L40" s="10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" customHeight="1">
      <c r="A44" s="32"/>
      <c r="B44" s="135"/>
      <c r="C44" s="136"/>
      <c r="D44" s="136"/>
      <c r="E44" s="136"/>
      <c r="F44" s="136"/>
      <c r="G44" s="136"/>
      <c r="H44" s="136"/>
      <c r="I44" s="137"/>
      <c r="J44" s="136"/>
      <c r="K44" s="136"/>
      <c r="L44" s="10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" customHeight="1">
      <c r="A45" s="32"/>
      <c r="B45" s="33"/>
      <c r="C45" s="21" t="s">
        <v>98</v>
      </c>
      <c r="D45" s="34"/>
      <c r="E45" s="34"/>
      <c r="F45" s="34"/>
      <c r="G45" s="34"/>
      <c r="H45" s="34"/>
      <c r="I45" s="106"/>
      <c r="J45" s="34"/>
      <c r="K45" s="34"/>
      <c r="L45" s="10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" customHeight="1">
      <c r="A46" s="32"/>
      <c r="B46" s="33"/>
      <c r="C46" s="34"/>
      <c r="D46" s="34"/>
      <c r="E46" s="34"/>
      <c r="F46" s="34"/>
      <c r="G46" s="34"/>
      <c r="H46" s="34"/>
      <c r="I46" s="106"/>
      <c r="J46" s="34"/>
      <c r="K46" s="34"/>
      <c r="L46" s="10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106"/>
      <c r="J47" s="34"/>
      <c r="K47" s="34"/>
      <c r="L47" s="10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4"/>
      <c r="D48" s="34"/>
      <c r="E48" s="484" t="str">
        <f>E7</f>
        <v>Komplexní klimatizace v objektu MZe Ústí nad Labem</v>
      </c>
      <c r="F48" s="485"/>
      <c r="G48" s="485"/>
      <c r="H48" s="485"/>
      <c r="I48" s="106"/>
      <c r="J48" s="34"/>
      <c r="K48" s="34"/>
      <c r="L48" s="10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96</v>
      </c>
      <c r="D49" s="34"/>
      <c r="E49" s="34"/>
      <c r="F49" s="34"/>
      <c r="G49" s="34"/>
      <c r="H49" s="34"/>
      <c r="I49" s="106"/>
      <c r="J49" s="34"/>
      <c r="K49" s="34"/>
      <c r="L49" s="10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4"/>
      <c r="D50" s="34"/>
      <c r="E50" s="465" t="str">
        <f>E9</f>
        <v>D.1.1 - Architektonicko stavební řešení</v>
      </c>
      <c r="F50" s="483"/>
      <c r="G50" s="483"/>
      <c r="H50" s="483"/>
      <c r="I50" s="106"/>
      <c r="J50" s="34"/>
      <c r="K50" s="34"/>
      <c r="L50" s="10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" customHeight="1">
      <c r="A51" s="32"/>
      <c r="B51" s="33"/>
      <c r="C51" s="34"/>
      <c r="D51" s="34"/>
      <c r="E51" s="34"/>
      <c r="F51" s="34"/>
      <c r="G51" s="34"/>
      <c r="H51" s="34"/>
      <c r="I51" s="106"/>
      <c r="J51" s="34"/>
      <c r="K51" s="34"/>
      <c r="L51" s="10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21</v>
      </c>
      <c r="D52" s="34"/>
      <c r="E52" s="34"/>
      <c r="F52" s="25" t="str">
        <f>F12</f>
        <v>Ústí nad Labem</v>
      </c>
      <c r="G52" s="34"/>
      <c r="H52" s="34"/>
      <c r="I52" s="109" t="s">
        <v>23</v>
      </c>
      <c r="J52" s="57" t="str">
        <f>IF(J12="","",J12)</f>
        <v>21. 2. 2020</v>
      </c>
      <c r="K52" s="34"/>
      <c r="L52" s="10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" customHeight="1">
      <c r="A53" s="32"/>
      <c r="B53" s="33"/>
      <c r="C53" s="34"/>
      <c r="D53" s="34"/>
      <c r="E53" s="34"/>
      <c r="F53" s="34"/>
      <c r="G53" s="34"/>
      <c r="H53" s="34"/>
      <c r="I53" s="106"/>
      <c r="J53" s="34"/>
      <c r="K53" s="34"/>
      <c r="L53" s="10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200000000000003" customHeight="1">
      <c r="A54" s="32"/>
      <c r="B54" s="33"/>
      <c r="C54" s="27" t="s">
        <v>25</v>
      </c>
      <c r="D54" s="34"/>
      <c r="E54" s="34"/>
      <c r="F54" s="25" t="str">
        <f>E15</f>
        <v>Česká republika - Ministerstvo zemědělství</v>
      </c>
      <c r="G54" s="34"/>
      <c r="H54" s="34"/>
      <c r="I54" s="109" t="s">
        <v>33</v>
      </c>
      <c r="J54" s="30" t="str">
        <f>E21</f>
        <v>NCI.CZ ENGINEERING s.r.o.</v>
      </c>
      <c r="K54" s="34"/>
      <c r="L54" s="10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200000000000003" customHeight="1">
      <c r="A55" s="32"/>
      <c r="B55" s="33"/>
      <c r="C55" s="27" t="s">
        <v>31</v>
      </c>
      <c r="D55" s="34"/>
      <c r="E55" s="34"/>
      <c r="F55" s="25" t="str">
        <f>IF(E18="","",E18)</f>
        <v>Vyplň údaj</v>
      </c>
      <c r="G55" s="34"/>
      <c r="H55" s="34"/>
      <c r="I55" s="109" t="s">
        <v>38</v>
      </c>
      <c r="J55" s="30" t="str">
        <f>E24</f>
        <v>NCI.CZ ENGINEERING s.r.o.</v>
      </c>
      <c r="K55" s="34"/>
      <c r="L55" s="10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4"/>
      <c r="D56" s="34"/>
      <c r="E56" s="34"/>
      <c r="F56" s="34"/>
      <c r="G56" s="34"/>
      <c r="H56" s="34"/>
      <c r="I56" s="106"/>
      <c r="J56" s="34"/>
      <c r="K56" s="34"/>
      <c r="L56" s="10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38" t="s">
        <v>99</v>
      </c>
      <c r="D57" s="139"/>
      <c r="E57" s="139"/>
      <c r="F57" s="139"/>
      <c r="G57" s="139"/>
      <c r="H57" s="139"/>
      <c r="I57" s="140"/>
      <c r="J57" s="141" t="s">
        <v>100</v>
      </c>
      <c r="K57" s="139"/>
      <c r="L57" s="10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4"/>
      <c r="D58" s="34"/>
      <c r="E58" s="34"/>
      <c r="F58" s="34"/>
      <c r="G58" s="34"/>
      <c r="H58" s="34"/>
      <c r="I58" s="106"/>
      <c r="J58" s="34"/>
      <c r="K58" s="34"/>
      <c r="L58" s="10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5" customHeight="1">
      <c r="A59" s="32"/>
      <c r="B59" s="33"/>
      <c r="C59" s="142" t="s">
        <v>73</v>
      </c>
      <c r="D59" s="34"/>
      <c r="E59" s="34"/>
      <c r="F59" s="34"/>
      <c r="G59" s="34"/>
      <c r="H59" s="34"/>
      <c r="I59" s="106"/>
      <c r="J59" s="75">
        <f>J81</f>
        <v>0</v>
      </c>
      <c r="K59" s="34"/>
      <c r="L59" s="10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101</v>
      </c>
    </row>
    <row r="60" spans="1:47" s="9" customFormat="1" ht="24.9" customHeight="1">
      <c r="B60" s="143"/>
      <c r="C60" s="144"/>
      <c r="D60" s="145" t="s">
        <v>102</v>
      </c>
      <c r="E60" s="146"/>
      <c r="F60" s="146"/>
      <c r="G60" s="146"/>
      <c r="H60" s="146"/>
      <c r="I60" s="147"/>
      <c r="J60" s="148">
        <f>J82</f>
        <v>0</v>
      </c>
      <c r="K60" s="144"/>
      <c r="L60" s="149"/>
    </row>
    <row r="61" spans="1:47" s="10" customFormat="1" ht="19.95" customHeight="1">
      <c r="B61" s="150"/>
      <c r="C61" s="151"/>
      <c r="D61" s="152" t="s">
        <v>103</v>
      </c>
      <c r="E61" s="153"/>
      <c r="F61" s="153"/>
      <c r="G61" s="153"/>
      <c r="H61" s="153"/>
      <c r="I61" s="154"/>
      <c r="J61" s="155">
        <f>J83</f>
        <v>0</v>
      </c>
      <c r="K61" s="151"/>
      <c r="L61" s="156"/>
    </row>
    <row r="62" spans="1:47" s="2" customFormat="1" ht="21.75" customHeight="1">
      <c r="A62" s="32"/>
      <c r="B62" s="33"/>
      <c r="C62" s="34"/>
      <c r="D62" s="34"/>
      <c r="E62" s="34"/>
      <c r="F62" s="34"/>
      <c r="G62" s="34"/>
      <c r="H62" s="34"/>
      <c r="I62" s="106"/>
      <c r="J62" s="34"/>
      <c r="K62" s="34"/>
      <c r="L62" s="10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" customHeight="1">
      <c r="A63" s="32"/>
      <c r="B63" s="45"/>
      <c r="C63" s="46"/>
      <c r="D63" s="46"/>
      <c r="E63" s="46"/>
      <c r="F63" s="46"/>
      <c r="G63" s="46"/>
      <c r="H63" s="46"/>
      <c r="I63" s="134"/>
      <c r="J63" s="46"/>
      <c r="K63" s="46"/>
      <c r="L63" s="10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6.9" customHeight="1">
      <c r="A67" s="32"/>
      <c r="B67" s="47"/>
      <c r="C67" s="48"/>
      <c r="D67" s="48"/>
      <c r="E67" s="48"/>
      <c r="F67" s="48"/>
      <c r="G67" s="48"/>
      <c r="H67" s="48"/>
      <c r="I67" s="137"/>
      <c r="J67" s="48"/>
      <c r="K67" s="48"/>
      <c r="L67" s="10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" customHeight="1">
      <c r="A68" s="32"/>
      <c r="B68" s="33"/>
      <c r="C68" s="21" t="s">
        <v>104</v>
      </c>
      <c r="D68" s="34"/>
      <c r="E68" s="34"/>
      <c r="F68" s="34"/>
      <c r="G68" s="34"/>
      <c r="H68" s="34"/>
      <c r="I68" s="106"/>
      <c r="J68" s="34"/>
      <c r="K68" s="34"/>
      <c r="L68" s="10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" customHeight="1">
      <c r="A69" s="32"/>
      <c r="B69" s="33"/>
      <c r="C69" s="34"/>
      <c r="D69" s="34"/>
      <c r="E69" s="34"/>
      <c r="F69" s="34"/>
      <c r="G69" s="34"/>
      <c r="H69" s="34"/>
      <c r="I69" s="106"/>
      <c r="J69" s="34"/>
      <c r="K69" s="34"/>
      <c r="L69" s="10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16</v>
      </c>
      <c r="D70" s="34"/>
      <c r="E70" s="34"/>
      <c r="F70" s="34"/>
      <c r="G70" s="34"/>
      <c r="H70" s="34"/>
      <c r="I70" s="106"/>
      <c r="J70" s="34"/>
      <c r="K70" s="34"/>
      <c r="L70" s="10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>
      <c r="A71" s="32"/>
      <c r="B71" s="33"/>
      <c r="C71" s="34"/>
      <c r="D71" s="34"/>
      <c r="E71" s="484" t="str">
        <f>E7</f>
        <v>Komplexní klimatizace v objektu MZe Ústí nad Labem</v>
      </c>
      <c r="F71" s="485"/>
      <c r="G71" s="485"/>
      <c r="H71" s="485"/>
      <c r="I71" s="106"/>
      <c r="J71" s="34"/>
      <c r="K71" s="34"/>
      <c r="L71" s="10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96</v>
      </c>
      <c r="D72" s="34"/>
      <c r="E72" s="34"/>
      <c r="F72" s="34"/>
      <c r="G72" s="34"/>
      <c r="H72" s="34"/>
      <c r="I72" s="106"/>
      <c r="J72" s="34"/>
      <c r="K72" s="34"/>
      <c r="L72" s="10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>
      <c r="A73" s="32"/>
      <c r="B73" s="33"/>
      <c r="C73" s="34"/>
      <c r="D73" s="34"/>
      <c r="E73" s="465" t="str">
        <f>E9</f>
        <v>D.1.1 - Architektonicko stavební řešení</v>
      </c>
      <c r="F73" s="483"/>
      <c r="G73" s="483"/>
      <c r="H73" s="483"/>
      <c r="I73" s="106"/>
      <c r="J73" s="34"/>
      <c r="K73" s="34"/>
      <c r="L73" s="10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" customHeight="1">
      <c r="A74" s="32"/>
      <c r="B74" s="33"/>
      <c r="C74" s="34"/>
      <c r="D74" s="34"/>
      <c r="E74" s="34"/>
      <c r="F74" s="34"/>
      <c r="G74" s="34"/>
      <c r="H74" s="34"/>
      <c r="I74" s="106"/>
      <c r="J74" s="34"/>
      <c r="K74" s="34"/>
      <c r="L74" s="10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21</v>
      </c>
      <c r="D75" s="34"/>
      <c r="E75" s="34"/>
      <c r="F75" s="25" t="str">
        <f>F12</f>
        <v>Ústí nad Labem</v>
      </c>
      <c r="G75" s="34"/>
      <c r="H75" s="34"/>
      <c r="I75" s="109" t="s">
        <v>23</v>
      </c>
      <c r="J75" s="57" t="str">
        <f>IF(J12="","",J12)</f>
        <v>21. 2. 2020</v>
      </c>
      <c r="K75" s="34"/>
      <c r="L75" s="10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" customHeight="1">
      <c r="A76" s="32"/>
      <c r="B76" s="33"/>
      <c r="C76" s="34"/>
      <c r="D76" s="34"/>
      <c r="E76" s="34"/>
      <c r="F76" s="34"/>
      <c r="G76" s="34"/>
      <c r="H76" s="34"/>
      <c r="I76" s="106"/>
      <c r="J76" s="34"/>
      <c r="K76" s="34"/>
      <c r="L76" s="10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40.200000000000003" customHeight="1">
      <c r="A77" s="32"/>
      <c r="B77" s="33"/>
      <c r="C77" s="27" t="s">
        <v>25</v>
      </c>
      <c r="D77" s="34"/>
      <c r="E77" s="34"/>
      <c r="F77" s="25" t="str">
        <f>E15</f>
        <v>Česká republika - Ministerstvo zemědělství</v>
      </c>
      <c r="G77" s="34"/>
      <c r="H77" s="34"/>
      <c r="I77" s="109" t="s">
        <v>33</v>
      </c>
      <c r="J77" s="30" t="str">
        <f>E21</f>
        <v>NCI.CZ ENGINEERING s.r.o.</v>
      </c>
      <c r="K77" s="34"/>
      <c r="L77" s="10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200000000000003" customHeight="1">
      <c r="A78" s="32"/>
      <c r="B78" s="33"/>
      <c r="C78" s="27" t="s">
        <v>31</v>
      </c>
      <c r="D78" s="34"/>
      <c r="E78" s="34"/>
      <c r="F78" s="25" t="str">
        <f>IF(E18="","",E18)</f>
        <v>Vyplň údaj</v>
      </c>
      <c r="G78" s="34"/>
      <c r="H78" s="34"/>
      <c r="I78" s="109" t="s">
        <v>38</v>
      </c>
      <c r="J78" s="30" t="str">
        <f>E24</f>
        <v>NCI.CZ ENGINEERING s.r.o.</v>
      </c>
      <c r="K78" s="34"/>
      <c r="L78" s="10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4"/>
      <c r="D79" s="34"/>
      <c r="E79" s="34"/>
      <c r="F79" s="34"/>
      <c r="G79" s="34"/>
      <c r="H79" s="34"/>
      <c r="I79" s="106"/>
      <c r="J79" s="34"/>
      <c r="K79" s="34"/>
      <c r="L79" s="10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57"/>
      <c r="B80" s="158"/>
      <c r="C80" s="159" t="s">
        <v>105</v>
      </c>
      <c r="D80" s="160" t="s">
        <v>60</v>
      </c>
      <c r="E80" s="160" t="s">
        <v>56</v>
      </c>
      <c r="F80" s="160" t="s">
        <v>57</v>
      </c>
      <c r="G80" s="160" t="s">
        <v>106</v>
      </c>
      <c r="H80" s="160" t="s">
        <v>107</v>
      </c>
      <c r="I80" s="161" t="s">
        <v>108</v>
      </c>
      <c r="J80" s="160" t="s">
        <v>100</v>
      </c>
      <c r="K80" s="162" t="s">
        <v>109</v>
      </c>
      <c r="L80" s="163"/>
      <c r="M80" s="66" t="s">
        <v>19</v>
      </c>
      <c r="N80" s="67" t="s">
        <v>45</v>
      </c>
      <c r="O80" s="67" t="s">
        <v>110</v>
      </c>
      <c r="P80" s="67" t="s">
        <v>111</v>
      </c>
      <c r="Q80" s="67" t="s">
        <v>112</v>
      </c>
      <c r="R80" s="67" t="s">
        <v>113</v>
      </c>
      <c r="S80" s="67" t="s">
        <v>114</v>
      </c>
      <c r="T80" s="68" t="s">
        <v>115</v>
      </c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</row>
    <row r="81" spans="1:65" s="2" customFormat="1" ht="22.95" customHeight="1">
      <c r="A81" s="32"/>
      <c r="B81" s="33"/>
      <c r="C81" s="73" t="s">
        <v>116</v>
      </c>
      <c r="D81" s="34"/>
      <c r="E81" s="34"/>
      <c r="F81" s="34"/>
      <c r="G81" s="34"/>
      <c r="H81" s="34"/>
      <c r="I81" s="106"/>
      <c r="J81" s="164">
        <f>BK81</f>
        <v>0</v>
      </c>
      <c r="K81" s="34"/>
      <c r="L81" s="37"/>
      <c r="M81" s="69"/>
      <c r="N81" s="165"/>
      <c r="O81" s="70"/>
      <c r="P81" s="166">
        <f>P82</f>
        <v>0</v>
      </c>
      <c r="Q81" s="70"/>
      <c r="R81" s="166">
        <f>R82</f>
        <v>20.73</v>
      </c>
      <c r="S81" s="70"/>
      <c r="T81" s="167">
        <f>T82</f>
        <v>5.99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74</v>
      </c>
      <c r="AU81" s="15" t="s">
        <v>101</v>
      </c>
      <c r="BK81" s="168">
        <f>BK82</f>
        <v>0</v>
      </c>
    </row>
    <row r="82" spans="1:65" s="12" customFormat="1" ht="25.95" customHeight="1">
      <c r="B82" s="169"/>
      <c r="C82" s="170"/>
      <c r="D82" s="171" t="s">
        <v>74</v>
      </c>
      <c r="E82" s="172" t="s">
        <v>117</v>
      </c>
      <c r="F82" s="172" t="s">
        <v>118</v>
      </c>
      <c r="G82" s="170"/>
      <c r="H82" s="170"/>
      <c r="I82" s="173"/>
      <c r="J82" s="174">
        <f>BK82</f>
        <v>0</v>
      </c>
      <c r="K82" s="170"/>
      <c r="L82" s="175"/>
      <c r="M82" s="176"/>
      <c r="N82" s="177"/>
      <c r="O82" s="177"/>
      <c r="P82" s="178">
        <f>P83</f>
        <v>0</v>
      </c>
      <c r="Q82" s="177"/>
      <c r="R82" s="178">
        <f>R83</f>
        <v>20.73</v>
      </c>
      <c r="S82" s="177"/>
      <c r="T82" s="179">
        <f>T83</f>
        <v>5.99</v>
      </c>
      <c r="AR82" s="180" t="s">
        <v>119</v>
      </c>
      <c r="AT82" s="181" t="s">
        <v>74</v>
      </c>
      <c r="AU82" s="181" t="s">
        <v>75</v>
      </c>
      <c r="AY82" s="180" t="s">
        <v>120</v>
      </c>
      <c r="BK82" s="182">
        <f>BK83</f>
        <v>0</v>
      </c>
    </row>
    <row r="83" spans="1:65" s="12" customFormat="1" ht="22.95" customHeight="1">
      <c r="B83" s="169"/>
      <c r="C83" s="170"/>
      <c r="D83" s="171" t="s">
        <v>74</v>
      </c>
      <c r="E83" s="183" t="s">
        <v>121</v>
      </c>
      <c r="F83" s="183" t="s">
        <v>122</v>
      </c>
      <c r="G83" s="170"/>
      <c r="H83" s="170"/>
      <c r="I83" s="173"/>
      <c r="J83" s="184">
        <f>BK83</f>
        <v>0</v>
      </c>
      <c r="K83" s="170"/>
      <c r="L83" s="175"/>
      <c r="M83" s="176"/>
      <c r="N83" s="177"/>
      <c r="O83" s="177"/>
      <c r="P83" s="178">
        <f>P84</f>
        <v>0</v>
      </c>
      <c r="Q83" s="177"/>
      <c r="R83" s="178">
        <f>R84</f>
        <v>20.73</v>
      </c>
      <c r="S83" s="177"/>
      <c r="T83" s="179">
        <f>T84</f>
        <v>5.99</v>
      </c>
      <c r="AR83" s="180" t="s">
        <v>119</v>
      </c>
      <c r="AT83" s="181" t="s">
        <v>74</v>
      </c>
      <c r="AU83" s="181" t="s">
        <v>83</v>
      </c>
      <c r="AY83" s="180" t="s">
        <v>120</v>
      </c>
      <c r="BK83" s="182">
        <f>BK84</f>
        <v>0</v>
      </c>
    </row>
    <row r="84" spans="1:65" s="2" customFormat="1" ht="16.5" customHeight="1">
      <c r="A84" s="32"/>
      <c r="B84" s="33"/>
      <c r="C84" s="185" t="s">
        <v>83</v>
      </c>
      <c r="D84" s="185" t="s">
        <v>123</v>
      </c>
      <c r="E84" s="186" t="s">
        <v>80</v>
      </c>
      <c r="F84" s="187" t="s">
        <v>124</v>
      </c>
      <c r="G84" s="188" t="s">
        <v>125</v>
      </c>
      <c r="H84" s="189">
        <v>1</v>
      </c>
      <c r="I84" s="190">
        <f>Krycí_list_rozpočtu!I28</f>
        <v>0</v>
      </c>
      <c r="J84" s="191">
        <f>ROUND(I84*H84,2)</f>
        <v>0</v>
      </c>
      <c r="K84" s="187" t="s">
        <v>19</v>
      </c>
      <c r="L84" s="37"/>
      <c r="M84" s="192" t="s">
        <v>19</v>
      </c>
      <c r="N84" s="193" t="s">
        <v>46</v>
      </c>
      <c r="O84" s="194"/>
      <c r="P84" s="195">
        <f>O84*H84</f>
        <v>0</v>
      </c>
      <c r="Q84" s="195">
        <v>20.73</v>
      </c>
      <c r="R84" s="195">
        <f>Q84*H84</f>
        <v>20.73</v>
      </c>
      <c r="S84" s="195">
        <v>5.99</v>
      </c>
      <c r="T84" s="196">
        <f>S84*H84</f>
        <v>5.99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97" t="s">
        <v>126</v>
      </c>
      <c r="AT84" s="197" t="s">
        <v>123</v>
      </c>
      <c r="AU84" s="197" t="s">
        <v>85</v>
      </c>
      <c r="AY84" s="15" t="s">
        <v>120</v>
      </c>
      <c r="BE84" s="198">
        <f>IF(N84="základní",J84,0)</f>
        <v>0</v>
      </c>
      <c r="BF84" s="198">
        <f>IF(N84="snížená",J84,0)</f>
        <v>0</v>
      </c>
      <c r="BG84" s="198">
        <f>IF(N84="zákl. přenesená",J84,0)</f>
        <v>0</v>
      </c>
      <c r="BH84" s="198">
        <f>IF(N84="sníž. přenesená",J84,0)</f>
        <v>0</v>
      </c>
      <c r="BI84" s="198">
        <f>IF(N84="nulová",J84,0)</f>
        <v>0</v>
      </c>
      <c r="BJ84" s="15" t="s">
        <v>83</v>
      </c>
      <c r="BK84" s="198">
        <f>ROUND(I84*H84,2)</f>
        <v>0</v>
      </c>
      <c r="BL84" s="15" t="s">
        <v>126</v>
      </c>
      <c r="BM84" s="197" t="s">
        <v>127</v>
      </c>
    </row>
    <row r="85" spans="1:65" s="2" customFormat="1" ht="6.9" customHeight="1">
      <c r="A85" s="32"/>
      <c r="B85" s="45"/>
      <c r="C85" s="46"/>
      <c r="D85" s="46"/>
      <c r="E85" s="46"/>
      <c r="F85" s="46"/>
      <c r="G85" s="46"/>
      <c r="H85" s="46"/>
      <c r="I85" s="134"/>
      <c r="J85" s="46"/>
      <c r="K85" s="46"/>
      <c r="L85" s="37"/>
      <c r="M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</sheetData>
  <sheetProtection algorithmName="SHA-512" hashValue="o5AR2V+3YcYFJj3htPhQyOg9QZ6+ZQqAEvODYq+M22m9O9zxiRvy88IhGlrLXRea/Wujnp86FDgSXssBHxx1SA==" saltValue="ipOkGFWwTvcWuGS7RuvFpLo/PH8CW7hVUxjQlWGZaNEBOHBBwKWkKImKgjSJ6CU5koWfIe9ca5ydbkIjclK4Vg==" spinCount="100000" sheet="1" objects="1" scenarios="1" formatColumns="0" formatRows="0" autoFilter="0"/>
  <autoFilter ref="C80:K84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6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9577C-03B9-4AF7-A35C-C4F33863F62D}">
  <dimension ref="A1:J37"/>
  <sheetViews>
    <sheetView topLeftCell="A4" workbookViewId="0">
      <selection activeCell="C24" sqref="C24"/>
    </sheetView>
  </sheetViews>
  <sheetFormatPr defaultColWidth="13.42578125" defaultRowHeight="13.2"/>
  <cols>
    <col min="1" max="1" width="10.7109375" style="277" customWidth="1"/>
    <col min="2" max="2" width="15" style="277" customWidth="1"/>
    <col min="3" max="3" width="26.7109375" style="277" customWidth="1"/>
    <col min="4" max="4" width="11.7109375" style="277" customWidth="1"/>
    <col min="5" max="5" width="16.28515625" style="277" customWidth="1"/>
    <col min="6" max="6" width="26.7109375" style="277" customWidth="1"/>
    <col min="7" max="7" width="10.7109375" style="277" customWidth="1"/>
    <col min="8" max="8" width="15" style="277" customWidth="1"/>
    <col min="9" max="9" width="26.7109375" style="277" customWidth="1"/>
    <col min="10" max="10" width="13.42578125" style="277" customWidth="1"/>
    <col min="11" max="16384" width="13.42578125" style="277"/>
  </cols>
  <sheetData>
    <row r="1" spans="1:10" ht="87.6" customHeight="1">
      <c r="A1" s="309"/>
      <c r="B1" s="304"/>
      <c r="C1" s="514" t="s">
        <v>631</v>
      </c>
      <c r="D1" s="514"/>
      <c r="E1" s="514"/>
      <c r="F1" s="514"/>
      <c r="G1" s="514"/>
      <c r="H1" s="514"/>
      <c r="I1" s="514"/>
    </row>
    <row r="2" spans="1:10">
      <c r="A2" s="515" t="s">
        <v>321</v>
      </c>
      <c r="B2" s="515"/>
      <c r="C2" s="516" t="str">
        <f>Stavební_rozpočet!C2</f>
        <v>Klimatizace  v objektu Ministerstva zemědělství Ústí nad Labem</v>
      </c>
      <c r="D2" s="516"/>
      <c r="E2" s="517" t="s">
        <v>325</v>
      </c>
      <c r="F2" s="517" t="str">
        <f>Stavební_rozpočet!I2</f>
        <v>Česká republika - Ministerstvo zemědělství</v>
      </c>
      <c r="G2" s="517"/>
      <c r="H2" s="517" t="s">
        <v>632</v>
      </c>
      <c r="I2" s="518"/>
      <c r="J2" s="278"/>
    </row>
    <row r="3" spans="1:10" ht="30" customHeight="1">
      <c r="A3" s="515"/>
      <c r="B3" s="515"/>
      <c r="C3" s="516"/>
      <c r="D3" s="516"/>
      <c r="E3" s="517"/>
      <c r="F3" s="517"/>
      <c r="G3" s="517"/>
      <c r="H3" s="517"/>
      <c r="I3" s="518"/>
      <c r="J3" s="278"/>
    </row>
    <row r="4" spans="1:10">
      <c r="A4" s="505" t="s">
        <v>326</v>
      </c>
      <c r="B4" s="505"/>
      <c r="C4" s="507" t="str">
        <f>Stavební_rozpočet!C4</f>
        <v xml:space="preserve"> </v>
      </c>
      <c r="D4" s="507"/>
      <c r="E4" s="507" t="s">
        <v>33</v>
      </c>
      <c r="F4" s="507" t="str">
        <f>[1]Stavební_rozpočet!I4</f>
        <v>NCI.CZ ENGINEERING s.r.o.</v>
      </c>
      <c r="G4" s="507"/>
      <c r="H4" s="507" t="s">
        <v>632</v>
      </c>
      <c r="I4" s="513"/>
      <c r="J4" s="278"/>
    </row>
    <row r="5" spans="1:10" ht="12" customHeight="1">
      <c r="A5" s="505"/>
      <c r="B5" s="505"/>
      <c r="C5" s="507"/>
      <c r="D5" s="507"/>
      <c r="E5" s="507"/>
      <c r="F5" s="507"/>
      <c r="G5" s="507"/>
      <c r="H5" s="507"/>
      <c r="I5" s="513"/>
      <c r="J5" s="278"/>
    </row>
    <row r="6" spans="1:10">
      <c r="A6" s="505" t="s">
        <v>328</v>
      </c>
      <c r="B6" s="505"/>
      <c r="C6" s="507" t="str">
        <f>[1]Stavební_rozpočet!C6</f>
        <v>Ústí nad Labem</v>
      </c>
      <c r="D6" s="507"/>
      <c r="E6" s="507" t="s">
        <v>330</v>
      </c>
      <c r="F6" s="507" t="str">
        <f>Stavební_rozpočet!I6</f>
        <v>Dle výběrového řízení</v>
      </c>
      <c r="G6" s="507"/>
      <c r="H6" s="507" t="s">
        <v>632</v>
      </c>
      <c r="I6" s="513"/>
      <c r="J6" s="278"/>
    </row>
    <row r="7" spans="1:10" ht="12" customHeight="1">
      <c r="A7" s="505"/>
      <c r="B7" s="505"/>
      <c r="C7" s="507"/>
      <c r="D7" s="507"/>
      <c r="E7" s="507"/>
      <c r="F7" s="507"/>
      <c r="G7" s="507"/>
      <c r="H7" s="507"/>
      <c r="I7" s="513"/>
      <c r="J7" s="278"/>
    </row>
    <row r="8" spans="1:10">
      <c r="A8" s="505" t="s">
        <v>327</v>
      </c>
      <c r="B8" s="505"/>
      <c r="C8" s="506" t="str">
        <f>Stavební_rozpočet!F4</f>
        <v xml:space="preserve"> </v>
      </c>
      <c r="D8" s="507"/>
      <c r="E8" s="507" t="s">
        <v>329</v>
      </c>
      <c r="F8" s="506" t="str">
        <f>Stavební_rozpočet!F6</f>
        <v xml:space="preserve"> </v>
      </c>
      <c r="G8" s="507"/>
      <c r="H8" s="508" t="s">
        <v>633</v>
      </c>
      <c r="I8" s="509" t="s">
        <v>627</v>
      </c>
      <c r="J8" s="278"/>
    </row>
    <row r="9" spans="1:10" ht="14.4" customHeight="1">
      <c r="A9" s="505"/>
      <c r="B9" s="505"/>
      <c r="C9" s="507"/>
      <c r="D9" s="507"/>
      <c r="E9" s="507"/>
      <c r="F9" s="507"/>
      <c r="G9" s="507"/>
      <c r="H9" s="508"/>
      <c r="I9" s="509"/>
      <c r="J9" s="278"/>
    </row>
    <row r="10" spans="1:10">
      <c r="A10" s="510" t="s">
        <v>332</v>
      </c>
      <c r="B10" s="510"/>
      <c r="C10" s="511" t="str">
        <f>Stavební_rozpočet!C8</f>
        <v xml:space="preserve"> </v>
      </c>
      <c r="D10" s="511"/>
      <c r="E10" s="511" t="s">
        <v>335</v>
      </c>
      <c r="F10" s="511" t="str">
        <f>Stavební_rozpočet!I8</f>
        <v>Kamila Možná</v>
      </c>
      <c r="G10" s="511"/>
      <c r="H10" s="512" t="s">
        <v>23</v>
      </c>
      <c r="I10" s="503" t="str">
        <f>Stavební_rozpočet!F8</f>
        <v>20.12.2019</v>
      </c>
      <c r="J10" s="278"/>
    </row>
    <row r="11" spans="1:10" ht="12" customHeight="1">
      <c r="A11" s="510"/>
      <c r="B11" s="510"/>
      <c r="C11" s="511"/>
      <c r="D11" s="511"/>
      <c r="E11" s="511"/>
      <c r="F11" s="511"/>
      <c r="G11" s="511"/>
      <c r="H11" s="512"/>
      <c r="I11" s="504"/>
      <c r="J11" s="278"/>
    </row>
    <row r="12" spans="1:10" ht="23.4" customHeight="1">
      <c r="A12" s="501" t="s">
        <v>634</v>
      </c>
      <c r="B12" s="501"/>
      <c r="C12" s="501"/>
      <c r="D12" s="501"/>
      <c r="E12" s="501"/>
      <c r="F12" s="501"/>
      <c r="G12" s="501"/>
      <c r="H12" s="501"/>
      <c r="I12" s="501"/>
    </row>
    <row r="13" spans="1:10" ht="26.4" customHeight="1">
      <c r="A13" s="310" t="s">
        <v>206</v>
      </c>
      <c r="B13" s="502" t="s">
        <v>635</v>
      </c>
      <c r="C13" s="502"/>
      <c r="D13" s="310" t="s">
        <v>636</v>
      </c>
      <c r="E13" s="502" t="s">
        <v>637</v>
      </c>
      <c r="F13" s="502"/>
      <c r="G13" s="310" t="s">
        <v>638</v>
      </c>
      <c r="H13" s="502" t="s">
        <v>639</v>
      </c>
      <c r="I13" s="502"/>
      <c r="J13" s="278"/>
    </row>
    <row r="14" spans="1:10" ht="15.15" customHeight="1">
      <c r="A14" s="311" t="s">
        <v>640</v>
      </c>
      <c r="B14" s="312" t="s">
        <v>641</v>
      </c>
      <c r="C14" s="313">
        <f>SUM(Stavební_rozpočet!AB12:AB158)</f>
        <v>0</v>
      </c>
      <c r="D14" s="500" t="s">
        <v>642</v>
      </c>
      <c r="E14" s="500"/>
      <c r="F14" s="313">
        <v>0</v>
      </c>
      <c r="G14" s="500" t="s">
        <v>643</v>
      </c>
      <c r="H14" s="500"/>
      <c r="I14" s="313">
        <v>0</v>
      </c>
      <c r="J14" s="278"/>
    </row>
    <row r="15" spans="1:10" ht="15.15" customHeight="1">
      <c r="A15" s="314"/>
      <c r="B15" s="312" t="s">
        <v>345</v>
      </c>
      <c r="C15" s="313">
        <f>SUM(Stavební_rozpočet!AC12:AC158)</f>
        <v>0</v>
      </c>
      <c r="D15" s="500" t="s">
        <v>644</v>
      </c>
      <c r="E15" s="500"/>
      <c r="F15" s="313">
        <v>0</v>
      </c>
      <c r="G15" s="500" t="s">
        <v>645</v>
      </c>
      <c r="H15" s="500"/>
      <c r="I15" s="313">
        <v>0</v>
      </c>
      <c r="J15" s="278"/>
    </row>
    <row r="16" spans="1:10" ht="15.15" customHeight="1">
      <c r="A16" s="311" t="s">
        <v>646</v>
      </c>
      <c r="B16" s="312" t="s">
        <v>641</v>
      </c>
      <c r="C16" s="313">
        <f>SUM(Stavební_rozpočet!AD12:AD158)</f>
        <v>0</v>
      </c>
      <c r="D16" s="500" t="s">
        <v>647</v>
      </c>
      <c r="E16" s="500"/>
      <c r="F16" s="313">
        <v>0</v>
      </c>
      <c r="G16" s="500" t="s">
        <v>648</v>
      </c>
      <c r="H16" s="500"/>
      <c r="I16" s="313">
        <v>0</v>
      </c>
      <c r="J16" s="278"/>
    </row>
    <row r="17" spans="1:10" ht="15.15" customHeight="1">
      <c r="A17" s="314"/>
      <c r="B17" s="312" t="s">
        <v>345</v>
      </c>
      <c r="C17" s="313">
        <f>SUM([1]Stavební_rozpočet!AE12:AE158)</f>
        <v>0</v>
      </c>
      <c r="D17" s="499"/>
      <c r="E17" s="499"/>
      <c r="F17" s="315"/>
      <c r="G17" s="500" t="s">
        <v>649</v>
      </c>
      <c r="H17" s="500"/>
      <c r="I17" s="313">
        <v>0</v>
      </c>
      <c r="J17" s="278"/>
    </row>
    <row r="18" spans="1:10" ht="15.15" customHeight="1">
      <c r="A18" s="311" t="s">
        <v>650</v>
      </c>
      <c r="B18" s="312" t="s">
        <v>641</v>
      </c>
      <c r="C18" s="313">
        <f>SUM(Stavební_rozpočet!AF12:AF158)</f>
        <v>0</v>
      </c>
      <c r="D18" s="499"/>
      <c r="E18" s="499"/>
      <c r="F18" s="315"/>
      <c r="G18" s="500" t="s">
        <v>153</v>
      </c>
      <c r="H18" s="500"/>
      <c r="I18" s="313">
        <v>0</v>
      </c>
      <c r="J18" s="278"/>
    </row>
    <row r="19" spans="1:10" ht="15.15" customHeight="1">
      <c r="A19" s="314"/>
      <c r="B19" s="312" t="s">
        <v>345</v>
      </c>
      <c r="C19" s="313">
        <f>SUM(Stavební_rozpočet!AG12:AG158)</f>
        <v>0</v>
      </c>
      <c r="D19" s="499"/>
      <c r="E19" s="499"/>
      <c r="F19" s="315"/>
      <c r="G19" s="500" t="s">
        <v>651</v>
      </c>
      <c r="H19" s="500"/>
      <c r="I19" s="313">
        <v>0</v>
      </c>
      <c r="J19" s="278"/>
    </row>
    <row r="20" spans="1:10" ht="15.15" customHeight="1">
      <c r="A20" s="498" t="s">
        <v>652</v>
      </c>
      <c r="B20" s="498"/>
      <c r="C20" s="313">
        <f>SUM(Stavební_rozpočet!AH12:AH158)</f>
        <v>0</v>
      </c>
      <c r="D20" s="499"/>
      <c r="E20" s="499"/>
      <c r="F20" s="315"/>
      <c r="G20" s="499"/>
      <c r="H20" s="499"/>
      <c r="I20" s="315"/>
      <c r="J20" s="278"/>
    </row>
    <row r="21" spans="1:10" ht="15.15" customHeight="1">
      <c r="A21" s="498" t="s">
        <v>653</v>
      </c>
      <c r="B21" s="498"/>
      <c r="C21" s="313">
        <f>SUM(Stavební_rozpočet!Z12:Z158)</f>
        <v>0</v>
      </c>
      <c r="D21" s="499"/>
      <c r="E21" s="499"/>
      <c r="F21" s="315"/>
      <c r="G21" s="499"/>
      <c r="H21" s="499"/>
      <c r="I21" s="315"/>
      <c r="J21" s="278"/>
    </row>
    <row r="22" spans="1:10" ht="16.649999999999999" customHeight="1">
      <c r="A22" s="498" t="s">
        <v>654</v>
      </c>
      <c r="B22" s="498"/>
      <c r="C22" s="313">
        <f>SUM(C14:C21)</f>
        <v>0</v>
      </c>
      <c r="D22" s="498" t="s">
        <v>655</v>
      </c>
      <c r="E22" s="498"/>
      <c r="F22" s="313">
        <f>SUM(F14:F21)</f>
        <v>0</v>
      </c>
      <c r="G22" s="498" t="s">
        <v>656</v>
      </c>
      <c r="H22" s="498"/>
      <c r="I22" s="313">
        <f>SUM(I14:I21)</f>
        <v>0</v>
      </c>
      <c r="J22" s="278"/>
    </row>
    <row r="23" spans="1:10" ht="15.15" customHeight="1" thickBot="1">
      <c r="A23" s="306"/>
      <c r="B23" s="306"/>
      <c r="C23" s="316"/>
      <c r="D23" s="498" t="s">
        <v>657</v>
      </c>
      <c r="E23" s="498"/>
      <c r="F23" s="317">
        <v>0</v>
      </c>
      <c r="G23" s="498" t="s">
        <v>658</v>
      </c>
      <c r="H23" s="498"/>
      <c r="I23" s="313">
        <v>0</v>
      </c>
      <c r="J23" s="278"/>
    </row>
    <row r="24" spans="1:10" ht="15.15" customHeight="1">
      <c r="D24" s="306"/>
      <c r="E24" s="306"/>
      <c r="F24" s="318"/>
      <c r="G24" s="498" t="s">
        <v>659</v>
      </c>
      <c r="H24" s="498"/>
      <c r="I24" s="319"/>
    </row>
    <row r="25" spans="1:10" ht="15" customHeight="1">
      <c r="F25" s="320"/>
      <c r="G25" s="498" t="s">
        <v>660</v>
      </c>
      <c r="H25" s="498"/>
      <c r="I25" s="313">
        <v>0</v>
      </c>
      <c r="J25" s="278"/>
    </row>
    <row r="26" spans="1:10" ht="46.8" customHeight="1">
      <c r="A26" s="304"/>
      <c r="B26" s="304"/>
      <c r="C26" s="304"/>
      <c r="G26" s="306"/>
      <c r="H26" s="306"/>
      <c r="I26" s="306"/>
    </row>
    <row r="27" spans="1:10" ht="15.15" customHeight="1">
      <c r="A27" s="496" t="s">
        <v>661</v>
      </c>
      <c r="B27" s="496"/>
      <c r="C27" s="321">
        <f>SUM(Stavební_rozpočet!AJ12:AJ158)</f>
        <v>0</v>
      </c>
      <c r="D27" s="322"/>
      <c r="E27" s="304"/>
      <c r="F27" s="304"/>
      <c r="G27" s="304"/>
      <c r="H27" s="304"/>
      <c r="I27" s="304"/>
    </row>
    <row r="28" spans="1:10" ht="15.15" customHeight="1">
      <c r="A28" s="496" t="s">
        <v>662</v>
      </c>
      <c r="B28" s="496"/>
      <c r="C28" s="321">
        <f>SUM(Stavební_rozpočet!AK12:AK158)</f>
        <v>0</v>
      </c>
      <c r="D28" s="496" t="s">
        <v>663</v>
      </c>
      <c r="E28" s="496"/>
      <c r="F28" s="321">
        <f>ROUND(C28*(15/100),2)</f>
        <v>0</v>
      </c>
      <c r="G28" s="496" t="s">
        <v>664</v>
      </c>
      <c r="H28" s="496"/>
      <c r="I28" s="321">
        <f>SUM(C27:C29)</f>
        <v>0</v>
      </c>
      <c r="J28" s="278"/>
    </row>
    <row r="29" spans="1:10" ht="15.15" customHeight="1">
      <c r="A29" s="496" t="s">
        <v>665</v>
      </c>
      <c r="B29" s="496"/>
      <c r="C29" s="321">
        <f>SUM(Stavební_rozpočet!AL12:AL158)+(F22+I22+F23+I23+I24+I25)</f>
        <v>0</v>
      </c>
      <c r="D29" s="496" t="s">
        <v>666</v>
      </c>
      <c r="E29" s="496"/>
      <c r="F29" s="321">
        <f>ROUND(C29*(21/100),2)</f>
        <v>0</v>
      </c>
      <c r="G29" s="496" t="s">
        <v>667</v>
      </c>
      <c r="H29" s="496"/>
      <c r="I29" s="321">
        <f>SUM(F28:F29)+I28</f>
        <v>0</v>
      </c>
      <c r="J29" s="278"/>
    </row>
    <row r="30" spans="1:10" ht="13.8" thickBot="1">
      <c r="A30" s="323"/>
      <c r="B30" s="323"/>
      <c r="C30" s="323"/>
      <c r="D30" s="323"/>
      <c r="E30" s="323"/>
      <c r="F30" s="323"/>
      <c r="G30" s="323"/>
      <c r="H30" s="323"/>
      <c r="I30" s="323"/>
    </row>
    <row r="31" spans="1:10" ht="14.4" customHeight="1">
      <c r="A31" s="497" t="s">
        <v>233</v>
      </c>
      <c r="B31" s="497"/>
      <c r="C31" s="497"/>
      <c r="D31" s="497" t="s">
        <v>668</v>
      </c>
      <c r="E31" s="497"/>
      <c r="F31" s="497"/>
      <c r="G31" s="497" t="s">
        <v>669</v>
      </c>
      <c r="H31" s="497"/>
      <c r="I31" s="497"/>
      <c r="J31" s="284"/>
    </row>
    <row r="32" spans="1:10" ht="14.4" customHeight="1">
      <c r="A32" s="494"/>
      <c r="B32" s="494"/>
      <c r="C32" s="494"/>
      <c r="D32" s="494"/>
      <c r="E32" s="494"/>
      <c r="F32" s="494"/>
      <c r="G32" s="494"/>
      <c r="H32" s="494"/>
      <c r="I32" s="494"/>
      <c r="J32" s="284"/>
    </row>
    <row r="33" spans="1:10" ht="14.4" customHeight="1">
      <c r="A33" s="494"/>
      <c r="B33" s="494"/>
      <c r="C33" s="494"/>
      <c r="D33" s="494"/>
      <c r="E33" s="494"/>
      <c r="F33" s="494"/>
      <c r="G33" s="494"/>
      <c r="H33" s="494"/>
      <c r="I33" s="494"/>
      <c r="J33" s="284"/>
    </row>
    <row r="34" spans="1:10" ht="14.4" customHeight="1">
      <c r="A34" s="494"/>
      <c r="B34" s="494"/>
      <c r="C34" s="494"/>
      <c r="D34" s="494"/>
      <c r="E34" s="494"/>
      <c r="F34" s="494"/>
      <c r="G34" s="494"/>
      <c r="H34" s="494"/>
      <c r="I34" s="494"/>
      <c r="J34" s="284"/>
    </row>
    <row r="35" spans="1:10" ht="14.4" customHeight="1" thickBot="1">
      <c r="A35" s="495" t="s">
        <v>670</v>
      </c>
      <c r="B35" s="495"/>
      <c r="C35" s="495"/>
      <c r="D35" s="495" t="s">
        <v>670</v>
      </c>
      <c r="E35" s="495"/>
      <c r="F35" s="495"/>
      <c r="G35" s="495" t="s">
        <v>670</v>
      </c>
      <c r="H35" s="495"/>
      <c r="I35" s="495"/>
      <c r="J35" s="284"/>
    </row>
    <row r="36" spans="1:10" ht="11.25" customHeight="1">
      <c r="A36" s="324" t="s">
        <v>39</v>
      </c>
      <c r="B36" s="325"/>
      <c r="C36" s="325"/>
      <c r="D36" s="325"/>
      <c r="E36" s="325"/>
      <c r="F36" s="325"/>
      <c r="G36" s="325"/>
      <c r="H36" s="325"/>
      <c r="I36" s="325"/>
    </row>
    <row r="37" spans="1:10">
      <c r="A37" s="493"/>
      <c r="B37" s="493"/>
      <c r="C37" s="493"/>
      <c r="D37" s="493"/>
      <c r="E37" s="493"/>
      <c r="F37" s="493"/>
      <c r="G37" s="493"/>
      <c r="H37" s="493"/>
      <c r="I37" s="493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7" right="0.39400000000000007" top="0.59099999999999997" bottom="0.59099999999999997" header="0.5" footer="0.5"/>
  <pageSetup paperSize="9" fitToWidth="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43738-8957-463D-B084-D34BB0BFF104}">
  <dimension ref="A1:BJ161"/>
  <sheetViews>
    <sheetView workbookViewId="0">
      <selection activeCell="C11" sqref="C11:E11"/>
    </sheetView>
  </sheetViews>
  <sheetFormatPr defaultColWidth="13.42578125" defaultRowHeight="13.2"/>
  <cols>
    <col min="1" max="1" width="4.28515625" style="277" customWidth="1"/>
    <col min="2" max="2" width="16.7109375" style="277" customWidth="1"/>
    <col min="3" max="3" width="61.42578125" style="277" customWidth="1"/>
    <col min="4" max="4" width="7.7109375" style="277" customWidth="1"/>
    <col min="5" max="5" width="10.85546875" style="277" customWidth="1"/>
    <col min="6" max="6" width="4.85546875" style="277" customWidth="1"/>
    <col min="7" max="7" width="11" style="277" customWidth="1"/>
    <col min="8" max="8" width="12.7109375" style="277" customWidth="1"/>
    <col min="9" max="9" width="12.140625" style="277" customWidth="1"/>
    <col min="10" max="10" width="11" style="277" customWidth="1"/>
    <col min="11" max="11" width="11.5703125" style="277" customWidth="1"/>
    <col min="12" max="12" width="11.7109375" style="277" customWidth="1"/>
    <col min="13" max="24" width="13.42578125" style="277" customWidth="1"/>
    <col min="25" max="62" width="14.140625" style="277" hidden="1" customWidth="1"/>
    <col min="63" max="63" width="13.42578125" style="277" customWidth="1"/>
    <col min="64" max="16384" width="13.42578125" style="277"/>
  </cols>
  <sheetData>
    <row r="1" spans="1:62" ht="72.900000000000006" customHeight="1">
      <c r="A1" s="528" t="s">
        <v>320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</row>
    <row r="2" spans="1:62">
      <c r="A2" s="515" t="s">
        <v>321</v>
      </c>
      <c r="B2" s="515"/>
      <c r="C2" s="516" t="s">
        <v>322</v>
      </c>
      <c r="D2" s="529" t="s">
        <v>323</v>
      </c>
      <c r="E2" s="529"/>
      <c r="F2" s="529" t="s">
        <v>324</v>
      </c>
      <c r="G2" s="529"/>
      <c r="H2" s="517" t="s">
        <v>325</v>
      </c>
      <c r="I2" s="530" t="s">
        <v>28</v>
      </c>
      <c r="J2" s="530"/>
      <c r="K2" s="530"/>
      <c r="L2" s="530"/>
      <c r="M2" s="278"/>
    </row>
    <row r="3" spans="1:62">
      <c r="A3" s="515"/>
      <c r="B3" s="515"/>
      <c r="C3" s="516"/>
      <c r="D3" s="529"/>
      <c r="E3" s="529"/>
      <c r="F3" s="529"/>
      <c r="G3" s="529"/>
      <c r="H3" s="517"/>
      <c r="I3" s="530"/>
      <c r="J3" s="530"/>
      <c r="K3" s="530"/>
      <c r="L3" s="530"/>
      <c r="M3" s="278"/>
    </row>
    <row r="4" spans="1:62">
      <c r="A4" s="505" t="s">
        <v>326</v>
      </c>
      <c r="B4" s="505"/>
      <c r="C4" s="507" t="s">
        <v>324</v>
      </c>
      <c r="D4" s="508" t="s">
        <v>327</v>
      </c>
      <c r="E4" s="508"/>
      <c r="F4" s="508" t="s">
        <v>324</v>
      </c>
      <c r="G4" s="508"/>
      <c r="H4" s="507" t="s">
        <v>33</v>
      </c>
      <c r="I4" s="527" t="s">
        <v>35</v>
      </c>
      <c r="J4" s="527"/>
      <c r="K4" s="527"/>
      <c r="L4" s="527"/>
      <c r="M4" s="278"/>
    </row>
    <row r="5" spans="1:62">
      <c r="A5" s="505"/>
      <c r="B5" s="505"/>
      <c r="C5" s="507"/>
      <c r="D5" s="508"/>
      <c r="E5" s="508"/>
      <c r="F5" s="508"/>
      <c r="G5" s="508"/>
      <c r="H5" s="507"/>
      <c r="I5" s="527"/>
      <c r="J5" s="527"/>
      <c r="K5" s="527"/>
      <c r="L5" s="527"/>
      <c r="M5" s="278"/>
    </row>
    <row r="6" spans="1:62">
      <c r="A6" s="505" t="s">
        <v>328</v>
      </c>
      <c r="B6" s="505"/>
      <c r="C6" s="507" t="s">
        <v>22</v>
      </c>
      <c r="D6" s="508" t="s">
        <v>329</v>
      </c>
      <c r="E6" s="508"/>
      <c r="F6" s="508" t="s">
        <v>324</v>
      </c>
      <c r="G6" s="508"/>
      <c r="H6" s="507" t="s">
        <v>330</v>
      </c>
      <c r="I6" s="527" t="s">
        <v>331</v>
      </c>
      <c r="J6" s="527"/>
      <c r="K6" s="527"/>
      <c r="L6" s="527"/>
      <c r="M6" s="278"/>
    </row>
    <row r="7" spans="1:62">
      <c r="A7" s="505"/>
      <c r="B7" s="505"/>
      <c r="C7" s="507"/>
      <c r="D7" s="508"/>
      <c r="E7" s="508"/>
      <c r="F7" s="508"/>
      <c r="G7" s="508"/>
      <c r="H7" s="507"/>
      <c r="I7" s="527"/>
      <c r="J7" s="527"/>
      <c r="K7" s="527"/>
      <c r="L7" s="527"/>
      <c r="M7" s="278"/>
    </row>
    <row r="8" spans="1:62" ht="13.8" thickBot="1">
      <c r="A8" s="524" t="s">
        <v>332</v>
      </c>
      <c r="B8" s="524"/>
      <c r="C8" s="525" t="s">
        <v>324</v>
      </c>
      <c r="D8" s="526" t="s">
        <v>333</v>
      </c>
      <c r="E8" s="526"/>
      <c r="F8" s="526" t="s">
        <v>334</v>
      </c>
      <c r="G8" s="526"/>
      <c r="H8" s="525" t="s">
        <v>335</v>
      </c>
      <c r="I8" s="531" t="s">
        <v>336</v>
      </c>
      <c r="J8" s="531"/>
      <c r="K8" s="531"/>
      <c r="L8" s="531"/>
      <c r="M8" s="278"/>
    </row>
    <row r="9" spans="1:62" ht="13.8" thickBot="1">
      <c r="A9" s="524"/>
      <c r="B9" s="524"/>
      <c r="C9" s="525"/>
      <c r="D9" s="526"/>
      <c r="E9" s="526"/>
      <c r="F9" s="526"/>
      <c r="G9" s="526"/>
      <c r="H9" s="525"/>
      <c r="I9" s="531"/>
      <c r="J9" s="531"/>
      <c r="K9" s="531"/>
      <c r="L9" s="531"/>
      <c r="M9" s="278"/>
    </row>
    <row r="10" spans="1:62">
      <c r="A10" s="279" t="s">
        <v>337</v>
      </c>
      <c r="B10" s="280" t="s">
        <v>56</v>
      </c>
      <c r="C10" s="520" t="s">
        <v>338</v>
      </c>
      <c r="D10" s="520"/>
      <c r="E10" s="520"/>
      <c r="F10" s="280" t="s">
        <v>106</v>
      </c>
      <c r="G10" s="281" t="s">
        <v>107</v>
      </c>
      <c r="H10" s="282" t="s">
        <v>339</v>
      </c>
      <c r="I10" s="521" t="s">
        <v>340</v>
      </c>
      <c r="J10" s="521"/>
      <c r="K10" s="521"/>
      <c r="L10" s="283" t="s">
        <v>341</v>
      </c>
      <c r="M10" s="284"/>
    </row>
    <row r="11" spans="1:62" ht="13.8" thickBot="1">
      <c r="A11" s="285" t="s">
        <v>324</v>
      </c>
      <c r="B11" s="286" t="s">
        <v>324</v>
      </c>
      <c r="C11" s="522" t="s">
        <v>342</v>
      </c>
      <c r="D11" s="522"/>
      <c r="E11" s="522"/>
      <c r="F11" s="286" t="s">
        <v>324</v>
      </c>
      <c r="G11" s="286" t="s">
        <v>324</v>
      </c>
      <c r="H11" s="287" t="s">
        <v>343</v>
      </c>
      <c r="I11" s="288" t="s">
        <v>344</v>
      </c>
      <c r="J11" s="289" t="s">
        <v>345</v>
      </c>
      <c r="K11" s="290" t="s">
        <v>346</v>
      </c>
      <c r="L11" s="291" t="s">
        <v>347</v>
      </c>
      <c r="M11" s="284"/>
      <c r="Z11" s="292" t="s">
        <v>348</v>
      </c>
      <c r="AA11" s="292" t="s">
        <v>349</v>
      </c>
      <c r="AB11" s="292" t="s">
        <v>350</v>
      </c>
      <c r="AC11" s="292" t="s">
        <v>351</v>
      </c>
      <c r="AD11" s="292" t="s">
        <v>352</v>
      </c>
      <c r="AE11" s="292" t="s">
        <v>353</v>
      </c>
      <c r="AF11" s="292" t="s">
        <v>354</v>
      </c>
      <c r="AG11" s="292" t="s">
        <v>355</v>
      </c>
      <c r="AH11" s="292" t="s">
        <v>356</v>
      </c>
      <c r="BH11" s="292" t="s">
        <v>357</v>
      </c>
      <c r="BI11" s="292" t="s">
        <v>358</v>
      </c>
      <c r="BJ11" s="292" t="s">
        <v>359</v>
      </c>
    </row>
    <row r="12" spans="1:62">
      <c r="A12" s="293"/>
      <c r="B12" s="294" t="s">
        <v>7</v>
      </c>
      <c r="C12" s="523" t="s">
        <v>360</v>
      </c>
      <c r="D12" s="523"/>
      <c r="E12" s="523"/>
      <c r="F12" s="293" t="s">
        <v>324</v>
      </c>
      <c r="G12" s="293" t="s">
        <v>324</v>
      </c>
      <c r="H12" s="293" t="s">
        <v>324</v>
      </c>
      <c r="I12" s="295">
        <f>SUM(I13:I17)</f>
        <v>0</v>
      </c>
      <c r="J12" s="295">
        <f>SUM(J13:J17)</f>
        <v>0</v>
      </c>
      <c r="K12" s="295">
        <f>SUM(K13:K17)</f>
        <v>0</v>
      </c>
      <c r="L12" s="296"/>
      <c r="AI12" s="292"/>
      <c r="AS12" s="297">
        <f>SUM(AJ13:AJ17)</f>
        <v>0</v>
      </c>
      <c r="AT12" s="297">
        <f>SUM(AK13:AK17)</f>
        <v>0</v>
      </c>
      <c r="AU12" s="297">
        <f>SUM(AL13:AL17)</f>
        <v>0</v>
      </c>
    </row>
    <row r="13" spans="1:62">
      <c r="A13" s="298" t="s">
        <v>83</v>
      </c>
      <c r="B13" s="298" t="s">
        <v>361</v>
      </c>
      <c r="C13" s="435" t="s">
        <v>360</v>
      </c>
      <c r="D13" s="435"/>
      <c r="E13" s="435"/>
      <c r="F13" s="298" t="s">
        <v>362</v>
      </c>
      <c r="G13" s="299">
        <v>70</v>
      </c>
      <c r="H13" s="299">
        <v>0</v>
      </c>
      <c r="I13" s="299">
        <f>G13*AO13</f>
        <v>0</v>
      </c>
      <c r="J13" s="299">
        <f>G13*AP13</f>
        <v>0</v>
      </c>
      <c r="K13" s="299">
        <f>G13*H13</f>
        <v>0</v>
      </c>
      <c r="L13" s="300" t="s">
        <v>363</v>
      </c>
      <c r="Z13" s="299">
        <f>IF(AQ13="5",BJ13,0)</f>
        <v>0</v>
      </c>
      <c r="AB13" s="299">
        <f>IF(AQ13="1",BH13,0)</f>
        <v>0</v>
      </c>
      <c r="AC13" s="299">
        <f>IF(AQ13="1",BI13,0)</f>
        <v>0</v>
      </c>
      <c r="AD13" s="299">
        <f>IF(AQ13="7",BH13,0)</f>
        <v>0</v>
      </c>
      <c r="AE13" s="299">
        <f>IF(AQ13="7",BI13,0)</f>
        <v>0</v>
      </c>
      <c r="AF13" s="299">
        <f>IF(AQ13="2",BH13,0)</f>
        <v>0</v>
      </c>
      <c r="AG13" s="299">
        <f>IF(AQ13="2",BI13,0)</f>
        <v>0</v>
      </c>
      <c r="AH13" s="299">
        <f>IF(AQ13="0",BJ13,0)</f>
        <v>0</v>
      </c>
      <c r="AI13" s="292"/>
      <c r="AJ13" s="299">
        <f>IF(AN13=0,K13,0)</f>
        <v>0</v>
      </c>
      <c r="AK13" s="299">
        <f>IF(AN13=15,K13,0)</f>
        <v>0</v>
      </c>
      <c r="AL13" s="299">
        <f>IF(AN13=21,K13,0)</f>
        <v>0</v>
      </c>
      <c r="AN13" s="299">
        <v>21</v>
      </c>
      <c r="AO13" s="299">
        <f>H13*0.0212244897959184</f>
        <v>0</v>
      </c>
      <c r="AP13" s="299">
        <f>H13*(1-0.0212244897959184)</f>
        <v>0</v>
      </c>
      <c r="AQ13" s="300" t="s">
        <v>83</v>
      </c>
      <c r="AV13" s="299">
        <f>AW13+AX13</f>
        <v>0</v>
      </c>
      <c r="AW13" s="299">
        <f>G13*AO13</f>
        <v>0</v>
      </c>
      <c r="AX13" s="299">
        <f>G13*AP13</f>
        <v>0</v>
      </c>
      <c r="AY13" s="300" t="s">
        <v>364</v>
      </c>
      <c r="AZ13" s="300" t="s">
        <v>365</v>
      </c>
      <c r="BA13" s="292" t="s">
        <v>366</v>
      </c>
      <c r="BC13" s="299">
        <f>AW13+AX13</f>
        <v>0</v>
      </c>
      <c r="BD13" s="299">
        <f>H13/(100-BE13)*100</f>
        <v>0</v>
      </c>
      <c r="BE13" s="299">
        <v>0</v>
      </c>
      <c r="BF13" s="299">
        <f>13</f>
        <v>13</v>
      </c>
      <c r="BH13" s="299">
        <f>G13*AO13</f>
        <v>0</v>
      </c>
      <c r="BI13" s="299">
        <f>G13*AP13</f>
        <v>0</v>
      </c>
      <c r="BJ13" s="299">
        <f>G13*H13</f>
        <v>0</v>
      </c>
    </row>
    <row r="14" spans="1:62">
      <c r="C14" s="436" t="s">
        <v>367</v>
      </c>
      <c r="D14" s="436"/>
      <c r="E14" s="436"/>
      <c r="G14" s="301">
        <v>70</v>
      </c>
    </row>
    <row r="15" spans="1:62">
      <c r="A15" s="298" t="s">
        <v>85</v>
      </c>
      <c r="B15" s="298" t="s">
        <v>368</v>
      </c>
      <c r="C15" s="435" t="s">
        <v>369</v>
      </c>
      <c r="D15" s="435"/>
      <c r="E15" s="435"/>
      <c r="F15" s="298" t="s">
        <v>362</v>
      </c>
      <c r="G15" s="299">
        <v>70</v>
      </c>
      <c r="H15" s="299">
        <v>0</v>
      </c>
      <c r="I15" s="299">
        <f>G15*AO15</f>
        <v>0</v>
      </c>
      <c r="J15" s="299">
        <f>G15*AP15</f>
        <v>0</v>
      </c>
      <c r="K15" s="299">
        <f>G15*H15</f>
        <v>0</v>
      </c>
      <c r="L15" s="300" t="s">
        <v>363</v>
      </c>
      <c r="Z15" s="299">
        <f>IF(AQ15="5",BJ15,0)</f>
        <v>0</v>
      </c>
      <c r="AB15" s="299">
        <f>IF(AQ15="1",BH15,0)</f>
        <v>0</v>
      </c>
      <c r="AC15" s="299">
        <f>IF(AQ15="1",BI15,0)</f>
        <v>0</v>
      </c>
      <c r="AD15" s="299">
        <f>IF(AQ15="7",BH15,0)</f>
        <v>0</v>
      </c>
      <c r="AE15" s="299">
        <f>IF(AQ15="7",BI15,0)</f>
        <v>0</v>
      </c>
      <c r="AF15" s="299">
        <f>IF(AQ15="2",BH15,0)</f>
        <v>0</v>
      </c>
      <c r="AG15" s="299">
        <f>IF(AQ15="2",BI15,0)</f>
        <v>0</v>
      </c>
      <c r="AH15" s="299">
        <f>IF(AQ15="0",BJ15,0)</f>
        <v>0</v>
      </c>
      <c r="AI15" s="292"/>
      <c r="AJ15" s="299">
        <f>IF(AN15=0,K15,0)</f>
        <v>0</v>
      </c>
      <c r="AK15" s="299">
        <f>IF(AN15=15,K15,0)</f>
        <v>0</v>
      </c>
      <c r="AL15" s="299">
        <f>IF(AN15=21,K15,0)</f>
        <v>0</v>
      </c>
      <c r="AN15" s="299">
        <v>21</v>
      </c>
      <c r="AO15" s="299">
        <f>H15*1</f>
        <v>0</v>
      </c>
      <c r="AP15" s="299">
        <f>H15*(1-1)</f>
        <v>0</v>
      </c>
      <c r="AQ15" s="300" t="s">
        <v>83</v>
      </c>
      <c r="AV15" s="299">
        <f>AW15+AX15</f>
        <v>0</v>
      </c>
      <c r="AW15" s="299">
        <f>G15*AO15</f>
        <v>0</v>
      </c>
      <c r="AX15" s="299">
        <f>G15*AP15</f>
        <v>0</v>
      </c>
      <c r="AY15" s="300" t="s">
        <v>364</v>
      </c>
      <c r="AZ15" s="300" t="s">
        <v>365</v>
      </c>
      <c r="BA15" s="292" t="s">
        <v>366</v>
      </c>
      <c r="BC15" s="299">
        <f>AW15+AX15</f>
        <v>0</v>
      </c>
      <c r="BD15" s="299">
        <f>H15/(100-BE15)*100</f>
        <v>0</v>
      </c>
      <c r="BE15" s="299">
        <v>0</v>
      </c>
      <c r="BF15" s="299">
        <f>15</f>
        <v>15</v>
      </c>
      <c r="BH15" s="299">
        <f>G15*AO15</f>
        <v>0</v>
      </c>
      <c r="BI15" s="299">
        <f>G15*AP15</f>
        <v>0</v>
      </c>
      <c r="BJ15" s="299">
        <f>G15*H15</f>
        <v>0</v>
      </c>
    </row>
    <row r="16" spans="1:62">
      <c r="C16" s="436" t="s">
        <v>367</v>
      </c>
      <c r="D16" s="436"/>
      <c r="E16" s="436"/>
      <c r="G16" s="301">
        <v>70</v>
      </c>
    </row>
    <row r="17" spans="1:62">
      <c r="A17" s="298" t="s">
        <v>370</v>
      </c>
      <c r="B17" s="298" t="s">
        <v>371</v>
      </c>
      <c r="C17" s="435" t="s">
        <v>372</v>
      </c>
      <c r="D17" s="435"/>
      <c r="E17" s="435"/>
      <c r="F17" s="298" t="s">
        <v>362</v>
      </c>
      <c r="G17" s="299">
        <v>70</v>
      </c>
      <c r="H17" s="299">
        <v>0</v>
      </c>
      <c r="I17" s="299">
        <f>G17*AO17</f>
        <v>0</v>
      </c>
      <c r="J17" s="299">
        <f>G17*AP17</f>
        <v>0</v>
      </c>
      <c r="K17" s="299">
        <f>G17*H17</f>
        <v>0</v>
      </c>
      <c r="L17" s="300"/>
      <c r="Z17" s="299">
        <f>IF(AQ17="5",BJ17,0)</f>
        <v>0</v>
      </c>
      <c r="AB17" s="299">
        <f>IF(AQ17="1",BH17,0)</f>
        <v>0</v>
      </c>
      <c r="AC17" s="299">
        <f>IF(AQ17="1",BI17,0)</f>
        <v>0</v>
      </c>
      <c r="AD17" s="299">
        <f>IF(AQ17="7",BH17,0)</f>
        <v>0</v>
      </c>
      <c r="AE17" s="299">
        <f>IF(AQ17="7",BI17,0)</f>
        <v>0</v>
      </c>
      <c r="AF17" s="299">
        <f>IF(AQ17="2",BH17,0)</f>
        <v>0</v>
      </c>
      <c r="AG17" s="299">
        <f>IF(AQ17="2",BI17,0)</f>
        <v>0</v>
      </c>
      <c r="AH17" s="299">
        <f>IF(AQ17="0",BJ17,0)</f>
        <v>0</v>
      </c>
      <c r="AI17" s="292"/>
      <c r="AJ17" s="299">
        <f>IF(AN17=0,K17,0)</f>
        <v>0</v>
      </c>
      <c r="AK17" s="299">
        <f>IF(AN17=15,K17,0)</f>
        <v>0</v>
      </c>
      <c r="AL17" s="299">
        <f>IF(AN17=21,K17,0)</f>
        <v>0</v>
      </c>
      <c r="AN17" s="299">
        <v>21</v>
      </c>
      <c r="AO17" s="299">
        <f>H17*0</f>
        <v>0</v>
      </c>
      <c r="AP17" s="299">
        <f>H17*(1-0)</f>
        <v>0</v>
      </c>
      <c r="AQ17" s="300" t="s">
        <v>83</v>
      </c>
      <c r="AV17" s="299">
        <f>AW17+AX17</f>
        <v>0</v>
      </c>
      <c r="AW17" s="299">
        <f>G17*AO17</f>
        <v>0</v>
      </c>
      <c r="AX17" s="299">
        <f>G17*AP17</f>
        <v>0</v>
      </c>
      <c r="AY17" s="300" t="s">
        <v>364</v>
      </c>
      <c r="AZ17" s="300" t="s">
        <v>365</v>
      </c>
      <c r="BA17" s="292" t="s">
        <v>366</v>
      </c>
      <c r="BC17" s="299">
        <f>AW17+AX17</f>
        <v>0</v>
      </c>
      <c r="BD17" s="299">
        <f>H17/(100-BE17)*100</f>
        <v>0</v>
      </c>
      <c r="BE17" s="299">
        <v>0</v>
      </c>
      <c r="BF17" s="299">
        <f>17</f>
        <v>17</v>
      </c>
      <c r="BH17" s="299">
        <f>G17*AO17</f>
        <v>0</v>
      </c>
      <c r="BI17" s="299">
        <f>G17*AP17</f>
        <v>0</v>
      </c>
      <c r="BJ17" s="299">
        <f>G17*H17</f>
        <v>0</v>
      </c>
    </row>
    <row r="18" spans="1:62">
      <c r="C18" s="436" t="s">
        <v>367</v>
      </c>
      <c r="D18" s="436"/>
      <c r="E18" s="436"/>
      <c r="G18" s="301">
        <v>70</v>
      </c>
    </row>
    <row r="19" spans="1:62">
      <c r="A19" s="302"/>
      <c r="B19" s="303" t="s">
        <v>373</v>
      </c>
      <c r="C19" s="437" t="s">
        <v>374</v>
      </c>
      <c r="D19" s="437"/>
      <c r="E19" s="437"/>
      <c r="F19" s="302" t="s">
        <v>324</v>
      </c>
      <c r="G19" s="302" t="s">
        <v>324</v>
      </c>
      <c r="H19" s="302" t="s">
        <v>324</v>
      </c>
      <c r="I19" s="297">
        <f>SUM(I20:I24)</f>
        <v>0</v>
      </c>
      <c r="J19" s="297">
        <f>SUM(J20:J24)</f>
        <v>0</v>
      </c>
      <c r="K19" s="297">
        <f>SUM(K20:K24)</f>
        <v>0</v>
      </c>
      <c r="L19" s="292"/>
      <c r="AI19" s="292"/>
      <c r="AS19" s="297">
        <f>SUM(AJ20:AJ24)</f>
        <v>0</v>
      </c>
      <c r="AT19" s="297">
        <f>SUM(AK20:AK24)</f>
        <v>0</v>
      </c>
      <c r="AU19" s="297">
        <f>SUM(AL20:AL24)</f>
        <v>0</v>
      </c>
    </row>
    <row r="20" spans="1:62">
      <c r="A20" s="298" t="s">
        <v>119</v>
      </c>
      <c r="B20" s="298" t="s">
        <v>375</v>
      </c>
      <c r="C20" s="435" t="s">
        <v>376</v>
      </c>
      <c r="D20" s="435"/>
      <c r="E20" s="435"/>
      <c r="F20" s="298" t="s">
        <v>377</v>
      </c>
      <c r="G20" s="299">
        <v>3.3</v>
      </c>
      <c r="H20" s="299">
        <v>0</v>
      </c>
      <c r="I20" s="299">
        <f>G20*AO20</f>
        <v>0</v>
      </c>
      <c r="J20" s="299">
        <f>G20*AP20</f>
        <v>0</v>
      </c>
      <c r="K20" s="299">
        <f>G20*H20</f>
        <v>0</v>
      </c>
      <c r="L20" s="300" t="s">
        <v>363</v>
      </c>
      <c r="Z20" s="299">
        <f>IF(AQ20="5",BJ20,0)</f>
        <v>0</v>
      </c>
      <c r="AB20" s="299">
        <f>IF(AQ20="1",BH20,0)</f>
        <v>0</v>
      </c>
      <c r="AC20" s="299">
        <f>IF(AQ20="1",BI20,0)</f>
        <v>0</v>
      </c>
      <c r="AD20" s="299">
        <f>IF(AQ20="7",BH20,0)</f>
        <v>0</v>
      </c>
      <c r="AE20" s="299">
        <f>IF(AQ20="7",BI20,0)</f>
        <v>0</v>
      </c>
      <c r="AF20" s="299">
        <f>IF(AQ20="2",BH20,0)</f>
        <v>0</v>
      </c>
      <c r="AG20" s="299">
        <f>IF(AQ20="2",BI20,0)</f>
        <v>0</v>
      </c>
      <c r="AH20" s="299">
        <f>IF(AQ20="0",BJ20,0)</f>
        <v>0</v>
      </c>
      <c r="AI20" s="292"/>
      <c r="AJ20" s="299">
        <f>IF(AN20=0,K20,0)</f>
        <v>0</v>
      </c>
      <c r="AK20" s="299">
        <f>IF(AN20=15,K20,0)</f>
        <v>0</v>
      </c>
      <c r="AL20" s="299">
        <f>IF(AN20=21,K20,0)</f>
        <v>0</v>
      </c>
      <c r="AN20" s="299">
        <v>21</v>
      </c>
      <c r="AO20" s="299">
        <f>H20*0.902102018027411</f>
        <v>0</v>
      </c>
      <c r="AP20" s="299">
        <f>H20*(1-0.902102018027411)</f>
        <v>0</v>
      </c>
      <c r="AQ20" s="300" t="s">
        <v>83</v>
      </c>
      <c r="AV20" s="299">
        <f>AW20+AX20</f>
        <v>0</v>
      </c>
      <c r="AW20" s="299">
        <f>G20*AO20</f>
        <v>0</v>
      </c>
      <c r="AX20" s="299">
        <f>G20*AP20</f>
        <v>0</v>
      </c>
      <c r="AY20" s="300" t="s">
        <v>378</v>
      </c>
      <c r="AZ20" s="300" t="s">
        <v>365</v>
      </c>
      <c r="BA20" s="292" t="s">
        <v>366</v>
      </c>
      <c r="BC20" s="299">
        <f>AW20+AX20</f>
        <v>0</v>
      </c>
      <c r="BD20" s="299">
        <f>H20/(100-BE20)*100</f>
        <v>0</v>
      </c>
      <c r="BE20" s="299">
        <v>0</v>
      </c>
      <c r="BF20" s="299">
        <f>20</f>
        <v>20</v>
      </c>
      <c r="BH20" s="299">
        <f>G20*AO20</f>
        <v>0</v>
      </c>
      <c r="BI20" s="299">
        <f>G20*AP20</f>
        <v>0</v>
      </c>
      <c r="BJ20" s="299">
        <f>G20*H20</f>
        <v>0</v>
      </c>
    </row>
    <row r="21" spans="1:62">
      <c r="C21" s="436" t="s">
        <v>379</v>
      </c>
      <c r="D21" s="436"/>
      <c r="E21" s="436"/>
      <c r="G21" s="301">
        <v>3.3</v>
      </c>
    </row>
    <row r="22" spans="1:62">
      <c r="A22" s="298" t="s">
        <v>380</v>
      </c>
      <c r="B22" s="298" t="s">
        <v>381</v>
      </c>
      <c r="C22" s="435" t="s">
        <v>382</v>
      </c>
      <c r="D22" s="435"/>
      <c r="E22" s="435"/>
      <c r="F22" s="298" t="s">
        <v>362</v>
      </c>
      <c r="G22" s="299">
        <v>7.2</v>
      </c>
      <c r="H22" s="299">
        <v>0</v>
      </c>
      <c r="I22" s="299">
        <f>G22*AO22</f>
        <v>0</v>
      </c>
      <c r="J22" s="299">
        <f>G22*AP22</f>
        <v>0</v>
      </c>
      <c r="K22" s="299">
        <f>G22*H22</f>
        <v>0</v>
      </c>
      <c r="L22" s="300" t="s">
        <v>363</v>
      </c>
      <c r="Z22" s="299">
        <f>IF(AQ22="5",BJ22,0)</f>
        <v>0</v>
      </c>
      <c r="AB22" s="299">
        <f>IF(AQ22="1",BH22,0)</f>
        <v>0</v>
      </c>
      <c r="AC22" s="299">
        <f>IF(AQ22="1",BI22,0)</f>
        <v>0</v>
      </c>
      <c r="AD22" s="299">
        <f>IF(AQ22="7",BH22,0)</f>
        <v>0</v>
      </c>
      <c r="AE22" s="299">
        <f>IF(AQ22="7",BI22,0)</f>
        <v>0</v>
      </c>
      <c r="AF22" s="299">
        <f>IF(AQ22="2",BH22,0)</f>
        <v>0</v>
      </c>
      <c r="AG22" s="299">
        <f>IF(AQ22="2",BI22,0)</f>
        <v>0</v>
      </c>
      <c r="AH22" s="299">
        <f>IF(AQ22="0",BJ22,0)</f>
        <v>0</v>
      </c>
      <c r="AI22" s="292"/>
      <c r="AJ22" s="299">
        <f>IF(AN22=0,K22,0)</f>
        <v>0</v>
      </c>
      <c r="AK22" s="299">
        <f>IF(AN22=15,K22,0)</f>
        <v>0</v>
      </c>
      <c r="AL22" s="299">
        <f>IF(AN22=21,K22,0)</f>
        <v>0</v>
      </c>
      <c r="AN22" s="299">
        <v>21</v>
      </c>
      <c r="AO22" s="299">
        <f>H22*0.287051509769094</f>
        <v>0</v>
      </c>
      <c r="AP22" s="299">
        <f>H22*(1-0.287051509769094)</f>
        <v>0</v>
      </c>
      <c r="AQ22" s="300" t="s">
        <v>83</v>
      </c>
      <c r="AV22" s="299">
        <f>AW22+AX22</f>
        <v>0</v>
      </c>
      <c r="AW22" s="299">
        <f>G22*AO22</f>
        <v>0</v>
      </c>
      <c r="AX22" s="299">
        <f>G22*AP22</f>
        <v>0</v>
      </c>
      <c r="AY22" s="300" t="s">
        <v>378</v>
      </c>
      <c r="AZ22" s="300" t="s">
        <v>365</v>
      </c>
      <c r="BA22" s="292" t="s">
        <v>366</v>
      </c>
      <c r="BC22" s="299">
        <f>AW22+AX22</f>
        <v>0</v>
      </c>
      <c r="BD22" s="299">
        <f>H22/(100-BE22)*100</f>
        <v>0</v>
      </c>
      <c r="BE22" s="299">
        <v>0</v>
      </c>
      <c r="BF22" s="299">
        <f>22</f>
        <v>22</v>
      </c>
      <c r="BH22" s="299">
        <f>G22*AO22</f>
        <v>0</v>
      </c>
      <c r="BI22" s="299">
        <f>G22*AP22</f>
        <v>0</v>
      </c>
      <c r="BJ22" s="299">
        <f>G22*H22</f>
        <v>0</v>
      </c>
    </row>
    <row r="23" spans="1:62">
      <c r="C23" s="436" t="s">
        <v>383</v>
      </c>
      <c r="D23" s="436"/>
      <c r="E23" s="436"/>
      <c r="G23" s="301">
        <v>7.2</v>
      </c>
    </row>
    <row r="24" spans="1:62">
      <c r="A24" s="298" t="s">
        <v>384</v>
      </c>
      <c r="B24" s="298" t="s">
        <v>385</v>
      </c>
      <c r="C24" s="435" t="s">
        <v>386</v>
      </c>
      <c r="D24" s="435"/>
      <c r="E24" s="435"/>
      <c r="F24" s="298" t="s">
        <v>362</v>
      </c>
      <c r="G24" s="299">
        <v>7.12</v>
      </c>
      <c r="H24" s="299">
        <v>0</v>
      </c>
      <c r="I24" s="299">
        <f>G24*AO24</f>
        <v>0</v>
      </c>
      <c r="J24" s="299">
        <f>G24*AP24</f>
        <v>0</v>
      </c>
      <c r="K24" s="299">
        <f>G24*H24</f>
        <v>0</v>
      </c>
      <c r="L24" s="300" t="s">
        <v>363</v>
      </c>
      <c r="Z24" s="299">
        <f>IF(AQ24="5",BJ24,0)</f>
        <v>0</v>
      </c>
      <c r="AB24" s="299">
        <f>IF(AQ24="1",BH24,0)</f>
        <v>0</v>
      </c>
      <c r="AC24" s="299">
        <f>IF(AQ24="1",BI24,0)</f>
        <v>0</v>
      </c>
      <c r="AD24" s="299">
        <f>IF(AQ24="7",BH24,0)</f>
        <v>0</v>
      </c>
      <c r="AE24" s="299">
        <f>IF(AQ24="7",BI24,0)</f>
        <v>0</v>
      </c>
      <c r="AF24" s="299">
        <f>IF(AQ24="2",BH24,0)</f>
        <v>0</v>
      </c>
      <c r="AG24" s="299">
        <f>IF(AQ24="2",BI24,0)</f>
        <v>0</v>
      </c>
      <c r="AH24" s="299">
        <f>IF(AQ24="0",BJ24,0)</f>
        <v>0</v>
      </c>
      <c r="AI24" s="292"/>
      <c r="AJ24" s="299">
        <f>IF(AN24=0,K24,0)</f>
        <v>0</v>
      </c>
      <c r="AK24" s="299">
        <f>IF(AN24=15,K24,0)</f>
        <v>0</v>
      </c>
      <c r="AL24" s="299">
        <f>IF(AN24=21,K24,0)</f>
        <v>0</v>
      </c>
      <c r="AN24" s="299">
        <v>21</v>
      </c>
      <c r="AO24" s="299">
        <f>H24*0</f>
        <v>0</v>
      </c>
      <c r="AP24" s="299">
        <f>H24*(1-0)</f>
        <v>0</v>
      </c>
      <c r="AQ24" s="300" t="s">
        <v>83</v>
      </c>
      <c r="AV24" s="299">
        <f>AW24+AX24</f>
        <v>0</v>
      </c>
      <c r="AW24" s="299">
        <f>G24*AO24</f>
        <v>0</v>
      </c>
      <c r="AX24" s="299">
        <f>G24*AP24</f>
        <v>0</v>
      </c>
      <c r="AY24" s="300" t="s">
        <v>378</v>
      </c>
      <c r="AZ24" s="300" t="s">
        <v>365</v>
      </c>
      <c r="BA24" s="292" t="s">
        <v>366</v>
      </c>
      <c r="BC24" s="299">
        <f>AW24+AX24</f>
        <v>0</v>
      </c>
      <c r="BD24" s="299">
        <f>H24/(100-BE24)*100</f>
        <v>0</v>
      </c>
      <c r="BE24" s="299">
        <v>0</v>
      </c>
      <c r="BF24" s="299">
        <f>24</f>
        <v>24</v>
      </c>
      <c r="BH24" s="299">
        <f>G24*AO24</f>
        <v>0</v>
      </c>
      <c r="BI24" s="299">
        <f>G24*AP24</f>
        <v>0</v>
      </c>
      <c r="BJ24" s="299">
        <f>G24*H24</f>
        <v>0</v>
      </c>
    </row>
    <row r="25" spans="1:62">
      <c r="C25" s="436" t="s">
        <v>387</v>
      </c>
      <c r="D25" s="436"/>
      <c r="E25" s="436"/>
      <c r="G25" s="301">
        <v>7.12</v>
      </c>
    </row>
    <row r="26" spans="1:62">
      <c r="A26" s="302"/>
      <c r="B26" s="303" t="s">
        <v>388</v>
      </c>
      <c r="C26" s="437" t="s">
        <v>389</v>
      </c>
      <c r="D26" s="437"/>
      <c r="E26" s="437"/>
      <c r="F26" s="302" t="s">
        <v>324</v>
      </c>
      <c r="G26" s="302" t="s">
        <v>324</v>
      </c>
      <c r="H26" s="302" t="s">
        <v>324</v>
      </c>
      <c r="I26" s="297">
        <f>SUM(I27:I33)</f>
        <v>0</v>
      </c>
      <c r="J26" s="297">
        <f>SUM(J27:J33)</f>
        <v>0</v>
      </c>
      <c r="K26" s="297">
        <f>SUM(K27:K33)</f>
        <v>0</v>
      </c>
      <c r="L26" s="292"/>
      <c r="AI26" s="292"/>
      <c r="AS26" s="297">
        <f>SUM(AJ27:AJ33)</f>
        <v>0</v>
      </c>
      <c r="AT26" s="297">
        <f>SUM(AK27:AK33)</f>
        <v>0</v>
      </c>
      <c r="AU26" s="297">
        <f>SUM(AL27:AL33)</f>
        <v>0</v>
      </c>
    </row>
    <row r="27" spans="1:62">
      <c r="A27" s="298" t="s">
        <v>390</v>
      </c>
      <c r="B27" s="298" t="s">
        <v>391</v>
      </c>
      <c r="C27" s="435" t="s">
        <v>392</v>
      </c>
      <c r="D27" s="435"/>
      <c r="E27" s="435"/>
      <c r="F27" s="298" t="s">
        <v>393</v>
      </c>
      <c r="G27" s="299">
        <v>44</v>
      </c>
      <c r="H27" s="299">
        <v>0</v>
      </c>
      <c r="I27" s="299">
        <f>G27*AO27</f>
        <v>0</v>
      </c>
      <c r="J27" s="299">
        <f>G27*AP27</f>
        <v>0</v>
      </c>
      <c r="K27" s="299">
        <f>G27*H27</f>
        <v>0</v>
      </c>
      <c r="L27" s="300" t="s">
        <v>363</v>
      </c>
      <c r="Z27" s="299">
        <f>IF(AQ27="5",BJ27,0)</f>
        <v>0</v>
      </c>
      <c r="AB27" s="299">
        <f>IF(AQ27="1",BH27,0)</f>
        <v>0</v>
      </c>
      <c r="AC27" s="299">
        <f>IF(AQ27="1",BI27,0)</f>
        <v>0</v>
      </c>
      <c r="AD27" s="299">
        <f>IF(AQ27="7",BH27,0)</f>
        <v>0</v>
      </c>
      <c r="AE27" s="299">
        <f>IF(AQ27="7",BI27,0)</f>
        <v>0</v>
      </c>
      <c r="AF27" s="299">
        <f>IF(AQ27="2",BH27,0)</f>
        <v>0</v>
      </c>
      <c r="AG27" s="299">
        <f>IF(AQ27="2",BI27,0)</f>
        <v>0</v>
      </c>
      <c r="AH27" s="299">
        <f>IF(AQ27="0",BJ27,0)</f>
        <v>0</v>
      </c>
      <c r="AI27" s="292"/>
      <c r="AJ27" s="299">
        <f>IF(AN27=0,K27,0)</f>
        <v>0</v>
      </c>
      <c r="AK27" s="299">
        <f>IF(AN27=15,K27,0)</f>
        <v>0</v>
      </c>
      <c r="AL27" s="299">
        <f>IF(AN27=21,K27,0)</f>
        <v>0</v>
      </c>
      <c r="AN27" s="299">
        <v>21</v>
      </c>
      <c r="AO27" s="299">
        <f>H27*0.327342995169082</f>
        <v>0</v>
      </c>
      <c r="AP27" s="299">
        <f>H27*(1-0.327342995169082)</f>
        <v>0</v>
      </c>
      <c r="AQ27" s="300" t="s">
        <v>83</v>
      </c>
      <c r="AV27" s="299">
        <f>AW27+AX27</f>
        <v>0</v>
      </c>
      <c r="AW27" s="299">
        <f>G27*AO27</f>
        <v>0</v>
      </c>
      <c r="AX27" s="299">
        <f>G27*AP27</f>
        <v>0</v>
      </c>
      <c r="AY27" s="300" t="s">
        <v>394</v>
      </c>
      <c r="AZ27" s="300" t="s">
        <v>395</v>
      </c>
      <c r="BA27" s="292" t="s">
        <v>366</v>
      </c>
      <c r="BC27" s="299">
        <f>AW27+AX27</f>
        <v>0</v>
      </c>
      <c r="BD27" s="299">
        <f>H27/(100-BE27)*100</f>
        <v>0</v>
      </c>
      <c r="BE27" s="299">
        <v>0</v>
      </c>
      <c r="BF27" s="299">
        <f>27</f>
        <v>27</v>
      </c>
      <c r="BH27" s="299">
        <f>G27*AO27</f>
        <v>0</v>
      </c>
      <c r="BI27" s="299">
        <f>G27*AP27</f>
        <v>0</v>
      </c>
      <c r="BJ27" s="299">
        <f>G27*H27</f>
        <v>0</v>
      </c>
    </row>
    <row r="28" spans="1:62">
      <c r="C28" s="436" t="s">
        <v>396</v>
      </c>
      <c r="D28" s="436"/>
      <c r="E28" s="436"/>
      <c r="G28" s="301">
        <v>2</v>
      </c>
    </row>
    <row r="29" spans="1:62">
      <c r="C29" s="436" t="s">
        <v>397</v>
      </c>
      <c r="D29" s="436"/>
      <c r="E29" s="436"/>
      <c r="G29" s="301">
        <v>11</v>
      </c>
    </row>
    <row r="30" spans="1:62">
      <c r="C30" s="436" t="s">
        <v>398</v>
      </c>
      <c r="D30" s="436"/>
      <c r="E30" s="436"/>
      <c r="G30" s="301">
        <v>10</v>
      </c>
    </row>
    <row r="31" spans="1:62">
      <c r="C31" s="436" t="s">
        <v>399</v>
      </c>
      <c r="D31" s="436"/>
      <c r="E31" s="436"/>
      <c r="G31" s="301">
        <v>11</v>
      </c>
    </row>
    <row r="32" spans="1:62">
      <c r="C32" s="436" t="s">
        <v>400</v>
      </c>
      <c r="D32" s="436"/>
      <c r="E32" s="436"/>
      <c r="G32" s="301">
        <v>10</v>
      </c>
    </row>
    <row r="33" spans="1:62" ht="16.8" customHeight="1">
      <c r="A33" s="298" t="s">
        <v>401</v>
      </c>
      <c r="B33" s="298" t="s">
        <v>402</v>
      </c>
      <c r="C33" s="435" t="s">
        <v>403</v>
      </c>
      <c r="D33" s="435"/>
      <c r="E33" s="435"/>
      <c r="F33" s="298" t="s">
        <v>393</v>
      </c>
      <c r="G33" s="299">
        <v>27</v>
      </c>
      <c r="H33" s="299">
        <v>0</v>
      </c>
      <c r="I33" s="299">
        <f>G33*AO33</f>
        <v>0</v>
      </c>
      <c r="J33" s="299">
        <f>G33*AP33</f>
        <v>0</v>
      </c>
      <c r="K33" s="299">
        <f>G33*H33</f>
        <v>0</v>
      </c>
      <c r="L33" s="300" t="s">
        <v>363</v>
      </c>
      <c r="Z33" s="299">
        <f>IF(AQ33="5",BJ33,0)</f>
        <v>0</v>
      </c>
      <c r="AB33" s="299">
        <f>IF(AQ33="1",BH33,0)</f>
        <v>0</v>
      </c>
      <c r="AC33" s="299">
        <f>IF(AQ33="1",BI33,0)</f>
        <v>0</v>
      </c>
      <c r="AD33" s="299">
        <f>IF(AQ33="7",BH33,0)</f>
        <v>0</v>
      </c>
      <c r="AE33" s="299">
        <f>IF(AQ33="7",BI33,0)</f>
        <v>0</v>
      </c>
      <c r="AF33" s="299">
        <f>IF(AQ33="2",BH33,0)</f>
        <v>0</v>
      </c>
      <c r="AG33" s="299">
        <f>IF(AQ33="2",BI33,0)</f>
        <v>0</v>
      </c>
      <c r="AH33" s="299">
        <f>IF(AQ33="0",BJ33,0)</f>
        <v>0</v>
      </c>
      <c r="AI33" s="292"/>
      <c r="AJ33" s="299">
        <f>IF(AN33=0,K33,0)</f>
        <v>0</v>
      </c>
      <c r="AK33" s="299">
        <f>IF(AN33=15,K33,0)</f>
        <v>0</v>
      </c>
      <c r="AL33" s="299">
        <f>IF(AN33=21,K33,0)</f>
        <v>0</v>
      </c>
      <c r="AN33" s="299">
        <v>21</v>
      </c>
      <c r="AO33" s="299">
        <f>H33*0.38234375</f>
        <v>0</v>
      </c>
      <c r="AP33" s="299">
        <f>H33*(1-0.38234375)</f>
        <v>0</v>
      </c>
      <c r="AQ33" s="300" t="s">
        <v>83</v>
      </c>
      <c r="AV33" s="299">
        <f>AW33+AX33</f>
        <v>0</v>
      </c>
      <c r="AW33" s="299">
        <f>G33*AO33</f>
        <v>0</v>
      </c>
      <c r="AX33" s="299">
        <f>G33*AP33</f>
        <v>0</v>
      </c>
      <c r="AY33" s="300" t="s">
        <v>394</v>
      </c>
      <c r="AZ33" s="300" t="s">
        <v>395</v>
      </c>
      <c r="BA33" s="292" t="s">
        <v>366</v>
      </c>
      <c r="BC33" s="299">
        <f>AW33+AX33</f>
        <v>0</v>
      </c>
      <c r="BD33" s="299">
        <f>H33/(100-BE33)*100</f>
        <v>0</v>
      </c>
      <c r="BE33" s="299">
        <v>0</v>
      </c>
      <c r="BF33" s="299">
        <f>33</f>
        <v>33</v>
      </c>
      <c r="BH33" s="299">
        <f>G33*AO33</f>
        <v>0</v>
      </c>
      <c r="BI33" s="299">
        <f>G33*AP33</f>
        <v>0</v>
      </c>
      <c r="BJ33" s="299">
        <f>G33*H33</f>
        <v>0</v>
      </c>
    </row>
    <row r="34" spans="1:62">
      <c r="C34" s="436" t="s">
        <v>404</v>
      </c>
      <c r="D34" s="436"/>
      <c r="E34" s="436"/>
      <c r="G34" s="301">
        <v>4</v>
      </c>
    </row>
    <row r="35" spans="1:62">
      <c r="C35" s="436" t="s">
        <v>405</v>
      </c>
      <c r="D35" s="436"/>
      <c r="E35" s="436"/>
      <c r="G35" s="301">
        <v>8</v>
      </c>
    </row>
    <row r="36" spans="1:62">
      <c r="C36" s="436" t="s">
        <v>406</v>
      </c>
      <c r="D36" s="436"/>
      <c r="E36" s="436"/>
      <c r="G36" s="301">
        <v>5</v>
      </c>
    </row>
    <row r="37" spans="1:62">
      <c r="C37" s="436" t="s">
        <v>407</v>
      </c>
      <c r="D37" s="436"/>
      <c r="E37" s="436"/>
      <c r="G37" s="301">
        <v>5</v>
      </c>
    </row>
    <row r="38" spans="1:62">
      <c r="C38" s="436" t="s">
        <v>408</v>
      </c>
      <c r="D38" s="436"/>
      <c r="E38" s="436"/>
      <c r="G38" s="301">
        <v>5</v>
      </c>
    </row>
    <row r="39" spans="1:62">
      <c r="A39" s="302"/>
      <c r="B39" s="303" t="s">
        <v>409</v>
      </c>
      <c r="C39" s="437" t="s">
        <v>410</v>
      </c>
      <c r="D39" s="437"/>
      <c r="E39" s="437"/>
      <c r="F39" s="302" t="s">
        <v>324</v>
      </c>
      <c r="G39" s="302" t="s">
        <v>324</v>
      </c>
      <c r="H39" s="302" t="s">
        <v>324</v>
      </c>
      <c r="I39" s="297">
        <f>SUM(I40:I40)</f>
        <v>0</v>
      </c>
      <c r="J39" s="297">
        <f>SUM(J40:J40)</f>
        <v>0</v>
      </c>
      <c r="K39" s="297">
        <f>SUM(K40:K40)</f>
        <v>0</v>
      </c>
      <c r="L39" s="292"/>
      <c r="AI39" s="292"/>
      <c r="AS39" s="297">
        <f>SUM(AJ40:AJ40)</f>
        <v>0</v>
      </c>
      <c r="AT39" s="297">
        <f>SUM(AK40:AK40)</f>
        <v>0</v>
      </c>
      <c r="AU39" s="297">
        <f>SUM(AL40:AL40)</f>
        <v>0</v>
      </c>
    </row>
    <row r="40" spans="1:62" ht="32.4" customHeight="1">
      <c r="A40" s="298" t="s">
        <v>411</v>
      </c>
      <c r="B40" s="298" t="s">
        <v>412</v>
      </c>
      <c r="C40" s="435" t="s">
        <v>413</v>
      </c>
      <c r="D40" s="435"/>
      <c r="E40" s="435"/>
      <c r="F40" s="298" t="s">
        <v>414</v>
      </c>
      <c r="G40" s="299">
        <v>17.8</v>
      </c>
      <c r="H40" s="299">
        <v>0</v>
      </c>
      <c r="I40" s="299">
        <f>G40*AO40</f>
        <v>0</v>
      </c>
      <c r="J40" s="299">
        <f>G40*AP40</f>
        <v>0</v>
      </c>
      <c r="K40" s="299">
        <f>G40*H40</f>
        <v>0</v>
      </c>
      <c r="L40" s="300" t="s">
        <v>363</v>
      </c>
      <c r="Z40" s="299">
        <f>IF(AQ40="5",BJ40,0)</f>
        <v>0</v>
      </c>
      <c r="AB40" s="299">
        <f>IF(AQ40="1",BH40,0)</f>
        <v>0</v>
      </c>
      <c r="AC40" s="299">
        <f>IF(AQ40="1",BI40,0)</f>
        <v>0</v>
      </c>
      <c r="AD40" s="299">
        <f>IF(AQ40="7",BH40,0)</f>
        <v>0</v>
      </c>
      <c r="AE40" s="299">
        <f>IF(AQ40="7",BI40,0)</f>
        <v>0</v>
      </c>
      <c r="AF40" s="299">
        <f>IF(AQ40="2",BH40,0)</f>
        <v>0</v>
      </c>
      <c r="AG40" s="299">
        <f>IF(AQ40="2",BI40,0)</f>
        <v>0</v>
      </c>
      <c r="AH40" s="299">
        <f>IF(AQ40="0",BJ40,0)</f>
        <v>0</v>
      </c>
      <c r="AI40" s="292"/>
      <c r="AJ40" s="299">
        <f>IF(AN40=0,K40,0)</f>
        <v>0</v>
      </c>
      <c r="AK40" s="299">
        <f>IF(AN40=15,K40,0)</f>
        <v>0</v>
      </c>
      <c r="AL40" s="299">
        <f>IF(AN40=21,K40,0)</f>
        <v>0</v>
      </c>
      <c r="AN40" s="299">
        <v>21</v>
      </c>
      <c r="AO40" s="299">
        <f>H40*0.535001188766321</f>
        <v>0</v>
      </c>
      <c r="AP40" s="299">
        <f>H40*(1-0.535001188766321)</f>
        <v>0</v>
      </c>
      <c r="AQ40" s="300" t="s">
        <v>83</v>
      </c>
      <c r="AV40" s="299">
        <f>AW40+AX40</f>
        <v>0</v>
      </c>
      <c r="AW40" s="299">
        <f>G40*AO40</f>
        <v>0</v>
      </c>
      <c r="AX40" s="299">
        <f>G40*AP40</f>
        <v>0</v>
      </c>
      <c r="AY40" s="300" t="s">
        <v>415</v>
      </c>
      <c r="AZ40" s="300" t="s">
        <v>416</v>
      </c>
      <c r="BA40" s="292" t="s">
        <v>366</v>
      </c>
      <c r="BC40" s="299">
        <f>AW40+AX40</f>
        <v>0</v>
      </c>
      <c r="BD40" s="299">
        <f>H40/(100-BE40)*100</f>
        <v>0</v>
      </c>
      <c r="BE40" s="299">
        <v>0</v>
      </c>
      <c r="BF40" s="299">
        <f>40</f>
        <v>40</v>
      </c>
      <c r="BH40" s="299">
        <f>G40*AO40</f>
        <v>0</v>
      </c>
      <c r="BI40" s="299">
        <f>G40*AP40</f>
        <v>0</v>
      </c>
      <c r="BJ40" s="299">
        <f>G40*H40</f>
        <v>0</v>
      </c>
    </row>
    <row r="41" spans="1:62">
      <c r="C41" s="436" t="s">
        <v>417</v>
      </c>
      <c r="D41" s="436"/>
      <c r="E41" s="436"/>
      <c r="G41" s="301">
        <v>17.8</v>
      </c>
    </row>
    <row r="42" spans="1:62">
      <c r="A42" s="302"/>
      <c r="B42" s="303" t="s">
        <v>418</v>
      </c>
      <c r="C42" s="437" t="s">
        <v>419</v>
      </c>
      <c r="D42" s="437"/>
      <c r="E42" s="437"/>
      <c r="F42" s="302" t="s">
        <v>324</v>
      </c>
      <c r="G42" s="302" t="s">
        <v>324</v>
      </c>
      <c r="H42" s="302" t="s">
        <v>324</v>
      </c>
      <c r="I42" s="297">
        <f>SUM(I43:I45)</f>
        <v>0</v>
      </c>
      <c r="J42" s="297">
        <f>SUM(J43:J45)</f>
        <v>0</v>
      </c>
      <c r="K42" s="297">
        <f>SUM(K43:K45)</f>
        <v>0</v>
      </c>
      <c r="L42" s="292"/>
      <c r="AI42" s="292"/>
      <c r="AS42" s="297">
        <f>SUM(AJ43:AJ45)</f>
        <v>0</v>
      </c>
      <c r="AT42" s="297">
        <f>SUM(AK43:AK45)</f>
        <v>0</v>
      </c>
      <c r="AU42" s="297">
        <f>SUM(AL43:AL45)</f>
        <v>0</v>
      </c>
    </row>
    <row r="43" spans="1:62">
      <c r="A43" s="298" t="s">
        <v>420</v>
      </c>
      <c r="B43" s="298" t="s">
        <v>421</v>
      </c>
      <c r="C43" s="435" t="s">
        <v>422</v>
      </c>
      <c r="D43" s="435"/>
      <c r="E43" s="435"/>
      <c r="F43" s="298" t="s">
        <v>362</v>
      </c>
      <c r="G43" s="299">
        <v>24</v>
      </c>
      <c r="H43" s="299">
        <v>0</v>
      </c>
      <c r="I43" s="299">
        <f>G43*AO43</f>
        <v>0</v>
      </c>
      <c r="J43" s="299">
        <f>G43*AP43</f>
        <v>0</v>
      </c>
      <c r="K43" s="299">
        <f>G43*H43</f>
        <v>0</v>
      </c>
      <c r="L43" s="300" t="s">
        <v>363</v>
      </c>
      <c r="Z43" s="299">
        <f>IF(AQ43="5",BJ43,0)</f>
        <v>0</v>
      </c>
      <c r="AB43" s="299">
        <f>IF(AQ43="1",BH43,0)</f>
        <v>0</v>
      </c>
      <c r="AC43" s="299">
        <f>IF(AQ43="1",BI43,0)</f>
        <v>0</v>
      </c>
      <c r="AD43" s="299">
        <f>IF(AQ43="7",BH43,0)</f>
        <v>0</v>
      </c>
      <c r="AE43" s="299">
        <f>IF(AQ43="7",BI43,0)</f>
        <v>0</v>
      </c>
      <c r="AF43" s="299">
        <f>IF(AQ43="2",BH43,0)</f>
        <v>0</v>
      </c>
      <c r="AG43" s="299">
        <f>IF(AQ43="2",BI43,0)</f>
        <v>0</v>
      </c>
      <c r="AH43" s="299">
        <f>IF(AQ43="0",BJ43,0)</f>
        <v>0</v>
      </c>
      <c r="AI43" s="292"/>
      <c r="AJ43" s="299">
        <f>IF(AN43=0,K43,0)</f>
        <v>0</v>
      </c>
      <c r="AK43" s="299">
        <f>IF(AN43=15,K43,0)</f>
        <v>0</v>
      </c>
      <c r="AL43" s="299">
        <f>IF(AN43=21,K43,0)</f>
        <v>0</v>
      </c>
      <c r="AN43" s="299">
        <v>21</v>
      </c>
      <c r="AO43" s="299">
        <f>H43*0</f>
        <v>0</v>
      </c>
      <c r="AP43" s="299">
        <f>H43*(1-0)</f>
        <v>0</v>
      </c>
      <c r="AQ43" s="300" t="s">
        <v>390</v>
      </c>
      <c r="AV43" s="299">
        <f>AW43+AX43</f>
        <v>0</v>
      </c>
      <c r="AW43" s="299">
        <f>G43*AO43</f>
        <v>0</v>
      </c>
      <c r="AX43" s="299">
        <f>G43*AP43</f>
        <v>0</v>
      </c>
      <c r="AY43" s="300" t="s">
        <v>423</v>
      </c>
      <c r="AZ43" s="300" t="s">
        <v>424</v>
      </c>
      <c r="BA43" s="292" t="s">
        <v>366</v>
      </c>
      <c r="BC43" s="299">
        <f>AW43+AX43</f>
        <v>0</v>
      </c>
      <c r="BD43" s="299">
        <f>H43/(100-BE43)*100</f>
        <v>0</v>
      </c>
      <c r="BE43" s="299">
        <v>0</v>
      </c>
      <c r="BF43" s="299">
        <f>43</f>
        <v>43</v>
      </c>
      <c r="BH43" s="299">
        <f>G43*AO43</f>
        <v>0</v>
      </c>
      <c r="BI43" s="299">
        <f>G43*AP43</f>
        <v>0</v>
      </c>
      <c r="BJ43" s="299">
        <f>G43*H43</f>
        <v>0</v>
      </c>
    </row>
    <row r="44" spans="1:62">
      <c r="C44" s="436" t="s">
        <v>425</v>
      </c>
      <c r="D44" s="436"/>
      <c r="E44" s="436"/>
      <c r="G44" s="301">
        <v>24</v>
      </c>
    </row>
    <row r="45" spans="1:62" ht="26.4">
      <c r="A45" s="298" t="s">
        <v>426</v>
      </c>
      <c r="B45" s="298" t="s">
        <v>427</v>
      </c>
      <c r="C45" s="435" t="s">
        <v>428</v>
      </c>
      <c r="D45" s="435"/>
      <c r="E45" s="435"/>
      <c r="F45" s="298" t="s">
        <v>362</v>
      </c>
      <c r="G45" s="299">
        <v>29.04</v>
      </c>
      <c r="H45" s="299">
        <v>0</v>
      </c>
      <c r="I45" s="299">
        <f>G45*AO45</f>
        <v>0</v>
      </c>
      <c r="J45" s="299">
        <f>G45*AP45</f>
        <v>0</v>
      </c>
      <c r="K45" s="299">
        <f>G45*H45</f>
        <v>0</v>
      </c>
      <c r="L45" s="300" t="s">
        <v>363</v>
      </c>
      <c r="Z45" s="299">
        <f>IF(AQ45="5",BJ45,0)</f>
        <v>0</v>
      </c>
      <c r="AB45" s="299">
        <f>IF(AQ45="1",BH45,0)</f>
        <v>0</v>
      </c>
      <c r="AC45" s="299">
        <f>IF(AQ45="1",BI45,0)</f>
        <v>0</v>
      </c>
      <c r="AD45" s="299">
        <f>IF(AQ45="7",BH45,0)</f>
        <v>0</v>
      </c>
      <c r="AE45" s="299">
        <f>IF(AQ45="7",BI45,0)</f>
        <v>0</v>
      </c>
      <c r="AF45" s="299">
        <f>IF(AQ45="2",BH45,0)</f>
        <v>0</v>
      </c>
      <c r="AG45" s="299">
        <f>IF(AQ45="2",BI45,0)</f>
        <v>0</v>
      </c>
      <c r="AH45" s="299">
        <f>IF(AQ45="0",BJ45,0)</f>
        <v>0</v>
      </c>
      <c r="AI45" s="292"/>
      <c r="AJ45" s="299">
        <f>IF(AN45=0,K45,0)</f>
        <v>0</v>
      </c>
      <c r="AK45" s="299">
        <f>IF(AN45=15,K45,0)</f>
        <v>0</v>
      </c>
      <c r="AL45" s="299">
        <f>IF(AN45=21,K45,0)</f>
        <v>0</v>
      </c>
      <c r="AN45" s="299">
        <v>21</v>
      </c>
      <c r="AO45" s="299">
        <f>H45*0.550586854460094</f>
        <v>0</v>
      </c>
      <c r="AP45" s="299">
        <f>H45*(1-0.550586854460094)</f>
        <v>0</v>
      </c>
      <c r="AQ45" s="300" t="s">
        <v>390</v>
      </c>
      <c r="AV45" s="299">
        <f>AW45+AX45</f>
        <v>0</v>
      </c>
      <c r="AW45" s="299">
        <f>G45*AO45</f>
        <v>0</v>
      </c>
      <c r="AX45" s="299">
        <f>G45*AP45</f>
        <v>0</v>
      </c>
      <c r="AY45" s="300" t="s">
        <v>423</v>
      </c>
      <c r="AZ45" s="300" t="s">
        <v>424</v>
      </c>
      <c r="BA45" s="292" t="s">
        <v>366</v>
      </c>
      <c r="BC45" s="299">
        <f>AW45+AX45</f>
        <v>0</v>
      </c>
      <c r="BD45" s="299">
        <f>H45/(100-BE45)*100</f>
        <v>0</v>
      </c>
      <c r="BE45" s="299">
        <v>0</v>
      </c>
      <c r="BF45" s="299">
        <f>45</f>
        <v>45</v>
      </c>
      <c r="BH45" s="299">
        <f>G45*AO45</f>
        <v>0</v>
      </c>
      <c r="BI45" s="299">
        <f>G45*AP45</f>
        <v>0</v>
      </c>
      <c r="BJ45" s="299">
        <f>G45*H45</f>
        <v>0</v>
      </c>
    </row>
    <row r="46" spans="1:62">
      <c r="C46" s="436" t="s">
        <v>429</v>
      </c>
      <c r="D46" s="436"/>
      <c r="E46" s="436"/>
      <c r="G46" s="301">
        <v>24</v>
      </c>
    </row>
    <row r="47" spans="1:62">
      <c r="C47" s="436" t="s">
        <v>430</v>
      </c>
      <c r="D47" s="436"/>
      <c r="E47" s="436"/>
      <c r="G47" s="301">
        <v>2.4</v>
      </c>
    </row>
    <row r="48" spans="1:62">
      <c r="C48" s="436" t="s">
        <v>431</v>
      </c>
      <c r="D48" s="436"/>
      <c r="E48" s="436"/>
      <c r="G48" s="301">
        <v>2.64</v>
      </c>
    </row>
    <row r="49" spans="1:62">
      <c r="A49" s="302"/>
      <c r="B49" s="303" t="s">
        <v>432</v>
      </c>
      <c r="C49" s="437" t="s">
        <v>433</v>
      </c>
      <c r="D49" s="437"/>
      <c r="E49" s="437"/>
      <c r="F49" s="302" t="s">
        <v>324</v>
      </c>
      <c r="G49" s="302" t="s">
        <v>324</v>
      </c>
      <c r="H49" s="302" t="s">
        <v>324</v>
      </c>
      <c r="I49" s="297">
        <f>SUM(I50:I50)</f>
        <v>0</v>
      </c>
      <c r="J49" s="297">
        <f>SUM(J50:J50)</f>
        <v>0</v>
      </c>
      <c r="K49" s="297">
        <f>SUM(K50:K50)</f>
        <v>0</v>
      </c>
      <c r="L49" s="292"/>
      <c r="AI49" s="292"/>
      <c r="AS49" s="297">
        <f>SUM(AJ50:AJ50)</f>
        <v>0</v>
      </c>
      <c r="AT49" s="297">
        <f>SUM(AK50:AK50)</f>
        <v>0</v>
      </c>
      <c r="AU49" s="297">
        <f>SUM(AL50:AL50)</f>
        <v>0</v>
      </c>
    </row>
    <row r="50" spans="1:62">
      <c r="A50" s="298" t="s">
        <v>434</v>
      </c>
      <c r="B50" s="298" t="s">
        <v>435</v>
      </c>
      <c r="C50" s="435" t="s">
        <v>436</v>
      </c>
      <c r="D50" s="435"/>
      <c r="E50" s="435"/>
      <c r="F50" s="298" t="s">
        <v>393</v>
      </c>
      <c r="G50" s="299">
        <v>4</v>
      </c>
      <c r="H50" s="299">
        <v>0</v>
      </c>
      <c r="I50" s="299">
        <f>G50*AO50</f>
        <v>0</v>
      </c>
      <c r="J50" s="299">
        <f>G50*AP50</f>
        <v>0</v>
      </c>
      <c r="K50" s="299">
        <f>G50*H50</f>
        <v>0</v>
      </c>
      <c r="L50" s="300" t="s">
        <v>363</v>
      </c>
      <c r="Z50" s="299">
        <f>IF(AQ50="5",BJ50,0)</f>
        <v>0</v>
      </c>
      <c r="AB50" s="299">
        <f>IF(AQ50="1",BH50,0)</f>
        <v>0</v>
      </c>
      <c r="AC50" s="299">
        <f>IF(AQ50="1",BI50,0)</f>
        <v>0</v>
      </c>
      <c r="AD50" s="299">
        <f>IF(AQ50="7",BH50,0)</f>
        <v>0</v>
      </c>
      <c r="AE50" s="299">
        <f>IF(AQ50="7",BI50,0)</f>
        <v>0</v>
      </c>
      <c r="AF50" s="299">
        <f>IF(AQ50="2",BH50,0)</f>
        <v>0</v>
      </c>
      <c r="AG50" s="299">
        <f>IF(AQ50="2",BI50,0)</f>
        <v>0</v>
      </c>
      <c r="AH50" s="299">
        <f>IF(AQ50="0",BJ50,0)</f>
        <v>0</v>
      </c>
      <c r="AI50" s="292"/>
      <c r="AJ50" s="299">
        <f>IF(AN50=0,K50,0)</f>
        <v>0</v>
      </c>
      <c r="AK50" s="299">
        <f>IF(AN50=15,K50,0)</f>
        <v>0</v>
      </c>
      <c r="AL50" s="299">
        <f>IF(AN50=21,K50,0)</f>
        <v>0</v>
      </c>
      <c r="AN50" s="299">
        <v>21</v>
      </c>
      <c r="AO50" s="299">
        <f>H50*0.300749993512167</f>
        <v>0</v>
      </c>
      <c r="AP50" s="299">
        <f>H50*(1-0.300749993512167)</f>
        <v>0</v>
      </c>
      <c r="AQ50" s="300" t="s">
        <v>390</v>
      </c>
      <c r="AV50" s="299">
        <f>AW50+AX50</f>
        <v>0</v>
      </c>
      <c r="AW50" s="299">
        <f>G50*AO50</f>
        <v>0</v>
      </c>
      <c r="AX50" s="299">
        <f>G50*AP50</f>
        <v>0</v>
      </c>
      <c r="AY50" s="300" t="s">
        <v>437</v>
      </c>
      <c r="AZ50" s="300" t="s">
        <v>424</v>
      </c>
      <c r="BA50" s="292" t="s">
        <v>366</v>
      </c>
      <c r="BC50" s="299">
        <f>AW50+AX50</f>
        <v>0</v>
      </c>
      <c r="BD50" s="299">
        <f>H50/(100-BE50)*100</f>
        <v>0</v>
      </c>
      <c r="BE50" s="299">
        <v>0</v>
      </c>
      <c r="BF50" s="299">
        <f>50</f>
        <v>50</v>
      </c>
      <c r="BH50" s="299">
        <f>G50*AO50</f>
        <v>0</v>
      </c>
      <c r="BI50" s="299">
        <f>G50*AP50</f>
        <v>0</v>
      </c>
      <c r="BJ50" s="299">
        <f>G50*H50</f>
        <v>0</v>
      </c>
    </row>
    <row r="51" spans="1:62">
      <c r="C51" s="436" t="s">
        <v>438</v>
      </c>
      <c r="D51" s="436"/>
      <c r="E51" s="436"/>
      <c r="G51" s="301">
        <v>4</v>
      </c>
    </row>
    <row r="52" spans="1:62">
      <c r="A52" s="302"/>
      <c r="B52" s="303" t="s">
        <v>439</v>
      </c>
      <c r="C52" s="437" t="s">
        <v>440</v>
      </c>
      <c r="D52" s="437"/>
      <c r="E52" s="437"/>
      <c r="F52" s="302" t="s">
        <v>324</v>
      </c>
      <c r="G52" s="302" t="s">
        <v>324</v>
      </c>
      <c r="H52" s="302" t="s">
        <v>324</v>
      </c>
      <c r="I52" s="297">
        <f>SUM(I53:I57)</f>
        <v>0</v>
      </c>
      <c r="J52" s="297">
        <f>SUM(J53:J57)</f>
        <v>0</v>
      </c>
      <c r="K52" s="297">
        <f>SUM(K53:K57)</f>
        <v>0</v>
      </c>
      <c r="L52" s="292"/>
      <c r="AI52" s="292"/>
      <c r="AS52" s="297">
        <f>SUM(AJ53:AJ57)</f>
        <v>0</v>
      </c>
      <c r="AT52" s="297">
        <f>SUM(AK53:AK57)</f>
        <v>0</v>
      </c>
      <c r="AU52" s="297">
        <f>SUM(AL53:AL57)</f>
        <v>0</v>
      </c>
    </row>
    <row r="53" spans="1:62">
      <c r="A53" s="298" t="s">
        <v>441</v>
      </c>
      <c r="B53" s="298" t="s">
        <v>442</v>
      </c>
      <c r="C53" s="435" t="s">
        <v>443</v>
      </c>
      <c r="D53" s="435"/>
      <c r="E53" s="435"/>
      <c r="F53" s="298" t="s">
        <v>362</v>
      </c>
      <c r="G53" s="299">
        <v>70</v>
      </c>
      <c r="H53" s="299">
        <v>0</v>
      </c>
      <c r="I53" s="299">
        <f>G53*AO53</f>
        <v>0</v>
      </c>
      <c r="J53" s="299">
        <f>G53*AP53</f>
        <v>0</v>
      </c>
      <c r="K53" s="299">
        <f>G53*H53</f>
        <v>0</v>
      </c>
      <c r="L53" s="300"/>
      <c r="Z53" s="299">
        <f>IF(AQ53="5",BJ53,0)</f>
        <v>0</v>
      </c>
      <c r="AB53" s="299">
        <f>IF(AQ53="1",BH53,0)</f>
        <v>0</v>
      </c>
      <c r="AC53" s="299">
        <f>IF(AQ53="1",BI53,0)</f>
        <v>0</v>
      </c>
      <c r="AD53" s="299">
        <f>IF(AQ53="7",BH53,0)</f>
        <v>0</v>
      </c>
      <c r="AE53" s="299">
        <f>IF(AQ53="7",BI53,0)</f>
        <v>0</v>
      </c>
      <c r="AF53" s="299">
        <f>IF(AQ53="2",BH53,0)</f>
        <v>0</v>
      </c>
      <c r="AG53" s="299">
        <f>IF(AQ53="2",BI53,0)</f>
        <v>0</v>
      </c>
      <c r="AH53" s="299">
        <f>IF(AQ53="0",BJ53,0)</f>
        <v>0</v>
      </c>
      <c r="AI53" s="292"/>
      <c r="AJ53" s="299">
        <f>IF(AN53=0,K53,0)</f>
        <v>0</v>
      </c>
      <c r="AK53" s="299">
        <f>IF(AN53=15,K53,0)</f>
        <v>0</v>
      </c>
      <c r="AL53" s="299">
        <f>IF(AN53=21,K53,0)</f>
        <v>0</v>
      </c>
      <c r="AN53" s="299">
        <v>21</v>
      </c>
      <c r="AO53" s="299">
        <f>H53*0</f>
        <v>0</v>
      </c>
      <c r="AP53" s="299">
        <f>H53*(1-0)</f>
        <v>0</v>
      </c>
      <c r="AQ53" s="300" t="s">
        <v>390</v>
      </c>
      <c r="AV53" s="299">
        <f>AW53+AX53</f>
        <v>0</v>
      </c>
      <c r="AW53" s="299">
        <f>G53*AO53</f>
        <v>0</v>
      </c>
      <c r="AX53" s="299">
        <f>G53*AP53</f>
        <v>0</v>
      </c>
      <c r="AY53" s="300" t="s">
        <v>444</v>
      </c>
      <c r="AZ53" s="300" t="s">
        <v>445</v>
      </c>
      <c r="BA53" s="292" t="s">
        <v>366</v>
      </c>
      <c r="BC53" s="299">
        <f>AW53+AX53</f>
        <v>0</v>
      </c>
      <c r="BD53" s="299">
        <f>H53/(100-BE53)*100</f>
        <v>0</v>
      </c>
      <c r="BE53" s="299">
        <v>0</v>
      </c>
      <c r="BF53" s="299">
        <f>53</f>
        <v>53</v>
      </c>
      <c r="BH53" s="299">
        <f>G53*AO53</f>
        <v>0</v>
      </c>
      <c r="BI53" s="299">
        <f>G53*AP53</f>
        <v>0</v>
      </c>
      <c r="BJ53" s="299">
        <f>G53*H53</f>
        <v>0</v>
      </c>
    </row>
    <row r="54" spans="1:62">
      <c r="C54" s="436" t="s">
        <v>367</v>
      </c>
      <c r="D54" s="436"/>
      <c r="E54" s="436"/>
      <c r="G54" s="301">
        <v>70</v>
      </c>
    </row>
    <row r="55" spans="1:62">
      <c r="A55" s="298" t="s">
        <v>446</v>
      </c>
      <c r="B55" s="298" t="s">
        <v>447</v>
      </c>
      <c r="C55" s="435" t="s">
        <v>448</v>
      </c>
      <c r="D55" s="435"/>
      <c r="E55" s="435"/>
      <c r="F55" s="298" t="s">
        <v>362</v>
      </c>
      <c r="G55" s="299">
        <v>70</v>
      </c>
      <c r="H55" s="299">
        <v>0</v>
      </c>
      <c r="I55" s="299">
        <f>G55*AO55</f>
        <v>0</v>
      </c>
      <c r="J55" s="299">
        <f>G55*AP55</f>
        <v>0</v>
      </c>
      <c r="K55" s="299">
        <f>G55*H55</f>
        <v>0</v>
      </c>
      <c r="L55" s="300" t="s">
        <v>363</v>
      </c>
      <c r="Z55" s="299">
        <f>IF(AQ55="5",BJ55,0)</f>
        <v>0</v>
      </c>
      <c r="AB55" s="299">
        <f>IF(AQ55="1",BH55,0)</f>
        <v>0</v>
      </c>
      <c r="AC55" s="299">
        <f>IF(AQ55="1",BI55,0)</f>
        <v>0</v>
      </c>
      <c r="AD55" s="299">
        <f>IF(AQ55="7",BH55,0)</f>
        <v>0</v>
      </c>
      <c r="AE55" s="299">
        <f>IF(AQ55="7",BI55,0)</f>
        <v>0</v>
      </c>
      <c r="AF55" s="299">
        <f>IF(AQ55="2",BH55,0)</f>
        <v>0</v>
      </c>
      <c r="AG55" s="299">
        <f>IF(AQ55="2",BI55,0)</f>
        <v>0</v>
      </c>
      <c r="AH55" s="299">
        <f>IF(AQ55="0",BJ55,0)</f>
        <v>0</v>
      </c>
      <c r="AI55" s="292"/>
      <c r="AJ55" s="299">
        <f>IF(AN55=0,K55,0)</f>
        <v>0</v>
      </c>
      <c r="AK55" s="299">
        <f>IF(AN55=15,K55,0)</f>
        <v>0</v>
      </c>
      <c r="AL55" s="299">
        <f>IF(AN55=21,K55,0)</f>
        <v>0</v>
      </c>
      <c r="AN55" s="299">
        <v>21</v>
      </c>
      <c r="AO55" s="299">
        <f>H55*1</f>
        <v>0</v>
      </c>
      <c r="AP55" s="299">
        <f>H55*(1-1)</f>
        <v>0</v>
      </c>
      <c r="AQ55" s="300" t="s">
        <v>390</v>
      </c>
      <c r="AV55" s="299">
        <f>AW55+AX55</f>
        <v>0</v>
      </c>
      <c r="AW55" s="299">
        <f>G55*AO55</f>
        <v>0</v>
      </c>
      <c r="AX55" s="299">
        <f>G55*AP55</f>
        <v>0</v>
      </c>
      <c r="AY55" s="300" t="s">
        <v>444</v>
      </c>
      <c r="AZ55" s="300" t="s">
        <v>445</v>
      </c>
      <c r="BA55" s="292" t="s">
        <v>366</v>
      </c>
      <c r="BC55" s="299">
        <f>AW55+AX55</f>
        <v>0</v>
      </c>
      <c r="BD55" s="299">
        <f>H55/(100-BE55)*100</f>
        <v>0</v>
      </c>
      <c r="BE55" s="299">
        <v>0</v>
      </c>
      <c r="BF55" s="299">
        <f>55</f>
        <v>55</v>
      </c>
      <c r="BH55" s="299">
        <f>G55*AO55</f>
        <v>0</v>
      </c>
      <c r="BI55" s="299">
        <f>G55*AP55</f>
        <v>0</v>
      </c>
      <c r="BJ55" s="299">
        <f>G55*H55</f>
        <v>0</v>
      </c>
    </row>
    <row r="56" spans="1:62">
      <c r="C56" s="436" t="s">
        <v>367</v>
      </c>
      <c r="D56" s="436"/>
      <c r="E56" s="436"/>
      <c r="G56" s="301">
        <v>70</v>
      </c>
    </row>
    <row r="57" spans="1:62">
      <c r="A57" s="298" t="s">
        <v>8</v>
      </c>
      <c r="B57" s="298" t="s">
        <v>449</v>
      </c>
      <c r="C57" s="435" t="s">
        <v>450</v>
      </c>
      <c r="D57" s="435"/>
      <c r="E57" s="435"/>
      <c r="F57" s="298" t="s">
        <v>362</v>
      </c>
      <c r="G57" s="299">
        <v>70</v>
      </c>
      <c r="H57" s="299">
        <v>0</v>
      </c>
      <c r="I57" s="299">
        <f>G57*AO57</f>
        <v>0</v>
      </c>
      <c r="J57" s="299">
        <f>G57*AP57</f>
        <v>0</v>
      </c>
      <c r="K57" s="299">
        <f>G57*H57</f>
        <v>0</v>
      </c>
      <c r="L57" s="300"/>
      <c r="Z57" s="299">
        <f>IF(AQ57="5",BJ57,0)</f>
        <v>0</v>
      </c>
      <c r="AB57" s="299">
        <f>IF(AQ57="1",BH57,0)</f>
        <v>0</v>
      </c>
      <c r="AC57" s="299">
        <f>IF(AQ57="1",BI57,0)</f>
        <v>0</v>
      </c>
      <c r="AD57" s="299">
        <f>IF(AQ57="7",BH57,0)</f>
        <v>0</v>
      </c>
      <c r="AE57" s="299">
        <f>IF(AQ57="7",BI57,0)</f>
        <v>0</v>
      </c>
      <c r="AF57" s="299">
        <f>IF(AQ57="2",BH57,0)</f>
        <v>0</v>
      </c>
      <c r="AG57" s="299">
        <f>IF(AQ57="2",BI57,0)</f>
        <v>0</v>
      </c>
      <c r="AH57" s="299">
        <f>IF(AQ57="0",BJ57,0)</f>
        <v>0</v>
      </c>
      <c r="AI57" s="292"/>
      <c r="AJ57" s="299">
        <f>IF(AN57=0,K57,0)</f>
        <v>0</v>
      </c>
      <c r="AK57" s="299">
        <f>IF(AN57=15,K57,0)</f>
        <v>0</v>
      </c>
      <c r="AL57" s="299">
        <f>IF(AN57=21,K57,0)</f>
        <v>0</v>
      </c>
      <c r="AN57" s="299">
        <v>21</v>
      </c>
      <c r="AO57" s="299">
        <f>H57*0</f>
        <v>0</v>
      </c>
      <c r="AP57" s="299">
        <f>H57*(1-0)</f>
        <v>0</v>
      </c>
      <c r="AQ57" s="300" t="s">
        <v>390</v>
      </c>
      <c r="AV57" s="299">
        <f>AW57+AX57</f>
        <v>0</v>
      </c>
      <c r="AW57" s="299">
        <f>G57*AO57</f>
        <v>0</v>
      </c>
      <c r="AX57" s="299">
        <f>G57*AP57</f>
        <v>0</v>
      </c>
      <c r="AY57" s="300" t="s">
        <v>444</v>
      </c>
      <c r="AZ57" s="300" t="s">
        <v>445</v>
      </c>
      <c r="BA57" s="292" t="s">
        <v>366</v>
      </c>
      <c r="BC57" s="299">
        <f>AW57+AX57</f>
        <v>0</v>
      </c>
      <c r="BD57" s="299">
        <f>H57/(100-BE57)*100</f>
        <v>0</v>
      </c>
      <c r="BE57" s="299">
        <v>0</v>
      </c>
      <c r="BF57" s="299">
        <f>57</f>
        <v>57</v>
      </c>
      <c r="BH57" s="299">
        <f>G57*AO57</f>
        <v>0</v>
      </c>
      <c r="BI57" s="299">
        <f>G57*AP57</f>
        <v>0</v>
      </c>
      <c r="BJ57" s="299">
        <f>G57*H57</f>
        <v>0</v>
      </c>
    </row>
    <row r="58" spans="1:62">
      <c r="C58" s="436" t="s">
        <v>367</v>
      </c>
      <c r="D58" s="436"/>
      <c r="E58" s="436"/>
      <c r="G58" s="301">
        <v>70</v>
      </c>
    </row>
    <row r="59" spans="1:62">
      <c r="A59" s="302"/>
      <c r="B59" s="303" t="s">
        <v>451</v>
      </c>
      <c r="C59" s="437" t="s">
        <v>452</v>
      </c>
      <c r="D59" s="437"/>
      <c r="E59" s="437"/>
      <c r="F59" s="302" t="s">
        <v>324</v>
      </c>
      <c r="G59" s="302" t="s">
        <v>324</v>
      </c>
      <c r="H59" s="302" t="s">
        <v>324</v>
      </c>
      <c r="I59" s="297">
        <f>SUM(I60:I60)</f>
        <v>0</v>
      </c>
      <c r="J59" s="297">
        <f>SUM(J60:J60)</f>
        <v>0</v>
      </c>
      <c r="K59" s="297">
        <f>SUM(K60:K60)</f>
        <v>0</v>
      </c>
      <c r="L59" s="292"/>
      <c r="AI59" s="292"/>
      <c r="AS59" s="297">
        <f>SUM(AJ60:AJ60)</f>
        <v>0</v>
      </c>
      <c r="AT59" s="297">
        <f>SUM(AK60:AK60)</f>
        <v>0</v>
      </c>
      <c r="AU59" s="297">
        <f>SUM(AL60:AL60)</f>
        <v>0</v>
      </c>
    </row>
    <row r="60" spans="1:62">
      <c r="A60" s="298" t="s">
        <v>453</v>
      </c>
      <c r="B60" s="298" t="s">
        <v>454</v>
      </c>
      <c r="C60" s="435" t="s">
        <v>455</v>
      </c>
      <c r="D60" s="435"/>
      <c r="E60" s="435"/>
      <c r="F60" s="298" t="s">
        <v>414</v>
      </c>
      <c r="G60" s="299">
        <v>18</v>
      </c>
      <c r="H60" s="299">
        <v>0</v>
      </c>
      <c r="I60" s="299">
        <f>G60*AO60</f>
        <v>0</v>
      </c>
      <c r="J60" s="299">
        <f>G60*AP60</f>
        <v>0</v>
      </c>
      <c r="K60" s="299">
        <f>G60*H60</f>
        <v>0</v>
      </c>
      <c r="L60" s="300"/>
      <c r="Z60" s="299">
        <f>IF(AQ60="5",BJ60,0)</f>
        <v>0</v>
      </c>
      <c r="AB60" s="299">
        <f>IF(AQ60="1",BH60,0)</f>
        <v>0</v>
      </c>
      <c r="AC60" s="299">
        <f>IF(AQ60="1",BI60,0)</f>
        <v>0</v>
      </c>
      <c r="AD60" s="299">
        <f>IF(AQ60="7",BH60,0)</f>
        <v>0</v>
      </c>
      <c r="AE60" s="299">
        <f>IF(AQ60="7",BI60,0)</f>
        <v>0</v>
      </c>
      <c r="AF60" s="299">
        <f>IF(AQ60="2",BH60,0)</f>
        <v>0</v>
      </c>
      <c r="AG60" s="299">
        <f>IF(AQ60="2",BI60,0)</f>
        <v>0</v>
      </c>
      <c r="AH60" s="299">
        <f>IF(AQ60="0",BJ60,0)</f>
        <v>0</v>
      </c>
      <c r="AI60" s="292"/>
      <c r="AJ60" s="299">
        <f>IF(AN60=0,K60,0)</f>
        <v>0</v>
      </c>
      <c r="AK60" s="299">
        <f>IF(AN60=15,K60,0)</f>
        <v>0</v>
      </c>
      <c r="AL60" s="299">
        <f>IF(AN60=21,K60,0)</f>
        <v>0</v>
      </c>
      <c r="AN60" s="299">
        <v>21</v>
      </c>
      <c r="AO60" s="299">
        <f>H60*0.666666666666667</f>
        <v>0</v>
      </c>
      <c r="AP60" s="299">
        <f>H60*(1-0.666666666666667)</f>
        <v>0</v>
      </c>
      <c r="AQ60" s="300" t="s">
        <v>390</v>
      </c>
      <c r="AV60" s="299">
        <f>AW60+AX60</f>
        <v>0</v>
      </c>
      <c r="AW60" s="299">
        <f>G60*AO60</f>
        <v>0</v>
      </c>
      <c r="AX60" s="299">
        <f>G60*AP60</f>
        <v>0</v>
      </c>
      <c r="AY60" s="300" t="s">
        <v>456</v>
      </c>
      <c r="AZ60" s="300" t="s">
        <v>445</v>
      </c>
      <c r="BA60" s="292" t="s">
        <v>366</v>
      </c>
      <c r="BC60" s="299">
        <f>AW60+AX60</f>
        <v>0</v>
      </c>
      <c r="BD60" s="299">
        <f>H60/(100-BE60)*100</f>
        <v>0</v>
      </c>
      <c r="BE60" s="299">
        <v>0</v>
      </c>
      <c r="BF60" s="299">
        <f>60</f>
        <v>60</v>
      </c>
      <c r="BH60" s="299">
        <f>G60*AO60</f>
        <v>0</v>
      </c>
      <c r="BI60" s="299">
        <f>G60*AP60</f>
        <v>0</v>
      </c>
      <c r="BJ60" s="299">
        <f>G60*H60</f>
        <v>0</v>
      </c>
    </row>
    <row r="61" spans="1:62">
      <c r="C61" s="436" t="s">
        <v>457</v>
      </c>
      <c r="D61" s="436"/>
      <c r="E61" s="436"/>
      <c r="G61" s="301">
        <v>18</v>
      </c>
    </row>
    <row r="62" spans="1:62">
      <c r="A62" s="302"/>
      <c r="B62" s="303" t="s">
        <v>458</v>
      </c>
      <c r="C62" s="437" t="s">
        <v>459</v>
      </c>
      <c r="D62" s="437"/>
      <c r="E62" s="437"/>
      <c r="F62" s="302" t="s">
        <v>324</v>
      </c>
      <c r="G62" s="302" t="s">
        <v>324</v>
      </c>
      <c r="H62" s="302" t="s">
        <v>324</v>
      </c>
      <c r="I62" s="297">
        <f>SUM(I63:I65)</f>
        <v>0</v>
      </c>
      <c r="J62" s="297">
        <f>SUM(J63:J65)</f>
        <v>0</v>
      </c>
      <c r="K62" s="297">
        <f>SUM(K63:K65)</f>
        <v>0</v>
      </c>
      <c r="L62" s="292"/>
      <c r="AI62" s="292"/>
      <c r="AS62" s="297">
        <f>SUM(AJ63:AJ65)</f>
        <v>0</v>
      </c>
      <c r="AT62" s="297">
        <f>SUM(AK63:AK65)</f>
        <v>0</v>
      </c>
      <c r="AU62" s="297">
        <f>SUM(AL63:AL65)</f>
        <v>0</v>
      </c>
    </row>
    <row r="63" spans="1:62">
      <c r="A63" s="298" t="s">
        <v>460</v>
      </c>
      <c r="B63" s="298" t="s">
        <v>461</v>
      </c>
      <c r="C63" s="435" t="s">
        <v>462</v>
      </c>
      <c r="D63" s="435"/>
      <c r="E63" s="435"/>
      <c r="F63" s="298" t="s">
        <v>362</v>
      </c>
      <c r="G63" s="299">
        <v>36.667999999999999</v>
      </c>
      <c r="H63" s="299">
        <v>0</v>
      </c>
      <c r="I63" s="299">
        <f>G63*AO63</f>
        <v>0</v>
      </c>
      <c r="J63" s="299">
        <f>G63*AP63</f>
        <v>0</v>
      </c>
      <c r="K63" s="299">
        <f>G63*H63</f>
        <v>0</v>
      </c>
      <c r="L63" s="300" t="s">
        <v>363</v>
      </c>
      <c r="Z63" s="299">
        <f>IF(AQ63="5",BJ63,0)</f>
        <v>0</v>
      </c>
      <c r="AB63" s="299">
        <f>IF(AQ63="1",BH63,0)</f>
        <v>0</v>
      </c>
      <c r="AC63" s="299">
        <f>IF(AQ63="1",BI63,0)</f>
        <v>0</v>
      </c>
      <c r="AD63" s="299">
        <f>IF(AQ63="7",BH63,0)</f>
        <v>0</v>
      </c>
      <c r="AE63" s="299">
        <f>IF(AQ63="7",BI63,0)</f>
        <v>0</v>
      </c>
      <c r="AF63" s="299">
        <f>IF(AQ63="2",BH63,0)</f>
        <v>0</v>
      </c>
      <c r="AG63" s="299">
        <f>IF(AQ63="2",BI63,0)</f>
        <v>0</v>
      </c>
      <c r="AH63" s="299">
        <f>IF(AQ63="0",BJ63,0)</f>
        <v>0</v>
      </c>
      <c r="AI63" s="292"/>
      <c r="AJ63" s="299">
        <f>IF(AN63=0,K63,0)</f>
        <v>0</v>
      </c>
      <c r="AK63" s="299">
        <f>IF(AN63=15,K63,0)</f>
        <v>0</v>
      </c>
      <c r="AL63" s="299">
        <f>IF(AN63=21,K63,0)</f>
        <v>0</v>
      </c>
      <c r="AN63" s="299">
        <v>21</v>
      </c>
      <c r="AO63" s="299">
        <f>H63*0.0279389279740761</f>
        <v>0</v>
      </c>
      <c r="AP63" s="299">
        <f>H63*(1-0.0279389279740761)</f>
        <v>0</v>
      </c>
      <c r="AQ63" s="300" t="s">
        <v>390</v>
      </c>
      <c r="AV63" s="299">
        <f>AW63+AX63</f>
        <v>0</v>
      </c>
      <c r="AW63" s="299">
        <f>G63*AO63</f>
        <v>0</v>
      </c>
      <c r="AX63" s="299">
        <f>G63*AP63</f>
        <v>0</v>
      </c>
      <c r="AY63" s="300" t="s">
        <v>463</v>
      </c>
      <c r="AZ63" s="300" t="s">
        <v>445</v>
      </c>
      <c r="BA63" s="292" t="s">
        <v>366</v>
      </c>
      <c r="BC63" s="299">
        <f>AW63+AX63</f>
        <v>0</v>
      </c>
      <c r="BD63" s="299">
        <f>H63/(100-BE63)*100</f>
        <v>0</v>
      </c>
      <c r="BE63" s="299">
        <v>0</v>
      </c>
      <c r="BF63" s="299">
        <f>63</f>
        <v>63</v>
      </c>
      <c r="BH63" s="299">
        <f>G63*AO63</f>
        <v>0</v>
      </c>
      <c r="BI63" s="299">
        <f>G63*AP63</f>
        <v>0</v>
      </c>
      <c r="BJ63" s="299">
        <f>G63*H63</f>
        <v>0</v>
      </c>
    </row>
    <row r="64" spans="1:62">
      <c r="C64" s="436" t="s">
        <v>464</v>
      </c>
      <c r="D64" s="436"/>
      <c r="E64" s="436"/>
      <c r="G64" s="301">
        <v>36.667999999999999</v>
      </c>
    </row>
    <row r="65" spans="1:62">
      <c r="A65" s="298" t="s">
        <v>465</v>
      </c>
      <c r="B65" s="298" t="s">
        <v>466</v>
      </c>
      <c r="C65" s="435" t="s">
        <v>467</v>
      </c>
      <c r="D65" s="435"/>
      <c r="E65" s="435"/>
      <c r="F65" s="298" t="s">
        <v>393</v>
      </c>
      <c r="G65" s="299">
        <v>4</v>
      </c>
      <c r="H65" s="299">
        <v>0</v>
      </c>
      <c r="I65" s="299">
        <f>G65*AO65</f>
        <v>0</v>
      </c>
      <c r="J65" s="299">
        <f>G65*AP65</f>
        <v>0</v>
      </c>
      <c r="K65" s="299">
        <f>G65*H65</f>
        <v>0</v>
      </c>
      <c r="L65" s="300"/>
      <c r="Z65" s="299">
        <f>IF(AQ65="5",BJ65,0)</f>
        <v>0</v>
      </c>
      <c r="AB65" s="299">
        <f>IF(AQ65="1",BH65,0)</f>
        <v>0</v>
      </c>
      <c r="AC65" s="299">
        <f>IF(AQ65="1",BI65,0)</f>
        <v>0</v>
      </c>
      <c r="AD65" s="299">
        <f>IF(AQ65="7",BH65,0)</f>
        <v>0</v>
      </c>
      <c r="AE65" s="299">
        <f>IF(AQ65="7",BI65,0)</f>
        <v>0</v>
      </c>
      <c r="AF65" s="299">
        <f>IF(AQ65="2",BH65,0)</f>
        <v>0</v>
      </c>
      <c r="AG65" s="299">
        <f>IF(AQ65="2",BI65,0)</f>
        <v>0</v>
      </c>
      <c r="AH65" s="299">
        <f>IF(AQ65="0",BJ65,0)</f>
        <v>0</v>
      </c>
      <c r="AI65" s="292"/>
      <c r="AJ65" s="299">
        <f>IF(AN65=0,K65,0)</f>
        <v>0</v>
      </c>
      <c r="AK65" s="299">
        <f>IF(AN65=15,K65,0)</f>
        <v>0</v>
      </c>
      <c r="AL65" s="299">
        <f>IF(AN65=21,K65,0)</f>
        <v>0</v>
      </c>
      <c r="AN65" s="299">
        <v>21</v>
      </c>
      <c r="AO65" s="299">
        <f>H65*1</f>
        <v>0</v>
      </c>
      <c r="AP65" s="299">
        <f>H65*(1-1)</f>
        <v>0</v>
      </c>
      <c r="AQ65" s="300" t="s">
        <v>390</v>
      </c>
      <c r="AV65" s="299">
        <f>AW65+AX65</f>
        <v>0</v>
      </c>
      <c r="AW65" s="299">
        <f>G65*AO65</f>
        <v>0</v>
      </c>
      <c r="AX65" s="299">
        <f>G65*AP65</f>
        <v>0</v>
      </c>
      <c r="AY65" s="300" t="s">
        <v>463</v>
      </c>
      <c r="AZ65" s="300" t="s">
        <v>445</v>
      </c>
      <c r="BA65" s="292" t="s">
        <v>366</v>
      </c>
      <c r="BC65" s="299">
        <f>AW65+AX65</f>
        <v>0</v>
      </c>
      <c r="BD65" s="299">
        <f>H65/(100-BE65)*100</f>
        <v>0</v>
      </c>
      <c r="BE65" s="299">
        <v>0</v>
      </c>
      <c r="BF65" s="299">
        <f>65</f>
        <v>65</v>
      </c>
      <c r="BH65" s="299">
        <f>G65*AO65</f>
        <v>0</v>
      </c>
      <c r="BI65" s="299">
        <f>G65*AP65</f>
        <v>0</v>
      </c>
      <c r="BJ65" s="299">
        <f>G65*H65</f>
        <v>0</v>
      </c>
    </row>
    <row r="66" spans="1:62">
      <c r="C66" s="436" t="s">
        <v>438</v>
      </c>
      <c r="D66" s="436"/>
      <c r="E66" s="436"/>
      <c r="G66" s="301">
        <v>4</v>
      </c>
    </row>
    <row r="67" spans="1:62">
      <c r="A67" s="302"/>
      <c r="B67" s="303" t="s">
        <v>468</v>
      </c>
      <c r="C67" s="437" t="s">
        <v>469</v>
      </c>
      <c r="D67" s="437"/>
      <c r="E67" s="437"/>
      <c r="F67" s="302" t="s">
        <v>324</v>
      </c>
      <c r="G67" s="302" t="s">
        <v>324</v>
      </c>
      <c r="H67" s="302" t="s">
        <v>324</v>
      </c>
      <c r="I67" s="297">
        <f>SUM(I68:I94)</f>
        <v>0</v>
      </c>
      <c r="J67" s="297">
        <f>SUM(J68:J94)</f>
        <v>0</v>
      </c>
      <c r="K67" s="297">
        <f>SUM(K68:K94)</f>
        <v>0</v>
      </c>
      <c r="L67" s="292"/>
      <c r="AI67" s="292"/>
      <c r="AS67" s="297">
        <f>SUM(AJ68:AJ94)</f>
        <v>0</v>
      </c>
      <c r="AT67" s="297">
        <f>SUM(AK68:AK94)</f>
        <v>0</v>
      </c>
      <c r="AU67" s="297">
        <f>SUM(AL68:AL94)</f>
        <v>0</v>
      </c>
    </row>
    <row r="68" spans="1:62">
      <c r="A68" s="298" t="s">
        <v>470</v>
      </c>
      <c r="B68" s="298" t="s">
        <v>471</v>
      </c>
      <c r="C68" s="435" t="s">
        <v>472</v>
      </c>
      <c r="D68" s="435"/>
      <c r="E68" s="435"/>
      <c r="F68" s="298" t="s">
        <v>362</v>
      </c>
      <c r="G68" s="299">
        <v>397.8</v>
      </c>
      <c r="H68" s="299">
        <v>0</v>
      </c>
      <c r="I68" s="299">
        <f>G68*AO68</f>
        <v>0</v>
      </c>
      <c r="J68" s="299">
        <f>G68*AP68</f>
        <v>0</v>
      </c>
      <c r="K68" s="299">
        <f>G68*H68</f>
        <v>0</v>
      </c>
      <c r="L68" s="300" t="s">
        <v>363</v>
      </c>
      <c r="Z68" s="299">
        <f>IF(AQ68="5",BJ68,0)</f>
        <v>0</v>
      </c>
      <c r="AB68" s="299">
        <f>IF(AQ68="1",BH68,0)</f>
        <v>0</v>
      </c>
      <c r="AC68" s="299">
        <f>IF(AQ68="1",BI68,0)</f>
        <v>0</v>
      </c>
      <c r="AD68" s="299">
        <f>IF(AQ68="7",BH68,0)</f>
        <v>0</v>
      </c>
      <c r="AE68" s="299">
        <f>IF(AQ68="7",BI68,0)</f>
        <v>0</v>
      </c>
      <c r="AF68" s="299">
        <f>IF(AQ68="2",BH68,0)</f>
        <v>0</v>
      </c>
      <c r="AG68" s="299">
        <f>IF(AQ68="2",BI68,0)</f>
        <v>0</v>
      </c>
      <c r="AH68" s="299">
        <f>IF(AQ68="0",BJ68,0)</f>
        <v>0</v>
      </c>
      <c r="AI68" s="292"/>
      <c r="AJ68" s="299">
        <f>IF(AN68=0,K68,0)</f>
        <v>0</v>
      </c>
      <c r="AK68" s="299">
        <f>IF(AN68=15,K68,0)</f>
        <v>0</v>
      </c>
      <c r="AL68" s="299">
        <f>IF(AN68=21,K68,0)</f>
        <v>0</v>
      </c>
      <c r="AN68" s="299">
        <v>21</v>
      </c>
      <c r="AO68" s="299">
        <f>H68*0.0152405642061817</f>
        <v>0</v>
      </c>
      <c r="AP68" s="299">
        <f>H68*(1-0.0152405642061817)</f>
        <v>0</v>
      </c>
      <c r="AQ68" s="300" t="s">
        <v>390</v>
      </c>
      <c r="AV68" s="299">
        <f>AW68+AX68</f>
        <v>0</v>
      </c>
      <c r="AW68" s="299">
        <f>G68*AO68</f>
        <v>0</v>
      </c>
      <c r="AX68" s="299">
        <f>G68*AP68</f>
        <v>0</v>
      </c>
      <c r="AY68" s="300" t="s">
        <v>473</v>
      </c>
      <c r="AZ68" s="300" t="s">
        <v>445</v>
      </c>
      <c r="BA68" s="292" t="s">
        <v>366</v>
      </c>
      <c r="BC68" s="299">
        <f>AW68+AX68</f>
        <v>0</v>
      </c>
      <c r="BD68" s="299">
        <f>H68/(100-BE68)*100</f>
        <v>0</v>
      </c>
      <c r="BE68" s="299">
        <v>0</v>
      </c>
      <c r="BF68" s="299">
        <f>68</f>
        <v>68</v>
      </c>
      <c r="BH68" s="299">
        <f>G68*AO68</f>
        <v>0</v>
      </c>
      <c r="BI68" s="299">
        <f>G68*AP68</f>
        <v>0</v>
      </c>
      <c r="BJ68" s="299">
        <f>G68*H68</f>
        <v>0</v>
      </c>
    </row>
    <row r="69" spans="1:62">
      <c r="C69" s="436" t="s">
        <v>474</v>
      </c>
      <c r="D69" s="436"/>
      <c r="E69" s="436"/>
      <c r="G69" s="301">
        <v>45</v>
      </c>
    </row>
    <row r="70" spans="1:62">
      <c r="C70" s="436" t="s">
        <v>475</v>
      </c>
      <c r="D70" s="436"/>
      <c r="E70" s="436"/>
      <c r="G70" s="301">
        <v>54.2</v>
      </c>
    </row>
    <row r="71" spans="1:62">
      <c r="C71" s="436" t="s">
        <v>476</v>
      </c>
      <c r="D71" s="436"/>
      <c r="E71" s="436"/>
      <c r="G71" s="301">
        <v>34</v>
      </c>
    </row>
    <row r="72" spans="1:62">
      <c r="C72" s="436" t="s">
        <v>477</v>
      </c>
      <c r="D72" s="436"/>
      <c r="E72" s="436"/>
      <c r="G72" s="301">
        <v>54.2</v>
      </c>
    </row>
    <row r="73" spans="1:62">
      <c r="C73" s="436" t="s">
        <v>478</v>
      </c>
      <c r="D73" s="436"/>
      <c r="E73" s="436"/>
      <c r="G73" s="301">
        <v>34</v>
      </c>
    </row>
    <row r="74" spans="1:62">
      <c r="C74" s="436" t="s">
        <v>479</v>
      </c>
      <c r="D74" s="436"/>
      <c r="E74" s="436"/>
      <c r="G74" s="301">
        <v>54.2</v>
      </c>
    </row>
    <row r="75" spans="1:62">
      <c r="C75" s="436" t="s">
        <v>480</v>
      </c>
      <c r="D75" s="436"/>
      <c r="E75" s="436"/>
      <c r="G75" s="301">
        <v>34</v>
      </c>
    </row>
    <row r="76" spans="1:62">
      <c r="C76" s="436" t="s">
        <v>481</v>
      </c>
      <c r="D76" s="436"/>
      <c r="E76" s="436"/>
      <c r="G76" s="301">
        <v>54.2</v>
      </c>
    </row>
    <row r="77" spans="1:62">
      <c r="C77" s="436" t="s">
        <v>482</v>
      </c>
      <c r="D77" s="436"/>
      <c r="E77" s="436"/>
      <c r="G77" s="301">
        <v>34</v>
      </c>
    </row>
    <row r="78" spans="1:62">
      <c r="A78" s="298" t="s">
        <v>483</v>
      </c>
      <c r="B78" s="298" t="s">
        <v>484</v>
      </c>
      <c r="C78" s="435" t="s">
        <v>485</v>
      </c>
      <c r="D78" s="435"/>
      <c r="E78" s="435"/>
      <c r="F78" s="298" t="s">
        <v>362</v>
      </c>
      <c r="G78" s="299">
        <v>409.73399999999998</v>
      </c>
      <c r="H78" s="299">
        <v>0</v>
      </c>
      <c r="I78" s="299">
        <f>G78*AO78</f>
        <v>0</v>
      </c>
      <c r="J78" s="299">
        <f>G78*AP78</f>
        <v>0</v>
      </c>
      <c r="K78" s="299">
        <f>G78*H78</f>
        <v>0</v>
      </c>
      <c r="L78" s="300" t="s">
        <v>363</v>
      </c>
      <c r="Z78" s="299">
        <f>IF(AQ78="5",BJ78,0)</f>
        <v>0</v>
      </c>
      <c r="AB78" s="299">
        <f>IF(AQ78="1",BH78,0)</f>
        <v>0</v>
      </c>
      <c r="AC78" s="299">
        <f>IF(AQ78="1",BI78,0)</f>
        <v>0</v>
      </c>
      <c r="AD78" s="299">
        <f>IF(AQ78="7",BH78,0)</f>
        <v>0</v>
      </c>
      <c r="AE78" s="299">
        <f>IF(AQ78="7",BI78,0)</f>
        <v>0</v>
      </c>
      <c r="AF78" s="299">
        <f>IF(AQ78="2",BH78,0)</f>
        <v>0</v>
      </c>
      <c r="AG78" s="299">
        <f>IF(AQ78="2",BI78,0)</f>
        <v>0</v>
      </c>
      <c r="AH78" s="299">
        <f>IF(AQ78="0",BJ78,0)</f>
        <v>0</v>
      </c>
      <c r="AI78" s="292"/>
      <c r="AJ78" s="299">
        <f>IF(AN78=0,K78,0)</f>
        <v>0</v>
      </c>
      <c r="AK78" s="299">
        <f>IF(AN78=15,K78,0)</f>
        <v>0</v>
      </c>
      <c r="AL78" s="299">
        <f>IF(AN78=21,K78,0)</f>
        <v>0</v>
      </c>
      <c r="AN78" s="299">
        <v>21</v>
      </c>
      <c r="AO78" s="299">
        <f>H78*1</f>
        <v>0</v>
      </c>
      <c r="AP78" s="299">
        <f>H78*(1-1)</f>
        <v>0</v>
      </c>
      <c r="AQ78" s="300" t="s">
        <v>390</v>
      </c>
      <c r="AV78" s="299">
        <f>AW78+AX78</f>
        <v>0</v>
      </c>
      <c r="AW78" s="299">
        <f>G78*AO78</f>
        <v>0</v>
      </c>
      <c r="AX78" s="299">
        <f>G78*AP78</f>
        <v>0</v>
      </c>
      <c r="AY78" s="300" t="s">
        <v>473</v>
      </c>
      <c r="AZ78" s="300" t="s">
        <v>445</v>
      </c>
      <c r="BA78" s="292" t="s">
        <v>366</v>
      </c>
      <c r="BC78" s="299">
        <f>AW78+AX78</f>
        <v>0</v>
      </c>
      <c r="BD78" s="299">
        <f>H78/(100-BE78)*100</f>
        <v>0</v>
      </c>
      <c r="BE78" s="299">
        <v>0</v>
      </c>
      <c r="BF78" s="299">
        <f>78</f>
        <v>78</v>
      </c>
      <c r="BH78" s="299">
        <f>G78*AO78</f>
        <v>0</v>
      </c>
      <c r="BI78" s="299">
        <f>G78*AP78</f>
        <v>0</v>
      </c>
      <c r="BJ78" s="299">
        <f>G78*H78</f>
        <v>0</v>
      </c>
    </row>
    <row r="79" spans="1:62">
      <c r="C79" s="436" t="s">
        <v>486</v>
      </c>
      <c r="D79" s="436"/>
      <c r="E79" s="436"/>
      <c r="G79" s="301">
        <v>409.73399999999998</v>
      </c>
    </row>
    <row r="80" spans="1:62" ht="26.4">
      <c r="A80" s="298" t="s">
        <v>7</v>
      </c>
      <c r="B80" s="298" t="s">
        <v>487</v>
      </c>
      <c r="C80" s="435" t="s">
        <v>488</v>
      </c>
      <c r="D80" s="435"/>
      <c r="E80" s="435"/>
      <c r="F80" s="298" t="s">
        <v>489</v>
      </c>
      <c r="G80" s="299">
        <v>365.74</v>
      </c>
      <c r="H80" s="299">
        <v>0</v>
      </c>
      <c r="I80" s="299">
        <f>G80*AO80</f>
        <v>0</v>
      </c>
      <c r="J80" s="299">
        <f>G80*AP80</f>
        <v>0</v>
      </c>
      <c r="K80" s="299">
        <f>G80*H80</f>
        <v>0</v>
      </c>
      <c r="L80" s="300"/>
      <c r="Z80" s="299">
        <f>IF(AQ80="5",BJ80,0)</f>
        <v>0</v>
      </c>
      <c r="AB80" s="299">
        <f>IF(AQ80="1",BH80,0)</f>
        <v>0</v>
      </c>
      <c r="AC80" s="299">
        <f>IF(AQ80="1",BI80,0)</f>
        <v>0</v>
      </c>
      <c r="AD80" s="299">
        <f>IF(AQ80="7",BH80,0)</f>
        <v>0</v>
      </c>
      <c r="AE80" s="299">
        <f>IF(AQ80="7",BI80,0)</f>
        <v>0</v>
      </c>
      <c r="AF80" s="299">
        <f>IF(AQ80="2",BH80,0)</f>
        <v>0</v>
      </c>
      <c r="AG80" s="299">
        <f>IF(AQ80="2",BI80,0)</f>
        <v>0</v>
      </c>
      <c r="AH80" s="299">
        <f>IF(AQ80="0",BJ80,0)</f>
        <v>0</v>
      </c>
      <c r="AI80" s="292"/>
      <c r="AJ80" s="299">
        <f>IF(AN80=0,K80,0)</f>
        <v>0</v>
      </c>
      <c r="AK80" s="299">
        <f>IF(AN80=15,K80,0)</f>
        <v>0</v>
      </c>
      <c r="AL80" s="299">
        <f>IF(AN80=21,K80,0)</f>
        <v>0</v>
      </c>
      <c r="AN80" s="299">
        <v>21</v>
      </c>
      <c r="AO80" s="299">
        <f>H80*0</f>
        <v>0</v>
      </c>
      <c r="AP80" s="299">
        <f>H80*(1-0)</f>
        <v>0</v>
      </c>
      <c r="AQ80" s="300" t="s">
        <v>390</v>
      </c>
      <c r="AV80" s="299">
        <f>AW80+AX80</f>
        <v>0</v>
      </c>
      <c r="AW80" s="299">
        <f>G80*AO80</f>
        <v>0</v>
      </c>
      <c r="AX80" s="299">
        <f>G80*AP80</f>
        <v>0</v>
      </c>
      <c r="AY80" s="300" t="s">
        <v>473</v>
      </c>
      <c r="AZ80" s="300" t="s">
        <v>445</v>
      </c>
      <c r="BA80" s="292" t="s">
        <v>366</v>
      </c>
      <c r="BC80" s="299">
        <f>AW80+AX80</f>
        <v>0</v>
      </c>
      <c r="BD80" s="299">
        <f>H80/(100-BE80)*100</f>
        <v>0</v>
      </c>
      <c r="BE80" s="299">
        <v>0</v>
      </c>
      <c r="BF80" s="299">
        <f>80</f>
        <v>80</v>
      </c>
      <c r="BH80" s="299">
        <f>G80*AO80</f>
        <v>0</v>
      </c>
      <c r="BI80" s="299">
        <f>G80*AP80</f>
        <v>0</v>
      </c>
      <c r="BJ80" s="299">
        <f>G80*H80</f>
        <v>0</v>
      </c>
    </row>
    <row r="81" spans="1:62">
      <c r="C81" s="436" t="s">
        <v>490</v>
      </c>
      <c r="D81" s="436"/>
      <c r="E81" s="436"/>
      <c r="G81" s="301">
        <v>121.34</v>
      </c>
    </row>
    <row r="82" spans="1:62">
      <c r="C82" s="436" t="s">
        <v>491</v>
      </c>
      <c r="D82" s="436"/>
      <c r="E82" s="436"/>
      <c r="G82" s="301">
        <v>64.8</v>
      </c>
    </row>
    <row r="83" spans="1:62">
      <c r="C83" s="436" t="s">
        <v>492</v>
      </c>
      <c r="D83" s="436"/>
      <c r="E83" s="436"/>
      <c r="G83" s="301">
        <v>179.6</v>
      </c>
    </row>
    <row r="84" spans="1:62">
      <c r="A84" s="298" t="s">
        <v>493</v>
      </c>
      <c r="B84" s="298" t="s">
        <v>494</v>
      </c>
      <c r="C84" s="435" t="s">
        <v>495</v>
      </c>
      <c r="D84" s="435"/>
      <c r="E84" s="435"/>
      <c r="F84" s="298" t="s">
        <v>496</v>
      </c>
      <c r="G84" s="299">
        <v>0.12134</v>
      </c>
      <c r="H84" s="299">
        <v>0</v>
      </c>
      <c r="I84" s="299">
        <f>G84*AO84</f>
        <v>0</v>
      </c>
      <c r="J84" s="299">
        <f>G84*AP84</f>
        <v>0</v>
      </c>
      <c r="K84" s="299">
        <f>G84*H84</f>
        <v>0</v>
      </c>
      <c r="L84" s="300" t="s">
        <v>363</v>
      </c>
      <c r="Z84" s="299">
        <f>IF(AQ84="5",BJ84,0)</f>
        <v>0</v>
      </c>
      <c r="AB84" s="299">
        <f>IF(AQ84="1",BH84,0)</f>
        <v>0</v>
      </c>
      <c r="AC84" s="299">
        <f>IF(AQ84="1",BI84,0)</f>
        <v>0</v>
      </c>
      <c r="AD84" s="299">
        <f>IF(AQ84="7",BH84,0)</f>
        <v>0</v>
      </c>
      <c r="AE84" s="299">
        <f>IF(AQ84="7",BI84,0)</f>
        <v>0</v>
      </c>
      <c r="AF84" s="299">
        <f>IF(AQ84="2",BH84,0)</f>
        <v>0</v>
      </c>
      <c r="AG84" s="299">
        <f>IF(AQ84="2",BI84,0)</f>
        <v>0</v>
      </c>
      <c r="AH84" s="299">
        <f>IF(AQ84="0",BJ84,0)</f>
        <v>0</v>
      </c>
      <c r="AI84" s="292"/>
      <c r="AJ84" s="299">
        <f>IF(AN84=0,K84,0)</f>
        <v>0</v>
      </c>
      <c r="AK84" s="299">
        <f>IF(AN84=15,K84,0)</f>
        <v>0</v>
      </c>
      <c r="AL84" s="299">
        <f>IF(AN84=21,K84,0)</f>
        <v>0</v>
      </c>
      <c r="AN84" s="299">
        <v>21</v>
      </c>
      <c r="AO84" s="299">
        <f>H84*1</f>
        <v>0</v>
      </c>
      <c r="AP84" s="299">
        <f>H84*(1-1)</f>
        <v>0</v>
      </c>
      <c r="AQ84" s="300" t="s">
        <v>390</v>
      </c>
      <c r="AV84" s="299">
        <f>AW84+AX84</f>
        <v>0</v>
      </c>
      <c r="AW84" s="299">
        <f>G84*AO84</f>
        <v>0</v>
      </c>
      <c r="AX84" s="299">
        <f>G84*AP84</f>
        <v>0</v>
      </c>
      <c r="AY84" s="300" t="s">
        <v>473</v>
      </c>
      <c r="AZ84" s="300" t="s">
        <v>445</v>
      </c>
      <c r="BA84" s="292" t="s">
        <v>366</v>
      </c>
      <c r="BC84" s="299">
        <f>AW84+AX84</f>
        <v>0</v>
      </c>
      <c r="BD84" s="299">
        <f>H84/(100-BE84)*100</f>
        <v>0</v>
      </c>
      <c r="BE84" s="299">
        <v>0</v>
      </c>
      <c r="BF84" s="299">
        <f>84</f>
        <v>84</v>
      </c>
      <c r="BH84" s="299">
        <f>G84*AO84</f>
        <v>0</v>
      </c>
      <c r="BI84" s="299">
        <f>G84*AP84</f>
        <v>0</v>
      </c>
      <c r="BJ84" s="299">
        <f>G84*H84</f>
        <v>0</v>
      </c>
    </row>
    <row r="85" spans="1:62">
      <c r="C85" s="436" t="s">
        <v>497</v>
      </c>
      <c r="D85" s="436"/>
      <c r="E85" s="436"/>
      <c r="G85" s="301">
        <v>0.12134</v>
      </c>
    </row>
    <row r="86" spans="1:62">
      <c r="C86" s="436" t="s">
        <v>498</v>
      </c>
      <c r="D86" s="436"/>
      <c r="E86" s="436"/>
      <c r="G86" s="301">
        <v>0</v>
      </c>
    </row>
    <row r="87" spans="1:62">
      <c r="A87" s="298" t="s">
        <v>499</v>
      </c>
      <c r="B87" s="298" t="s">
        <v>500</v>
      </c>
      <c r="C87" s="435" t="s">
        <v>501</v>
      </c>
      <c r="D87" s="435"/>
      <c r="E87" s="435"/>
      <c r="F87" s="298" t="s">
        <v>414</v>
      </c>
      <c r="G87" s="299">
        <v>54</v>
      </c>
      <c r="H87" s="299">
        <v>0</v>
      </c>
      <c r="I87" s="299">
        <f>G87*AO87</f>
        <v>0</v>
      </c>
      <c r="J87" s="299">
        <f>G87*AP87</f>
        <v>0</v>
      </c>
      <c r="K87" s="299">
        <f>G87*H87</f>
        <v>0</v>
      </c>
      <c r="L87" s="300" t="s">
        <v>363</v>
      </c>
      <c r="Z87" s="299">
        <f>IF(AQ87="5",BJ87,0)</f>
        <v>0</v>
      </c>
      <c r="AB87" s="299">
        <f>IF(AQ87="1",BH87,0)</f>
        <v>0</v>
      </c>
      <c r="AC87" s="299">
        <f>IF(AQ87="1",BI87,0)</f>
        <v>0</v>
      </c>
      <c r="AD87" s="299">
        <f>IF(AQ87="7",BH87,0)</f>
        <v>0</v>
      </c>
      <c r="AE87" s="299">
        <f>IF(AQ87="7",BI87,0)</f>
        <v>0</v>
      </c>
      <c r="AF87" s="299">
        <f>IF(AQ87="2",BH87,0)</f>
        <v>0</v>
      </c>
      <c r="AG87" s="299">
        <f>IF(AQ87="2",BI87,0)</f>
        <v>0</v>
      </c>
      <c r="AH87" s="299">
        <f>IF(AQ87="0",BJ87,0)</f>
        <v>0</v>
      </c>
      <c r="AI87" s="292"/>
      <c r="AJ87" s="299">
        <f>IF(AN87=0,K87,0)</f>
        <v>0</v>
      </c>
      <c r="AK87" s="299">
        <f>IF(AN87=15,K87,0)</f>
        <v>0</v>
      </c>
      <c r="AL87" s="299">
        <f>IF(AN87=21,K87,0)</f>
        <v>0</v>
      </c>
      <c r="AN87" s="299">
        <v>21</v>
      </c>
      <c r="AO87" s="299">
        <f>H87*1</f>
        <v>0</v>
      </c>
      <c r="AP87" s="299">
        <f>H87*(1-1)</f>
        <v>0</v>
      </c>
      <c r="AQ87" s="300" t="s">
        <v>390</v>
      </c>
      <c r="AV87" s="299">
        <f>AW87+AX87</f>
        <v>0</v>
      </c>
      <c r="AW87" s="299">
        <f>G87*AO87</f>
        <v>0</v>
      </c>
      <c r="AX87" s="299">
        <f>G87*AP87</f>
        <v>0</v>
      </c>
      <c r="AY87" s="300" t="s">
        <v>473</v>
      </c>
      <c r="AZ87" s="300" t="s">
        <v>445</v>
      </c>
      <c r="BA87" s="292" t="s">
        <v>366</v>
      </c>
      <c r="BC87" s="299">
        <f>AW87+AX87</f>
        <v>0</v>
      </c>
      <c r="BD87" s="299">
        <f>H87/(100-BE87)*100</f>
        <v>0</v>
      </c>
      <c r="BE87" s="299">
        <v>0</v>
      </c>
      <c r="BF87" s="299">
        <f>87</f>
        <v>87</v>
      </c>
      <c r="BH87" s="299">
        <f>G87*AO87</f>
        <v>0</v>
      </c>
      <c r="BI87" s="299">
        <f>G87*AP87</f>
        <v>0</v>
      </c>
      <c r="BJ87" s="299">
        <f>G87*H87</f>
        <v>0</v>
      </c>
    </row>
    <row r="88" spans="1:62">
      <c r="C88" s="436" t="s">
        <v>502</v>
      </c>
      <c r="D88" s="436"/>
      <c r="E88" s="436"/>
      <c r="G88" s="301">
        <v>54</v>
      </c>
    </row>
    <row r="89" spans="1:62">
      <c r="C89" s="436" t="s">
        <v>503</v>
      </c>
      <c r="D89" s="436"/>
      <c r="E89" s="436"/>
      <c r="G89" s="301">
        <v>0</v>
      </c>
    </row>
    <row r="90" spans="1:62">
      <c r="A90" s="298" t="s">
        <v>504</v>
      </c>
      <c r="B90" s="298" t="s">
        <v>494</v>
      </c>
      <c r="C90" s="435" t="s">
        <v>505</v>
      </c>
      <c r="D90" s="435"/>
      <c r="E90" s="435"/>
      <c r="F90" s="298" t="s">
        <v>496</v>
      </c>
      <c r="G90" s="299">
        <v>0.35920000000000002</v>
      </c>
      <c r="H90" s="299">
        <v>0</v>
      </c>
      <c r="I90" s="299">
        <f>G90*AO90</f>
        <v>0</v>
      </c>
      <c r="J90" s="299">
        <f>G90*AP90</f>
        <v>0</v>
      </c>
      <c r="K90" s="299">
        <f>G90*H90</f>
        <v>0</v>
      </c>
      <c r="L90" s="300" t="s">
        <v>363</v>
      </c>
      <c r="Z90" s="299">
        <f>IF(AQ90="5",BJ90,0)</f>
        <v>0</v>
      </c>
      <c r="AB90" s="299">
        <f>IF(AQ90="1",BH90,0)</f>
        <v>0</v>
      </c>
      <c r="AC90" s="299">
        <f>IF(AQ90="1",BI90,0)</f>
        <v>0</v>
      </c>
      <c r="AD90" s="299">
        <f>IF(AQ90="7",BH90,0)</f>
        <v>0</v>
      </c>
      <c r="AE90" s="299">
        <f>IF(AQ90="7",BI90,0)</f>
        <v>0</v>
      </c>
      <c r="AF90" s="299">
        <f>IF(AQ90="2",BH90,0)</f>
        <v>0</v>
      </c>
      <c r="AG90" s="299">
        <f>IF(AQ90="2",BI90,0)</f>
        <v>0</v>
      </c>
      <c r="AH90" s="299">
        <f>IF(AQ90="0",BJ90,0)</f>
        <v>0</v>
      </c>
      <c r="AI90" s="292"/>
      <c r="AJ90" s="299">
        <f>IF(AN90=0,K90,0)</f>
        <v>0</v>
      </c>
      <c r="AK90" s="299">
        <f>IF(AN90=15,K90,0)</f>
        <v>0</v>
      </c>
      <c r="AL90" s="299">
        <f>IF(AN90=21,K90,0)</f>
        <v>0</v>
      </c>
      <c r="AN90" s="299">
        <v>21</v>
      </c>
      <c r="AO90" s="299">
        <f>H90*1</f>
        <v>0</v>
      </c>
      <c r="AP90" s="299">
        <f>H90*(1-1)</f>
        <v>0</v>
      </c>
      <c r="AQ90" s="300" t="s">
        <v>390</v>
      </c>
      <c r="AV90" s="299">
        <f>AW90+AX90</f>
        <v>0</v>
      </c>
      <c r="AW90" s="299">
        <f>G90*AO90</f>
        <v>0</v>
      </c>
      <c r="AX90" s="299">
        <f>G90*AP90</f>
        <v>0</v>
      </c>
      <c r="AY90" s="300" t="s">
        <v>473</v>
      </c>
      <c r="AZ90" s="300" t="s">
        <v>445</v>
      </c>
      <c r="BA90" s="292" t="s">
        <v>366</v>
      </c>
      <c r="BC90" s="299">
        <f>AW90+AX90</f>
        <v>0</v>
      </c>
      <c r="BD90" s="299">
        <f>H90/(100-BE90)*100</f>
        <v>0</v>
      </c>
      <c r="BE90" s="299">
        <v>0</v>
      </c>
      <c r="BF90" s="299">
        <f>90</f>
        <v>90</v>
      </c>
      <c r="BH90" s="299">
        <f>G90*AO90</f>
        <v>0</v>
      </c>
      <c r="BI90" s="299">
        <f>G90*AP90</f>
        <v>0</v>
      </c>
      <c r="BJ90" s="299">
        <f>G90*H90</f>
        <v>0</v>
      </c>
    </row>
    <row r="91" spans="1:62">
      <c r="C91" s="436" t="s">
        <v>506</v>
      </c>
      <c r="D91" s="436"/>
      <c r="E91" s="436"/>
      <c r="G91" s="301">
        <v>0.16719999999999999</v>
      </c>
    </row>
    <row r="92" spans="1:62">
      <c r="C92" s="436" t="s">
        <v>507</v>
      </c>
      <c r="D92" s="436"/>
      <c r="E92" s="436"/>
      <c r="G92" s="301">
        <v>3.04E-2</v>
      </c>
    </row>
    <row r="93" spans="1:62">
      <c r="C93" s="436" t="s">
        <v>508</v>
      </c>
      <c r="D93" s="436"/>
      <c r="E93" s="436"/>
      <c r="G93" s="301">
        <v>0.16159999999999999</v>
      </c>
    </row>
    <row r="94" spans="1:62">
      <c r="A94" s="298" t="s">
        <v>509</v>
      </c>
      <c r="B94" s="298" t="s">
        <v>510</v>
      </c>
      <c r="C94" s="435" t="s">
        <v>511</v>
      </c>
      <c r="D94" s="435"/>
      <c r="E94" s="435"/>
      <c r="F94" s="298" t="s">
        <v>393</v>
      </c>
      <c r="G94" s="299">
        <v>94</v>
      </c>
      <c r="H94" s="299">
        <v>0</v>
      </c>
      <c r="I94" s="299">
        <f>G94*AO94</f>
        <v>0</v>
      </c>
      <c r="J94" s="299">
        <f>G94*AP94</f>
        <v>0</v>
      </c>
      <c r="K94" s="299">
        <f>G94*H94</f>
        <v>0</v>
      </c>
      <c r="L94" s="300"/>
      <c r="Z94" s="299">
        <f>IF(AQ94="5",BJ94,0)</f>
        <v>0</v>
      </c>
      <c r="AB94" s="299">
        <f>IF(AQ94="1",BH94,0)</f>
        <v>0</v>
      </c>
      <c r="AC94" s="299">
        <f>IF(AQ94="1",BI94,0)</f>
        <v>0</v>
      </c>
      <c r="AD94" s="299">
        <f>IF(AQ94="7",BH94,0)</f>
        <v>0</v>
      </c>
      <c r="AE94" s="299">
        <f>IF(AQ94="7",BI94,0)</f>
        <v>0</v>
      </c>
      <c r="AF94" s="299">
        <f>IF(AQ94="2",BH94,0)</f>
        <v>0</v>
      </c>
      <c r="AG94" s="299">
        <f>IF(AQ94="2",BI94,0)</f>
        <v>0</v>
      </c>
      <c r="AH94" s="299">
        <f>IF(AQ94="0",BJ94,0)</f>
        <v>0</v>
      </c>
      <c r="AI94" s="292"/>
      <c r="AJ94" s="299">
        <f>IF(AN94=0,K94,0)</f>
        <v>0</v>
      </c>
      <c r="AK94" s="299">
        <f>IF(AN94=15,K94,0)</f>
        <v>0</v>
      </c>
      <c r="AL94" s="299">
        <f>IF(AN94=21,K94,0)</f>
        <v>0</v>
      </c>
      <c r="AN94" s="299">
        <v>21</v>
      </c>
      <c r="AO94" s="299">
        <f>H94*0.666666666666667</f>
        <v>0</v>
      </c>
      <c r="AP94" s="299">
        <f>H94*(1-0.666666666666667)</f>
        <v>0</v>
      </c>
      <c r="AQ94" s="300" t="s">
        <v>390</v>
      </c>
      <c r="AV94" s="299">
        <f>AW94+AX94</f>
        <v>0</v>
      </c>
      <c r="AW94" s="299">
        <f>G94*AO94</f>
        <v>0</v>
      </c>
      <c r="AX94" s="299">
        <f>G94*AP94</f>
        <v>0</v>
      </c>
      <c r="AY94" s="300" t="s">
        <v>473</v>
      </c>
      <c r="AZ94" s="300" t="s">
        <v>445</v>
      </c>
      <c r="BA94" s="292" t="s">
        <v>366</v>
      </c>
      <c r="BC94" s="299">
        <f>AW94+AX94</f>
        <v>0</v>
      </c>
      <c r="BD94" s="299">
        <f>H94/(100-BE94)*100</f>
        <v>0</v>
      </c>
      <c r="BE94" s="299">
        <v>0</v>
      </c>
      <c r="BF94" s="299">
        <f>94</f>
        <v>94</v>
      </c>
      <c r="BH94" s="299">
        <f>G94*AO94</f>
        <v>0</v>
      </c>
      <c r="BI94" s="299">
        <f>G94*AP94</f>
        <v>0</v>
      </c>
      <c r="BJ94" s="299">
        <f>G94*H94</f>
        <v>0</v>
      </c>
    </row>
    <row r="95" spans="1:62">
      <c r="C95" s="436" t="s">
        <v>512</v>
      </c>
      <c r="D95" s="436"/>
      <c r="E95" s="436"/>
      <c r="G95" s="301">
        <v>44</v>
      </c>
    </row>
    <row r="96" spans="1:62">
      <c r="C96" s="436" t="s">
        <v>513</v>
      </c>
      <c r="D96" s="436"/>
      <c r="E96" s="436"/>
      <c r="G96" s="301">
        <v>8</v>
      </c>
    </row>
    <row r="97" spans="1:62">
      <c r="C97" s="436" t="s">
        <v>514</v>
      </c>
      <c r="D97" s="436"/>
      <c r="E97" s="436"/>
      <c r="G97" s="301">
        <v>42</v>
      </c>
    </row>
    <row r="98" spans="1:62">
      <c r="C98" s="436" t="s">
        <v>515</v>
      </c>
      <c r="D98" s="436"/>
      <c r="E98" s="436"/>
      <c r="G98" s="301">
        <v>0</v>
      </c>
    </row>
    <row r="99" spans="1:62">
      <c r="A99" s="302"/>
      <c r="B99" s="303" t="s">
        <v>516</v>
      </c>
      <c r="C99" s="437" t="s">
        <v>517</v>
      </c>
      <c r="D99" s="437"/>
      <c r="E99" s="437"/>
      <c r="F99" s="302" t="s">
        <v>324</v>
      </c>
      <c r="G99" s="302" t="s">
        <v>324</v>
      </c>
      <c r="H99" s="302" t="s">
        <v>324</v>
      </c>
      <c r="I99" s="297">
        <f>SUM(I100:I103)</f>
        <v>0</v>
      </c>
      <c r="J99" s="297">
        <f>SUM(J100:J103)</f>
        <v>0</v>
      </c>
      <c r="K99" s="297">
        <f>SUM(K100:K103)</f>
        <v>0</v>
      </c>
      <c r="L99" s="292"/>
      <c r="AI99" s="292"/>
      <c r="AS99" s="297">
        <f>SUM(AJ100:AJ103)</f>
        <v>0</v>
      </c>
      <c r="AT99" s="297">
        <f>SUM(AK100:AK103)</f>
        <v>0</v>
      </c>
      <c r="AU99" s="297">
        <f>SUM(AL100:AL103)</f>
        <v>0</v>
      </c>
    </row>
    <row r="100" spans="1:62">
      <c r="A100" s="298" t="s">
        <v>518</v>
      </c>
      <c r="B100" s="298" t="s">
        <v>519</v>
      </c>
      <c r="C100" s="435" t="s">
        <v>520</v>
      </c>
      <c r="D100" s="435"/>
      <c r="E100" s="435"/>
      <c r="F100" s="298" t="s">
        <v>362</v>
      </c>
      <c r="G100" s="299">
        <v>7.6009599999999997</v>
      </c>
      <c r="H100" s="299">
        <v>0</v>
      </c>
      <c r="I100" s="299">
        <f>G100*AO100</f>
        <v>0</v>
      </c>
      <c r="J100" s="299">
        <f>G100*AP100</f>
        <v>0</v>
      </c>
      <c r="K100" s="299">
        <f>G100*H100</f>
        <v>0</v>
      </c>
      <c r="L100" s="300" t="s">
        <v>363</v>
      </c>
      <c r="Z100" s="299">
        <f>IF(AQ100="5",BJ100,0)</f>
        <v>0</v>
      </c>
      <c r="AB100" s="299">
        <f>IF(AQ100="1",BH100,0)</f>
        <v>0</v>
      </c>
      <c r="AC100" s="299">
        <f>IF(AQ100="1",BI100,0)</f>
        <v>0</v>
      </c>
      <c r="AD100" s="299">
        <f>IF(AQ100="7",BH100,0)</f>
        <v>0</v>
      </c>
      <c r="AE100" s="299">
        <f>IF(AQ100="7",BI100,0)</f>
        <v>0</v>
      </c>
      <c r="AF100" s="299">
        <f>IF(AQ100="2",BH100,0)</f>
        <v>0</v>
      </c>
      <c r="AG100" s="299">
        <f>IF(AQ100="2",BI100,0)</f>
        <v>0</v>
      </c>
      <c r="AH100" s="299">
        <f>IF(AQ100="0",BJ100,0)</f>
        <v>0</v>
      </c>
      <c r="AI100" s="292"/>
      <c r="AJ100" s="299">
        <f>IF(AN100=0,K100,0)</f>
        <v>0</v>
      </c>
      <c r="AK100" s="299">
        <f>IF(AN100=15,K100,0)</f>
        <v>0</v>
      </c>
      <c r="AL100" s="299">
        <f>IF(AN100=21,K100,0)</f>
        <v>0</v>
      </c>
      <c r="AN100" s="299">
        <v>21</v>
      </c>
      <c r="AO100" s="299">
        <f>H100*0.170628607614694</f>
        <v>0</v>
      </c>
      <c r="AP100" s="299">
        <f>H100*(1-0.170628607614694)</f>
        <v>0</v>
      </c>
      <c r="AQ100" s="300" t="s">
        <v>390</v>
      </c>
      <c r="AV100" s="299">
        <f>AW100+AX100</f>
        <v>0</v>
      </c>
      <c r="AW100" s="299">
        <f>G100*AO100</f>
        <v>0</v>
      </c>
      <c r="AX100" s="299">
        <f>G100*AP100</f>
        <v>0</v>
      </c>
      <c r="AY100" s="300" t="s">
        <v>521</v>
      </c>
      <c r="AZ100" s="300" t="s">
        <v>522</v>
      </c>
      <c r="BA100" s="292" t="s">
        <v>366</v>
      </c>
      <c r="BC100" s="299">
        <f>AW100+AX100</f>
        <v>0</v>
      </c>
      <c r="BD100" s="299">
        <f>H100/(100-BE100)*100</f>
        <v>0</v>
      </c>
      <c r="BE100" s="299">
        <v>0</v>
      </c>
      <c r="BF100" s="299">
        <f>100</f>
        <v>100</v>
      </c>
      <c r="BH100" s="299">
        <f>G100*AO100</f>
        <v>0</v>
      </c>
      <c r="BI100" s="299">
        <f>G100*AP100</f>
        <v>0</v>
      </c>
      <c r="BJ100" s="299">
        <f>G100*H100</f>
        <v>0</v>
      </c>
    </row>
    <row r="101" spans="1:62">
      <c r="C101" s="436" t="s">
        <v>523</v>
      </c>
      <c r="D101" s="436"/>
      <c r="E101" s="436"/>
      <c r="G101" s="301">
        <v>7.5839999999999996</v>
      </c>
    </row>
    <row r="102" spans="1:62">
      <c r="C102" s="436" t="s">
        <v>524</v>
      </c>
      <c r="D102" s="436"/>
      <c r="E102" s="436"/>
      <c r="G102" s="301">
        <v>1.6959999999999999E-2</v>
      </c>
    </row>
    <row r="103" spans="1:62">
      <c r="A103" s="298" t="s">
        <v>373</v>
      </c>
      <c r="B103" s="298" t="s">
        <v>525</v>
      </c>
      <c r="C103" s="435" t="s">
        <v>526</v>
      </c>
      <c r="D103" s="435"/>
      <c r="E103" s="435"/>
      <c r="F103" s="298" t="s">
        <v>362</v>
      </c>
      <c r="G103" s="299">
        <v>44.9</v>
      </c>
      <c r="H103" s="299">
        <v>0</v>
      </c>
      <c r="I103" s="299">
        <f>G103*AO103</f>
        <v>0</v>
      </c>
      <c r="J103" s="299">
        <f>G103*AP103</f>
        <v>0</v>
      </c>
      <c r="K103" s="299">
        <f>G103*H103</f>
        <v>0</v>
      </c>
      <c r="L103" s="300"/>
      <c r="Z103" s="299">
        <f>IF(AQ103="5",BJ103,0)</f>
        <v>0</v>
      </c>
      <c r="AB103" s="299">
        <f>IF(AQ103="1",BH103,0)</f>
        <v>0</v>
      </c>
      <c r="AC103" s="299">
        <f>IF(AQ103="1",BI103,0)</f>
        <v>0</v>
      </c>
      <c r="AD103" s="299">
        <f>IF(AQ103="7",BH103,0)</f>
        <v>0</v>
      </c>
      <c r="AE103" s="299">
        <f>IF(AQ103="7",BI103,0)</f>
        <v>0</v>
      </c>
      <c r="AF103" s="299">
        <f>IF(AQ103="2",BH103,0)</f>
        <v>0</v>
      </c>
      <c r="AG103" s="299">
        <f>IF(AQ103="2",BI103,0)</f>
        <v>0</v>
      </c>
      <c r="AH103" s="299">
        <f>IF(AQ103="0",BJ103,0)</f>
        <v>0</v>
      </c>
      <c r="AI103" s="292"/>
      <c r="AJ103" s="299">
        <f>IF(AN103=0,K103,0)</f>
        <v>0</v>
      </c>
      <c r="AK103" s="299">
        <f>IF(AN103=15,K103,0)</f>
        <v>0</v>
      </c>
      <c r="AL103" s="299">
        <f>IF(AN103=21,K103,0)</f>
        <v>0</v>
      </c>
      <c r="AN103" s="299">
        <v>21</v>
      </c>
      <c r="AO103" s="299">
        <f>H103*0.3125</f>
        <v>0</v>
      </c>
      <c r="AP103" s="299">
        <f>H103*(1-0.3125)</f>
        <v>0</v>
      </c>
      <c r="AQ103" s="300" t="s">
        <v>390</v>
      </c>
      <c r="AV103" s="299">
        <f>AW103+AX103</f>
        <v>0</v>
      </c>
      <c r="AW103" s="299">
        <f>G103*AO103</f>
        <v>0</v>
      </c>
      <c r="AX103" s="299">
        <f>G103*AP103</f>
        <v>0</v>
      </c>
      <c r="AY103" s="300" t="s">
        <v>521</v>
      </c>
      <c r="AZ103" s="300" t="s">
        <v>522</v>
      </c>
      <c r="BA103" s="292" t="s">
        <v>366</v>
      </c>
      <c r="BC103" s="299">
        <f>AW103+AX103</f>
        <v>0</v>
      </c>
      <c r="BD103" s="299">
        <f>H103/(100-BE103)*100</f>
        <v>0</v>
      </c>
      <c r="BE103" s="299">
        <v>0</v>
      </c>
      <c r="BF103" s="299">
        <f>103</f>
        <v>103</v>
      </c>
      <c r="BH103" s="299">
        <f>G103*AO103</f>
        <v>0</v>
      </c>
      <c r="BI103" s="299">
        <f>G103*AP103</f>
        <v>0</v>
      </c>
      <c r="BJ103" s="299">
        <f>G103*H103</f>
        <v>0</v>
      </c>
    </row>
    <row r="104" spans="1:62">
      <c r="C104" s="436" t="s">
        <v>527</v>
      </c>
      <c r="D104" s="436"/>
      <c r="E104" s="436"/>
      <c r="G104" s="301">
        <v>20.9</v>
      </c>
    </row>
    <row r="105" spans="1:62">
      <c r="C105" s="436" t="s">
        <v>528</v>
      </c>
      <c r="D105" s="436"/>
      <c r="E105" s="436"/>
      <c r="G105" s="301">
        <v>3.8</v>
      </c>
    </row>
    <row r="106" spans="1:62">
      <c r="C106" s="436" t="s">
        <v>529</v>
      </c>
      <c r="D106" s="436"/>
      <c r="E106" s="436"/>
      <c r="G106" s="301">
        <v>20.2</v>
      </c>
    </row>
    <row r="107" spans="1:62">
      <c r="A107" s="302"/>
      <c r="B107" s="303" t="s">
        <v>530</v>
      </c>
      <c r="C107" s="437" t="s">
        <v>531</v>
      </c>
      <c r="D107" s="437"/>
      <c r="E107" s="437"/>
      <c r="F107" s="302" t="s">
        <v>324</v>
      </c>
      <c r="G107" s="302" t="s">
        <v>324</v>
      </c>
      <c r="H107" s="302" t="s">
        <v>324</v>
      </c>
      <c r="I107" s="297">
        <f>SUM(I108:I108)</f>
        <v>0</v>
      </c>
      <c r="J107" s="297">
        <f>SUM(J108:J108)</f>
        <v>0</v>
      </c>
      <c r="K107" s="297">
        <f>SUM(K108:K108)</f>
        <v>0</v>
      </c>
      <c r="L107" s="292"/>
      <c r="AI107" s="292"/>
      <c r="AS107" s="297">
        <f>SUM(AJ108:AJ108)</f>
        <v>0</v>
      </c>
      <c r="AT107" s="297">
        <f>SUM(AK108:AK108)</f>
        <v>0</v>
      </c>
      <c r="AU107" s="297">
        <f>SUM(AL108:AL108)</f>
        <v>0</v>
      </c>
    </row>
    <row r="108" spans="1:62">
      <c r="A108" s="298" t="s">
        <v>532</v>
      </c>
      <c r="B108" s="298" t="s">
        <v>533</v>
      </c>
      <c r="C108" s="435" t="s">
        <v>534</v>
      </c>
      <c r="D108" s="435"/>
      <c r="E108" s="435"/>
      <c r="F108" s="298" t="s">
        <v>362</v>
      </c>
      <c r="G108" s="299">
        <v>71</v>
      </c>
      <c r="H108" s="299">
        <v>0</v>
      </c>
      <c r="I108" s="299">
        <f>G108*AO108</f>
        <v>0</v>
      </c>
      <c r="J108" s="299">
        <f>G108*AP108</f>
        <v>0</v>
      </c>
      <c r="K108" s="299">
        <f>G108*H108</f>
        <v>0</v>
      </c>
      <c r="L108" s="300" t="s">
        <v>363</v>
      </c>
      <c r="Z108" s="299">
        <f>IF(AQ108="5",BJ108,0)</f>
        <v>0</v>
      </c>
      <c r="AB108" s="299">
        <f>IF(AQ108="1",BH108,0)</f>
        <v>0</v>
      </c>
      <c r="AC108" s="299">
        <f>IF(AQ108="1",BI108,0)</f>
        <v>0</v>
      </c>
      <c r="AD108" s="299">
        <f>IF(AQ108="7",BH108,0)</f>
        <v>0</v>
      </c>
      <c r="AE108" s="299">
        <f>IF(AQ108="7",BI108,0)</f>
        <v>0</v>
      </c>
      <c r="AF108" s="299">
        <f>IF(AQ108="2",BH108,0)</f>
        <v>0</v>
      </c>
      <c r="AG108" s="299">
        <f>IF(AQ108="2",BI108,0)</f>
        <v>0</v>
      </c>
      <c r="AH108" s="299">
        <f>IF(AQ108="0",BJ108,0)</f>
        <v>0</v>
      </c>
      <c r="AI108" s="292"/>
      <c r="AJ108" s="299">
        <f>IF(AN108=0,K108,0)</f>
        <v>0</v>
      </c>
      <c r="AK108" s="299">
        <f>IF(AN108=15,K108,0)</f>
        <v>0</v>
      </c>
      <c r="AL108" s="299">
        <f>IF(AN108=21,K108,0)</f>
        <v>0</v>
      </c>
      <c r="AN108" s="299">
        <v>21</v>
      </c>
      <c r="AO108" s="299">
        <f>H108*0.0673956262425447</f>
        <v>0</v>
      </c>
      <c r="AP108" s="299">
        <f>H108*(1-0.0673956262425447)</f>
        <v>0</v>
      </c>
      <c r="AQ108" s="300" t="s">
        <v>390</v>
      </c>
      <c r="AV108" s="299">
        <f>AW108+AX108</f>
        <v>0</v>
      </c>
      <c r="AW108" s="299">
        <f>G108*AO108</f>
        <v>0</v>
      </c>
      <c r="AX108" s="299">
        <f>G108*AP108</f>
        <v>0</v>
      </c>
      <c r="AY108" s="300" t="s">
        <v>535</v>
      </c>
      <c r="AZ108" s="300" t="s">
        <v>522</v>
      </c>
      <c r="BA108" s="292" t="s">
        <v>366</v>
      </c>
      <c r="BC108" s="299">
        <f>AW108+AX108</f>
        <v>0</v>
      </c>
      <c r="BD108" s="299">
        <f>H108/(100-BE108)*100</f>
        <v>0</v>
      </c>
      <c r="BE108" s="299">
        <v>0</v>
      </c>
      <c r="BF108" s="299">
        <f>108</f>
        <v>108</v>
      </c>
      <c r="BH108" s="299">
        <f>G108*AO108</f>
        <v>0</v>
      </c>
      <c r="BI108" s="299">
        <f>G108*AP108</f>
        <v>0</v>
      </c>
      <c r="BJ108" s="299">
        <f>G108*H108</f>
        <v>0</v>
      </c>
    </row>
    <row r="109" spans="1:62">
      <c r="C109" s="436" t="s">
        <v>536</v>
      </c>
      <c r="D109" s="436"/>
      <c r="E109" s="436"/>
      <c r="G109" s="301">
        <v>44</v>
      </c>
    </row>
    <row r="110" spans="1:62">
      <c r="C110" s="436" t="s">
        <v>537</v>
      </c>
      <c r="D110" s="436"/>
      <c r="E110" s="436"/>
      <c r="G110" s="301">
        <v>27</v>
      </c>
    </row>
    <row r="111" spans="1:62">
      <c r="C111" s="436" t="s">
        <v>538</v>
      </c>
      <c r="D111" s="436"/>
      <c r="E111" s="436"/>
      <c r="G111" s="301">
        <v>0</v>
      </c>
    </row>
    <row r="112" spans="1:62">
      <c r="A112" s="302"/>
      <c r="B112" s="303" t="s">
        <v>539</v>
      </c>
      <c r="C112" s="437" t="s">
        <v>540</v>
      </c>
      <c r="D112" s="437"/>
      <c r="E112" s="437"/>
      <c r="F112" s="302" t="s">
        <v>324</v>
      </c>
      <c r="G112" s="302" t="s">
        <v>324</v>
      </c>
      <c r="H112" s="302" t="s">
        <v>324</v>
      </c>
      <c r="I112" s="297">
        <f>SUM(I113:I113)</f>
        <v>0</v>
      </c>
      <c r="J112" s="297">
        <f>SUM(J113:J113)</f>
        <v>0</v>
      </c>
      <c r="K112" s="297">
        <f>SUM(K113:K113)</f>
        <v>0</v>
      </c>
      <c r="L112" s="292"/>
      <c r="AI112" s="292"/>
      <c r="AS112" s="297">
        <f>SUM(AJ113:AJ113)</f>
        <v>0</v>
      </c>
      <c r="AT112" s="297">
        <f>SUM(AK113:AK113)</f>
        <v>0</v>
      </c>
      <c r="AU112" s="297">
        <f>SUM(AL113:AL113)</f>
        <v>0</v>
      </c>
    </row>
    <row r="113" spans="1:62">
      <c r="A113" s="298" t="s">
        <v>541</v>
      </c>
      <c r="B113" s="298" t="s">
        <v>542</v>
      </c>
      <c r="C113" s="435" t="s">
        <v>543</v>
      </c>
      <c r="D113" s="435"/>
      <c r="E113" s="435"/>
      <c r="F113" s="298" t="s">
        <v>362</v>
      </c>
      <c r="G113" s="299">
        <v>3.7919999999999998</v>
      </c>
      <c r="H113" s="299">
        <v>0</v>
      </c>
      <c r="I113" s="299">
        <f>G113*AO113</f>
        <v>0</v>
      </c>
      <c r="J113" s="299">
        <f>G113*AP113</f>
        <v>0</v>
      </c>
      <c r="K113" s="299">
        <f>G113*H113</f>
        <v>0</v>
      </c>
      <c r="L113" s="300" t="s">
        <v>363</v>
      </c>
      <c r="Z113" s="299">
        <f>IF(AQ113="5",BJ113,0)</f>
        <v>0</v>
      </c>
      <c r="AB113" s="299">
        <f>IF(AQ113="1",BH113,0)</f>
        <v>0</v>
      </c>
      <c r="AC113" s="299">
        <f>IF(AQ113="1",BI113,0)</f>
        <v>0</v>
      </c>
      <c r="AD113" s="299">
        <f>IF(AQ113="7",BH113,0)</f>
        <v>0</v>
      </c>
      <c r="AE113" s="299">
        <f>IF(AQ113="7",BI113,0)</f>
        <v>0</v>
      </c>
      <c r="AF113" s="299">
        <f>IF(AQ113="2",BH113,0)</f>
        <v>0</v>
      </c>
      <c r="AG113" s="299">
        <f>IF(AQ113="2",BI113,0)</f>
        <v>0</v>
      </c>
      <c r="AH113" s="299">
        <f>IF(AQ113="0",BJ113,0)</f>
        <v>0</v>
      </c>
      <c r="AI113" s="292"/>
      <c r="AJ113" s="299">
        <f>IF(AN113=0,K113,0)</f>
        <v>0</v>
      </c>
      <c r="AK113" s="299">
        <f>IF(AN113=15,K113,0)</f>
        <v>0</v>
      </c>
      <c r="AL113" s="299">
        <f>IF(AN113=21,K113,0)</f>
        <v>0</v>
      </c>
      <c r="AN113" s="299">
        <v>21</v>
      </c>
      <c r="AO113" s="299">
        <f>H113*0.634973443366283</f>
        <v>0</v>
      </c>
      <c r="AP113" s="299">
        <f>H113*(1-0.634973443366283)</f>
        <v>0</v>
      </c>
      <c r="AQ113" s="300" t="s">
        <v>390</v>
      </c>
      <c r="AV113" s="299">
        <f>AW113+AX113</f>
        <v>0</v>
      </c>
      <c r="AW113" s="299">
        <f>G113*AO113</f>
        <v>0</v>
      </c>
      <c r="AX113" s="299">
        <f>G113*AP113</f>
        <v>0</v>
      </c>
      <c r="AY113" s="300" t="s">
        <v>544</v>
      </c>
      <c r="AZ113" s="300" t="s">
        <v>522</v>
      </c>
      <c r="BA113" s="292" t="s">
        <v>366</v>
      </c>
      <c r="BC113" s="299">
        <f>AW113+AX113</f>
        <v>0</v>
      </c>
      <c r="BD113" s="299">
        <f>H113/(100-BE113)*100</f>
        <v>0</v>
      </c>
      <c r="BE113" s="299">
        <v>0</v>
      </c>
      <c r="BF113" s="299">
        <f>113</f>
        <v>113</v>
      </c>
      <c r="BH113" s="299">
        <f>G113*AO113</f>
        <v>0</v>
      </c>
      <c r="BI113" s="299">
        <f>G113*AP113</f>
        <v>0</v>
      </c>
      <c r="BJ113" s="299">
        <f>G113*H113</f>
        <v>0</v>
      </c>
    </row>
    <row r="114" spans="1:62">
      <c r="C114" s="436" t="s">
        <v>545</v>
      </c>
      <c r="D114" s="436"/>
      <c r="E114" s="436"/>
      <c r="G114" s="301">
        <v>3.7919999999999998</v>
      </c>
    </row>
    <row r="115" spans="1:62">
      <c r="A115" s="302"/>
      <c r="B115" s="303" t="s">
        <v>546</v>
      </c>
      <c r="C115" s="437" t="s">
        <v>547</v>
      </c>
      <c r="D115" s="437"/>
      <c r="E115" s="437"/>
      <c r="F115" s="302" t="s">
        <v>324</v>
      </c>
      <c r="G115" s="302" t="s">
        <v>324</v>
      </c>
      <c r="H115" s="302" t="s">
        <v>324</v>
      </c>
      <c r="I115" s="297">
        <f>SUM(I116:I120)</f>
        <v>0</v>
      </c>
      <c r="J115" s="297">
        <f>SUM(J116:J120)</f>
        <v>0</v>
      </c>
      <c r="K115" s="297">
        <f>SUM(K116:K120)</f>
        <v>0</v>
      </c>
      <c r="L115" s="292"/>
      <c r="AI115" s="292"/>
      <c r="AS115" s="297">
        <f>SUM(AJ116:AJ120)</f>
        <v>0</v>
      </c>
      <c r="AT115" s="297">
        <f>SUM(AK116:AK120)</f>
        <v>0</v>
      </c>
      <c r="AU115" s="297">
        <f>SUM(AL116:AL120)</f>
        <v>0</v>
      </c>
    </row>
    <row r="116" spans="1:62">
      <c r="A116" s="298" t="s">
        <v>548</v>
      </c>
      <c r="B116" s="298" t="s">
        <v>549</v>
      </c>
      <c r="C116" s="435" t="s">
        <v>550</v>
      </c>
      <c r="D116" s="435"/>
      <c r="E116" s="435"/>
      <c r="F116" s="298" t="s">
        <v>551</v>
      </c>
      <c r="G116" s="299">
        <v>5</v>
      </c>
      <c r="H116" s="299">
        <v>0</v>
      </c>
      <c r="I116" s="299">
        <f>G116*AO116</f>
        <v>0</v>
      </c>
      <c r="J116" s="299">
        <f>G116*AP116</f>
        <v>0</v>
      </c>
      <c r="K116" s="299">
        <f>G116*H116</f>
        <v>0</v>
      </c>
      <c r="L116" s="300" t="s">
        <v>363</v>
      </c>
      <c r="Z116" s="299">
        <f>IF(AQ116="5",BJ116,0)</f>
        <v>0</v>
      </c>
      <c r="AB116" s="299">
        <f>IF(AQ116="1",BH116,0)</f>
        <v>0</v>
      </c>
      <c r="AC116" s="299">
        <f>IF(AQ116="1",BI116,0)</f>
        <v>0</v>
      </c>
      <c r="AD116" s="299">
        <f>IF(AQ116="7",BH116,0)</f>
        <v>0</v>
      </c>
      <c r="AE116" s="299">
        <f>IF(AQ116="7",BI116,0)</f>
        <v>0</v>
      </c>
      <c r="AF116" s="299">
        <f>IF(AQ116="2",BH116,0)</f>
        <v>0</v>
      </c>
      <c r="AG116" s="299">
        <f>IF(AQ116="2",BI116,0)</f>
        <v>0</v>
      </c>
      <c r="AH116" s="299">
        <f>IF(AQ116="0",BJ116,0)</f>
        <v>0</v>
      </c>
      <c r="AI116" s="292"/>
      <c r="AJ116" s="299">
        <f>IF(AN116=0,K116,0)</f>
        <v>0</v>
      </c>
      <c r="AK116" s="299">
        <f>IF(AN116=15,K116,0)</f>
        <v>0</v>
      </c>
      <c r="AL116" s="299">
        <f>IF(AN116=21,K116,0)</f>
        <v>0</v>
      </c>
      <c r="AN116" s="299">
        <v>21</v>
      </c>
      <c r="AO116" s="299">
        <f>H116*0</f>
        <v>0</v>
      </c>
      <c r="AP116" s="299">
        <f>H116*(1-0)</f>
        <v>0</v>
      </c>
      <c r="AQ116" s="300" t="s">
        <v>83</v>
      </c>
      <c r="AV116" s="299">
        <f>AW116+AX116</f>
        <v>0</v>
      </c>
      <c r="AW116" s="299">
        <f>G116*AO116</f>
        <v>0</v>
      </c>
      <c r="AX116" s="299">
        <f>G116*AP116</f>
        <v>0</v>
      </c>
      <c r="AY116" s="300" t="s">
        <v>552</v>
      </c>
      <c r="AZ116" s="300" t="s">
        <v>553</v>
      </c>
      <c r="BA116" s="292" t="s">
        <v>366</v>
      </c>
      <c r="BC116" s="299">
        <f>AW116+AX116</f>
        <v>0</v>
      </c>
      <c r="BD116" s="299">
        <f>H116/(100-BE116)*100</f>
        <v>0</v>
      </c>
      <c r="BE116" s="299">
        <v>0</v>
      </c>
      <c r="BF116" s="299">
        <f>116</f>
        <v>116</v>
      </c>
      <c r="BH116" s="299">
        <f>G116*AO116</f>
        <v>0</v>
      </c>
      <c r="BI116" s="299">
        <f>G116*AP116</f>
        <v>0</v>
      </c>
      <c r="BJ116" s="299">
        <f>G116*H116</f>
        <v>0</v>
      </c>
    </row>
    <row r="117" spans="1:62">
      <c r="C117" s="436" t="s">
        <v>554</v>
      </c>
      <c r="D117" s="436"/>
      <c r="E117" s="436"/>
      <c r="G117" s="301">
        <v>5</v>
      </c>
    </row>
    <row r="118" spans="1:62">
      <c r="A118" s="298" t="s">
        <v>388</v>
      </c>
      <c r="B118" s="298" t="s">
        <v>555</v>
      </c>
      <c r="C118" s="435" t="s">
        <v>556</v>
      </c>
      <c r="D118" s="435"/>
      <c r="E118" s="435"/>
      <c r="F118" s="298" t="s">
        <v>557</v>
      </c>
      <c r="G118" s="299">
        <v>60</v>
      </c>
      <c r="H118" s="299">
        <v>0</v>
      </c>
      <c r="I118" s="299">
        <f>G118*AO118</f>
        <v>0</v>
      </c>
      <c r="J118" s="299">
        <f>G118*AP118</f>
        <v>0</v>
      </c>
      <c r="K118" s="299">
        <f>G118*H118</f>
        <v>0</v>
      </c>
      <c r="L118" s="300" t="s">
        <v>363</v>
      </c>
      <c r="Z118" s="299">
        <f>IF(AQ118="5",BJ118,0)</f>
        <v>0</v>
      </c>
      <c r="AB118" s="299">
        <f>IF(AQ118="1",BH118,0)</f>
        <v>0</v>
      </c>
      <c r="AC118" s="299">
        <f>IF(AQ118="1",BI118,0)</f>
        <v>0</v>
      </c>
      <c r="AD118" s="299">
        <f>IF(AQ118="7",BH118,0)</f>
        <v>0</v>
      </c>
      <c r="AE118" s="299">
        <f>IF(AQ118="7",BI118,0)</f>
        <v>0</v>
      </c>
      <c r="AF118" s="299">
        <f>IF(AQ118="2",BH118,0)</f>
        <v>0</v>
      </c>
      <c r="AG118" s="299">
        <f>IF(AQ118="2",BI118,0)</f>
        <v>0</v>
      </c>
      <c r="AH118" s="299">
        <f>IF(AQ118="0",BJ118,0)</f>
        <v>0</v>
      </c>
      <c r="AI118" s="292"/>
      <c r="AJ118" s="299">
        <f>IF(AN118=0,K118,0)</f>
        <v>0</v>
      </c>
      <c r="AK118" s="299">
        <f>IF(AN118=15,K118,0)</f>
        <v>0</v>
      </c>
      <c r="AL118" s="299">
        <f>IF(AN118=21,K118,0)</f>
        <v>0</v>
      </c>
      <c r="AN118" s="299">
        <v>21</v>
      </c>
      <c r="AO118" s="299">
        <f>H118*0</f>
        <v>0</v>
      </c>
      <c r="AP118" s="299">
        <f>H118*(1-0)</f>
        <v>0</v>
      </c>
      <c r="AQ118" s="300" t="s">
        <v>83</v>
      </c>
      <c r="AV118" s="299">
        <f>AW118+AX118</f>
        <v>0</v>
      </c>
      <c r="AW118" s="299">
        <f>G118*AO118</f>
        <v>0</v>
      </c>
      <c r="AX118" s="299">
        <f>G118*AP118</f>
        <v>0</v>
      </c>
      <c r="AY118" s="300" t="s">
        <v>552</v>
      </c>
      <c r="AZ118" s="300" t="s">
        <v>553</v>
      </c>
      <c r="BA118" s="292" t="s">
        <v>366</v>
      </c>
      <c r="BC118" s="299">
        <f>AW118+AX118</f>
        <v>0</v>
      </c>
      <c r="BD118" s="299">
        <f>H118/(100-BE118)*100</f>
        <v>0</v>
      </c>
      <c r="BE118" s="299">
        <v>0</v>
      </c>
      <c r="BF118" s="299">
        <f>118</f>
        <v>118</v>
      </c>
      <c r="BH118" s="299">
        <f>G118*AO118</f>
        <v>0</v>
      </c>
      <c r="BI118" s="299">
        <f>G118*AP118</f>
        <v>0</v>
      </c>
      <c r="BJ118" s="299">
        <f>G118*H118</f>
        <v>0</v>
      </c>
    </row>
    <row r="119" spans="1:62">
      <c r="C119" s="436" t="s">
        <v>558</v>
      </c>
      <c r="D119" s="436"/>
      <c r="E119" s="436"/>
      <c r="G119" s="301">
        <v>60</v>
      </c>
    </row>
    <row r="120" spans="1:62">
      <c r="A120" s="298" t="s">
        <v>559</v>
      </c>
      <c r="B120" s="298" t="s">
        <v>560</v>
      </c>
      <c r="C120" s="435" t="s">
        <v>561</v>
      </c>
      <c r="D120" s="435"/>
      <c r="E120" s="435"/>
      <c r="F120" s="298" t="s">
        <v>551</v>
      </c>
      <c r="G120" s="299">
        <v>4</v>
      </c>
      <c r="H120" s="299">
        <v>0</v>
      </c>
      <c r="I120" s="299">
        <f>G120*AO120</f>
        <v>0</v>
      </c>
      <c r="J120" s="299">
        <f>G120*AP120</f>
        <v>0</v>
      </c>
      <c r="K120" s="299">
        <f>G120*H120</f>
        <v>0</v>
      </c>
      <c r="L120" s="300" t="s">
        <v>363</v>
      </c>
      <c r="Z120" s="299">
        <f>IF(AQ120="5",BJ120,0)</f>
        <v>0</v>
      </c>
      <c r="AB120" s="299">
        <f>IF(AQ120="1",BH120,0)</f>
        <v>0</v>
      </c>
      <c r="AC120" s="299">
        <f>IF(AQ120="1",BI120,0)</f>
        <v>0</v>
      </c>
      <c r="AD120" s="299">
        <f>IF(AQ120="7",BH120,0)</f>
        <v>0</v>
      </c>
      <c r="AE120" s="299">
        <f>IF(AQ120="7",BI120,0)</f>
        <v>0</v>
      </c>
      <c r="AF120" s="299">
        <f>IF(AQ120="2",BH120,0)</f>
        <v>0</v>
      </c>
      <c r="AG120" s="299">
        <f>IF(AQ120="2",BI120,0)</f>
        <v>0</v>
      </c>
      <c r="AH120" s="299">
        <f>IF(AQ120="0",BJ120,0)</f>
        <v>0</v>
      </c>
      <c r="AI120" s="292"/>
      <c r="AJ120" s="299">
        <f>IF(AN120=0,K120,0)</f>
        <v>0</v>
      </c>
      <c r="AK120" s="299">
        <f>IF(AN120=15,K120,0)</f>
        <v>0</v>
      </c>
      <c r="AL120" s="299">
        <f>IF(AN120=21,K120,0)</f>
        <v>0</v>
      </c>
      <c r="AN120" s="299">
        <v>21</v>
      </c>
      <c r="AO120" s="299">
        <f>H120*0</f>
        <v>0</v>
      </c>
      <c r="AP120" s="299">
        <f>H120*(1-0)</f>
        <v>0</v>
      </c>
      <c r="AQ120" s="300" t="s">
        <v>83</v>
      </c>
      <c r="AV120" s="299">
        <f>AW120+AX120</f>
        <v>0</v>
      </c>
      <c r="AW120" s="299">
        <f>G120*AO120</f>
        <v>0</v>
      </c>
      <c r="AX120" s="299">
        <f>G120*AP120</f>
        <v>0</v>
      </c>
      <c r="AY120" s="300" t="s">
        <v>552</v>
      </c>
      <c r="AZ120" s="300" t="s">
        <v>553</v>
      </c>
      <c r="BA120" s="292" t="s">
        <v>366</v>
      </c>
      <c r="BC120" s="299">
        <f>AW120+AX120</f>
        <v>0</v>
      </c>
      <c r="BD120" s="299">
        <f>H120/(100-BE120)*100</f>
        <v>0</v>
      </c>
      <c r="BE120" s="299">
        <v>0</v>
      </c>
      <c r="BF120" s="299">
        <f>120</f>
        <v>120</v>
      </c>
      <c r="BH120" s="299">
        <f>G120*AO120</f>
        <v>0</v>
      </c>
      <c r="BI120" s="299">
        <f>G120*AP120</f>
        <v>0</v>
      </c>
      <c r="BJ120" s="299">
        <f>G120*H120</f>
        <v>0</v>
      </c>
    </row>
    <row r="121" spans="1:62">
      <c r="C121" s="436" t="s">
        <v>562</v>
      </c>
      <c r="D121" s="436"/>
      <c r="E121" s="436"/>
      <c r="G121" s="301">
        <v>4</v>
      </c>
    </row>
    <row r="122" spans="1:62" ht="26.4">
      <c r="A122" s="302"/>
      <c r="B122" s="303" t="s">
        <v>563</v>
      </c>
      <c r="C122" s="437" t="s">
        <v>564</v>
      </c>
      <c r="D122" s="437"/>
      <c r="E122" s="437"/>
      <c r="F122" s="302" t="s">
        <v>324</v>
      </c>
      <c r="G122" s="302" t="s">
        <v>324</v>
      </c>
      <c r="H122" s="302" t="s">
        <v>324</v>
      </c>
      <c r="I122" s="297">
        <f>SUM(I123:I123)</f>
        <v>0</v>
      </c>
      <c r="J122" s="297">
        <f>SUM(J123:J123)</f>
        <v>0</v>
      </c>
      <c r="K122" s="297">
        <f>SUM(K123:K123)</f>
        <v>0</v>
      </c>
      <c r="L122" s="292"/>
      <c r="AI122" s="292"/>
      <c r="AS122" s="297">
        <f>SUM(AJ123:AJ123)</f>
        <v>0</v>
      </c>
      <c r="AT122" s="297">
        <f>SUM(AK123:AK123)</f>
        <v>0</v>
      </c>
      <c r="AU122" s="297">
        <f>SUM(AL123:AL123)</f>
        <v>0</v>
      </c>
    </row>
    <row r="123" spans="1:62">
      <c r="A123" s="298" t="s">
        <v>565</v>
      </c>
      <c r="B123" s="298" t="s">
        <v>566</v>
      </c>
      <c r="C123" s="435" t="s">
        <v>567</v>
      </c>
      <c r="D123" s="435"/>
      <c r="E123" s="435"/>
      <c r="F123" s="298" t="s">
        <v>362</v>
      </c>
      <c r="G123" s="299">
        <v>435</v>
      </c>
      <c r="H123" s="299">
        <v>0</v>
      </c>
      <c r="I123" s="299">
        <f>G123*AO123</f>
        <v>0</v>
      </c>
      <c r="J123" s="299">
        <f>G123*AP123</f>
        <v>0</v>
      </c>
      <c r="K123" s="299">
        <f>G123*H123</f>
        <v>0</v>
      </c>
      <c r="L123" s="300" t="s">
        <v>363</v>
      </c>
      <c r="Z123" s="299">
        <f>IF(AQ123="5",BJ123,0)</f>
        <v>0</v>
      </c>
      <c r="AB123" s="299">
        <f>IF(AQ123="1",BH123,0)</f>
        <v>0</v>
      </c>
      <c r="AC123" s="299">
        <f>IF(AQ123="1",BI123,0)</f>
        <v>0</v>
      </c>
      <c r="AD123" s="299">
        <f>IF(AQ123="7",BH123,0)</f>
        <v>0</v>
      </c>
      <c r="AE123" s="299">
        <f>IF(AQ123="7",BI123,0)</f>
        <v>0</v>
      </c>
      <c r="AF123" s="299">
        <f>IF(AQ123="2",BH123,0)</f>
        <v>0</v>
      </c>
      <c r="AG123" s="299">
        <f>IF(AQ123="2",BI123,0)</f>
        <v>0</v>
      </c>
      <c r="AH123" s="299">
        <f>IF(AQ123="0",BJ123,0)</f>
        <v>0</v>
      </c>
      <c r="AI123" s="292"/>
      <c r="AJ123" s="299">
        <f>IF(AN123=0,K123,0)</f>
        <v>0</v>
      </c>
      <c r="AK123" s="299">
        <f>IF(AN123=15,K123,0)</f>
        <v>0</v>
      </c>
      <c r="AL123" s="299">
        <f>IF(AN123=21,K123,0)</f>
        <v>0</v>
      </c>
      <c r="AN123" s="299">
        <v>21</v>
      </c>
      <c r="AO123" s="299">
        <f>H123*0.0123809523809524</f>
        <v>0</v>
      </c>
      <c r="AP123" s="299">
        <f>H123*(1-0.0123809523809524)</f>
        <v>0</v>
      </c>
      <c r="AQ123" s="300" t="s">
        <v>83</v>
      </c>
      <c r="AV123" s="299">
        <f>AW123+AX123</f>
        <v>0</v>
      </c>
      <c r="AW123" s="299">
        <f>G123*AO123</f>
        <v>0</v>
      </c>
      <c r="AX123" s="299">
        <f>G123*AP123</f>
        <v>0</v>
      </c>
      <c r="AY123" s="300" t="s">
        <v>568</v>
      </c>
      <c r="AZ123" s="300" t="s">
        <v>553</v>
      </c>
      <c r="BA123" s="292" t="s">
        <v>366</v>
      </c>
      <c r="BC123" s="299">
        <f>AW123+AX123</f>
        <v>0</v>
      </c>
      <c r="BD123" s="299">
        <f>H123/(100-BE123)*100</f>
        <v>0</v>
      </c>
      <c r="BE123" s="299">
        <v>0</v>
      </c>
      <c r="BF123" s="299">
        <f>123</f>
        <v>123</v>
      </c>
      <c r="BH123" s="299">
        <f>G123*AO123</f>
        <v>0</v>
      </c>
      <c r="BI123" s="299">
        <f>G123*AP123</f>
        <v>0</v>
      </c>
      <c r="BJ123" s="299">
        <f>G123*H123</f>
        <v>0</v>
      </c>
    </row>
    <row r="124" spans="1:62">
      <c r="C124" s="436" t="s">
        <v>569</v>
      </c>
      <c r="D124" s="436"/>
      <c r="E124" s="436"/>
      <c r="G124" s="301">
        <v>400</v>
      </c>
    </row>
    <row r="125" spans="1:62">
      <c r="C125" s="436" t="s">
        <v>570</v>
      </c>
      <c r="D125" s="436"/>
      <c r="E125" s="436"/>
      <c r="G125" s="301">
        <v>10</v>
      </c>
    </row>
    <row r="126" spans="1:62">
      <c r="C126" s="436" t="s">
        <v>571</v>
      </c>
      <c r="D126" s="436"/>
      <c r="E126" s="436"/>
      <c r="G126" s="301">
        <v>25</v>
      </c>
    </row>
    <row r="127" spans="1:62">
      <c r="A127" s="302"/>
      <c r="B127" s="303" t="s">
        <v>572</v>
      </c>
      <c r="C127" s="437" t="s">
        <v>573</v>
      </c>
      <c r="D127" s="437"/>
      <c r="E127" s="437"/>
      <c r="F127" s="302" t="s">
        <v>324</v>
      </c>
      <c r="G127" s="302" t="s">
        <v>324</v>
      </c>
      <c r="H127" s="302" t="s">
        <v>324</v>
      </c>
      <c r="I127" s="297">
        <f>SUM(I128:I130)</f>
        <v>0</v>
      </c>
      <c r="J127" s="297">
        <f>SUM(J128:J130)</f>
        <v>0</v>
      </c>
      <c r="K127" s="297">
        <f>SUM(K128:K130)</f>
        <v>0</v>
      </c>
      <c r="L127" s="292"/>
      <c r="AI127" s="292"/>
      <c r="AS127" s="297">
        <f>SUM(AJ128:AJ130)</f>
        <v>0</v>
      </c>
      <c r="AT127" s="297">
        <f>SUM(AK128:AK130)</f>
        <v>0</v>
      </c>
      <c r="AU127" s="297">
        <f>SUM(AL128:AL130)</f>
        <v>0</v>
      </c>
    </row>
    <row r="128" spans="1:62">
      <c r="A128" s="298" t="s">
        <v>574</v>
      </c>
      <c r="B128" s="298" t="s">
        <v>575</v>
      </c>
      <c r="C128" s="435" t="s">
        <v>576</v>
      </c>
      <c r="D128" s="435"/>
      <c r="E128" s="435"/>
      <c r="F128" s="298" t="s">
        <v>362</v>
      </c>
      <c r="G128" s="299">
        <v>36.667999999999999</v>
      </c>
      <c r="H128" s="299">
        <v>0</v>
      </c>
      <c r="I128" s="299">
        <f>G128*AO128</f>
        <v>0</v>
      </c>
      <c r="J128" s="299">
        <f>G128*AP128</f>
        <v>0</v>
      </c>
      <c r="K128" s="299">
        <f>G128*H128</f>
        <v>0</v>
      </c>
      <c r="L128" s="300" t="s">
        <v>363</v>
      </c>
      <c r="Z128" s="299">
        <f>IF(AQ128="5",BJ128,0)</f>
        <v>0</v>
      </c>
      <c r="AB128" s="299">
        <f>IF(AQ128="1",BH128,0)</f>
        <v>0</v>
      </c>
      <c r="AC128" s="299">
        <f>IF(AQ128="1",BI128,0)</f>
        <v>0</v>
      </c>
      <c r="AD128" s="299">
        <f>IF(AQ128="7",BH128,0)</f>
        <v>0</v>
      </c>
      <c r="AE128" s="299">
        <f>IF(AQ128="7",BI128,0)</f>
        <v>0</v>
      </c>
      <c r="AF128" s="299">
        <f>IF(AQ128="2",BH128,0)</f>
        <v>0</v>
      </c>
      <c r="AG128" s="299">
        <f>IF(AQ128="2",BI128,0)</f>
        <v>0</v>
      </c>
      <c r="AH128" s="299">
        <f>IF(AQ128="0",BJ128,0)</f>
        <v>0</v>
      </c>
      <c r="AI128" s="292"/>
      <c r="AJ128" s="299">
        <f>IF(AN128=0,K128,0)</f>
        <v>0</v>
      </c>
      <c r="AK128" s="299">
        <f>IF(AN128=15,K128,0)</f>
        <v>0</v>
      </c>
      <c r="AL128" s="299">
        <f>IF(AN128=21,K128,0)</f>
        <v>0</v>
      </c>
      <c r="AN128" s="299">
        <v>21</v>
      </c>
      <c r="AO128" s="299">
        <f>H128*0.046935413029165</f>
        <v>0</v>
      </c>
      <c r="AP128" s="299">
        <f>H128*(1-0.046935413029165)</f>
        <v>0</v>
      </c>
      <c r="AQ128" s="300" t="s">
        <v>83</v>
      </c>
      <c r="AV128" s="299">
        <f>AW128+AX128</f>
        <v>0</v>
      </c>
      <c r="AW128" s="299">
        <f>G128*AO128</f>
        <v>0</v>
      </c>
      <c r="AX128" s="299">
        <f>G128*AP128</f>
        <v>0</v>
      </c>
      <c r="AY128" s="300" t="s">
        <v>577</v>
      </c>
      <c r="AZ128" s="300" t="s">
        <v>553</v>
      </c>
      <c r="BA128" s="292" t="s">
        <v>366</v>
      </c>
      <c r="BC128" s="299">
        <f>AW128+AX128</f>
        <v>0</v>
      </c>
      <c r="BD128" s="299">
        <f>H128/(100-BE128)*100</f>
        <v>0</v>
      </c>
      <c r="BE128" s="299">
        <v>0</v>
      </c>
      <c r="BF128" s="299">
        <f>128</f>
        <v>128</v>
      </c>
      <c r="BH128" s="299">
        <f>G128*AO128</f>
        <v>0</v>
      </c>
      <c r="BI128" s="299">
        <f>G128*AP128</f>
        <v>0</v>
      </c>
      <c r="BJ128" s="299">
        <f>G128*H128</f>
        <v>0</v>
      </c>
    </row>
    <row r="129" spans="1:62">
      <c r="C129" s="436" t="s">
        <v>464</v>
      </c>
      <c r="D129" s="436"/>
      <c r="E129" s="436"/>
      <c r="G129" s="301">
        <v>36.667999999999999</v>
      </c>
    </row>
    <row r="130" spans="1:62">
      <c r="A130" s="298" t="s">
        <v>578</v>
      </c>
      <c r="B130" s="298" t="s">
        <v>579</v>
      </c>
      <c r="C130" s="435" t="s">
        <v>580</v>
      </c>
      <c r="D130" s="435"/>
      <c r="E130" s="435"/>
      <c r="F130" s="298" t="s">
        <v>377</v>
      </c>
      <c r="G130" s="299">
        <v>1.32</v>
      </c>
      <c r="H130" s="299">
        <v>0</v>
      </c>
      <c r="I130" s="299">
        <f>G130*AO130</f>
        <v>0</v>
      </c>
      <c r="J130" s="299">
        <f>G130*AP130</f>
        <v>0</v>
      </c>
      <c r="K130" s="299">
        <f>G130*H130</f>
        <v>0</v>
      </c>
      <c r="L130" s="300" t="s">
        <v>363</v>
      </c>
      <c r="Z130" s="299">
        <f>IF(AQ130="5",BJ130,0)</f>
        <v>0</v>
      </c>
      <c r="AB130" s="299">
        <f>IF(AQ130="1",BH130,0)</f>
        <v>0</v>
      </c>
      <c r="AC130" s="299">
        <f>IF(AQ130="1",BI130,0)</f>
        <v>0</v>
      </c>
      <c r="AD130" s="299">
        <f>IF(AQ130="7",BH130,0)</f>
        <v>0</v>
      </c>
      <c r="AE130" s="299">
        <f>IF(AQ130="7",BI130,0)</f>
        <v>0</v>
      </c>
      <c r="AF130" s="299">
        <f>IF(AQ130="2",BH130,0)</f>
        <v>0</v>
      </c>
      <c r="AG130" s="299">
        <f>IF(AQ130="2",BI130,0)</f>
        <v>0</v>
      </c>
      <c r="AH130" s="299">
        <f>IF(AQ130="0",BJ130,0)</f>
        <v>0</v>
      </c>
      <c r="AI130" s="292"/>
      <c r="AJ130" s="299">
        <f>IF(AN130=0,K130,0)</f>
        <v>0</v>
      </c>
      <c r="AK130" s="299">
        <f>IF(AN130=15,K130,0)</f>
        <v>0</v>
      </c>
      <c r="AL130" s="299">
        <f>IF(AN130=21,K130,0)</f>
        <v>0</v>
      </c>
      <c r="AN130" s="299">
        <v>21</v>
      </c>
      <c r="AO130" s="299">
        <f>H130*0</f>
        <v>0</v>
      </c>
      <c r="AP130" s="299">
        <f>H130*(1-0)</f>
        <v>0</v>
      </c>
      <c r="AQ130" s="300" t="s">
        <v>83</v>
      </c>
      <c r="AV130" s="299">
        <f>AW130+AX130</f>
        <v>0</v>
      </c>
      <c r="AW130" s="299">
        <f>G130*AO130</f>
        <v>0</v>
      </c>
      <c r="AX130" s="299">
        <f>G130*AP130</f>
        <v>0</v>
      </c>
      <c r="AY130" s="300" t="s">
        <v>577</v>
      </c>
      <c r="AZ130" s="300" t="s">
        <v>553</v>
      </c>
      <c r="BA130" s="292" t="s">
        <v>366</v>
      </c>
      <c r="BC130" s="299">
        <f>AW130+AX130</f>
        <v>0</v>
      </c>
      <c r="BD130" s="299">
        <f>H130/(100-BE130)*100</f>
        <v>0</v>
      </c>
      <c r="BE130" s="299">
        <v>0</v>
      </c>
      <c r="BF130" s="299">
        <f>130</f>
        <v>130</v>
      </c>
      <c r="BH130" s="299">
        <f>G130*AO130</f>
        <v>0</v>
      </c>
      <c r="BI130" s="299">
        <f>G130*AP130</f>
        <v>0</v>
      </c>
      <c r="BJ130" s="299">
        <f>G130*H130</f>
        <v>0</v>
      </c>
    </row>
    <row r="131" spans="1:62">
      <c r="C131" s="436" t="s">
        <v>581</v>
      </c>
      <c r="D131" s="436"/>
      <c r="E131" s="436"/>
      <c r="G131" s="301">
        <v>1.32</v>
      </c>
    </row>
    <row r="132" spans="1:62">
      <c r="A132" s="302"/>
      <c r="B132" s="303" t="s">
        <v>582</v>
      </c>
      <c r="C132" s="437" t="s">
        <v>583</v>
      </c>
      <c r="D132" s="437"/>
      <c r="E132" s="437"/>
      <c r="F132" s="302" t="s">
        <v>324</v>
      </c>
      <c r="G132" s="302" t="s">
        <v>324</v>
      </c>
      <c r="H132" s="302" t="s">
        <v>324</v>
      </c>
      <c r="I132" s="297">
        <f>SUM(I133:I139)</f>
        <v>0</v>
      </c>
      <c r="J132" s="297">
        <f>SUM(J133:J139)</f>
        <v>0</v>
      </c>
      <c r="K132" s="297">
        <f>SUM(K133:K139)</f>
        <v>0</v>
      </c>
      <c r="L132" s="292"/>
      <c r="AI132" s="292"/>
      <c r="AS132" s="297">
        <f>SUM(AJ133:AJ139)</f>
        <v>0</v>
      </c>
      <c r="AT132" s="297">
        <f>SUM(AK133:AK139)</f>
        <v>0</v>
      </c>
      <c r="AU132" s="297">
        <f>SUM(AL133:AL139)</f>
        <v>0</v>
      </c>
    </row>
    <row r="133" spans="1:62">
      <c r="A133" s="298" t="s">
        <v>584</v>
      </c>
      <c r="B133" s="298" t="s">
        <v>585</v>
      </c>
      <c r="C133" s="435" t="s">
        <v>586</v>
      </c>
      <c r="D133" s="435"/>
      <c r="E133" s="435"/>
      <c r="F133" s="298" t="s">
        <v>414</v>
      </c>
      <c r="G133" s="299">
        <v>20.315000000000001</v>
      </c>
      <c r="H133" s="299">
        <v>0</v>
      </c>
      <c r="I133" s="299">
        <f>G133*AO133</f>
        <v>0</v>
      </c>
      <c r="J133" s="299">
        <f>G133*AP133</f>
        <v>0</v>
      </c>
      <c r="K133" s="299">
        <f>G133*H133</f>
        <v>0</v>
      </c>
      <c r="L133" s="300" t="s">
        <v>363</v>
      </c>
      <c r="Z133" s="299">
        <f>IF(AQ133="5",BJ133,0)</f>
        <v>0</v>
      </c>
      <c r="AB133" s="299">
        <f>IF(AQ133="1",BH133,0)</f>
        <v>0</v>
      </c>
      <c r="AC133" s="299">
        <f>IF(AQ133="1",BI133,0)</f>
        <v>0</v>
      </c>
      <c r="AD133" s="299">
        <f>IF(AQ133="7",BH133,0)</f>
        <v>0</v>
      </c>
      <c r="AE133" s="299">
        <f>IF(AQ133="7",BI133,0)</f>
        <v>0</v>
      </c>
      <c r="AF133" s="299">
        <f>IF(AQ133="2",BH133,0)</f>
        <v>0</v>
      </c>
      <c r="AG133" s="299">
        <f>IF(AQ133="2",BI133,0)</f>
        <v>0</v>
      </c>
      <c r="AH133" s="299">
        <f>IF(AQ133="0",BJ133,0)</f>
        <v>0</v>
      </c>
      <c r="AI133" s="292"/>
      <c r="AJ133" s="299">
        <f>IF(AN133=0,K133,0)</f>
        <v>0</v>
      </c>
      <c r="AK133" s="299">
        <f>IF(AN133=15,K133,0)</f>
        <v>0</v>
      </c>
      <c r="AL133" s="299">
        <f>IF(AN133=21,K133,0)</f>
        <v>0</v>
      </c>
      <c r="AN133" s="299">
        <v>21</v>
      </c>
      <c r="AO133" s="299">
        <f>H133*0.360196039802732</f>
        <v>0</v>
      </c>
      <c r="AP133" s="299">
        <f>H133*(1-0.360196039802732)</f>
        <v>0</v>
      </c>
      <c r="AQ133" s="300" t="s">
        <v>83</v>
      </c>
      <c r="AV133" s="299">
        <f>AW133+AX133</f>
        <v>0</v>
      </c>
      <c r="AW133" s="299">
        <f>G133*AO133</f>
        <v>0</v>
      </c>
      <c r="AX133" s="299">
        <f>G133*AP133</f>
        <v>0</v>
      </c>
      <c r="AY133" s="300" t="s">
        <v>587</v>
      </c>
      <c r="AZ133" s="300" t="s">
        <v>553</v>
      </c>
      <c r="BA133" s="292" t="s">
        <v>366</v>
      </c>
      <c r="BC133" s="299">
        <f>AW133+AX133</f>
        <v>0</v>
      </c>
      <c r="BD133" s="299">
        <f>H133/(100-BE133)*100</f>
        <v>0</v>
      </c>
      <c r="BE133" s="299">
        <v>0</v>
      </c>
      <c r="BF133" s="299">
        <f>133</f>
        <v>133</v>
      </c>
      <c r="BH133" s="299">
        <f>G133*AO133</f>
        <v>0</v>
      </c>
      <c r="BI133" s="299">
        <f>G133*AP133</f>
        <v>0</v>
      </c>
      <c r="BJ133" s="299">
        <f>G133*H133</f>
        <v>0</v>
      </c>
    </row>
    <row r="134" spans="1:62">
      <c r="C134" s="436" t="s">
        <v>588</v>
      </c>
      <c r="D134" s="436"/>
      <c r="E134" s="436"/>
      <c r="G134" s="301">
        <v>3.06</v>
      </c>
    </row>
    <row r="135" spans="1:62">
      <c r="C135" s="436" t="s">
        <v>589</v>
      </c>
      <c r="D135" s="436"/>
      <c r="E135" s="436"/>
      <c r="G135" s="301">
        <v>5.7</v>
      </c>
    </row>
    <row r="136" spans="1:62">
      <c r="C136" s="436" t="s">
        <v>590</v>
      </c>
      <c r="D136" s="436"/>
      <c r="E136" s="436"/>
      <c r="G136" s="301">
        <v>3.9049999999999998</v>
      </c>
    </row>
    <row r="137" spans="1:62">
      <c r="C137" s="436" t="s">
        <v>591</v>
      </c>
      <c r="D137" s="436"/>
      <c r="E137" s="436"/>
      <c r="G137" s="301">
        <v>3.89</v>
      </c>
    </row>
    <row r="138" spans="1:62">
      <c r="C138" s="436" t="s">
        <v>592</v>
      </c>
      <c r="D138" s="436"/>
      <c r="E138" s="436"/>
      <c r="G138" s="301">
        <v>3.76</v>
      </c>
    </row>
    <row r="139" spans="1:62">
      <c r="A139" s="298" t="s">
        <v>593</v>
      </c>
      <c r="B139" s="298" t="s">
        <v>594</v>
      </c>
      <c r="C139" s="435" t="s">
        <v>595</v>
      </c>
      <c r="D139" s="435"/>
      <c r="E139" s="435"/>
      <c r="F139" s="298" t="s">
        <v>414</v>
      </c>
      <c r="G139" s="299">
        <v>24</v>
      </c>
      <c r="H139" s="299">
        <v>0</v>
      </c>
      <c r="I139" s="299">
        <f>G139*AO139</f>
        <v>0</v>
      </c>
      <c r="J139" s="299">
        <f>G139*AP139</f>
        <v>0</v>
      </c>
      <c r="K139" s="299">
        <f>G139*H139</f>
        <v>0</v>
      </c>
      <c r="L139" s="300" t="s">
        <v>363</v>
      </c>
      <c r="Z139" s="299">
        <f>IF(AQ139="5",BJ139,0)</f>
        <v>0</v>
      </c>
      <c r="AB139" s="299">
        <f>IF(AQ139="1",BH139,0)</f>
        <v>0</v>
      </c>
      <c r="AC139" s="299">
        <f>IF(AQ139="1",BI139,0)</f>
        <v>0</v>
      </c>
      <c r="AD139" s="299">
        <f>IF(AQ139="7",BH139,0)</f>
        <v>0</v>
      </c>
      <c r="AE139" s="299">
        <f>IF(AQ139="7",BI139,0)</f>
        <v>0</v>
      </c>
      <c r="AF139" s="299">
        <f>IF(AQ139="2",BH139,0)</f>
        <v>0</v>
      </c>
      <c r="AG139" s="299">
        <f>IF(AQ139="2",BI139,0)</f>
        <v>0</v>
      </c>
      <c r="AH139" s="299">
        <f>IF(AQ139="0",BJ139,0)</f>
        <v>0</v>
      </c>
      <c r="AI139" s="292"/>
      <c r="AJ139" s="299">
        <f>IF(AN139=0,K139,0)</f>
        <v>0</v>
      </c>
      <c r="AK139" s="299">
        <f>IF(AN139=15,K139,0)</f>
        <v>0</v>
      </c>
      <c r="AL139" s="299">
        <f>IF(AN139=21,K139,0)</f>
        <v>0</v>
      </c>
      <c r="AN139" s="299">
        <v>21</v>
      </c>
      <c r="AO139" s="299">
        <f>H139*0.15865617433414</f>
        <v>0</v>
      </c>
      <c r="AP139" s="299">
        <f>H139*(1-0.15865617433414)</f>
        <v>0</v>
      </c>
      <c r="AQ139" s="300" t="s">
        <v>83</v>
      </c>
      <c r="AV139" s="299">
        <f>AW139+AX139</f>
        <v>0</v>
      </c>
      <c r="AW139" s="299">
        <f>G139*AO139</f>
        <v>0</v>
      </c>
      <c r="AX139" s="299">
        <f>G139*AP139</f>
        <v>0</v>
      </c>
      <c r="AY139" s="300" t="s">
        <v>587</v>
      </c>
      <c r="AZ139" s="300" t="s">
        <v>553</v>
      </c>
      <c r="BA139" s="292" t="s">
        <v>366</v>
      </c>
      <c r="BC139" s="299">
        <f>AW139+AX139</f>
        <v>0</v>
      </c>
      <c r="BD139" s="299">
        <f>H139/(100-BE139)*100</f>
        <v>0</v>
      </c>
      <c r="BE139" s="299">
        <v>0</v>
      </c>
      <c r="BF139" s="299">
        <f>139</f>
        <v>139</v>
      </c>
      <c r="BH139" s="299">
        <f>G139*AO139</f>
        <v>0</v>
      </c>
      <c r="BI139" s="299">
        <f>G139*AP139</f>
        <v>0</v>
      </c>
      <c r="BJ139" s="299">
        <f>G139*H139</f>
        <v>0</v>
      </c>
    </row>
    <row r="140" spans="1:62">
      <c r="C140" s="436" t="s">
        <v>596</v>
      </c>
      <c r="D140" s="436"/>
      <c r="E140" s="436"/>
      <c r="G140" s="301">
        <v>24</v>
      </c>
    </row>
    <row r="141" spans="1:62">
      <c r="A141" s="302"/>
      <c r="B141" s="303" t="s">
        <v>597</v>
      </c>
      <c r="C141" s="437" t="s">
        <v>598</v>
      </c>
      <c r="D141" s="437"/>
      <c r="E141" s="437"/>
      <c r="F141" s="302" t="s">
        <v>324</v>
      </c>
      <c r="G141" s="302" t="s">
        <v>324</v>
      </c>
      <c r="H141" s="302" t="s">
        <v>324</v>
      </c>
      <c r="I141" s="297">
        <f>SUM(I142:I142)</f>
        <v>0</v>
      </c>
      <c r="J141" s="297">
        <f>SUM(J142:J142)</f>
        <v>0</v>
      </c>
      <c r="K141" s="297">
        <f>SUM(K142:K142)</f>
        <v>0</v>
      </c>
      <c r="L141" s="292"/>
      <c r="AI141" s="292"/>
      <c r="AS141" s="297">
        <f>SUM(AJ142:AJ142)</f>
        <v>0</v>
      </c>
      <c r="AT141" s="297">
        <f>SUM(AK142:AK142)</f>
        <v>0</v>
      </c>
      <c r="AU141" s="297">
        <f>SUM(AL142:AL142)</f>
        <v>0</v>
      </c>
    </row>
    <row r="142" spans="1:62">
      <c r="A142" s="298" t="s">
        <v>599</v>
      </c>
      <c r="B142" s="298" t="s">
        <v>600</v>
      </c>
      <c r="C142" s="435" t="s">
        <v>601</v>
      </c>
      <c r="D142" s="435"/>
      <c r="E142" s="435"/>
      <c r="F142" s="298" t="s">
        <v>496</v>
      </c>
      <c r="G142" s="299">
        <v>14.412649999999999</v>
      </c>
      <c r="H142" s="299">
        <v>0</v>
      </c>
      <c r="I142" s="299">
        <f>G142*AO142</f>
        <v>0</v>
      </c>
      <c r="J142" s="299">
        <f>G142*AP142</f>
        <v>0</v>
      </c>
      <c r="K142" s="299">
        <f>G142*H142</f>
        <v>0</v>
      </c>
      <c r="L142" s="300" t="s">
        <v>363</v>
      </c>
      <c r="Z142" s="299">
        <f>IF(AQ142="5",BJ142,0)</f>
        <v>0</v>
      </c>
      <c r="AB142" s="299">
        <f>IF(AQ142="1",BH142,0)</f>
        <v>0</v>
      </c>
      <c r="AC142" s="299">
        <f>IF(AQ142="1",BI142,0)</f>
        <v>0</v>
      </c>
      <c r="AD142" s="299">
        <f>IF(AQ142="7",BH142,0)</f>
        <v>0</v>
      </c>
      <c r="AE142" s="299">
        <f>IF(AQ142="7",BI142,0)</f>
        <v>0</v>
      </c>
      <c r="AF142" s="299">
        <f>IF(AQ142="2",BH142,0)</f>
        <v>0</v>
      </c>
      <c r="AG142" s="299">
        <f>IF(AQ142="2",BI142,0)</f>
        <v>0</v>
      </c>
      <c r="AH142" s="299">
        <f>IF(AQ142="0",BJ142,0)</f>
        <v>0</v>
      </c>
      <c r="AI142" s="292"/>
      <c r="AJ142" s="299">
        <f>IF(AN142=0,K142,0)</f>
        <v>0</v>
      </c>
      <c r="AK142" s="299">
        <f>IF(AN142=15,K142,0)</f>
        <v>0</v>
      </c>
      <c r="AL142" s="299">
        <f>IF(AN142=21,K142,0)</f>
        <v>0</v>
      </c>
      <c r="AN142" s="299">
        <v>21</v>
      </c>
      <c r="AO142" s="299">
        <f>H142*0</f>
        <v>0</v>
      </c>
      <c r="AP142" s="299">
        <f>H142*(1-0)</f>
        <v>0</v>
      </c>
      <c r="AQ142" s="300" t="s">
        <v>380</v>
      </c>
      <c r="AV142" s="299">
        <f>AW142+AX142</f>
        <v>0</v>
      </c>
      <c r="AW142" s="299">
        <f>G142*AO142</f>
        <v>0</v>
      </c>
      <c r="AX142" s="299">
        <f>G142*AP142</f>
        <v>0</v>
      </c>
      <c r="AY142" s="300" t="s">
        <v>602</v>
      </c>
      <c r="AZ142" s="300" t="s">
        <v>553</v>
      </c>
      <c r="BA142" s="292" t="s">
        <v>366</v>
      </c>
      <c r="BC142" s="299">
        <f>AW142+AX142</f>
        <v>0</v>
      </c>
      <c r="BD142" s="299">
        <f>H142/(100-BE142)*100</f>
        <v>0</v>
      </c>
      <c r="BE142" s="299">
        <v>0</v>
      </c>
      <c r="BF142" s="299">
        <f>142</f>
        <v>142</v>
      </c>
      <c r="BH142" s="299">
        <f>G142*AO142</f>
        <v>0</v>
      </c>
      <c r="BI142" s="299">
        <f>G142*AP142</f>
        <v>0</v>
      </c>
      <c r="BJ142" s="299">
        <f>G142*H142</f>
        <v>0</v>
      </c>
    </row>
    <row r="143" spans="1:62">
      <c r="C143" s="436" t="s">
        <v>603</v>
      </c>
      <c r="D143" s="436"/>
      <c r="E143" s="436"/>
      <c r="G143" s="301">
        <v>14.412649999999999</v>
      </c>
    </row>
    <row r="144" spans="1:62">
      <c r="A144" s="302"/>
      <c r="B144" s="303" t="s">
        <v>604</v>
      </c>
      <c r="C144" s="437" t="s">
        <v>605</v>
      </c>
      <c r="D144" s="437"/>
      <c r="E144" s="437"/>
      <c r="F144" s="302" t="s">
        <v>324</v>
      </c>
      <c r="G144" s="302" t="s">
        <v>324</v>
      </c>
      <c r="H144" s="302" t="s">
        <v>324</v>
      </c>
      <c r="I144" s="297">
        <f>SUM(I145:I157)</f>
        <v>0</v>
      </c>
      <c r="J144" s="297">
        <f>SUM(J145:J157)</f>
        <v>0</v>
      </c>
      <c r="K144" s="297">
        <f>SUM(K145:K157)</f>
        <v>0</v>
      </c>
      <c r="L144" s="292"/>
      <c r="AI144" s="292"/>
      <c r="AS144" s="297">
        <f>SUM(AJ145:AJ157)</f>
        <v>0</v>
      </c>
      <c r="AT144" s="297">
        <f>SUM(AK145:AK157)</f>
        <v>0</v>
      </c>
      <c r="AU144" s="297">
        <f>SUM(AL145:AL157)</f>
        <v>0</v>
      </c>
    </row>
    <row r="145" spans="1:62">
      <c r="A145" s="298" t="s">
        <v>606</v>
      </c>
      <c r="B145" s="298" t="s">
        <v>607</v>
      </c>
      <c r="C145" s="435" t="s">
        <v>608</v>
      </c>
      <c r="D145" s="435"/>
      <c r="E145" s="435"/>
      <c r="F145" s="298" t="s">
        <v>496</v>
      </c>
      <c r="G145" s="299">
        <v>6.8689400000000003</v>
      </c>
      <c r="H145" s="299">
        <v>0</v>
      </c>
      <c r="I145" s="299">
        <f>G145*AO145</f>
        <v>0</v>
      </c>
      <c r="J145" s="299">
        <f>G145*AP145</f>
        <v>0</v>
      </c>
      <c r="K145" s="299">
        <f>G145*H145</f>
        <v>0</v>
      </c>
      <c r="L145" s="300" t="s">
        <v>363</v>
      </c>
      <c r="Z145" s="299">
        <f>IF(AQ145="5",BJ145,0)</f>
        <v>0</v>
      </c>
      <c r="AB145" s="299">
        <f>IF(AQ145="1",BH145,0)</f>
        <v>0</v>
      </c>
      <c r="AC145" s="299">
        <f>IF(AQ145="1",BI145,0)</f>
        <v>0</v>
      </c>
      <c r="AD145" s="299">
        <f>IF(AQ145="7",BH145,0)</f>
        <v>0</v>
      </c>
      <c r="AE145" s="299">
        <f>IF(AQ145="7",BI145,0)</f>
        <v>0</v>
      </c>
      <c r="AF145" s="299">
        <f>IF(AQ145="2",BH145,0)</f>
        <v>0</v>
      </c>
      <c r="AG145" s="299">
        <f>IF(AQ145="2",BI145,0)</f>
        <v>0</v>
      </c>
      <c r="AH145" s="299">
        <f>IF(AQ145="0",BJ145,0)</f>
        <v>0</v>
      </c>
      <c r="AI145" s="292"/>
      <c r="AJ145" s="299">
        <f>IF(AN145=0,K145,0)</f>
        <v>0</v>
      </c>
      <c r="AK145" s="299">
        <f>IF(AN145=15,K145,0)</f>
        <v>0</v>
      </c>
      <c r="AL145" s="299">
        <f>IF(AN145=21,K145,0)</f>
        <v>0</v>
      </c>
      <c r="AN145" s="299">
        <v>21</v>
      </c>
      <c r="AO145" s="299">
        <f>H145*0</f>
        <v>0</v>
      </c>
      <c r="AP145" s="299">
        <f>H145*(1-0)</f>
        <v>0</v>
      </c>
      <c r="AQ145" s="300" t="s">
        <v>380</v>
      </c>
      <c r="AV145" s="299">
        <f>AW145+AX145</f>
        <v>0</v>
      </c>
      <c r="AW145" s="299">
        <f>G145*AO145</f>
        <v>0</v>
      </c>
      <c r="AX145" s="299">
        <f>G145*AP145</f>
        <v>0</v>
      </c>
      <c r="AY145" s="300" t="s">
        <v>609</v>
      </c>
      <c r="AZ145" s="300" t="s">
        <v>553</v>
      </c>
      <c r="BA145" s="292" t="s">
        <v>366</v>
      </c>
      <c r="BC145" s="299">
        <f>AW145+AX145</f>
        <v>0</v>
      </c>
      <c r="BD145" s="299">
        <f>H145/(100-BE145)*100</f>
        <v>0</v>
      </c>
      <c r="BE145" s="299">
        <v>0</v>
      </c>
      <c r="BF145" s="299">
        <f>145</f>
        <v>145</v>
      </c>
      <c r="BH145" s="299">
        <f>G145*AO145</f>
        <v>0</v>
      </c>
      <c r="BI145" s="299">
        <f>G145*AP145</f>
        <v>0</v>
      </c>
      <c r="BJ145" s="299">
        <f>G145*H145</f>
        <v>0</v>
      </c>
    </row>
    <row r="146" spans="1:62">
      <c r="C146" s="436" t="s">
        <v>610</v>
      </c>
      <c r="D146" s="436"/>
      <c r="E146" s="436"/>
      <c r="G146" s="301">
        <v>6.8689400000000003</v>
      </c>
    </row>
    <row r="147" spans="1:62">
      <c r="A147" s="298" t="s">
        <v>611</v>
      </c>
      <c r="B147" s="298" t="s">
        <v>612</v>
      </c>
      <c r="C147" s="435" t="s">
        <v>613</v>
      </c>
      <c r="D147" s="435"/>
      <c r="E147" s="435"/>
      <c r="F147" s="298" t="s">
        <v>496</v>
      </c>
      <c r="G147" s="299">
        <v>6.8689400000000003</v>
      </c>
      <c r="H147" s="299">
        <v>0</v>
      </c>
      <c r="I147" s="299">
        <f>G147*AO147</f>
        <v>0</v>
      </c>
      <c r="J147" s="299">
        <f>G147*AP147</f>
        <v>0</v>
      </c>
      <c r="K147" s="299">
        <f>G147*H147</f>
        <v>0</v>
      </c>
      <c r="L147" s="300" t="s">
        <v>363</v>
      </c>
      <c r="Z147" s="299">
        <f>IF(AQ147="5",BJ147,0)</f>
        <v>0</v>
      </c>
      <c r="AB147" s="299">
        <f>IF(AQ147="1",BH147,0)</f>
        <v>0</v>
      </c>
      <c r="AC147" s="299">
        <f>IF(AQ147="1",BI147,0)</f>
        <v>0</v>
      </c>
      <c r="AD147" s="299">
        <f>IF(AQ147="7",BH147,0)</f>
        <v>0</v>
      </c>
      <c r="AE147" s="299">
        <f>IF(AQ147="7",BI147,0)</f>
        <v>0</v>
      </c>
      <c r="AF147" s="299">
        <f>IF(AQ147="2",BH147,0)</f>
        <v>0</v>
      </c>
      <c r="AG147" s="299">
        <f>IF(AQ147="2",BI147,0)</f>
        <v>0</v>
      </c>
      <c r="AH147" s="299">
        <f>IF(AQ147="0",BJ147,0)</f>
        <v>0</v>
      </c>
      <c r="AI147" s="292"/>
      <c r="AJ147" s="299">
        <f>IF(AN147=0,K147,0)</f>
        <v>0</v>
      </c>
      <c r="AK147" s="299">
        <f>IF(AN147=15,K147,0)</f>
        <v>0</v>
      </c>
      <c r="AL147" s="299">
        <f>IF(AN147=21,K147,0)</f>
        <v>0</v>
      </c>
      <c r="AN147" s="299">
        <v>21</v>
      </c>
      <c r="AO147" s="299">
        <f>H147*0</f>
        <v>0</v>
      </c>
      <c r="AP147" s="299">
        <f>H147*(1-0)</f>
        <v>0</v>
      </c>
      <c r="AQ147" s="300" t="s">
        <v>380</v>
      </c>
      <c r="AV147" s="299">
        <f>AW147+AX147</f>
        <v>0</v>
      </c>
      <c r="AW147" s="299">
        <f>G147*AO147</f>
        <v>0</v>
      </c>
      <c r="AX147" s="299">
        <f>G147*AP147</f>
        <v>0</v>
      </c>
      <c r="AY147" s="300" t="s">
        <v>609</v>
      </c>
      <c r="AZ147" s="300" t="s">
        <v>553</v>
      </c>
      <c r="BA147" s="292" t="s">
        <v>366</v>
      </c>
      <c r="BC147" s="299">
        <f>AW147+AX147</f>
        <v>0</v>
      </c>
      <c r="BD147" s="299">
        <f>H147/(100-BE147)*100</f>
        <v>0</v>
      </c>
      <c r="BE147" s="299">
        <v>0</v>
      </c>
      <c r="BF147" s="299">
        <f>147</f>
        <v>147</v>
      </c>
      <c r="BH147" s="299">
        <f>G147*AO147</f>
        <v>0</v>
      </c>
      <c r="BI147" s="299">
        <f>G147*AP147</f>
        <v>0</v>
      </c>
      <c r="BJ147" s="299">
        <f>G147*H147</f>
        <v>0</v>
      </c>
    </row>
    <row r="148" spans="1:62">
      <c r="C148" s="436" t="s">
        <v>610</v>
      </c>
      <c r="D148" s="436"/>
      <c r="E148" s="436"/>
      <c r="G148" s="301">
        <v>6.8689400000000003</v>
      </c>
    </row>
    <row r="149" spans="1:62">
      <c r="A149" s="298" t="s">
        <v>614</v>
      </c>
      <c r="B149" s="298" t="s">
        <v>615</v>
      </c>
      <c r="C149" s="435" t="s">
        <v>616</v>
      </c>
      <c r="D149" s="435"/>
      <c r="E149" s="435"/>
      <c r="F149" s="298" t="s">
        <v>496</v>
      </c>
      <c r="G149" s="299">
        <v>6.8689400000000003</v>
      </c>
      <c r="H149" s="299">
        <v>0</v>
      </c>
      <c r="I149" s="299">
        <f>G149*AO149</f>
        <v>0</v>
      </c>
      <c r="J149" s="299">
        <f>G149*AP149</f>
        <v>0</v>
      </c>
      <c r="K149" s="299">
        <f>G149*H149</f>
        <v>0</v>
      </c>
      <c r="L149" s="300" t="s">
        <v>363</v>
      </c>
      <c r="Z149" s="299">
        <f>IF(AQ149="5",BJ149,0)</f>
        <v>0</v>
      </c>
      <c r="AB149" s="299">
        <f>IF(AQ149="1",BH149,0)</f>
        <v>0</v>
      </c>
      <c r="AC149" s="299">
        <f>IF(AQ149="1",BI149,0)</f>
        <v>0</v>
      </c>
      <c r="AD149" s="299">
        <f>IF(AQ149="7",BH149,0)</f>
        <v>0</v>
      </c>
      <c r="AE149" s="299">
        <f>IF(AQ149="7",BI149,0)</f>
        <v>0</v>
      </c>
      <c r="AF149" s="299">
        <f>IF(AQ149="2",BH149,0)</f>
        <v>0</v>
      </c>
      <c r="AG149" s="299">
        <f>IF(AQ149="2",BI149,0)</f>
        <v>0</v>
      </c>
      <c r="AH149" s="299">
        <f>IF(AQ149="0",BJ149,0)</f>
        <v>0</v>
      </c>
      <c r="AI149" s="292"/>
      <c r="AJ149" s="299">
        <f>IF(AN149=0,K149,0)</f>
        <v>0</v>
      </c>
      <c r="AK149" s="299">
        <f>IF(AN149=15,K149,0)</f>
        <v>0</v>
      </c>
      <c r="AL149" s="299">
        <f>IF(AN149=21,K149,0)</f>
        <v>0</v>
      </c>
      <c r="AN149" s="299">
        <v>21</v>
      </c>
      <c r="AO149" s="299">
        <f>H149*0</f>
        <v>0</v>
      </c>
      <c r="AP149" s="299">
        <f>H149*(1-0)</f>
        <v>0</v>
      </c>
      <c r="AQ149" s="300" t="s">
        <v>380</v>
      </c>
      <c r="AV149" s="299">
        <f>AW149+AX149</f>
        <v>0</v>
      </c>
      <c r="AW149" s="299">
        <f>G149*AO149</f>
        <v>0</v>
      </c>
      <c r="AX149" s="299">
        <f>G149*AP149</f>
        <v>0</v>
      </c>
      <c r="AY149" s="300" t="s">
        <v>609</v>
      </c>
      <c r="AZ149" s="300" t="s">
        <v>553</v>
      </c>
      <c r="BA149" s="292" t="s">
        <v>366</v>
      </c>
      <c r="BC149" s="299">
        <f>AW149+AX149</f>
        <v>0</v>
      </c>
      <c r="BD149" s="299">
        <f>H149/(100-BE149)*100</f>
        <v>0</v>
      </c>
      <c r="BE149" s="299">
        <v>0</v>
      </c>
      <c r="BF149" s="299">
        <f>149</f>
        <v>149</v>
      </c>
      <c r="BH149" s="299">
        <f>G149*AO149</f>
        <v>0</v>
      </c>
      <c r="BI149" s="299">
        <f>G149*AP149</f>
        <v>0</v>
      </c>
      <c r="BJ149" s="299">
        <f>G149*H149</f>
        <v>0</v>
      </c>
    </row>
    <row r="150" spans="1:62">
      <c r="C150" s="436" t="s">
        <v>610</v>
      </c>
      <c r="D150" s="436"/>
      <c r="E150" s="436"/>
      <c r="G150" s="301">
        <v>6.8689400000000003</v>
      </c>
    </row>
    <row r="151" spans="1:62">
      <c r="A151" s="298" t="s">
        <v>617</v>
      </c>
      <c r="B151" s="298" t="s">
        <v>618</v>
      </c>
      <c r="C151" s="435" t="s">
        <v>619</v>
      </c>
      <c r="D151" s="435"/>
      <c r="E151" s="435"/>
      <c r="F151" s="298" t="s">
        <v>496</v>
      </c>
      <c r="G151" s="299">
        <v>6.8689400000000003</v>
      </c>
      <c r="H151" s="299">
        <v>0</v>
      </c>
      <c r="I151" s="299">
        <f>G151*AO151</f>
        <v>0</v>
      </c>
      <c r="J151" s="299">
        <f>G151*AP151</f>
        <v>0</v>
      </c>
      <c r="K151" s="299">
        <f>G151*H151</f>
        <v>0</v>
      </c>
      <c r="L151" s="300" t="s">
        <v>363</v>
      </c>
      <c r="Z151" s="299">
        <f>IF(AQ151="5",BJ151,0)</f>
        <v>0</v>
      </c>
      <c r="AB151" s="299">
        <f>IF(AQ151="1",BH151,0)</f>
        <v>0</v>
      </c>
      <c r="AC151" s="299">
        <f>IF(AQ151="1",BI151,0)</f>
        <v>0</v>
      </c>
      <c r="AD151" s="299">
        <f>IF(AQ151="7",BH151,0)</f>
        <v>0</v>
      </c>
      <c r="AE151" s="299">
        <f>IF(AQ151="7",BI151,0)</f>
        <v>0</v>
      </c>
      <c r="AF151" s="299">
        <f>IF(AQ151="2",BH151,0)</f>
        <v>0</v>
      </c>
      <c r="AG151" s="299">
        <f>IF(AQ151="2",BI151,0)</f>
        <v>0</v>
      </c>
      <c r="AH151" s="299">
        <f>IF(AQ151="0",BJ151,0)</f>
        <v>0</v>
      </c>
      <c r="AI151" s="292"/>
      <c r="AJ151" s="299">
        <f>IF(AN151=0,K151,0)</f>
        <v>0</v>
      </c>
      <c r="AK151" s="299">
        <f>IF(AN151=15,K151,0)</f>
        <v>0</v>
      </c>
      <c r="AL151" s="299">
        <f>IF(AN151=21,K151,0)</f>
        <v>0</v>
      </c>
      <c r="AN151" s="299">
        <v>21</v>
      </c>
      <c r="AO151" s="299">
        <f>H151*0</f>
        <v>0</v>
      </c>
      <c r="AP151" s="299">
        <f>H151*(1-0)</f>
        <v>0</v>
      </c>
      <c r="AQ151" s="300" t="s">
        <v>380</v>
      </c>
      <c r="AV151" s="299">
        <f>AW151+AX151</f>
        <v>0</v>
      </c>
      <c r="AW151" s="299">
        <f>G151*AO151</f>
        <v>0</v>
      </c>
      <c r="AX151" s="299">
        <f>G151*AP151</f>
        <v>0</v>
      </c>
      <c r="AY151" s="300" t="s">
        <v>609</v>
      </c>
      <c r="AZ151" s="300" t="s">
        <v>553</v>
      </c>
      <c r="BA151" s="292" t="s">
        <v>366</v>
      </c>
      <c r="BC151" s="299">
        <f>AW151+AX151</f>
        <v>0</v>
      </c>
      <c r="BD151" s="299">
        <f>H151/(100-BE151)*100</f>
        <v>0</v>
      </c>
      <c r="BE151" s="299">
        <v>0</v>
      </c>
      <c r="BF151" s="299">
        <f>151</f>
        <v>151</v>
      </c>
      <c r="BH151" s="299">
        <f>G151*AO151</f>
        <v>0</v>
      </c>
      <c r="BI151" s="299">
        <f>G151*AP151</f>
        <v>0</v>
      </c>
      <c r="BJ151" s="299">
        <f>G151*H151</f>
        <v>0</v>
      </c>
    </row>
    <row r="152" spans="1:62">
      <c r="C152" s="436" t="s">
        <v>610</v>
      </c>
      <c r="D152" s="436"/>
      <c r="E152" s="436"/>
      <c r="G152" s="301">
        <v>6.8689400000000003</v>
      </c>
    </row>
    <row r="153" spans="1:62">
      <c r="A153" s="298" t="s">
        <v>620</v>
      </c>
      <c r="B153" s="298" t="s">
        <v>621</v>
      </c>
      <c r="C153" s="435" t="s">
        <v>622</v>
      </c>
      <c r="D153" s="435"/>
      <c r="E153" s="435"/>
      <c r="F153" s="298" t="s">
        <v>496</v>
      </c>
      <c r="G153" s="299">
        <v>6.8689400000000003</v>
      </c>
      <c r="H153" s="299">
        <v>0</v>
      </c>
      <c r="I153" s="299">
        <f>G153*AO153</f>
        <v>0</v>
      </c>
      <c r="J153" s="299">
        <f>G153*AP153</f>
        <v>0</v>
      </c>
      <c r="K153" s="299">
        <f>G153*H153</f>
        <v>0</v>
      </c>
      <c r="L153" s="300" t="s">
        <v>363</v>
      </c>
      <c r="Z153" s="299">
        <f>IF(AQ153="5",BJ153,0)</f>
        <v>0</v>
      </c>
      <c r="AB153" s="299">
        <f>IF(AQ153="1",BH153,0)</f>
        <v>0</v>
      </c>
      <c r="AC153" s="299">
        <f>IF(AQ153="1",BI153,0)</f>
        <v>0</v>
      </c>
      <c r="AD153" s="299">
        <f>IF(AQ153="7",BH153,0)</f>
        <v>0</v>
      </c>
      <c r="AE153" s="299">
        <f>IF(AQ153="7",BI153,0)</f>
        <v>0</v>
      </c>
      <c r="AF153" s="299">
        <f>IF(AQ153="2",BH153,0)</f>
        <v>0</v>
      </c>
      <c r="AG153" s="299">
        <f>IF(AQ153="2",BI153,0)</f>
        <v>0</v>
      </c>
      <c r="AH153" s="299">
        <f>IF(AQ153="0",BJ153,0)</f>
        <v>0</v>
      </c>
      <c r="AI153" s="292"/>
      <c r="AJ153" s="299">
        <f>IF(AN153=0,K153,0)</f>
        <v>0</v>
      </c>
      <c r="AK153" s="299">
        <f>IF(AN153=15,K153,0)</f>
        <v>0</v>
      </c>
      <c r="AL153" s="299">
        <f>IF(AN153=21,K153,0)</f>
        <v>0</v>
      </c>
      <c r="AN153" s="299">
        <v>21</v>
      </c>
      <c r="AO153" s="299">
        <f>H153*0</f>
        <v>0</v>
      </c>
      <c r="AP153" s="299">
        <f>H153*(1-0)</f>
        <v>0</v>
      </c>
      <c r="AQ153" s="300" t="s">
        <v>380</v>
      </c>
      <c r="AV153" s="299">
        <f>AW153+AX153</f>
        <v>0</v>
      </c>
      <c r="AW153" s="299">
        <f>G153*AO153</f>
        <v>0</v>
      </c>
      <c r="AX153" s="299">
        <f>G153*AP153</f>
        <v>0</v>
      </c>
      <c r="AY153" s="300" t="s">
        <v>609</v>
      </c>
      <c r="AZ153" s="300" t="s">
        <v>553</v>
      </c>
      <c r="BA153" s="292" t="s">
        <v>366</v>
      </c>
      <c r="BC153" s="299">
        <f>AW153+AX153</f>
        <v>0</v>
      </c>
      <c r="BD153" s="299">
        <f>H153/(100-BE153)*100</f>
        <v>0</v>
      </c>
      <c r="BE153" s="299">
        <v>0</v>
      </c>
      <c r="BF153" s="299">
        <f>153</f>
        <v>153</v>
      </c>
      <c r="BH153" s="299">
        <f>G153*AO153</f>
        <v>0</v>
      </c>
      <c r="BI153" s="299">
        <f>G153*AP153</f>
        <v>0</v>
      </c>
      <c r="BJ153" s="299">
        <f>G153*H153</f>
        <v>0</v>
      </c>
    </row>
    <row r="154" spans="1:62">
      <c r="C154" s="436" t="s">
        <v>610</v>
      </c>
      <c r="D154" s="436"/>
      <c r="E154" s="436"/>
      <c r="G154" s="301">
        <v>6.8689400000000003</v>
      </c>
    </row>
    <row r="155" spans="1:62">
      <c r="A155" s="298" t="s">
        <v>623</v>
      </c>
      <c r="B155" s="298" t="s">
        <v>624</v>
      </c>
      <c r="C155" s="435" t="s">
        <v>625</v>
      </c>
      <c r="D155" s="435"/>
      <c r="E155" s="435"/>
      <c r="F155" s="298" t="s">
        <v>496</v>
      </c>
      <c r="G155" s="299">
        <v>130.50986</v>
      </c>
      <c r="H155" s="299">
        <v>0</v>
      </c>
      <c r="I155" s="299">
        <f>G155*AO155</f>
        <v>0</v>
      </c>
      <c r="J155" s="299">
        <f>G155*AP155</f>
        <v>0</v>
      </c>
      <c r="K155" s="299">
        <f>G155*H155</f>
        <v>0</v>
      </c>
      <c r="L155" s="300" t="s">
        <v>363</v>
      </c>
      <c r="Z155" s="299">
        <f>IF(AQ155="5",BJ155,0)</f>
        <v>0</v>
      </c>
      <c r="AB155" s="299">
        <f>IF(AQ155="1",BH155,0)</f>
        <v>0</v>
      </c>
      <c r="AC155" s="299">
        <f>IF(AQ155="1",BI155,0)</f>
        <v>0</v>
      </c>
      <c r="AD155" s="299">
        <f>IF(AQ155="7",BH155,0)</f>
        <v>0</v>
      </c>
      <c r="AE155" s="299">
        <f>IF(AQ155="7",BI155,0)</f>
        <v>0</v>
      </c>
      <c r="AF155" s="299">
        <f>IF(AQ155="2",BH155,0)</f>
        <v>0</v>
      </c>
      <c r="AG155" s="299">
        <f>IF(AQ155="2",BI155,0)</f>
        <v>0</v>
      </c>
      <c r="AH155" s="299">
        <f>IF(AQ155="0",BJ155,0)</f>
        <v>0</v>
      </c>
      <c r="AI155" s="292"/>
      <c r="AJ155" s="299">
        <f>IF(AN155=0,K155,0)</f>
        <v>0</v>
      </c>
      <c r="AK155" s="299">
        <f>IF(AN155=15,K155,0)</f>
        <v>0</v>
      </c>
      <c r="AL155" s="299">
        <f>IF(AN155=21,K155,0)</f>
        <v>0</v>
      </c>
      <c r="AN155" s="299">
        <v>21</v>
      </c>
      <c r="AO155" s="299">
        <f>H155*0</f>
        <v>0</v>
      </c>
      <c r="AP155" s="299">
        <f>H155*(1-0)</f>
        <v>0</v>
      </c>
      <c r="AQ155" s="300" t="s">
        <v>380</v>
      </c>
      <c r="AV155" s="299">
        <f>AW155+AX155</f>
        <v>0</v>
      </c>
      <c r="AW155" s="299">
        <f>G155*AO155</f>
        <v>0</v>
      </c>
      <c r="AX155" s="299">
        <f>G155*AP155</f>
        <v>0</v>
      </c>
      <c r="AY155" s="300" t="s">
        <v>609</v>
      </c>
      <c r="AZ155" s="300" t="s">
        <v>553</v>
      </c>
      <c r="BA155" s="292" t="s">
        <v>366</v>
      </c>
      <c r="BC155" s="299">
        <f>AW155+AX155</f>
        <v>0</v>
      </c>
      <c r="BD155" s="299">
        <f>H155/(100-BE155)*100</f>
        <v>0</v>
      </c>
      <c r="BE155" s="299">
        <v>0</v>
      </c>
      <c r="BF155" s="299">
        <f>155</f>
        <v>155</v>
      </c>
      <c r="BH155" s="299">
        <f>G155*AO155</f>
        <v>0</v>
      </c>
      <c r="BI155" s="299">
        <f>G155*AP155</f>
        <v>0</v>
      </c>
      <c r="BJ155" s="299">
        <f>G155*H155</f>
        <v>0</v>
      </c>
    </row>
    <row r="156" spans="1:62">
      <c r="C156" s="436" t="s">
        <v>626</v>
      </c>
      <c r="D156" s="436"/>
      <c r="E156" s="436"/>
      <c r="G156" s="301">
        <v>130.50986</v>
      </c>
    </row>
    <row r="157" spans="1:62">
      <c r="A157" s="298" t="s">
        <v>627</v>
      </c>
      <c r="B157" s="298" t="s">
        <v>628</v>
      </c>
      <c r="C157" s="435" t="s">
        <v>629</v>
      </c>
      <c r="D157" s="435"/>
      <c r="E157" s="435"/>
      <c r="F157" s="298" t="s">
        <v>496</v>
      </c>
      <c r="G157" s="299">
        <v>6.8689400000000003</v>
      </c>
      <c r="H157" s="299">
        <v>0</v>
      </c>
      <c r="I157" s="299">
        <f>G157*AO157</f>
        <v>0</v>
      </c>
      <c r="J157" s="299">
        <f>G157*AP157</f>
        <v>0</v>
      </c>
      <c r="K157" s="299">
        <f>G157*H157</f>
        <v>0</v>
      </c>
      <c r="L157" s="300" t="s">
        <v>363</v>
      </c>
      <c r="Z157" s="299">
        <f>IF(AQ157="5",BJ157,0)</f>
        <v>0</v>
      </c>
      <c r="AB157" s="299">
        <f>IF(AQ157="1",BH157,0)</f>
        <v>0</v>
      </c>
      <c r="AC157" s="299">
        <f>IF(AQ157="1",BI157,0)</f>
        <v>0</v>
      </c>
      <c r="AD157" s="299">
        <f>IF(AQ157="7",BH157,0)</f>
        <v>0</v>
      </c>
      <c r="AE157" s="299">
        <f>IF(AQ157="7",BI157,0)</f>
        <v>0</v>
      </c>
      <c r="AF157" s="299">
        <f>IF(AQ157="2",BH157,0)</f>
        <v>0</v>
      </c>
      <c r="AG157" s="299">
        <f>IF(AQ157="2",BI157,0)</f>
        <v>0</v>
      </c>
      <c r="AH157" s="299">
        <f>IF(AQ157="0",BJ157,0)</f>
        <v>0</v>
      </c>
      <c r="AI157" s="292"/>
      <c r="AJ157" s="299">
        <f>IF(AN157=0,K157,0)</f>
        <v>0</v>
      </c>
      <c r="AK157" s="299">
        <f>IF(AN157=15,K157,0)</f>
        <v>0</v>
      </c>
      <c r="AL157" s="299">
        <f>IF(AN157=21,K157,0)</f>
        <v>0</v>
      </c>
      <c r="AN157" s="299">
        <v>21</v>
      </c>
      <c r="AO157" s="299">
        <f>H157*0</f>
        <v>0</v>
      </c>
      <c r="AP157" s="299">
        <f>H157*(1-0)</f>
        <v>0</v>
      </c>
      <c r="AQ157" s="300" t="s">
        <v>380</v>
      </c>
      <c r="AV157" s="299">
        <f>AW157+AX157</f>
        <v>0</v>
      </c>
      <c r="AW157" s="299">
        <f>G157*AO157</f>
        <v>0</v>
      </c>
      <c r="AX157" s="299">
        <f>G157*AP157</f>
        <v>0</v>
      </c>
      <c r="AY157" s="300" t="s">
        <v>609</v>
      </c>
      <c r="AZ157" s="300" t="s">
        <v>553</v>
      </c>
      <c r="BA157" s="292" t="s">
        <v>366</v>
      </c>
      <c r="BC157" s="299">
        <f>AW157+AX157</f>
        <v>0</v>
      </c>
      <c r="BD157" s="299">
        <f>H157/(100-BE157)*100</f>
        <v>0</v>
      </c>
      <c r="BE157" s="299">
        <v>0</v>
      </c>
      <c r="BF157" s="299">
        <f>157</f>
        <v>157</v>
      </c>
      <c r="BH157" s="299">
        <f>G157*AO157</f>
        <v>0</v>
      </c>
      <c r="BI157" s="299">
        <f>G157*AP157</f>
        <v>0</v>
      </c>
      <c r="BJ157" s="299">
        <f>G157*H157</f>
        <v>0</v>
      </c>
    </row>
    <row r="158" spans="1:62">
      <c r="A158" s="304"/>
      <c r="B158" s="304"/>
      <c r="C158" s="438" t="s">
        <v>610</v>
      </c>
      <c r="D158" s="438"/>
      <c r="E158" s="438"/>
      <c r="F158" s="304"/>
      <c r="G158" s="305">
        <v>6.8689400000000003</v>
      </c>
      <c r="H158" s="304"/>
      <c r="I158" s="304"/>
      <c r="J158" s="304"/>
      <c r="K158" s="304"/>
      <c r="L158" s="304"/>
    </row>
    <row r="159" spans="1:62">
      <c r="A159" s="306"/>
      <c r="B159" s="306"/>
      <c r="C159" s="306"/>
      <c r="D159" s="306"/>
      <c r="E159" s="306"/>
      <c r="F159" s="306"/>
      <c r="G159" s="306"/>
      <c r="H159" s="306"/>
      <c r="I159" s="519" t="s">
        <v>630</v>
      </c>
      <c r="J159" s="519"/>
      <c r="K159" s="307">
        <f>K12+K19+K26+K39+K42+K49+K52+K59+K62+K67+K99+K107+K112+K115+K122+K127+K132+K141+K144</f>
        <v>0</v>
      </c>
      <c r="L159" s="306"/>
    </row>
    <row r="160" spans="1:62" ht="11.25" customHeight="1">
      <c r="A160" s="308" t="s">
        <v>39</v>
      </c>
    </row>
    <row r="161" spans="1:12">
      <c r="A161" s="493"/>
      <c r="B161" s="493"/>
      <c r="C161" s="493"/>
      <c r="D161" s="493"/>
      <c r="E161" s="493"/>
      <c r="F161" s="493"/>
      <c r="G161" s="493"/>
      <c r="H161" s="493"/>
      <c r="I161" s="493"/>
      <c r="J161" s="493"/>
      <c r="K161" s="493"/>
      <c r="L161" s="493"/>
    </row>
  </sheetData>
  <mergeCells count="31">
    <mergeCell ref="I8:L9"/>
    <mergeCell ref="I6:L7"/>
    <mergeCell ref="F8:G9"/>
    <mergeCell ref="H8:H9"/>
    <mergeCell ref="F6:G7"/>
    <mergeCell ref="H6:H7"/>
    <mergeCell ref="A1:L1"/>
    <mergeCell ref="A2:B3"/>
    <mergeCell ref="C2:C3"/>
    <mergeCell ref="D2:E3"/>
    <mergeCell ref="F2:G3"/>
    <mergeCell ref="H2:H3"/>
    <mergeCell ref="I2:L3"/>
    <mergeCell ref="D4:E5"/>
    <mergeCell ref="F4:G5"/>
    <mergeCell ref="H4:H5"/>
    <mergeCell ref="I4:L5"/>
    <mergeCell ref="A4:B5"/>
    <mergeCell ref="C4:C5"/>
    <mergeCell ref="A8:B9"/>
    <mergeCell ref="C8:C9"/>
    <mergeCell ref="D8:E9"/>
    <mergeCell ref="A6:B7"/>
    <mergeCell ref="C6:C7"/>
    <mergeCell ref="D6:E7"/>
    <mergeCell ref="I159:J159"/>
    <mergeCell ref="A161:L161"/>
    <mergeCell ref="C10:E10"/>
    <mergeCell ref="I10:K10"/>
    <mergeCell ref="C11:E11"/>
    <mergeCell ref="C12:E12"/>
  </mergeCells>
  <pageMargins left="0.25" right="0.25" top="0.75" bottom="0.75" header="0.3" footer="0.3"/>
  <pageSetup paperSize="9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85"/>
  <sheetViews>
    <sheetView showGridLines="0" topLeftCell="A65" workbookViewId="0">
      <selection activeCell="F107" sqref="F107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9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9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AT2" s="15" t="s">
        <v>88</v>
      </c>
    </row>
    <row r="3" spans="1:46" s="1" customFormat="1" ht="6.9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8"/>
      <c r="AT3" s="15" t="s">
        <v>85</v>
      </c>
    </row>
    <row r="4" spans="1:46" s="1" customFormat="1" ht="24.9" customHeight="1">
      <c r="B4" s="18"/>
      <c r="D4" s="103" t="s">
        <v>95</v>
      </c>
      <c r="I4" s="99"/>
      <c r="L4" s="18"/>
      <c r="M4" s="104" t="s">
        <v>10</v>
      </c>
      <c r="AT4" s="15" t="s">
        <v>4</v>
      </c>
    </row>
    <row r="5" spans="1:46" s="1" customFormat="1" ht="6.9" customHeight="1">
      <c r="B5" s="18"/>
      <c r="I5" s="99"/>
      <c r="L5" s="18"/>
    </row>
    <row r="6" spans="1:46" s="1" customFormat="1" ht="12" customHeight="1">
      <c r="B6" s="18"/>
      <c r="D6" s="105" t="s">
        <v>16</v>
      </c>
      <c r="I6" s="99"/>
      <c r="L6" s="18"/>
    </row>
    <row r="7" spans="1:46" s="1" customFormat="1" ht="16.5" customHeight="1">
      <c r="B7" s="18"/>
      <c r="E7" s="486" t="str">
        <f>'Rekapitulace stavby'!K6</f>
        <v>Komplexní klimatizace v objektu MZe Ústí nad Labem</v>
      </c>
      <c r="F7" s="487"/>
      <c r="G7" s="487"/>
      <c r="H7" s="487"/>
      <c r="I7" s="99"/>
      <c r="L7" s="18"/>
    </row>
    <row r="8" spans="1:46" s="2" customFormat="1" ht="12" customHeight="1">
      <c r="A8" s="32"/>
      <c r="B8" s="37"/>
      <c r="C8" s="32"/>
      <c r="D8" s="105" t="s">
        <v>96</v>
      </c>
      <c r="E8" s="32"/>
      <c r="F8" s="32"/>
      <c r="G8" s="32"/>
      <c r="H8" s="32"/>
      <c r="I8" s="106"/>
      <c r="J8" s="32"/>
      <c r="K8" s="32"/>
      <c r="L8" s="10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488" t="s">
        <v>128</v>
      </c>
      <c r="F9" s="489"/>
      <c r="G9" s="489"/>
      <c r="H9" s="489"/>
      <c r="I9" s="106"/>
      <c r="J9" s="32"/>
      <c r="K9" s="32"/>
      <c r="L9" s="10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106"/>
      <c r="J10" s="32"/>
      <c r="K10" s="32"/>
      <c r="L10" s="10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5" t="s">
        <v>18</v>
      </c>
      <c r="E11" s="32"/>
      <c r="F11" s="108" t="s">
        <v>19</v>
      </c>
      <c r="G11" s="32"/>
      <c r="H11" s="32"/>
      <c r="I11" s="109" t="s">
        <v>20</v>
      </c>
      <c r="J11" s="108" t="s">
        <v>19</v>
      </c>
      <c r="K11" s="32"/>
      <c r="L11" s="10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5" t="s">
        <v>21</v>
      </c>
      <c r="E12" s="32"/>
      <c r="F12" s="108" t="s">
        <v>22</v>
      </c>
      <c r="G12" s="32"/>
      <c r="H12" s="32"/>
      <c r="I12" s="109" t="s">
        <v>23</v>
      </c>
      <c r="J12" s="110" t="str">
        <f>'Rekapitulace stavby'!AN8</f>
        <v>21. 2. 2020</v>
      </c>
      <c r="K12" s="32"/>
      <c r="L12" s="10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5" customHeight="1">
      <c r="A13" s="32"/>
      <c r="B13" s="37"/>
      <c r="C13" s="32"/>
      <c r="D13" s="32"/>
      <c r="E13" s="32"/>
      <c r="F13" s="32"/>
      <c r="G13" s="32"/>
      <c r="H13" s="32"/>
      <c r="I13" s="106"/>
      <c r="J13" s="32"/>
      <c r="K13" s="32"/>
      <c r="L13" s="10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5" t="s">
        <v>25</v>
      </c>
      <c r="E14" s="32"/>
      <c r="F14" s="32"/>
      <c r="G14" s="32"/>
      <c r="H14" s="32"/>
      <c r="I14" s="109" t="s">
        <v>26</v>
      </c>
      <c r="J14" s="108" t="s">
        <v>27</v>
      </c>
      <c r="K14" s="32"/>
      <c r="L14" s="10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8" t="s">
        <v>28</v>
      </c>
      <c r="F15" s="32"/>
      <c r="G15" s="32"/>
      <c r="H15" s="32"/>
      <c r="I15" s="109" t="s">
        <v>29</v>
      </c>
      <c r="J15" s="108" t="s">
        <v>30</v>
      </c>
      <c r="K15" s="32"/>
      <c r="L15" s="10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7"/>
      <c r="C16" s="32"/>
      <c r="D16" s="32"/>
      <c r="E16" s="32"/>
      <c r="F16" s="32"/>
      <c r="G16" s="32"/>
      <c r="H16" s="32"/>
      <c r="I16" s="106"/>
      <c r="J16" s="32"/>
      <c r="K16" s="32"/>
      <c r="L16" s="10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5" t="s">
        <v>31</v>
      </c>
      <c r="E17" s="32"/>
      <c r="F17" s="32"/>
      <c r="G17" s="32"/>
      <c r="H17" s="32"/>
      <c r="I17" s="109" t="s">
        <v>26</v>
      </c>
      <c r="J17" s="28" t="str">
        <f>'Rekapitulace stavby'!AN13</f>
        <v>Vyplň údaj</v>
      </c>
      <c r="K17" s="32"/>
      <c r="L17" s="10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490" t="str">
        <f>'Rekapitulace stavby'!E14</f>
        <v>Vyplň údaj</v>
      </c>
      <c r="F18" s="491"/>
      <c r="G18" s="491"/>
      <c r="H18" s="491"/>
      <c r="I18" s="109" t="s">
        <v>29</v>
      </c>
      <c r="J18" s="28" t="str">
        <f>'Rekapitulace stavby'!AN14</f>
        <v>Vyplň údaj</v>
      </c>
      <c r="K18" s="32"/>
      <c r="L18" s="10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7"/>
      <c r="C19" s="32"/>
      <c r="D19" s="32"/>
      <c r="E19" s="32"/>
      <c r="F19" s="32"/>
      <c r="G19" s="32"/>
      <c r="H19" s="32"/>
      <c r="I19" s="106"/>
      <c r="J19" s="32"/>
      <c r="K19" s="32"/>
      <c r="L19" s="10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5" t="s">
        <v>33</v>
      </c>
      <c r="E20" s="32"/>
      <c r="F20" s="32"/>
      <c r="G20" s="32"/>
      <c r="H20" s="32"/>
      <c r="I20" s="109" t="s">
        <v>26</v>
      </c>
      <c r="J20" s="108" t="s">
        <v>34</v>
      </c>
      <c r="K20" s="32"/>
      <c r="L20" s="10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8" t="s">
        <v>35</v>
      </c>
      <c r="F21" s="32"/>
      <c r="G21" s="32"/>
      <c r="H21" s="32"/>
      <c r="I21" s="109" t="s">
        <v>29</v>
      </c>
      <c r="J21" s="108" t="s">
        <v>36</v>
      </c>
      <c r="K21" s="32"/>
      <c r="L21" s="10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7"/>
      <c r="C22" s="32"/>
      <c r="D22" s="32"/>
      <c r="E22" s="32"/>
      <c r="F22" s="32"/>
      <c r="G22" s="32"/>
      <c r="H22" s="32"/>
      <c r="I22" s="106"/>
      <c r="J22" s="32"/>
      <c r="K22" s="32"/>
      <c r="L22" s="10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5" t="s">
        <v>38</v>
      </c>
      <c r="E23" s="32"/>
      <c r="F23" s="32"/>
      <c r="G23" s="32"/>
      <c r="H23" s="32"/>
      <c r="I23" s="109" t="s">
        <v>26</v>
      </c>
      <c r="J23" s="108" t="s">
        <v>34</v>
      </c>
      <c r="K23" s="32"/>
      <c r="L23" s="10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8" t="s">
        <v>35</v>
      </c>
      <c r="F24" s="32"/>
      <c r="G24" s="32"/>
      <c r="H24" s="32"/>
      <c r="I24" s="109" t="s">
        <v>29</v>
      </c>
      <c r="J24" s="108" t="s">
        <v>36</v>
      </c>
      <c r="K24" s="32"/>
      <c r="L24" s="10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7"/>
      <c r="C25" s="32"/>
      <c r="D25" s="32"/>
      <c r="E25" s="32"/>
      <c r="F25" s="32"/>
      <c r="G25" s="32"/>
      <c r="H25" s="32"/>
      <c r="I25" s="106"/>
      <c r="J25" s="32"/>
      <c r="K25" s="32"/>
      <c r="L25" s="10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5" t="s">
        <v>39</v>
      </c>
      <c r="E26" s="32"/>
      <c r="F26" s="32"/>
      <c r="G26" s="32"/>
      <c r="H26" s="32"/>
      <c r="I26" s="106"/>
      <c r="J26" s="32"/>
      <c r="K26" s="32"/>
      <c r="L26" s="10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1"/>
      <c r="B27" s="112"/>
      <c r="C27" s="111"/>
      <c r="D27" s="111"/>
      <c r="E27" s="492" t="s">
        <v>19</v>
      </c>
      <c r="F27" s="492"/>
      <c r="G27" s="492"/>
      <c r="H27" s="492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2"/>
      <c r="B28" s="37"/>
      <c r="C28" s="32"/>
      <c r="D28" s="32"/>
      <c r="E28" s="32"/>
      <c r="F28" s="32"/>
      <c r="G28" s="32"/>
      <c r="H28" s="32"/>
      <c r="I28" s="106"/>
      <c r="J28" s="32"/>
      <c r="K28" s="32"/>
      <c r="L28" s="10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7"/>
      <c r="C29" s="32"/>
      <c r="D29" s="115"/>
      <c r="E29" s="115"/>
      <c r="F29" s="115"/>
      <c r="G29" s="115"/>
      <c r="H29" s="115"/>
      <c r="I29" s="116"/>
      <c r="J29" s="115"/>
      <c r="K29" s="115"/>
      <c r="L29" s="10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41</v>
      </c>
      <c r="E30" s="32"/>
      <c r="F30" s="32"/>
      <c r="G30" s="32"/>
      <c r="H30" s="32"/>
      <c r="I30" s="106"/>
      <c r="J30" s="118">
        <f>ROUND(J81, 2)</f>
        <v>0</v>
      </c>
      <c r="K30" s="32"/>
      <c r="L30" s="10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7"/>
      <c r="C31" s="32"/>
      <c r="D31" s="115"/>
      <c r="E31" s="115"/>
      <c r="F31" s="115"/>
      <c r="G31" s="115"/>
      <c r="H31" s="115"/>
      <c r="I31" s="116"/>
      <c r="J31" s="115"/>
      <c r="K31" s="115"/>
      <c r="L31" s="10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7"/>
      <c r="C32" s="32"/>
      <c r="D32" s="32"/>
      <c r="E32" s="32"/>
      <c r="F32" s="119" t="s">
        <v>43</v>
      </c>
      <c r="G32" s="32"/>
      <c r="H32" s="32"/>
      <c r="I32" s="120" t="s">
        <v>42</v>
      </c>
      <c r="J32" s="119" t="s">
        <v>44</v>
      </c>
      <c r="K32" s="32"/>
      <c r="L32" s="10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7"/>
      <c r="C33" s="32"/>
      <c r="D33" s="121" t="s">
        <v>45</v>
      </c>
      <c r="E33" s="105" t="s">
        <v>46</v>
      </c>
      <c r="F33" s="122">
        <f>ROUND((SUM(BE81:BE84)),  2)</f>
        <v>0</v>
      </c>
      <c r="G33" s="32"/>
      <c r="H33" s="32"/>
      <c r="I33" s="123">
        <v>0.21</v>
      </c>
      <c r="J33" s="122">
        <f>ROUND(((SUM(BE81:BE84))*I33),  2)</f>
        <v>0</v>
      </c>
      <c r="K33" s="32"/>
      <c r="L33" s="10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7"/>
      <c r="C34" s="32"/>
      <c r="D34" s="32"/>
      <c r="E34" s="105" t="s">
        <v>47</v>
      </c>
      <c r="F34" s="122">
        <f>ROUND((SUM(BF81:BF84)),  2)</f>
        <v>0</v>
      </c>
      <c r="G34" s="32"/>
      <c r="H34" s="32"/>
      <c r="I34" s="123">
        <v>0.15</v>
      </c>
      <c r="J34" s="122">
        <f>ROUND(((SUM(BF81:BF84))*I34),  2)</f>
        <v>0</v>
      </c>
      <c r="K34" s="32"/>
      <c r="L34" s="10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7"/>
      <c r="C35" s="32"/>
      <c r="D35" s="32"/>
      <c r="E35" s="105" t="s">
        <v>48</v>
      </c>
      <c r="F35" s="122">
        <f>ROUND((SUM(BG81:BG84)),  2)</f>
        <v>0</v>
      </c>
      <c r="G35" s="32"/>
      <c r="H35" s="32"/>
      <c r="I35" s="123">
        <v>0.21</v>
      </c>
      <c r="J35" s="122">
        <f>0</f>
        <v>0</v>
      </c>
      <c r="K35" s="32"/>
      <c r="L35" s="10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7"/>
      <c r="C36" s="32"/>
      <c r="D36" s="32"/>
      <c r="E36" s="105" t="s">
        <v>49</v>
      </c>
      <c r="F36" s="122">
        <f>ROUND((SUM(BH81:BH84)),  2)</f>
        <v>0</v>
      </c>
      <c r="G36" s="32"/>
      <c r="H36" s="32"/>
      <c r="I36" s="123">
        <v>0.15</v>
      </c>
      <c r="J36" s="122">
        <f>0</f>
        <v>0</v>
      </c>
      <c r="K36" s="32"/>
      <c r="L36" s="10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7"/>
      <c r="C37" s="32"/>
      <c r="D37" s="32"/>
      <c r="E37" s="105" t="s">
        <v>50</v>
      </c>
      <c r="F37" s="122">
        <f>ROUND((SUM(BI81:BI84)),  2)</f>
        <v>0</v>
      </c>
      <c r="G37" s="32"/>
      <c r="H37" s="32"/>
      <c r="I37" s="123">
        <v>0</v>
      </c>
      <c r="J37" s="122">
        <f>0</f>
        <v>0</v>
      </c>
      <c r="K37" s="32"/>
      <c r="L37" s="10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7"/>
      <c r="C38" s="32"/>
      <c r="D38" s="32"/>
      <c r="E38" s="32"/>
      <c r="F38" s="32"/>
      <c r="G38" s="32"/>
      <c r="H38" s="32"/>
      <c r="I38" s="106"/>
      <c r="J38" s="32"/>
      <c r="K38" s="32"/>
      <c r="L38" s="10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4"/>
      <c r="D39" s="125" t="s">
        <v>51</v>
      </c>
      <c r="E39" s="126"/>
      <c r="F39" s="126"/>
      <c r="G39" s="127" t="s">
        <v>52</v>
      </c>
      <c r="H39" s="128" t="s">
        <v>53</v>
      </c>
      <c r="I39" s="129"/>
      <c r="J39" s="130">
        <f>SUM(J30:J37)</f>
        <v>0</v>
      </c>
      <c r="K39" s="131"/>
      <c r="L39" s="10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132"/>
      <c r="C40" s="133"/>
      <c r="D40" s="133"/>
      <c r="E40" s="133"/>
      <c r="F40" s="133"/>
      <c r="G40" s="133"/>
      <c r="H40" s="133"/>
      <c r="I40" s="134"/>
      <c r="J40" s="133"/>
      <c r="K40" s="133"/>
      <c r="L40" s="10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" customHeight="1">
      <c r="A44" s="32"/>
      <c r="B44" s="135"/>
      <c r="C44" s="136"/>
      <c r="D44" s="136"/>
      <c r="E44" s="136"/>
      <c r="F44" s="136"/>
      <c r="G44" s="136"/>
      <c r="H44" s="136"/>
      <c r="I44" s="137"/>
      <c r="J44" s="136"/>
      <c r="K44" s="136"/>
      <c r="L44" s="10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" customHeight="1">
      <c r="A45" s="32"/>
      <c r="B45" s="33"/>
      <c r="C45" s="21" t="s">
        <v>98</v>
      </c>
      <c r="D45" s="34"/>
      <c r="E45" s="34"/>
      <c r="F45" s="34"/>
      <c r="G45" s="34"/>
      <c r="H45" s="34"/>
      <c r="I45" s="106"/>
      <c r="J45" s="34"/>
      <c r="K45" s="34"/>
      <c r="L45" s="10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" customHeight="1">
      <c r="A46" s="32"/>
      <c r="B46" s="33"/>
      <c r="C46" s="34"/>
      <c r="D46" s="34"/>
      <c r="E46" s="34"/>
      <c r="F46" s="34"/>
      <c r="G46" s="34"/>
      <c r="H46" s="34"/>
      <c r="I46" s="106"/>
      <c r="J46" s="34"/>
      <c r="K46" s="34"/>
      <c r="L46" s="10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106"/>
      <c r="J47" s="34"/>
      <c r="K47" s="34"/>
      <c r="L47" s="10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4"/>
      <c r="D48" s="34"/>
      <c r="E48" s="484" t="str">
        <f>E7</f>
        <v>Komplexní klimatizace v objektu MZe Ústí nad Labem</v>
      </c>
      <c r="F48" s="485"/>
      <c r="G48" s="485"/>
      <c r="H48" s="485"/>
      <c r="I48" s="106"/>
      <c r="J48" s="34"/>
      <c r="K48" s="34"/>
      <c r="L48" s="10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96</v>
      </c>
      <c r="D49" s="34"/>
      <c r="E49" s="34"/>
      <c r="F49" s="34"/>
      <c r="G49" s="34"/>
      <c r="H49" s="34"/>
      <c r="I49" s="106"/>
      <c r="J49" s="34"/>
      <c r="K49" s="34"/>
      <c r="L49" s="10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4"/>
      <c r="D50" s="34"/>
      <c r="E50" s="465" t="str">
        <f>E9</f>
        <v>D.1.4.1 - Klimatizace</v>
      </c>
      <c r="F50" s="483"/>
      <c r="G50" s="483"/>
      <c r="H50" s="483"/>
      <c r="I50" s="106"/>
      <c r="J50" s="34"/>
      <c r="K50" s="34"/>
      <c r="L50" s="10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" customHeight="1">
      <c r="A51" s="32"/>
      <c r="B51" s="33"/>
      <c r="C51" s="34"/>
      <c r="D51" s="34"/>
      <c r="E51" s="34"/>
      <c r="F51" s="34"/>
      <c r="G51" s="34"/>
      <c r="H51" s="34"/>
      <c r="I51" s="106"/>
      <c r="J51" s="34"/>
      <c r="K51" s="34"/>
      <c r="L51" s="10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21</v>
      </c>
      <c r="D52" s="34"/>
      <c r="E52" s="34"/>
      <c r="F52" s="25" t="str">
        <f>F12</f>
        <v>Ústí nad Labem</v>
      </c>
      <c r="G52" s="34"/>
      <c r="H52" s="34"/>
      <c r="I52" s="109" t="s">
        <v>23</v>
      </c>
      <c r="J52" s="57" t="str">
        <f>IF(J12="","",J12)</f>
        <v>21. 2. 2020</v>
      </c>
      <c r="K52" s="34"/>
      <c r="L52" s="10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" customHeight="1">
      <c r="A53" s="32"/>
      <c r="B53" s="33"/>
      <c r="C53" s="34"/>
      <c r="D53" s="34"/>
      <c r="E53" s="34"/>
      <c r="F53" s="34"/>
      <c r="G53" s="34"/>
      <c r="H53" s="34"/>
      <c r="I53" s="106"/>
      <c r="J53" s="34"/>
      <c r="K53" s="34"/>
      <c r="L53" s="10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200000000000003" customHeight="1">
      <c r="A54" s="32"/>
      <c r="B54" s="33"/>
      <c r="C54" s="27" t="s">
        <v>25</v>
      </c>
      <c r="D54" s="34"/>
      <c r="E54" s="34"/>
      <c r="F54" s="25" t="str">
        <f>E15</f>
        <v>Česká republika - Ministerstvo zemědělství</v>
      </c>
      <c r="G54" s="34"/>
      <c r="H54" s="34"/>
      <c r="I54" s="109" t="s">
        <v>33</v>
      </c>
      <c r="J54" s="30" t="str">
        <f>E21</f>
        <v>NCI.CZ ENGINEERING s.r.o.</v>
      </c>
      <c r="K54" s="34"/>
      <c r="L54" s="10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200000000000003" customHeight="1">
      <c r="A55" s="32"/>
      <c r="B55" s="33"/>
      <c r="C55" s="27" t="s">
        <v>31</v>
      </c>
      <c r="D55" s="34"/>
      <c r="E55" s="34"/>
      <c r="F55" s="25" t="str">
        <f>IF(E18="","",E18)</f>
        <v>Vyplň údaj</v>
      </c>
      <c r="G55" s="34"/>
      <c r="H55" s="34"/>
      <c r="I55" s="109" t="s">
        <v>38</v>
      </c>
      <c r="J55" s="30" t="str">
        <f>E24</f>
        <v>NCI.CZ ENGINEERING s.r.o.</v>
      </c>
      <c r="K55" s="34"/>
      <c r="L55" s="10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4"/>
      <c r="D56" s="34"/>
      <c r="E56" s="34"/>
      <c r="F56" s="34"/>
      <c r="G56" s="34"/>
      <c r="H56" s="34"/>
      <c r="I56" s="106"/>
      <c r="J56" s="34"/>
      <c r="K56" s="34"/>
      <c r="L56" s="10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38" t="s">
        <v>99</v>
      </c>
      <c r="D57" s="139"/>
      <c r="E57" s="139"/>
      <c r="F57" s="139"/>
      <c r="G57" s="139"/>
      <c r="H57" s="139"/>
      <c r="I57" s="140"/>
      <c r="J57" s="141" t="s">
        <v>100</v>
      </c>
      <c r="K57" s="139"/>
      <c r="L57" s="10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4"/>
      <c r="D58" s="34"/>
      <c r="E58" s="34"/>
      <c r="F58" s="34"/>
      <c r="G58" s="34"/>
      <c r="H58" s="34"/>
      <c r="I58" s="106"/>
      <c r="J58" s="34"/>
      <c r="K58" s="34"/>
      <c r="L58" s="10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5" customHeight="1">
      <c r="A59" s="32"/>
      <c r="B59" s="33"/>
      <c r="C59" s="142" t="s">
        <v>73</v>
      </c>
      <c r="D59" s="34"/>
      <c r="E59" s="34"/>
      <c r="F59" s="34"/>
      <c r="G59" s="34"/>
      <c r="H59" s="34"/>
      <c r="I59" s="106"/>
      <c r="J59" s="75">
        <f>J81</f>
        <v>0</v>
      </c>
      <c r="K59" s="34"/>
      <c r="L59" s="10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101</v>
      </c>
    </row>
    <row r="60" spans="1:47" s="9" customFormat="1" ht="24.9" customHeight="1">
      <c r="B60" s="143"/>
      <c r="C60" s="144"/>
      <c r="D60" s="145" t="s">
        <v>102</v>
      </c>
      <c r="E60" s="146"/>
      <c r="F60" s="146"/>
      <c r="G60" s="146"/>
      <c r="H60" s="146"/>
      <c r="I60" s="147"/>
      <c r="J60" s="148">
        <f>J82</f>
        <v>0</v>
      </c>
      <c r="K60" s="144"/>
      <c r="L60" s="149"/>
    </row>
    <row r="61" spans="1:47" s="10" customFormat="1" ht="19.95" customHeight="1">
      <c r="B61" s="150"/>
      <c r="C61" s="151"/>
      <c r="D61" s="152" t="s">
        <v>103</v>
      </c>
      <c r="E61" s="153"/>
      <c r="F61" s="153"/>
      <c r="G61" s="153"/>
      <c r="H61" s="153"/>
      <c r="I61" s="154"/>
      <c r="J61" s="155">
        <f>J83</f>
        <v>0</v>
      </c>
      <c r="K61" s="151"/>
      <c r="L61" s="156"/>
    </row>
    <row r="62" spans="1:47" s="2" customFormat="1" ht="21.75" customHeight="1">
      <c r="A62" s="32"/>
      <c r="B62" s="33"/>
      <c r="C62" s="34"/>
      <c r="D62" s="34"/>
      <c r="E62" s="34"/>
      <c r="F62" s="34"/>
      <c r="G62" s="34"/>
      <c r="H62" s="34"/>
      <c r="I62" s="106"/>
      <c r="J62" s="34"/>
      <c r="K62" s="34"/>
      <c r="L62" s="10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" customHeight="1">
      <c r="A63" s="32"/>
      <c r="B63" s="45"/>
      <c r="C63" s="46"/>
      <c r="D63" s="46"/>
      <c r="E63" s="46"/>
      <c r="F63" s="46"/>
      <c r="G63" s="46"/>
      <c r="H63" s="46"/>
      <c r="I63" s="134"/>
      <c r="J63" s="46"/>
      <c r="K63" s="46"/>
      <c r="L63" s="10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6.9" customHeight="1">
      <c r="A67" s="32"/>
      <c r="B67" s="47"/>
      <c r="C67" s="48"/>
      <c r="D67" s="48"/>
      <c r="E67" s="48"/>
      <c r="F67" s="48"/>
      <c r="G67" s="48"/>
      <c r="H67" s="48"/>
      <c r="I67" s="137"/>
      <c r="J67" s="48"/>
      <c r="K67" s="48"/>
      <c r="L67" s="10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" customHeight="1">
      <c r="A68" s="32"/>
      <c r="B68" s="33"/>
      <c r="C68" s="21" t="s">
        <v>104</v>
      </c>
      <c r="D68" s="34"/>
      <c r="E68" s="34"/>
      <c r="F68" s="34"/>
      <c r="G68" s="34"/>
      <c r="H68" s="34"/>
      <c r="I68" s="106"/>
      <c r="J68" s="34"/>
      <c r="K68" s="34"/>
      <c r="L68" s="10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" customHeight="1">
      <c r="A69" s="32"/>
      <c r="B69" s="33"/>
      <c r="C69" s="34"/>
      <c r="D69" s="34"/>
      <c r="E69" s="34"/>
      <c r="F69" s="34"/>
      <c r="G69" s="34"/>
      <c r="H69" s="34"/>
      <c r="I69" s="106"/>
      <c r="J69" s="34"/>
      <c r="K69" s="34"/>
      <c r="L69" s="10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16</v>
      </c>
      <c r="D70" s="34"/>
      <c r="E70" s="34"/>
      <c r="F70" s="34"/>
      <c r="G70" s="34"/>
      <c r="H70" s="34"/>
      <c r="I70" s="106"/>
      <c r="J70" s="34"/>
      <c r="K70" s="34"/>
      <c r="L70" s="10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>
      <c r="A71" s="32"/>
      <c r="B71" s="33"/>
      <c r="C71" s="34"/>
      <c r="D71" s="34"/>
      <c r="E71" s="484" t="str">
        <f>E7</f>
        <v>Komplexní klimatizace v objektu MZe Ústí nad Labem</v>
      </c>
      <c r="F71" s="485"/>
      <c r="G71" s="485"/>
      <c r="H71" s="485"/>
      <c r="I71" s="106"/>
      <c r="J71" s="34"/>
      <c r="K71" s="34"/>
      <c r="L71" s="10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96</v>
      </c>
      <c r="D72" s="34"/>
      <c r="E72" s="34"/>
      <c r="F72" s="34"/>
      <c r="G72" s="34"/>
      <c r="H72" s="34"/>
      <c r="I72" s="106"/>
      <c r="J72" s="34"/>
      <c r="K72" s="34"/>
      <c r="L72" s="10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>
      <c r="A73" s="32"/>
      <c r="B73" s="33"/>
      <c r="C73" s="34"/>
      <c r="D73" s="34"/>
      <c r="E73" s="465" t="str">
        <f>E9</f>
        <v>D.1.4.1 - Klimatizace</v>
      </c>
      <c r="F73" s="483"/>
      <c r="G73" s="483"/>
      <c r="H73" s="483"/>
      <c r="I73" s="106"/>
      <c r="J73" s="34"/>
      <c r="K73" s="34"/>
      <c r="L73" s="10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" customHeight="1">
      <c r="A74" s="32"/>
      <c r="B74" s="33"/>
      <c r="C74" s="34"/>
      <c r="D74" s="34"/>
      <c r="E74" s="34"/>
      <c r="F74" s="34"/>
      <c r="G74" s="34"/>
      <c r="H74" s="34"/>
      <c r="I74" s="106"/>
      <c r="J74" s="34"/>
      <c r="K74" s="34"/>
      <c r="L74" s="10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21</v>
      </c>
      <c r="D75" s="34"/>
      <c r="E75" s="34"/>
      <c r="F75" s="25" t="str">
        <f>F12</f>
        <v>Ústí nad Labem</v>
      </c>
      <c r="G75" s="34"/>
      <c r="H75" s="34"/>
      <c r="I75" s="109" t="s">
        <v>23</v>
      </c>
      <c r="J75" s="57" t="str">
        <f>IF(J12="","",J12)</f>
        <v>21. 2. 2020</v>
      </c>
      <c r="K75" s="34"/>
      <c r="L75" s="10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" customHeight="1">
      <c r="A76" s="32"/>
      <c r="B76" s="33"/>
      <c r="C76" s="34"/>
      <c r="D76" s="34"/>
      <c r="E76" s="34"/>
      <c r="F76" s="34"/>
      <c r="G76" s="34"/>
      <c r="H76" s="34"/>
      <c r="I76" s="106"/>
      <c r="J76" s="34"/>
      <c r="K76" s="34"/>
      <c r="L76" s="10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40.200000000000003" customHeight="1">
      <c r="A77" s="32"/>
      <c r="B77" s="33"/>
      <c r="C77" s="27" t="s">
        <v>25</v>
      </c>
      <c r="D77" s="34"/>
      <c r="E77" s="34"/>
      <c r="F77" s="25" t="str">
        <f>E15</f>
        <v>Česká republika - Ministerstvo zemědělství</v>
      </c>
      <c r="G77" s="34"/>
      <c r="H77" s="34"/>
      <c r="I77" s="109" t="s">
        <v>33</v>
      </c>
      <c r="J77" s="30" t="str">
        <f>E21</f>
        <v>NCI.CZ ENGINEERING s.r.o.</v>
      </c>
      <c r="K77" s="34"/>
      <c r="L77" s="10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200000000000003" customHeight="1">
      <c r="A78" s="32"/>
      <c r="B78" s="33"/>
      <c r="C78" s="27" t="s">
        <v>31</v>
      </c>
      <c r="D78" s="34"/>
      <c r="E78" s="34"/>
      <c r="F78" s="25" t="str">
        <f>IF(E18="","",E18)</f>
        <v>Vyplň údaj</v>
      </c>
      <c r="G78" s="34"/>
      <c r="H78" s="34"/>
      <c r="I78" s="109" t="s">
        <v>38</v>
      </c>
      <c r="J78" s="30" t="str">
        <f>E24</f>
        <v>NCI.CZ ENGINEERING s.r.o.</v>
      </c>
      <c r="K78" s="34"/>
      <c r="L78" s="10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4"/>
      <c r="D79" s="34"/>
      <c r="E79" s="34"/>
      <c r="F79" s="34"/>
      <c r="G79" s="34"/>
      <c r="H79" s="34"/>
      <c r="I79" s="106"/>
      <c r="J79" s="34"/>
      <c r="K79" s="34"/>
      <c r="L79" s="10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57"/>
      <c r="B80" s="158"/>
      <c r="C80" s="159" t="s">
        <v>105</v>
      </c>
      <c r="D80" s="160" t="s">
        <v>60</v>
      </c>
      <c r="E80" s="160" t="s">
        <v>56</v>
      </c>
      <c r="F80" s="160" t="s">
        <v>57</v>
      </c>
      <c r="G80" s="160" t="s">
        <v>106</v>
      </c>
      <c r="H80" s="160" t="s">
        <v>107</v>
      </c>
      <c r="I80" s="161" t="s">
        <v>108</v>
      </c>
      <c r="J80" s="160" t="s">
        <v>100</v>
      </c>
      <c r="K80" s="162" t="s">
        <v>109</v>
      </c>
      <c r="L80" s="163"/>
      <c r="M80" s="66" t="s">
        <v>19</v>
      </c>
      <c r="N80" s="67" t="s">
        <v>45</v>
      </c>
      <c r="O80" s="67" t="s">
        <v>110</v>
      </c>
      <c r="P80" s="67" t="s">
        <v>111</v>
      </c>
      <c r="Q80" s="67" t="s">
        <v>112</v>
      </c>
      <c r="R80" s="67" t="s">
        <v>113</v>
      </c>
      <c r="S80" s="67" t="s">
        <v>114</v>
      </c>
      <c r="T80" s="68" t="s">
        <v>115</v>
      </c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</row>
    <row r="81" spans="1:65" s="2" customFormat="1" ht="22.95" customHeight="1">
      <c r="A81" s="32"/>
      <c r="B81" s="33"/>
      <c r="C81" s="73" t="s">
        <v>116</v>
      </c>
      <c r="D81" s="34"/>
      <c r="E81" s="34"/>
      <c r="F81" s="34"/>
      <c r="G81" s="34"/>
      <c r="H81" s="34"/>
      <c r="I81" s="106"/>
      <c r="J81" s="164">
        <f>BK81</f>
        <v>0</v>
      </c>
      <c r="K81" s="34"/>
      <c r="L81" s="37"/>
      <c r="M81" s="69"/>
      <c r="N81" s="165"/>
      <c r="O81" s="70"/>
      <c r="P81" s="166">
        <f>P82</f>
        <v>0</v>
      </c>
      <c r="Q81" s="70"/>
      <c r="R81" s="166">
        <f>R82</f>
        <v>0</v>
      </c>
      <c r="S81" s="70"/>
      <c r="T81" s="167">
        <f>T82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74</v>
      </c>
      <c r="AU81" s="15" t="s">
        <v>101</v>
      </c>
      <c r="BK81" s="168">
        <f>BK82</f>
        <v>0</v>
      </c>
    </row>
    <row r="82" spans="1:65" s="12" customFormat="1" ht="25.95" customHeight="1">
      <c r="B82" s="169"/>
      <c r="C82" s="170"/>
      <c r="D82" s="171" t="s">
        <v>74</v>
      </c>
      <c r="E82" s="172" t="s">
        <v>117</v>
      </c>
      <c r="F82" s="172" t="s">
        <v>118</v>
      </c>
      <c r="G82" s="170"/>
      <c r="H82" s="170"/>
      <c r="I82" s="173"/>
      <c r="J82" s="174">
        <f>BK82</f>
        <v>0</v>
      </c>
      <c r="K82" s="170"/>
      <c r="L82" s="175"/>
      <c r="M82" s="176"/>
      <c r="N82" s="177"/>
      <c r="O82" s="177"/>
      <c r="P82" s="178">
        <f>P83</f>
        <v>0</v>
      </c>
      <c r="Q82" s="177"/>
      <c r="R82" s="178">
        <f>R83</f>
        <v>0</v>
      </c>
      <c r="S82" s="177"/>
      <c r="T82" s="179">
        <f>T83</f>
        <v>0</v>
      </c>
      <c r="AR82" s="180" t="s">
        <v>119</v>
      </c>
      <c r="AT82" s="181" t="s">
        <v>74</v>
      </c>
      <c r="AU82" s="181" t="s">
        <v>75</v>
      </c>
      <c r="AY82" s="180" t="s">
        <v>120</v>
      </c>
      <c r="BK82" s="182">
        <f>BK83</f>
        <v>0</v>
      </c>
    </row>
    <row r="83" spans="1:65" s="12" customFormat="1" ht="22.95" customHeight="1">
      <c r="B83" s="169"/>
      <c r="C83" s="170"/>
      <c r="D83" s="171" t="s">
        <v>74</v>
      </c>
      <c r="E83" s="183" t="s">
        <v>121</v>
      </c>
      <c r="F83" s="183" t="s">
        <v>122</v>
      </c>
      <c r="G83" s="170"/>
      <c r="H83" s="170"/>
      <c r="I83" s="173"/>
      <c r="J83" s="184">
        <f>BK83</f>
        <v>0</v>
      </c>
      <c r="K83" s="170"/>
      <c r="L83" s="175"/>
      <c r="M83" s="176"/>
      <c r="N83" s="177"/>
      <c r="O83" s="177"/>
      <c r="P83" s="178">
        <f>P84</f>
        <v>0</v>
      </c>
      <c r="Q83" s="177"/>
      <c r="R83" s="178">
        <f>R84</f>
        <v>0</v>
      </c>
      <c r="S83" s="177"/>
      <c r="T83" s="179">
        <f>T84</f>
        <v>0</v>
      </c>
      <c r="AR83" s="180" t="s">
        <v>119</v>
      </c>
      <c r="AT83" s="181" t="s">
        <v>74</v>
      </c>
      <c r="AU83" s="181" t="s">
        <v>83</v>
      </c>
      <c r="AY83" s="180" t="s">
        <v>120</v>
      </c>
      <c r="BK83" s="182">
        <f>BK84</f>
        <v>0</v>
      </c>
    </row>
    <row r="84" spans="1:65" s="2" customFormat="1" ht="16.5" customHeight="1">
      <c r="A84" s="32"/>
      <c r="B84" s="33"/>
      <c r="C84" s="185" t="s">
        <v>83</v>
      </c>
      <c r="D84" s="185" t="s">
        <v>123</v>
      </c>
      <c r="E84" s="186" t="s">
        <v>86</v>
      </c>
      <c r="F84" s="187" t="s">
        <v>87</v>
      </c>
      <c r="G84" s="188" t="s">
        <v>125</v>
      </c>
      <c r="H84" s="189">
        <v>1</v>
      </c>
      <c r="I84" s="190">
        <f>'Rekapitulace klima'!B47</f>
        <v>0</v>
      </c>
      <c r="J84" s="191">
        <f>ROUND(I84*H84,2)</f>
        <v>0</v>
      </c>
      <c r="K84" s="187" t="s">
        <v>19</v>
      </c>
      <c r="L84" s="37"/>
      <c r="M84" s="192" t="s">
        <v>19</v>
      </c>
      <c r="N84" s="193" t="s">
        <v>46</v>
      </c>
      <c r="O84" s="194"/>
      <c r="P84" s="195">
        <f>O84*H84</f>
        <v>0</v>
      </c>
      <c r="Q84" s="195">
        <v>0</v>
      </c>
      <c r="R84" s="195">
        <f>Q84*H84</f>
        <v>0</v>
      </c>
      <c r="S84" s="195">
        <v>0</v>
      </c>
      <c r="T84" s="196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97" t="s">
        <v>126</v>
      </c>
      <c r="AT84" s="197" t="s">
        <v>123</v>
      </c>
      <c r="AU84" s="197" t="s">
        <v>85</v>
      </c>
      <c r="AY84" s="15" t="s">
        <v>120</v>
      </c>
      <c r="BE84" s="198">
        <f>IF(N84="základní",J84,0)</f>
        <v>0</v>
      </c>
      <c r="BF84" s="198">
        <f>IF(N84="snížená",J84,0)</f>
        <v>0</v>
      </c>
      <c r="BG84" s="198">
        <f>IF(N84="zákl. přenesená",J84,0)</f>
        <v>0</v>
      </c>
      <c r="BH84" s="198">
        <f>IF(N84="sníž. přenesená",J84,0)</f>
        <v>0</v>
      </c>
      <c r="BI84" s="198">
        <f>IF(N84="nulová",J84,0)</f>
        <v>0</v>
      </c>
      <c r="BJ84" s="15" t="s">
        <v>83</v>
      </c>
      <c r="BK84" s="198">
        <f>ROUND(I84*H84,2)</f>
        <v>0</v>
      </c>
      <c r="BL84" s="15" t="s">
        <v>126</v>
      </c>
      <c r="BM84" s="197" t="s">
        <v>129</v>
      </c>
    </row>
    <row r="85" spans="1:65" s="2" customFormat="1" ht="6.9" customHeight="1">
      <c r="A85" s="32"/>
      <c r="B85" s="45"/>
      <c r="C85" s="46"/>
      <c r="D85" s="46"/>
      <c r="E85" s="46"/>
      <c r="F85" s="46"/>
      <c r="G85" s="46"/>
      <c r="H85" s="46"/>
      <c r="I85" s="134"/>
      <c r="J85" s="46"/>
      <c r="K85" s="46"/>
      <c r="L85" s="37"/>
      <c r="M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</sheetData>
  <sheetProtection algorithmName="SHA-512" hashValue="x9r/+XsAM4D21SoGXTj0ELHCnBE/Qn9HfdnLYCgXQhXGkRICe0dzXjCAY2DJNnfn1LjlyZGmSDBqa2rKanrm1Q==" saltValue="n6bC3MvGUQQixVx5L4RhXy1WJ1sv3dcGxE2YeKwpt1Ay8vW2OM3I2hJKycJ1FpAK9OmVfua+bODnpQJ9JhMg7A==" spinCount="100000" sheet="1" objects="1" scenarios="1" formatColumns="0" formatRows="0" autoFilter="0"/>
  <autoFilter ref="C80:K84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6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B4871-5748-4D19-803C-39105E087B04}">
  <dimension ref="A1:I48"/>
  <sheetViews>
    <sheetView topLeftCell="A7" workbookViewId="0">
      <selection activeCell="G30" sqref="G30:H30"/>
    </sheetView>
  </sheetViews>
  <sheetFormatPr defaultColWidth="9.28515625" defaultRowHeight="13.2"/>
  <cols>
    <col min="1" max="1" width="2" style="390" customWidth="1"/>
    <col min="2" max="2" width="29" style="390" customWidth="1"/>
    <col min="3" max="3" width="7.28515625" style="390" customWidth="1"/>
    <col min="4" max="4" width="20.140625" style="390" customWidth="1"/>
    <col min="5" max="5" width="7.28515625" style="390" customWidth="1"/>
    <col min="6" max="6" width="25" style="390" customWidth="1"/>
    <col min="7" max="7" width="7.7109375" style="390" customWidth="1"/>
    <col min="8" max="8" width="18.28515625" style="390" customWidth="1"/>
    <col min="9" max="9" width="2" style="390" customWidth="1"/>
    <col min="10" max="16384" width="9.28515625" style="390"/>
  </cols>
  <sheetData>
    <row r="1" spans="1:9" ht="9" customHeight="1">
      <c r="A1" s="328"/>
      <c r="B1" s="328"/>
      <c r="C1" s="328"/>
      <c r="D1" s="328"/>
      <c r="E1" s="328"/>
      <c r="F1" s="328"/>
      <c r="G1" s="328"/>
      <c r="H1" s="328"/>
      <c r="I1" s="328"/>
    </row>
    <row r="2" spans="1:9" ht="18" customHeight="1">
      <c r="A2" s="328"/>
      <c r="B2" s="592"/>
      <c r="C2" s="595"/>
      <c r="D2" s="595"/>
      <c r="E2" s="595"/>
      <c r="F2" s="595"/>
      <c r="G2" s="596"/>
      <c r="H2" s="597"/>
      <c r="I2" s="328"/>
    </row>
    <row r="3" spans="1:9" ht="18" customHeight="1">
      <c r="A3" s="328"/>
      <c r="B3" s="593"/>
      <c r="C3" s="598" t="s">
        <v>963</v>
      </c>
      <c r="D3" s="598"/>
      <c r="E3" s="598"/>
      <c r="F3" s="598"/>
      <c r="G3" s="599" t="s">
        <v>672</v>
      </c>
      <c r="H3" s="597"/>
      <c r="I3" s="328"/>
    </row>
    <row r="4" spans="1:9" ht="18" customHeight="1">
      <c r="A4" s="328"/>
      <c r="B4" s="593"/>
      <c r="C4" s="600" t="s">
        <v>774</v>
      </c>
      <c r="D4" s="601"/>
      <c r="E4" s="601"/>
      <c r="F4" s="602"/>
      <c r="G4" s="599" t="s">
        <v>674</v>
      </c>
      <c r="H4" s="597"/>
      <c r="I4" s="328"/>
    </row>
    <row r="5" spans="1:9" ht="18" customHeight="1">
      <c r="A5" s="328"/>
      <c r="B5" s="594"/>
      <c r="C5" s="603"/>
      <c r="D5" s="603"/>
      <c r="E5" s="603"/>
      <c r="F5" s="603"/>
      <c r="G5" s="599" t="s">
        <v>675</v>
      </c>
      <c r="H5" s="597"/>
      <c r="I5" s="328"/>
    </row>
    <row r="6" spans="1:9" ht="12.75" customHeight="1">
      <c r="A6" s="328"/>
      <c r="B6" s="604" t="s">
        <v>676</v>
      </c>
      <c r="C6" s="605"/>
      <c r="D6" s="605"/>
      <c r="E6" s="605"/>
      <c r="F6" s="605"/>
      <c r="G6" s="605"/>
      <c r="H6" s="605"/>
      <c r="I6" s="328"/>
    </row>
    <row r="7" spans="1:9" ht="9.9" customHeight="1">
      <c r="A7" s="328"/>
      <c r="B7" s="391" t="s">
        <v>677</v>
      </c>
      <c r="C7" s="392"/>
      <c r="D7" s="392"/>
      <c r="E7" s="393" t="s">
        <v>678</v>
      </c>
      <c r="F7" s="394"/>
      <c r="G7" s="583" t="s">
        <v>679</v>
      </c>
      <c r="H7" s="606"/>
      <c r="I7" s="328"/>
    </row>
    <row r="8" spans="1:9" ht="30" customHeight="1">
      <c r="A8" s="328"/>
      <c r="B8" s="607" t="s">
        <v>680</v>
      </c>
      <c r="C8" s="608"/>
      <c r="D8" s="609"/>
      <c r="E8" s="610" t="s">
        <v>681</v>
      </c>
      <c r="F8" s="611"/>
      <c r="G8" s="612" t="s">
        <v>14</v>
      </c>
      <c r="H8" s="612"/>
      <c r="I8" s="328"/>
    </row>
    <row r="9" spans="1:9" ht="9.9" customHeight="1">
      <c r="A9" s="328"/>
      <c r="B9" s="395" t="s">
        <v>682</v>
      </c>
      <c r="C9" s="396"/>
      <c r="D9" s="397"/>
      <c r="E9" s="395" t="s">
        <v>683</v>
      </c>
      <c r="F9" s="398"/>
      <c r="G9" s="583" t="s">
        <v>684</v>
      </c>
      <c r="H9" s="591"/>
      <c r="I9" s="328"/>
    </row>
    <row r="10" spans="1:9" ht="12.75" customHeight="1">
      <c r="A10" s="328"/>
      <c r="B10" s="576" t="s">
        <v>685</v>
      </c>
      <c r="C10" s="577"/>
      <c r="D10" s="578"/>
      <c r="E10" s="579" t="s">
        <v>686</v>
      </c>
      <c r="F10" s="580"/>
      <c r="G10" s="576" t="s">
        <v>687</v>
      </c>
      <c r="H10" s="581"/>
      <c r="I10" s="328"/>
    </row>
    <row r="11" spans="1:9" ht="12.75" customHeight="1">
      <c r="A11" s="328"/>
      <c r="B11" s="582" t="s">
        <v>964</v>
      </c>
      <c r="C11" s="582"/>
      <c r="D11" s="582"/>
      <c r="E11" s="579"/>
      <c r="F11" s="580"/>
      <c r="G11" s="337" t="s">
        <v>688</v>
      </c>
      <c r="H11" s="338" t="s">
        <v>689</v>
      </c>
      <c r="I11" s="328"/>
    </row>
    <row r="12" spans="1:9" ht="12.75" customHeight="1">
      <c r="A12" s="328"/>
      <c r="B12" s="582"/>
      <c r="C12" s="582"/>
      <c r="D12" s="582"/>
      <c r="E12" s="391" t="s">
        <v>690</v>
      </c>
      <c r="F12" s="394"/>
      <c r="G12" s="583" t="s">
        <v>23</v>
      </c>
      <c r="H12" s="584"/>
      <c r="I12" s="328"/>
    </row>
    <row r="13" spans="1:9">
      <c r="A13" s="328"/>
      <c r="B13" s="399" t="s">
        <v>691</v>
      </c>
      <c r="C13" s="585" t="s">
        <v>692</v>
      </c>
      <c r="D13" s="586"/>
      <c r="E13" s="587" t="s">
        <v>686</v>
      </c>
      <c r="F13" s="588"/>
      <c r="G13" s="589">
        <v>43862</v>
      </c>
      <c r="H13" s="590"/>
      <c r="I13" s="328"/>
    </row>
    <row r="14" spans="1:9" ht="12.75" customHeight="1">
      <c r="A14" s="328"/>
      <c r="B14" s="532"/>
      <c r="C14" s="533"/>
      <c r="D14" s="533"/>
      <c r="E14" s="533"/>
      <c r="F14" s="533"/>
      <c r="G14" s="533"/>
      <c r="H14" s="533"/>
      <c r="I14" s="328"/>
    </row>
    <row r="15" spans="1:9" ht="14.1" customHeight="1">
      <c r="A15" s="328"/>
      <c r="B15" s="534" t="s">
        <v>775</v>
      </c>
      <c r="C15" s="535"/>
      <c r="D15" s="535"/>
      <c r="E15" s="535"/>
      <c r="F15" s="535"/>
      <c r="G15" s="535"/>
      <c r="H15" s="536"/>
      <c r="I15" s="328"/>
    </row>
    <row r="16" spans="1:9" ht="12.75" customHeight="1">
      <c r="A16" s="328"/>
      <c r="B16" s="574" t="s">
        <v>694</v>
      </c>
      <c r="C16" s="575"/>
      <c r="D16" s="561" t="s">
        <v>776</v>
      </c>
      <c r="E16" s="561"/>
      <c r="F16" s="400" t="s">
        <v>777</v>
      </c>
      <c r="G16" s="561" t="s">
        <v>778</v>
      </c>
      <c r="H16" s="562"/>
      <c r="I16" s="328"/>
    </row>
    <row r="17" spans="1:9" ht="12" customHeight="1">
      <c r="A17" s="328"/>
      <c r="B17" s="572" t="str">
        <f>[2]Rozpočet!C17</f>
        <v xml:space="preserve">Zařízení č.01 - Klimatizace 1.NP </v>
      </c>
      <c r="C17" s="573"/>
      <c r="D17" s="545">
        <f>'Rozpočet klima'!H30</f>
        <v>0</v>
      </c>
      <c r="E17" s="565"/>
      <c r="F17" s="401">
        <f>'Rozpočet klima'!J30</f>
        <v>0</v>
      </c>
      <c r="G17" s="547">
        <f t="shared" ref="G17:G23" si="0">D17+F17</f>
        <v>0</v>
      </c>
      <c r="H17" s="548"/>
      <c r="I17" s="328"/>
    </row>
    <row r="18" spans="1:9" ht="12" customHeight="1">
      <c r="A18" s="328"/>
      <c r="B18" s="572" t="s">
        <v>779</v>
      </c>
      <c r="C18" s="573"/>
      <c r="D18" s="545">
        <f>'Rozpočet klima'!H57</f>
        <v>0</v>
      </c>
      <c r="E18" s="565"/>
      <c r="F18" s="401">
        <f>'Rozpočet klima'!J57</f>
        <v>0</v>
      </c>
      <c r="G18" s="547">
        <f t="shared" si="0"/>
        <v>0</v>
      </c>
      <c r="H18" s="548"/>
      <c r="I18" s="328"/>
    </row>
    <row r="19" spans="1:9" ht="21" customHeight="1">
      <c r="A19" s="328"/>
      <c r="B19" s="572" t="s">
        <v>780</v>
      </c>
      <c r="C19" s="573"/>
      <c r="D19" s="545">
        <f>'Rozpočet klima'!H76</f>
        <v>0</v>
      </c>
      <c r="E19" s="565"/>
      <c r="F19" s="401">
        <f>'Rozpočet klima'!J76</f>
        <v>0</v>
      </c>
      <c r="G19" s="547">
        <f t="shared" si="0"/>
        <v>0</v>
      </c>
      <c r="H19" s="548"/>
      <c r="I19" s="328"/>
    </row>
    <row r="20" spans="1:9" ht="12.75" customHeight="1">
      <c r="A20" s="328"/>
      <c r="B20" s="572" t="s">
        <v>781</v>
      </c>
      <c r="C20" s="573"/>
      <c r="D20" s="545">
        <f>'Rozpočet klima'!H95</f>
        <v>0</v>
      </c>
      <c r="E20" s="565"/>
      <c r="F20" s="401">
        <f>'Rozpočet klima'!J95</f>
        <v>0</v>
      </c>
      <c r="G20" s="547">
        <f t="shared" si="0"/>
        <v>0</v>
      </c>
      <c r="H20" s="548"/>
      <c r="I20" s="328"/>
    </row>
    <row r="21" spans="1:9" ht="12.75" customHeight="1">
      <c r="A21" s="328"/>
      <c r="B21" s="572" t="s">
        <v>782</v>
      </c>
      <c r="C21" s="573"/>
      <c r="D21" s="545">
        <f>'Rozpočet klima'!H114</f>
        <v>0</v>
      </c>
      <c r="E21" s="565"/>
      <c r="F21" s="401">
        <f>'Rozpočet klima'!J114</f>
        <v>0</v>
      </c>
      <c r="G21" s="547">
        <f t="shared" si="0"/>
        <v>0</v>
      </c>
      <c r="H21" s="548"/>
      <c r="I21" s="328"/>
    </row>
    <row r="22" spans="1:9" ht="21" customHeight="1">
      <c r="A22" s="328"/>
      <c r="B22" s="563" t="s">
        <v>763</v>
      </c>
      <c r="C22" s="564"/>
      <c r="D22" s="545">
        <f>'Rozpočet klima'!H119</f>
        <v>0</v>
      </c>
      <c r="E22" s="565"/>
      <c r="F22" s="401">
        <f>'Rozpočet klima'!J119</f>
        <v>0</v>
      </c>
      <c r="G22" s="547">
        <f t="shared" si="0"/>
        <v>0</v>
      </c>
      <c r="H22" s="548"/>
      <c r="I22" s="328"/>
    </row>
    <row r="23" spans="1:9" ht="21" customHeight="1">
      <c r="A23" s="328"/>
      <c r="B23" s="563" t="s">
        <v>766</v>
      </c>
      <c r="C23" s="564"/>
      <c r="D23" s="545">
        <f>'Rozpočet klima'!H126</f>
        <v>0</v>
      </c>
      <c r="E23" s="565"/>
      <c r="F23" s="401">
        <f>'Rozpočet klima'!J126</f>
        <v>0</v>
      </c>
      <c r="G23" s="547">
        <f t="shared" si="0"/>
        <v>0</v>
      </c>
      <c r="H23" s="548"/>
      <c r="I23" s="328"/>
    </row>
    <row r="24" spans="1:9">
      <c r="A24" s="328"/>
      <c r="B24" s="566" t="str">
        <f>[2]Rozpočet!C30</f>
        <v>CELKEM:</v>
      </c>
      <c r="C24" s="567"/>
      <c r="D24" s="568">
        <f>D23+D22+D21+D20+D19+D18+D17</f>
        <v>0</v>
      </c>
      <c r="E24" s="569"/>
      <c r="F24" s="402">
        <f>F23+F22+F20+F21+F19+F18+F17</f>
        <v>0</v>
      </c>
      <c r="G24" s="570"/>
      <c r="H24" s="571"/>
      <c r="I24" s="328"/>
    </row>
    <row r="25" spans="1:9" ht="12" customHeight="1">
      <c r="A25" s="328"/>
      <c r="B25" s="553" t="s">
        <v>783</v>
      </c>
      <c r="C25" s="554"/>
      <c r="D25" s="555"/>
      <c r="E25" s="555"/>
      <c r="F25" s="556"/>
      <c r="G25" s="559">
        <f>SUM(G17:H24)</f>
        <v>0</v>
      </c>
      <c r="H25" s="560"/>
      <c r="I25" s="328"/>
    </row>
    <row r="26" spans="1:9">
      <c r="A26" s="328"/>
      <c r="B26" s="532"/>
      <c r="C26" s="533"/>
      <c r="D26" s="533"/>
      <c r="E26" s="533"/>
      <c r="F26" s="533"/>
      <c r="G26" s="533"/>
      <c r="H26" s="533"/>
      <c r="I26" s="328"/>
    </row>
    <row r="27" spans="1:9" ht="12" customHeight="1">
      <c r="A27" s="328"/>
      <c r="B27" s="534" t="s">
        <v>784</v>
      </c>
      <c r="C27" s="535"/>
      <c r="D27" s="535"/>
      <c r="E27" s="535"/>
      <c r="F27" s="535"/>
      <c r="G27" s="535"/>
      <c r="H27" s="536"/>
      <c r="I27" s="328"/>
    </row>
    <row r="28" spans="1:9">
      <c r="A28" s="328"/>
      <c r="B28" s="403" t="s">
        <v>785</v>
      </c>
      <c r="C28" s="400" t="s">
        <v>106</v>
      </c>
      <c r="D28" s="561" t="s">
        <v>776</v>
      </c>
      <c r="E28" s="561"/>
      <c r="F28" s="400" t="s">
        <v>777</v>
      </c>
      <c r="G28" s="561" t="s">
        <v>778</v>
      </c>
      <c r="H28" s="562"/>
      <c r="I28" s="328"/>
    </row>
    <row r="29" spans="1:9" ht="12" customHeight="1">
      <c r="A29" s="328"/>
      <c r="B29" s="404" t="s">
        <v>786</v>
      </c>
      <c r="C29" s="405" t="s">
        <v>125</v>
      </c>
      <c r="D29" s="545">
        <f>SUM(D24)</f>
        <v>0</v>
      </c>
      <c r="E29" s="546"/>
      <c r="F29" s="401">
        <f>SUM(F24)</f>
        <v>0</v>
      </c>
      <c r="G29" s="547">
        <f>D29+F29</f>
        <v>0</v>
      </c>
      <c r="H29" s="548"/>
      <c r="I29" s="328"/>
    </row>
    <row r="30" spans="1:9">
      <c r="A30" s="328"/>
      <c r="B30" s="406"/>
      <c r="C30" s="407"/>
      <c r="D30" s="549"/>
      <c r="E30" s="550"/>
      <c r="F30" s="408"/>
      <c r="G30" s="551"/>
      <c r="H30" s="552"/>
      <c r="I30" s="328"/>
    </row>
    <row r="31" spans="1:9" ht="12" customHeight="1">
      <c r="A31" s="328"/>
      <c r="B31" s="404" t="s">
        <v>787</v>
      </c>
      <c r="C31" s="405" t="s">
        <v>788</v>
      </c>
      <c r="D31" s="545">
        <f>D29*C32*0.01</f>
        <v>0</v>
      </c>
      <c r="E31" s="546"/>
      <c r="F31" s="401">
        <v>0</v>
      </c>
      <c r="G31" s="547">
        <f>D31+F31</f>
        <v>0</v>
      </c>
      <c r="H31" s="548"/>
      <c r="I31" s="328"/>
    </row>
    <row r="32" spans="1:9">
      <c r="A32" s="328"/>
      <c r="B32" s="406" t="s">
        <v>789</v>
      </c>
      <c r="C32" s="409">
        <v>5</v>
      </c>
      <c r="D32" s="549"/>
      <c r="E32" s="550"/>
      <c r="F32" s="408"/>
      <c r="G32" s="551"/>
      <c r="H32" s="552"/>
      <c r="I32" s="328"/>
    </row>
    <row r="33" spans="1:9" ht="12" customHeight="1">
      <c r="A33" s="328"/>
      <c r="B33" s="404" t="s">
        <v>790</v>
      </c>
      <c r="C33" s="405" t="s">
        <v>788</v>
      </c>
      <c r="D33" s="545">
        <v>0</v>
      </c>
      <c r="E33" s="546"/>
      <c r="F33" s="401">
        <f>F29*C34*0.01</f>
        <v>0</v>
      </c>
      <c r="G33" s="547">
        <f>D33+F33</f>
        <v>0</v>
      </c>
      <c r="H33" s="548"/>
      <c r="I33" s="328"/>
    </row>
    <row r="34" spans="1:9">
      <c r="A34" s="328"/>
      <c r="B34" s="406" t="s">
        <v>791</v>
      </c>
      <c r="C34" s="409">
        <v>6.5</v>
      </c>
      <c r="D34" s="549"/>
      <c r="E34" s="550"/>
      <c r="F34" s="408"/>
      <c r="G34" s="551"/>
      <c r="H34" s="552"/>
      <c r="I34" s="328"/>
    </row>
    <row r="35" spans="1:9" ht="12" customHeight="1">
      <c r="A35" s="328"/>
      <c r="B35" s="404" t="s">
        <v>792</v>
      </c>
      <c r="C35" s="405" t="s">
        <v>788</v>
      </c>
      <c r="D35" s="545">
        <v>0</v>
      </c>
      <c r="E35" s="546"/>
      <c r="F35" s="401">
        <f>F29*C36*0.01</f>
        <v>0</v>
      </c>
      <c r="G35" s="547">
        <f>D35+F35</f>
        <v>0</v>
      </c>
      <c r="H35" s="548"/>
      <c r="I35" s="328"/>
    </row>
    <row r="36" spans="1:9">
      <c r="A36" s="328"/>
      <c r="B36" s="406" t="s">
        <v>791</v>
      </c>
      <c r="C36" s="409">
        <v>3.5</v>
      </c>
      <c r="D36" s="549"/>
      <c r="E36" s="550"/>
      <c r="F36" s="408"/>
      <c r="G36" s="551"/>
      <c r="H36" s="552"/>
      <c r="I36" s="328"/>
    </row>
    <row r="37" spans="1:9" ht="12" customHeight="1">
      <c r="A37" s="328"/>
      <c r="B37" s="404" t="s">
        <v>793</v>
      </c>
      <c r="C37" s="405" t="s">
        <v>788</v>
      </c>
      <c r="D37" s="545">
        <f>D29*C38*0.01</f>
        <v>0</v>
      </c>
      <c r="E37" s="546"/>
      <c r="F37" s="401">
        <v>0</v>
      </c>
      <c r="G37" s="547">
        <f>D37+F37</f>
        <v>0</v>
      </c>
      <c r="H37" s="548"/>
      <c r="I37" s="328"/>
    </row>
    <row r="38" spans="1:9" ht="12.75" customHeight="1">
      <c r="A38" s="328"/>
      <c r="B38" s="406" t="s">
        <v>794</v>
      </c>
      <c r="C38" s="409">
        <v>0.04</v>
      </c>
      <c r="D38" s="549"/>
      <c r="E38" s="550"/>
      <c r="F38" s="408"/>
      <c r="G38" s="551"/>
      <c r="H38" s="552"/>
      <c r="I38" s="328"/>
    </row>
    <row r="39" spans="1:9" ht="12.75" customHeight="1">
      <c r="A39" s="328"/>
      <c r="B39" s="404" t="s">
        <v>795</v>
      </c>
      <c r="C39" s="405" t="s">
        <v>788</v>
      </c>
      <c r="D39" s="545">
        <f>D29*C40*0.01</f>
        <v>0</v>
      </c>
      <c r="E39" s="546"/>
      <c r="F39" s="401">
        <v>0</v>
      </c>
      <c r="G39" s="547">
        <f>D39+F39</f>
        <v>0</v>
      </c>
      <c r="H39" s="548"/>
      <c r="I39" s="328"/>
    </row>
    <row r="40" spans="1:9" ht="14.1" customHeight="1">
      <c r="A40" s="328"/>
      <c r="B40" s="406" t="s">
        <v>794</v>
      </c>
      <c r="C40" s="409">
        <v>0.08</v>
      </c>
      <c r="D40" s="549"/>
      <c r="E40" s="550"/>
      <c r="F40" s="408"/>
      <c r="G40" s="551"/>
      <c r="H40" s="552"/>
      <c r="I40" s="328"/>
    </row>
    <row r="41" spans="1:9">
      <c r="A41" s="328"/>
      <c r="B41" s="404" t="s">
        <v>796</v>
      </c>
      <c r="C41" s="405" t="s">
        <v>788</v>
      </c>
      <c r="D41" s="545">
        <v>0</v>
      </c>
      <c r="E41" s="546"/>
      <c r="F41" s="401">
        <f>F29*C42*0.01</f>
        <v>0</v>
      </c>
      <c r="G41" s="547">
        <f>D41+F41</f>
        <v>0</v>
      </c>
      <c r="H41" s="548"/>
      <c r="I41" s="328"/>
    </row>
    <row r="42" spans="1:9" ht="14.1" customHeight="1">
      <c r="A42" s="328"/>
      <c r="B42" s="406" t="s">
        <v>797</v>
      </c>
      <c r="C42" s="409">
        <v>5</v>
      </c>
      <c r="D42" s="549"/>
      <c r="E42" s="550"/>
      <c r="F42" s="408"/>
      <c r="G42" s="551"/>
      <c r="H42" s="552"/>
      <c r="I42" s="328"/>
    </row>
    <row r="43" spans="1:9" ht="9" customHeight="1">
      <c r="A43" s="328"/>
      <c r="B43" s="553" t="s">
        <v>798</v>
      </c>
      <c r="C43" s="554"/>
      <c r="D43" s="555"/>
      <c r="E43" s="555"/>
      <c r="F43" s="556"/>
      <c r="G43" s="557">
        <f>SUM(G29:H42)</f>
        <v>0</v>
      </c>
      <c r="H43" s="558"/>
      <c r="I43" s="328"/>
    </row>
    <row r="44" spans="1:9">
      <c r="A44" s="328"/>
      <c r="B44" s="532"/>
      <c r="C44" s="533"/>
      <c r="D44" s="533"/>
      <c r="E44" s="533"/>
      <c r="F44" s="533"/>
      <c r="G44" s="533"/>
      <c r="H44" s="533"/>
      <c r="I44" s="328"/>
    </row>
    <row r="45" spans="1:9">
      <c r="A45" s="328"/>
      <c r="B45" s="534" t="s">
        <v>799</v>
      </c>
      <c r="C45" s="535"/>
      <c r="D45" s="535"/>
      <c r="E45" s="535"/>
      <c r="F45" s="535"/>
      <c r="G45" s="535"/>
      <c r="H45" s="536"/>
      <c r="I45" s="328"/>
    </row>
    <row r="46" spans="1:9">
      <c r="A46" s="328"/>
      <c r="B46" s="537" t="s">
        <v>800</v>
      </c>
      <c r="C46" s="538"/>
      <c r="D46" s="410" t="s">
        <v>45</v>
      </c>
      <c r="E46" s="410" t="s">
        <v>801</v>
      </c>
      <c r="F46" s="539" t="s">
        <v>802</v>
      </c>
      <c r="G46" s="540"/>
      <c r="H46" s="411" t="s">
        <v>803</v>
      </c>
      <c r="I46" s="328"/>
    </row>
    <row r="47" spans="1:9">
      <c r="A47" s="328"/>
      <c r="B47" s="541">
        <f>G43</f>
        <v>0</v>
      </c>
      <c r="C47" s="542"/>
      <c r="D47" s="412">
        <f>B47*E47*0.01</f>
        <v>0</v>
      </c>
      <c r="E47" s="413">
        <v>21</v>
      </c>
      <c r="F47" s="543">
        <f>B47+D47</f>
        <v>0</v>
      </c>
      <c r="G47" s="544"/>
      <c r="H47" s="414" t="s">
        <v>692</v>
      </c>
      <c r="I47" s="328"/>
    </row>
    <row r="48" spans="1:9">
      <c r="A48" s="328"/>
      <c r="B48" s="328"/>
      <c r="C48" s="328"/>
      <c r="D48" s="328"/>
      <c r="E48" s="328"/>
      <c r="F48" s="328"/>
      <c r="G48" s="328"/>
      <c r="H48" s="328"/>
      <c r="I48" s="328"/>
    </row>
  </sheetData>
  <dataConsolidate/>
  <mergeCells count="95">
    <mergeCell ref="G9:H9"/>
    <mergeCell ref="B2:B5"/>
    <mergeCell ref="C2:F2"/>
    <mergeCell ref="G2:H2"/>
    <mergeCell ref="C3:F3"/>
    <mergeCell ref="G3:H3"/>
    <mergeCell ref="C4:F4"/>
    <mergeCell ref="G4:H4"/>
    <mergeCell ref="C5:F5"/>
    <mergeCell ref="G5:H5"/>
    <mergeCell ref="B6:H6"/>
    <mergeCell ref="G7:H7"/>
    <mergeCell ref="B8:D8"/>
    <mergeCell ref="E8:F8"/>
    <mergeCell ref="G8:H8"/>
    <mergeCell ref="B16:C16"/>
    <mergeCell ref="D16:E16"/>
    <mergeCell ref="G16:H16"/>
    <mergeCell ref="B10:D10"/>
    <mergeCell ref="E10:F11"/>
    <mergeCell ref="G10:H10"/>
    <mergeCell ref="B11:D11"/>
    <mergeCell ref="B12:D12"/>
    <mergeCell ref="G12:H12"/>
    <mergeCell ref="C13:D13"/>
    <mergeCell ref="E13:F13"/>
    <mergeCell ref="G13:H13"/>
    <mergeCell ref="B14:H14"/>
    <mergeCell ref="B15:H15"/>
    <mergeCell ref="B17:C17"/>
    <mergeCell ref="D17:E17"/>
    <mergeCell ref="G17:H17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B21:C21"/>
    <mergeCell ref="D21:E21"/>
    <mergeCell ref="G21:H21"/>
    <mergeCell ref="B22:C22"/>
    <mergeCell ref="D22:E22"/>
    <mergeCell ref="G22:H22"/>
    <mergeCell ref="B23:C23"/>
    <mergeCell ref="D23:E23"/>
    <mergeCell ref="G23:H23"/>
    <mergeCell ref="B24:C24"/>
    <mergeCell ref="D24:E24"/>
    <mergeCell ref="G24:H24"/>
    <mergeCell ref="B25:F25"/>
    <mergeCell ref="G25:H25"/>
    <mergeCell ref="B26:H26"/>
    <mergeCell ref="B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D38:E38"/>
    <mergeCell ref="G38:H38"/>
    <mergeCell ref="D39:E39"/>
    <mergeCell ref="G39:H39"/>
    <mergeCell ref="D40:E40"/>
    <mergeCell ref="G40:H40"/>
    <mergeCell ref="D41:E41"/>
    <mergeCell ref="G41:H41"/>
    <mergeCell ref="D42:E42"/>
    <mergeCell ref="G42:H42"/>
    <mergeCell ref="B43:F43"/>
    <mergeCell ref="G43:H43"/>
    <mergeCell ref="B44:H44"/>
    <mergeCell ref="B45:H45"/>
    <mergeCell ref="B46:C46"/>
    <mergeCell ref="F46:G46"/>
    <mergeCell ref="B47:C47"/>
    <mergeCell ref="F47:G47"/>
  </mergeCells>
  <pageMargins left="0.19685039370078741" right="0.11811023622047245" top="0.59055118110236227" bottom="0.39370078740157483" header="0.19685039370078741" footer="0.19685039370078741"/>
  <pageSetup paperSize="9" orientation="portrait" r:id="rId1"/>
  <headerFooter alignWithMargins="0">
    <oddHeader>&amp;C
&amp;RR&amp;P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4FE0-F2BA-4C6F-8E31-58F142C93DCE}">
  <dimension ref="A1:M808"/>
  <sheetViews>
    <sheetView tabSelected="1" zoomScale="120" zoomScaleNormal="120" workbookViewId="0">
      <pane xSplit="12" ySplit="16" topLeftCell="M17" activePane="bottomRight" state="frozen"/>
      <selection pane="topRight" activeCell="M1" sqref="M1"/>
      <selection pane="bottomLeft" activeCell="A18" sqref="A18"/>
      <selection pane="bottomRight" activeCell="C104" sqref="C104:D104"/>
    </sheetView>
  </sheetViews>
  <sheetFormatPr defaultColWidth="10.7109375" defaultRowHeight="13.2"/>
  <cols>
    <col min="1" max="1" width="2" style="327" customWidth="1"/>
    <col min="2" max="2" width="9.42578125" style="327" customWidth="1"/>
    <col min="3" max="3" width="26.7109375" style="327" customWidth="1"/>
    <col min="4" max="4" width="43.85546875" style="327" customWidth="1"/>
    <col min="5" max="6" width="5.42578125" style="327" customWidth="1"/>
    <col min="7" max="11" width="14.85546875" style="327" customWidth="1"/>
    <col min="12" max="12" width="2" style="327" customWidth="1"/>
    <col min="13" max="16384" width="10.7109375" style="327"/>
  </cols>
  <sheetData>
    <row r="1" spans="1:12" ht="9" customHeight="1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</row>
    <row r="2" spans="1:12" ht="18" customHeight="1">
      <c r="A2" s="326"/>
      <c r="B2" s="656"/>
      <c r="C2" s="606"/>
      <c r="D2" s="661"/>
      <c r="E2" s="595"/>
      <c r="F2" s="595"/>
      <c r="G2" s="595"/>
      <c r="H2" s="595"/>
      <c r="I2" s="606"/>
      <c r="J2" s="662"/>
      <c r="K2" s="597"/>
      <c r="L2" s="328"/>
    </row>
    <row r="3" spans="1:12" ht="18" customHeight="1">
      <c r="A3" s="326"/>
      <c r="B3" s="657"/>
      <c r="C3" s="658"/>
      <c r="D3" s="663" t="s">
        <v>962</v>
      </c>
      <c r="E3" s="663"/>
      <c r="F3" s="663"/>
      <c r="G3" s="663"/>
      <c r="H3" s="663"/>
      <c r="I3" s="664"/>
      <c r="J3" s="599" t="s">
        <v>672</v>
      </c>
      <c r="K3" s="597"/>
      <c r="L3" s="329"/>
    </row>
    <row r="4" spans="1:12" ht="18" customHeight="1">
      <c r="A4" s="326"/>
      <c r="B4" s="657"/>
      <c r="C4" s="658"/>
      <c r="D4" s="665" t="s">
        <v>673</v>
      </c>
      <c r="E4" s="665"/>
      <c r="F4" s="665"/>
      <c r="G4" s="665"/>
      <c r="H4" s="665"/>
      <c r="I4" s="666"/>
      <c r="J4" s="599" t="s">
        <v>674</v>
      </c>
      <c r="K4" s="597"/>
      <c r="L4" s="329"/>
    </row>
    <row r="5" spans="1:12" ht="18" customHeight="1">
      <c r="A5" s="326"/>
      <c r="B5" s="659"/>
      <c r="C5" s="660"/>
      <c r="D5" s="667"/>
      <c r="E5" s="603"/>
      <c r="F5" s="603"/>
      <c r="G5" s="603"/>
      <c r="H5" s="603"/>
      <c r="I5" s="660"/>
      <c r="J5" s="599" t="s">
        <v>675</v>
      </c>
      <c r="K5" s="597"/>
      <c r="L5" s="329"/>
    </row>
    <row r="6" spans="1:12" ht="12.75" customHeight="1">
      <c r="A6" s="326"/>
      <c r="B6" s="604" t="s">
        <v>676</v>
      </c>
      <c r="C6" s="605"/>
      <c r="D6" s="605"/>
      <c r="E6" s="605"/>
      <c r="F6" s="605"/>
      <c r="G6" s="605"/>
      <c r="H6" s="605"/>
      <c r="I6" s="605"/>
      <c r="J6" s="605"/>
      <c r="K6" s="605"/>
      <c r="L6" s="326"/>
    </row>
    <row r="7" spans="1:12" ht="9.9" customHeight="1">
      <c r="A7" s="326"/>
      <c r="B7" s="651" t="s">
        <v>677</v>
      </c>
      <c r="C7" s="642"/>
      <c r="D7" s="330"/>
      <c r="E7" s="651" t="s">
        <v>678</v>
      </c>
      <c r="F7" s="643"/>
      <c r="G7" s="331"/>
      <c r="H7" s="331"/>
      <c r="I7" s="332"/>
      <c r="J7" s="644" t="s">
        <v>679</v>
      </c>
      <c r="K7" s="645"/>
      <c r="L7" s="326"/>
    </row>
    <row r="8" spans="1:12" s="334" customFormat="1" ht="12.75" customHeight="1">
      <c r="A8" s="333"/>
      <c r="B8" s="653" t="s">
        <v>680</v>
      </c>
      <c r="C8" s="654"/>
      <c r="D8" s="655"/>
      <c r="E8" s="648" t="s">
        <v>681</v>
      </c>
      <c r="F8" s="648"/>
      <c r="G8" s="648"/>
      <c r="H8" s="648"/>
      <c r="I8" s="648"/>
      <c r="J8" s="612" t="s">
        <v>14</v>
      </c>
      <c r="K8" s="612"/>
      <c r="L8" s="333"/>
    </row>
    <row r="9" spans="1:12" ht="9.9" customHeight="1">
      <c r="A9" s="326"/>
      <c r="B9" s="651" t="s">
        <v>682</v>
      </c>
      <c r="C9" s="642"/>
      <c r="D9" s="335"/>
      <c r="E9" s="651" t="s">
        <v>683</v>
      </c>
      <c r="F9" s="643"/>
      <c r="G9" s="643"/>
      <c r="H9" s="336"/>
      <c r="I9" s="335"/>
      <c r="J9" s="644" t="s">
        <v>684</v>
      </c>
      <c r="K9" s="645"/>
      <c r="L9" s="326"/>
    </row>
    <row r="10" spans="1:12" ht="12.75" customHeight="1">
      <c r="A10" s="326"/>
      <c r="B10" s="576" t="s">
        <v>685</v>
      </c>
      <c r="C10" s="577"/>
      <c r="D10" s="578"/>
      <c r="E10" s="582" t="s">
        <v>686</v>
      </c>
      <c r="F10" s="582"/>
      <c r="G10" s="582"/>
      <c r="H10" s="582"/>
      <c r="I10" s="582"/>
      <c r="J10" s="612" t="s">
        <v>687</v>
      </c>
      <c r="K10" s="612"/>
      <c r="L10" s="326"/>
    </row>
    <row r="11" spans="1:12" ht="12.75" customHeight="1">
      <c r="A11" s="326"/>
      <c r="B11" s="582" t="s">
        <v>964</v>
      </c>
      <c r="C11" s="582"/>
      <c r="D11" s="582"/>
      <c r="E11" s="652"/>
      <c r="F11" s="652"/>
      <c r="G11" s="652"/>
      <c r="H11" s="652"/>
      <c r="I11" s="652"/>
      <c r="J11" s="337" t="s">
        <v>688</v>
      </c>
      <c r="K11" s="338" t="s">
        <v>689</v>
      </c>
      <c r="L11" s="339"/>
    </row>
    <row r="12" spans="1:12" ht="12.75" customHeight="1">
      <c r="A12" s="326"/>
      <c r="B12" s="582" t="s">
        <v>962</v>
      </c>
      <c r="C12" s="582"/>
      <c r="D12" s="582"/>
      <c r="E12" s="642" t="s">
        <v>690</v>
      </c>
      <c r="F12" s="643"/>
      <c r="G12" s="643"/>
      <c r="H12" s="340"/>
      <c r="I12" s="330"/>
      <c r="J12" s="644" t="s">
        <v>23</v>
      </c>
      <c r="K12" s="645"/>
      <c r="L12" s="326"/>
    </row>
    <row r="13" spans="1:12" ht="12.75" customHeight="1">
      <c r="A13" s="326"/>
      <c r="B13" s="646" t="s">
        <v>691</v>
      </c>
      <c r="C13" s="647"/>
      <c r="D13" s="341" t="s">
        <v>692</v>
      </c>
      <c r="E13" s="648" t="s">
        <v>686</v>
      </c>
      <c r="F13" s="648"/>
      <c r="G13" s="648"/>
      <c r="H13" s="648"/>
      <c r="I13" s="648"/>
      <c r="J13" s="649">
        <v>43862</v>
      </c>
      <c r="K13" s="650"/>
      <c r="L13" s="326"/>
    </row>
    <row r="14" spans="1:12" ht="14.1" customHeight="1">
      <c r="A14" s="326"/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</row>
    <row r="15" spans="1:12" s="346" customFormat="1" ht="12" customHeight="1">
      <c r="A15" s="342"/>
      <c r="B15" s="343" t="s">
        <v>693</v>
      </c>
      <c r="C15" s="638" t="s">
        <v>694</v>
      </c>
      <c r="D15" s="639"/>
      <c r="E15" s="344" t="s">
        <v>695</v>
      </c>
      <c r="F15" s="344" t="s">
        <v>106</v>
      </c>
      <c r="G15" s="638" t="s">
        <v>696</v>
      </c>
      <c r="H15" s="638"/>
      <c r="I15" s="638" t="s">
        <v>697</v>
      </c>
      <c r="J15" s="638"/>
      <c r="K15" s="345" t="s">
        <v>698</v>
      </c>
      <c r="L15" s="342"/>
    </row>
    <row r="16" spans="1:12" s="346" customFormat="1" ht="12" customHeight="1">
      <c r="A16" s="342"/>
      <c r="B16" s="347" t="s">
        <v>699</v>
      </c>
      <c r="C16" s="640"/>
      <c r="D16" s="641"/>
      <c r="E16" s="348"/>
      <c r="F16" s="348"/>
      <c r="G16" s="348" t="s">
        <v>700</v>
      </c>
      <c r="H16" s="348" t="s">
        <v>701</v>
      </c>
      <c r="I16" s="348" t="s">
        <v>700</v>
      </c>
      <c r="J16" s="348" t="s">
        <v>701</v>
      </c>
      <c r="K16" s="349" t="s">
        <v>701</v>
      </c>
      <c r="L16" s="342"/>
    </row>
    <row r="17" spans="1:12" s="353" customFormat="1" ht="14.1" customHeight="1">
      <c r="A17" s="326"/>
      <c r="B17" s="350"/>
      <c r="C17" s="615" t="s">
        <v>702</v>
      </c>
      <c r="D17" s="616"/>
      <c r="E17" s="351"/>
      <c r="F17" s="351"/>
      <c r="G17" s="352"/>
      <c r="H17" s="352"/>
      <c r="I17" s="352"/>
      <c r="J17" s="352"/>
      <c r="K17" s="352"/>
      <c r="L17" s="326"/>
    </row>
    <row r="18" spans="1:12" s="353" customFormat="1" ht="12" customHeight="1">
      <c r="A18" s="342"/>
      <c r="B18" s="354" t="s">
        <v>703</v>
      </c>
      <c r="C18" s="619" t="s">
        <v>704</v>
      </c>
      <c r="D18" s="620"/>
      <c r="E18" s="355">
        <v>1</v>
      </c>
      <c r="F18" s="355" t="s">
        <v>705</v>
      </c>
      <c r="G18" s="356">
        <v>0</v>
      </c>
      <c r="H18" s="356">
        <f>E18*G18</f>
        <v>0</v>
      </c>
      <c r="I18" s="356">
        <f>G18*0.18</f>
        <v>0</v>
      </c>
      <c r="J18" s="356">
        <f>E18*I18</f>
        <v>0</v>
      </c>
      <c r="K18" s="357">
        <f>H18+J18</f>
        <v>0</v>
      </c>
      <c r="L18" s="342"/>
    </row>
    <row r="19" spans="1:12" s="353" customFormat="1" ht="12" customHeight="1">
      <c r="A19" s="342"/>
      <c r="B19" s="358"/>
      <c r="C19" s="621" t="s">
        <v>950</v>
      </c>
      <c r="D19" s="622"/>
      <c r="E19" s="359"/>
      <c r="F19" s="359"/>
      <c r="G19" s="360"/>
      <c r="H19" s="361"/>
      <c r="I19" s="360"/>
      <c r="J19" s="361"/>
      <c r="K19" s="362"/>
      <c r="L19" s="342"/>
    </row>
    <row r="20" spans="1:12" s="353" customFormat="1" ht="12" customHeight="1">
      <c r="A20" s="363"/>
      <c r="B20" s="354" t="s">
        <v>706</v>
      </c>
      <c r="C20" s="631" t="s">
        <v>965</v>
      </c>
      <c r="D20" s="628"/>
      <c r="E20" s="355">
        <v>3</v>
      </c>
      <c r="F20" s="355" t="s">
        <v>705</v>
      </c>
      <c r="G20" s="356">
        <v>0</v>
      </c>
      <c r="H20" s="356">
        <f>E20*G20</f>
        <v>0</v>
      </c>
      <c r="I20" s="356">
        <f>G20*0.18</f>
        <v>0</v>
      </c>
      <c r="J20" s="356">
        <f>E20*I20</f>
        <v>0</v>
      </c>
      <c r="K20" s="357">
        <f>H20+J20</f>
        <v>0</v>
      </c>
      <c r="L20" s="363"/>
    </row>
    <row r="21" spans="1:12" s="353" customFormat="1" ht="12" customHeight="1">
      <c r="A21" s="363"/>
      <c r="B21" s="358"/>
      <c r="C21" s="625" t="s">
        <v>951</v>
      </c>
      <c r="D21" s="626"/>
      <c r="E21" s="359"/>
      <c r="F21" s="359"/>
      <c r="G21" s="360"/>
      <c r="H21" s="361"/>
      <c r="I21" s="360"/>
      <c r="J21" s="361"/>
      <c r="K21" s="362"/>
      <c r="L21" s="363"/>
    </row>
    <row r="22" spans="1:12" s="353" customFormat="1" ht="12" customHeight="1">
      <c r="A22" s="363"/>
      <c r="B22" s="354" t="s">
        <v>708</v>
      </c>
      <c r="C22" s="631" t="s">
        <v>707</v>
      </c>
      <c r="D22" s="628"/>
      <c r="E22" s="355">
        <v>1</v>
      </c>
      <c r="F22" s="355" t="s">
        <v>705</v>
      </c>
      <c r="G22" s="356">
        <v>0</v>
      </c>
      <c r="H22" s="356">
        <f>E22*G22</f>
        <v>0</v>
      </c>
      <c r="I22" s="356">
        <f>G22*0.18</f>
        <v>0</v>
      </c>
      <c r="J22" s="356">
        <f>E22*I22</f>
        <v>0</v>
      </c>
      <c r="K22" s="357">
        <f>H22+J22</f>
        <v>0</v>
      </c>
      <c r="L22" s="363"/>
    </row>
    <row r="23" spans="1:12" s="353" customFormat="1" ht="12" customHeight="1">
      <c r="A23" s="363"/>
      <c r="B23" s="358"/>
      <c r="C23" s="625" t="s">
        <v>952</v>
      </c>
      <c r="D23" s="626"/>
      <c r="E23" s="359"/>
      <c r="F23" s="359"/>
      <c r="G23" s="360"/>
      <c r="H23" s="361"/>
      <c r="I23" s="360"/>
      <c r="J23" s="361"/>
      <c r="K23" s="362"/>
      <c r="L23" s="363"/>
    </row>
    <row r="24" spans="1:12" s="353" customFormat="1" ht="12" customHeight="1">
      <c r="A24" s="363"/>
      <c r="B24" s="354" t="s">
        <v>709</v>
      </c>
      <c r="C24" s="631" t="s">
        <v>710</v>
      </c>
      <c r="D24" s="632"/>
      <c r="E24" s="355">
        <v>30</v>
      </c>
      <c r="F24" s="355" t="s">
        <v>711</v>
      </c>
      <c r="G24" s="356">
        <v>0</v>
      </c>
      <c r="H24" s="356">
        <f>E24*G24</f>
        <v>0</v>
      </c>
      <c r="I24" s="356">
        <v>0</v>
      </c>
      <c r="J24" s="356">
        <f>E24*I24</f>
        <v>0</v>
      </c>
      <c r="K24" s="357">
        <f>H24+J24</f>
        <v>0</v>
      </c>
      <c r="L24" s="363"/>
    </row>
    <row r="25" spans="1:12" s="353" customFormat="1" ht="12" customHeight="1">
      <c r="A25" s="363"/>
      <c r="B25" s="358"/>
      <c r="C25" s="625"/>
      <c r="D25" s="626"/>
      <c r="E25" s="359"/>
      <c r="F25" s="359"/>
      <c r="G25" s="360"/>
      <c r="H25" s="361"/>
      <c r="I25" s="360"/>
      <c r="J25" s="361"/>
      <c r="K25" s="362"/>
      <c r="L25" s="363"/>
    </row>
    <row r="26" spans="1:12" s="353" customFormat="1" ht="12" customHeight="1">
      <c r="A26" s="363"/>
      <c r="B26" s="354" t="s">
        <v>712</v>
      </c>
      <c r="C26" s="631" t="s">
        <v>713</v>
      </c>
      <c r="D26" s="632"/>
      <c r="E26" s="355">
        <v>4</v>
      </c>
      <c r="F26" s="355" t="s">
        <v>705</v>
      </c>
      <c r="G26" s="356">
        <v>0</v>
      </c>
      <c r="H26" s="356">
        <f>E26*G26</f>
        <v>0</v>
      </c>
      <c r="I26" s="356">
        <f>G26*0.18</f>
        <v>0</v>
      </c>
      <c r="J26" s="356">
        <f>E26*I26</f>
        <v>0</v>
      </c>
      <c r="K26" s="357">
        <f>H26+J26</f>
        <v>0</v>
      </c>
      <c r="L26" s="363"/>
    </row>
    <row r="27" spans="1:12" s="353" customFormat="1" ht="12" customHeight="1">
      <c r="A27" s="363"/>
      <c r="B27" s="358"/>
      <c r="C27" s="625" t="s">
        <v>714</v>
      </c>
      <c r="D27" s="630"/>
      <c r="E27" s="359"/>
      <c r="F27" s="359"/>
      <c r="G27" s="360"/>
      <c r="H27" s="361"/>
      <c r="I27" s="360"/>
      <c r="J27" s="361"/>
      <c r="K27" s="362"/>
      <c r="L27" s="363"/>
    </row>
    <row r="28" spans="1:12" s="353" customFormat="1" ht="12" customHeight="1">
      <c r="A28" s="363"/>
      <c r="B28" s="354" t="s">
        <v>715</v>
      </c>
      <c r="C28" s="631" t="s">
        <v>716</v>
      </c>
      <c r="D28" s="628"/>
      <c r="E28" s="355">
        <v>2</v>
      </c>
      <c r="F28" s="355" t="s">
        <v>705</v>
      </c>
      <c r="G28" s="356">
        <v>0</v>
      </c>
      <c r="H28" s="356">
        <f>E28*G28</f>
        <v>0</v>
      </c>
      <c r="I28" s="356">
        <f>G28*0.18</f>
        <v>0</v>
      </c>
      <c r="J28" s="356">
        <f>E28*I28</f>
        <v>0</v>
      </c>
      <c r="K28" s="357">
        <f>H28+J28</f>
        <v>0</v>
      </c>
      <c r="L28" s="363"/>
    </row>
    <row r="29" spans="1:12" s="353" customFormat="1" ht="12" customHeight="1">
      <c r="A29" s="363"/>
      <c r="B29" s="358"/>
      <c r="C29" s="625"/>
      <c r="D29" s="626"/>
      <c r="E29" s="359"/>
      <c r="F29" s="359"/>
      <c r="G29" s="360"/>
      <c r="H29" s="361"/>
      <c r="I29" s="360"/>
      <c r="J29" s="361"/>
      <c r="K29" s="362"/>
      <c r="L29" s="363"/>
    </row>
    <row r="30" spans="1:12" s="353" customFormat="1" ht="12" customHeight="1">
      <c r="A30" s="363"/>
      <c r="B30" s="354"/>
      <c r="C30" s="617" t="s">
        <v>717</v>
      </c>
      <c r="D30" s="618"/>
      <c r="E30" s="364"/>
      <c r="F30" s="364"/>
      <c r="G30" s="365"/>
      <c r="H30" s="366">
        <f>SUM(H18:H29)</f>
        <v>0</v>
      </c>
      <c r="I30" s="366"/>
      <c r="J30" s="366">
        <f>SUM(J18:J29)</f>
        <v>0</v>
      </c>
      <c r="K30" s="367">
        <f>SUM(K18:K29)</f>
        <v>0</v>
      </c>
      <c r="L30" s="363"/>
    </row>
    <row r="31" spans="1:12" s="353" customFormat="1" ht="12" customHeight="1">
      <c r="A31" s="363"/>
      <c r="B31" s="358"/>
      <c r="C31" s="629"/>
      <c r="D31" s="630"/>
      <c r="E31" s="368"/>
      <c r="F31" s="368"/>
      <c r="G31" s="369"/>
      <c r="H31" s="370"/>
      <c r="I31" s="370"/>
      <c r="J31" s="370"/>
      <c r="K31" s="371"/>
      <c r="L31" s="363"/>
    </row>
    <row r="32" spans="1:12" s="353" customFormat="1" ht="12" customHeight="1">
      <c r="A32" s="363"/>
      <c r="B32" s="350"/>
      <c r="C32" s="615" t="s">
        <v>718</v>
      </c>
      <c r="D32" s="616"/>
      <c r="E32" s="351"/>
      <c r="F32" s="351"/>
      <c r="G32" s="352"/>
      <c r="H32" s="352"/>
      <c r="I32" s="352"/>
      <c r="J32" s="352"/>
      <c r="K32" s="352"/>
      <c r="L32" s="363"/>
    </row>
    <row r="33" spans="1:12" s="353" customFormat="1" ht="12" customHeight="1">
      <c r="A33" s="363"/>
      <c r="B33" s="354" t="s">
        <v>719</v>
      </c>
      <c r="C33" s="627" t="s">
        <v>966</v>
      </c>
      <c r="D33" s="628"/>
      <c r="E33" s="355">
        <v>1</v>
      </c>
      <c r="F33" s="355" t="s">
        <v>705</v>
      </c>
      <c r="G33" s="356">
        <v>0</v>
      </c>
      <c r="H33" s="356">
        <f>E33*G33</f>
        <v>0</v>
      </c>
      <c r="I33" s="356">
        <f>G33*0.18</f>
        <v>0</v>
      </c>
      <c r="J33" s="356">
        <f>E33*I33</f>
        <v>0</v>
      </c>
      <c r="K33" s="357">
        <f>H33+J33</f>
        <v>0</v>
      </c>
      <c r="L33" s="363"/>
    </row>
    <row r="34" spans="1:12" s="353" customFormat="1" ht="14.1" customHeight="1">
      <c r="A34" s="363"/>
      <c r="B34" s="358"/>
      <c r="C34" s="625" t="s">
        <v>720</v>
      </c>
      <c r="D34" s="626"/>
      <c r="E34" s="359"/>
      <c r="F34" s="359"/>
      <c r="G34" s="360"/>
      <c r="H34" s="361"/>
      <c r="I34" s="360"/>
      <c r="J34" s="361"/>
      <c r="K34" s="362"/>
      <c r="L34" s="363"/>
    </row>
    <row r="35" spans="1:12" s="353" customFormat="1" ht="12" customHeight="1">
      <c r="A35" s="363"/>
      <c r="B35" s="354" t="s">
        <v>721</v>
      </c>
      <c r="C35" s="631" t="s">
        <v>722</v>
      </c>
      <c r="D35" s="632"/>
      <c r="E35" s="355">
        <v>6</v>
      </c>
      <c r="F35" s="355" t="s">
        <v>705</v>
      </c>
      <c r="G35" s="356">
        <v>0</v>
      </c>
      <c r="H35" s="356">
        <f>E35*G35</f>
        <v>0</v>
      </c>
      <c r="I35" s="356">
        <f>G35*0.18</f>
        <v>0</v>
      </c>
      <c r="J35" s="356">
        <f>E35*I35</f>
        <v>0</v>
      </c>
      <c r="K35" s="357">
        <f>H35+J35</f>
        <v>0</v>
      </c>
      <c r="L35" s="363"/>
    </row>
    <row r="36" spans="1:12" s="353" customFormat="1" ht="12" customHeight="1">
      <c r="A36" s="363"/>
      <c r="B36" s="358"/>
      <c r="C36" s="625" t="s">
        <v>951</v>
      </c>
      <c r="D36" s="630"/>
      <c r="E36" s="359"/>
      <c r="F36" s="359"/>
      <c r="G36" s="360"/>
      <c r="H36" s="361"/>
      <c r="I36" s="360"/>
      <c r="J36" s="361"/>
      <c r="K36" s="362"/>
      <c r="L36" s="363"/>
    </row>
    <row r="37" spans="1:12" s="353" customFormat="1" ht="12" customHeight="1">
      <c r="A37" s="363"/>
      <c r="B37" s="354" t="s">
        <v>723</v>
      </c>
      <c r="C37" s="631" t="s">
        <v>724</v>
      </c>
      <c r="D37" s="632"/>
      <c r="E37" s="355">
        <v>1</v>
      </c>
      <c r="F37" s="355" t="s">
        <v>705</v>
      </c>
      <c r="G37" s="356">
        <v>0</v>
      </c>
      <c r="H37" s="356">
        <f>E37*G37</f>
        <v>0</v>
      </c>
      <c r="I37" s="356">
        <f>G37*0.18</f>
        <v>0</v>
      </c>
      <c r="J37" s="356">
        <f>E37*I37</f>
        <v>0</v>
      </c>
      <c r="K37" s="357">
        <f>H37+J37</f>
        <v>0</v>
      </c>
      <c r="L37" s="363"/>
    </row>
    <row r="38" spans="1:12" s="353" customFormat="1" ht="12" customHeight="1">
      <c r="A38" s="363"/>
      <c r="B38" s="358"/>
      <c r="C38" s="625" t="s">
        <v>953</v>
      </c>
      <c r="D38" s="630"/>
      <c r="E38" s="359"/>
      <c r="F38" s="359"/>
      <c r="G38" s="360"/>
      <c r="H38" s="361"/>
      <c r="I38" s="360"/>
      <c r="J38" s="361"/>
      <c r="K38" s="362"/>
      <c r="L38" s="363"/>
    </row>
    <row r="39" spans="1:12" s="353" customFormat="1" ht="12" customHeight="1">
      <c r="A39" s="363"/>
      <c r="B39" s="354" t="s">
        <v>725</v>
      </c>
      <c r="C39" s="631" t="s">
        <v>724</v>
      </c>
      <c r="D39" s="632"/>
      <c r="E39" s="355">
        <v>5</v>
      </c>
      <c r="F39" s="355" t="s">
        <v>705</v>
      </c>
      <c r="G39" s="356">
        <v>0</v>
      </c>
      <c r="H39" s="356">
        <f>E39*G39</f>
        <v>0</v>
      </c>
      <c r="I39" s="356">
        <f>G39*0.18</f>
        <v>0</v>
      </c>
      <c r="J39" s="356">
        <f>E39*I39</f>
        <v>0</v>
      </c>
      <c r="K39" s="357">
        <f>H39+J39</f>
        <v>0</v>
      </c>
      <c r="L39" s="363"/>
    </row>
    <row r="40" spans="1:12" s="353" customFormat="1" ht="12" customHeight="1">
      <c r="A40" s="363"/>
      <c r="B40" s="358"/>
      <c r="C40" s="625" t="s">
        <v>954</v>
      </c>
      <c r="D40" s="630"/>
      <c r="E40" s="359"/>
      <c r="F40" s="359"/>
      <c r="G40" s="360"/>
      <c r="H40" s="361"/>
      <c r="I40" s="360"/>
      <c r="J40" s="361"/>
      <c r="K40" s="362"/>
      <c r="L40" s="363"/>
    </row>
    <row r="41" spans="1:12" s="353" customFormat="1" ht="12" customHeight="1">
      <c r="A41" s="363"/>
      <c r="B41" s="354" t="s">
        <v>726</v>
      </c>
      <c r="C41" s="631" t="s">
        <v>724</v>
      </c>
      <c r="D41" s="632"/>
      <c r="E41" s="355">
        <v>1</v>
      </c>
      <c r="F41" s="355" t="s">
        <v>705</v>
      </c>
      <c r="G41" s="356">
        <v>0</v>
      </c>
      <c r="H41" s="356">
        <f>E41*G41</f>
        <v>0</v>
      </c>
      <c r="I41" s="356">
        <f>G41*0.18</f>
        <v>0</v>
      </c>
      <c r="J41" s="356">
        <f>E41*I41</f>
        <v>0</v>
      </c>
      <c r="K41" s="357">
        <f>H41+J41</f>
        <v>0</v>
      </c>
      <c r="L41" s="363"/>
    </row>
    <row r="42" spans="1:12" s="353" customFormat="1" ht="12" customHeight="1">
      <c r="A42" s="363"/>
      <c r="B42" s="358"/>
      <c r="C42" s="625" t="s">
        <v>955</v>
      </c>
      <c r="D42" s="630"/>
      <c r="E42" s="359"/>
      <c r="F42" s="359"/>
      <c r="G42" s="360"/>
      <c r="H42" s="361"/>
      <c r="I42" s="360"/>
      <c r="J42" s="361"/>
      <c r="K42" s="362"/>
      <c r="L42" s="363"/>
    </row>
    <row r="43" spans="1:12" s="353" customFormat="1" ht="12" customHeight="1">
      <c r="A43" s="363"/>
      <c r="B43" s="354" t="s">
        <v>727</v>
      </c>
      <c r="C43" s="631" t="s">
        <v>724</v>
      </c>
      <c r="D43" s="632"/>
      <c r="E43" s="355">
        <v>1</v>
      </c>
      <c r="F43" s="355" t="s">
        <v>705</v>
      </c>
      <c r="G43" s="356">
        <v>0</v>
      </c>
      <c r="H43" s="356">
        <f>E43*G43</f>
        <v>0</v>
      </c>
      <c r="I43" s="356">
        <f>G43*0.18</f>
        <v>0</v>
      </c>
      <c r="J43" s="356">
        <f>E43*I43</f>
        <v>0</v>
      </c>
      <c r="K43" s="357">
        <f>H43+J43</f>
        <v>0</v>
      </c>
      <c r="L43" s="363"/>
    </row>
    <row r="44" spans="1:12" s="353" customFormat="1" ht="12" customHeight="1">
      <c r="A44" s="363"/>
      <c r="B44" s="358"/>
      <c r="C44" s="372" t="s">
        <v>956</v>
      </c>
      <c r="D44" s="373"/>
      <c r="E44" s="359"/>
      <c r="F44" s="359"/>
      <c r="G44" s="360"/>
      <c r="H44" s="361"/>
      <c r="I44" s="360"/>
      <c r="J44" s="361"/>
      <c r="K44" s="362"/>
      <c r="L44" s="363"/>
    </row>
    <row r="45" spans="1:12" s="353" customFormat="1" ht="12" customHeight="1">
      <c r="A45" s="363"/>
      <c r="B45" s="354" t="s">
        <v>728</v>
      </c>
      <c r="C45" s="631" t="s">
        <v>710</v>
      </c>
      <c r="D45" s="632"/>
      <c r="E45" s="355">
        <v>70</v>
      </c>
      <c r="F45" s="355" t="s">
        <v>711</v>
      </c>
      <c r="G45" s="356">
        <v>0</v>
      </c>
      <c r="H45" s="356">
        <f>E45*G45</f>
        <v>0</v>
      </c>
      <c r="I45" s="356">
        <v>0</v>
      </c>
      <c r="J45" s="356">
        <f>E45*I45</f>
        <v>0</v>
      </c>
      <c r="K45" s="357">
        <f>H45+J45</f>
        <v>0</v>
      </c>
      <c r="L45" s="363"/>
    </row>
    <row r="46" spans="1:12" s="353" customFormat="1" ht="12" customHeight="1">
      <c r="A46" s="363"/>
      <c r="B46" s="358"/>
      <c r="C46" s="625"/>
      <c r="D46" s="626"/>
      <c r="E46" s="359"/>
      <c r="F46" s="359"/>
      <c r="G46" s="360"/>
      <c r="H46" s="361"/>
      <c r="I46" s="360"/>
      <c r="J46" s="361"/>
      <c r="K46" s="362"/>
      <c r="L46" s="363"/>
    </row>
    <row r="47" spans="1:12" s="353" customFormat="1" ht="12" customHeight="1">
      <c r="A47" s="363"/>
      <c r="B47" s="354" t="s">
        <v>728</v>
      </c>
      <c r="C47" s="631" t="s">
        <v>713</v>
      </c>
      <c r="D47" s="632"/>
      <c r="E47" s="355">
        <v>15</v>
      </c>
      <c r="F47" s="355" t="s">
        <v>705</v>
      </c>
      <c r="G47" s="356">
        <v>0</v>
      </c>
      <c r="H47" s="356">
        <f>E47*G47</f>
        <v>0</v>
      </c>
      <c r="I47" s="356">
        <f>G47*0.18</f>
        <v>0</v>
      </c>
      <c r="J47" s="356">
        <f>E47*I47</f>
        <v>0</v>
      </c>
      <c r="K47" s="357">
        <f>H47+J47</f>
        <v>0</v>
      </c>
      <c r="L47" s="363"/>
    </row>
    <row r="48" spans="1:12" s="353" customFormat="1" ht="12" customHeight="1">
      <c r="A48" s="363"/>
      <c r="B48" s="358"/>
      <c r="C48" s="625" t="s">
        <v>714</v>
      </c>
      <c r="D48" s="630"/>
      <c r="E48" s="359"/>
      <c r="F48" s="359"/>
      <c r="G48" s="360"/>
      <c r="H48" s="361"/>
      <c r="I48" s="360"/>
      <c r="J48" s="361"/>
      <c r="K48" s="362"/>
      <c r="L48" s="363"/>
    </row>
    <row r="49" spans="1:12" s="353" customFormat="1" ht="12" customHeight="1">
      <c r="A49" s="363"/>
      <c r="B49" s="354" t="s">
        <v>729</v>
      </c>
      <c r="C49" s="631" t="s">
        <v>716</v>
      </c>
      <c r="D49" s="628"/>
      <c r="E49" s="355">
        <v>1</v>
      </c>
      <c r="F49" s="355" t="s">
        <v>705</v>
      </c>
      <c r="G49" s="356">
        <v>0</v>
      </c>
      <c r="H49" s="356">
        <f>E49*G49</f>
        <v>0</v>
      </c>
      <c r="I49" s="356">
        <f>G49*0.18</f>
        <v>0</v>
      </c>
      <c r="J49" s="356">
        <f>E49*I49</f>
        <v>0</v>
      </c>
      <c r="K49" s="357">
        <f>H49+J49</f>
        <v>0</v>
      </c>
      <c r="L49" s="363"/>
    </row>
    <row r="50" spans="1:12" s="353" customFormat="1" ht="12" customHeight="1">
      <c r="A50" s="363"/>
      <c r="B50" s="358"/>
      <c r="C50" s="625"/>
      <c r="D50" s="626"/>
      <c r="E50" s="359"/>
      <c r="F50" s="359"/>
      <c r="G50" s="360"/>
      <c r="H50" s="361"/>
      <c r="I50" s="360"/>
      <c r="J50" s="361"/>
      <c r="K50" s="362"/>
      <c r="L50" s="363"/>
    </row>
    <row r="51" spans="1:12" s="353" customFormat="1" ht="14.1" customHeight="1">
      <c r="A51" s="363"/>
      <c r="B51" s="354" t="s">
        <v>730</v>
      </c>
      <c r="C51" s="627" t="s">
        <v>967</v>
      </c>
      <c r="D51" s="628"/>
      <c r="E51" s="355">
        <v>2</v>
      </c>
      <c r="F51" s="355" t="s">
        <v>705</v>
      </c>
      <c r="G51" s="356">
        <v>0</v>
      </c>
      <c r="H51" s="356">
        <f>E51*G51</f>
        <v>0</v>
      </c>
      <c r="I51" s="356">
        <f>G51*0.18</f>
        <v>0</v>
      </c>
      <c r="J51" s="356">
        <f>E51*I51</f>
        <v>0</v>
      </c>
      <c r="K51" s="357">
        <f>H51+J51</f>
        <v>0</v>
      </c>
      <c r="L51" s="374"/>
    </row>
    <row r="52" spans="1:12" s="353" customFormat="1" ht="12" customHeight="1">
      <c r="A52" s="363"/>
      <c r="B52" s="358"/>
      <c r="C52" s="625" t="s">
        <v>957</v>
      </c>
      <c r="D52" s="626"/>
      <c r="E52" s="359"/>
      <c r="F52" s="359"/>
      <c r="G52" s="360"/>
      <c r="H52" s="361"/>
      <c r="I52" s="360"/>
      <c r="J52" s="361"/>
      <c r="K52" s="362"/>
      <c r="L52" s="363"/>
    </row>
    <row r="53" spans="1:12" s="353" customFormat="1" ht="12" customHeight="1">
      <c r="A53" s="363"/>
      <c r="B53" s="354" t="s">
        <v>731</v>
      </c>
      <c r="C53" s="627" t="s">
        <v>968</v>
      </c>
      <c r="D53" s="628"/>
      <c r="E53" s="355">
        <v>1</v>
      </c>
      <c r="F53" s="355" t="s">
        <v>705</v>
      </c>
      <c r="G53" s="356">
        <v>0</v>
      </c>
      <c r="H53" s="356">
        <f>E53*G53</f>
        <v>0</v>
      </c>
      <c r="I53" s="356">
        <f>G53*0.18</f>
        <v>0</v>
      </c>
      <c r="J53" s="356">
        <f>E53*I53</f>
        <v>0</v>
      </c>
      <c r="K53" s="357">
        <f>H53+J53</f>
        <v>0</v>
      </c>
      <c r="L53" s="363"/>
    </row>
    <row r="54" spans="1:12" s="353" customFormat="1" ht="12" customHeight="1">
      <c r="A54" s="363"/>
      <c r="B54" s="358"/>
      <c r="C54" s="625" t="s">
        <v>958</v>
      </c>
      <c r="D54" s="626"/>
      <c r="E54" s="359"/>
      <c r="F54" s="359"/>
      <c r="G54" s="360"/>
      <c r="H54" s="361"/>
      <c r="I54" s="360"/>
      <c r="J54" s="361"/>
      <c r="K54" s="362"/>
      <c r="L54" s="363"/>
    </row>
    <row r="55" spans="1:12" s="353" customFormat="1" ht="12" customHeight="1">
      <c r="A55" s="363"/>
      <c r="B55" s="354" t="s">
        <v>732</v>
      </c>
      <c r="C55" s="627" t="s">
        <v>733</v>
      </c>
      <c r="D55" s="628"/>
      <c r="E55" s="355">
        <v>1</v>
      </c>
      <c r="F55" s="355" t="s">
        <v>705</v>
      </c>
      <c r="G55" s="356">
        <v>0</v>
      </c>
      <c r="H55" s="356">
        <f>E55*G55</f>
        <v>0</v>
      </c>
      <c r="I55" s="356">
        <f>G55*0.18</f>
        <v>0</v>
      </c>
      <c r="J55" s="356">
        <f>E55*I55</f>
        <v>0</v>
      </c>
      <c r="K55" s="357">
        <f>H55+J55</f>
        <v>0</v>
      </c>
      <c r="L55" s="363"/>
    </row>
    <row r="56" spans="1:12" s="353" customFormat="1" ht="12" customHeight="1">
      <c r="A56" s="363"/>
      <c r="B56" s="358"/>
      <c r="C56" s="625" t="s">
        <v>734</v>
      </c>
      <c r="D56" s="626"/>
      <c r="E56" s="359"/>
      <c r="F56" s="359"/>
      <c r="G56" s="360"/>
      <c r="H56" s="361"/>
      <c r="I56" s="360"/>
      <c r="J56" s="361"/>
      <c r="K56" s="362"/>
      <c r="L56" s="363"/>
    </row>
    <row r="57" spans="1:12" s="353" customFormat="1" ht="12" customHeight="1">
      <c r="A57" s="363"/>
      <c r="B57" s="375"/>
      <c r="C57" s="617" t="s">
        <v>717</v>
      </c>
      <c r="D57" s="618"/>
      <c r="E57" s="364"/>
      <c r="F57" s="364"/>
      <c r="G57" s="365"/>
      <c r="H57" s="366">
        <f>SUM(H33:H56)</f>
        <v>0</v>
      </c>
      <c r="I57" s="366"/>
      <c r="J57" s="366">
        <f>SUM(J33:J56)</f>
        <v>0</v>
      </c>
      <c r="K57" s="367">
        <f>SUM(K33:K56)</f>
        <v>0</v>
      </c>
      <c r="L57" s="363"/>
    </row>
    <row r="58" spans="1:12" s="353" customFormat="1" ht="12" customHeight="1">
      <c r="A58" s="363"/>
      <c r="B58" s="376"/>
      <c r="C58" s="629"/>
      <c r="D58" s="630"/>
      <c r="E58" s="368"/>
      <c r="F58" s="368"/>
      <c r="G58" s="369"/>
      <c r="H58" s="370"/>
      <c r="I58" s="370"/>
      <c r="J58" s="370"/>
      <c r="K58" s="371"/>
      <c r="L58" s="363"/>
    </row>
    <row r="59" spans="1:12" s="353" customFormat="1" ht="12" customHeight="1">
      <c r="A59" s="363"/>
      <c r="B59" s="350"/>
      <c r="C59" s="636" t="s">
        <v>735</v>
      </c>
      <c r="D59" s="637"/>
      <c r="E59" s="351"/>
      <c r="F59" s="351"/>
      <c r="G59" s="352"/>
      <c r="H59" s="352"/>
      <c r="I59" s="352"/>
      <c r="J59" s="352"/>
      <c r="K59" s="352"/>
      <c r="L59" s="363"/>
    </row>
    <row r="60" spans="1:12" s="353" customFormat="1" ht="12" customHeight="1">
      <c r="A60" s="363"/>
      <c r="B60" s="354" t="s">
        <v>736</v>
      </c>
      <c r="C60" s="619" t="s">
        <v>704</v>
      </c>
      <c r="D60" s="620"/>
      <c r="E60" s="355">
        <v>1</v>
      </c>
      <c r="F60" s="355" t="s">
        <v>705</v>
      </c>
      <c r="G60" s="356">
        <v>0</v>
      </c>
      <c r="H60" s="356">
        <f>E60*G60</f>
        <v>0</v>
      </c>
      <c r="I60" s="356">
        <f>G60*0.18</f>
        <v>0</v>
      </c>
      <c r="J60" s="356">
        <f>E60*I60</f>
        <v>0</v>
      </c>
      <c r="K60" s="357">
        <f>H60+J60</f>
        <v>0</v>
      </c>
      <c r="L60" s="363"/>
    </row>
    <row r="61" spans="1:12" s="353" customFormat="1" ht="12" customHeight="1">
      <c r="A61" s="363"/>
      <c r="B61" s="358"/>
      <c r="C61" s="621" t="s">
        <v>959</v>
      </c>
      <c r="D61" s="622"/>
      <c r="E61" s="359"/>
      <c r="F61" s="359"/>
      <c r="G61" s="360"/>
      <c r="H61" s="361"/>
      <c r="I61" s="360"/>
      <c r="J61" s="361"/>
      <c r="K61" s="362"/>
      <c r="L61" s="363"/>
    </row>
    <row r="62" spans="1:12" s="353" customFormat="1" ht="12" customHeight="1">
      <c r="A62" s="363"/>
      <c r="B62" s="354" t="s">
        <v>737</v>
      </c>
      <c r="C62" s="619" t="s">
        <v>724</v>
      </c>
      <c r="D62" s="620"/>
      <c r="E62" s="355">
        <v>8</v>
      </c>
      <c r="F62" s="355" t="s">
        <v>705</v>
      </c>
      <c r="G62" s="356">
        <v>0</v>
      </c>
      <c r="H62" s="356">
        <f>E62*G62</f>
        <v>0</v>
      </c>
      <c r="I62" s="356">
        <f>G62*0.18</f>
        <v>0</v>
      </c>
      <c r="J62" s="356">
        <f>E62*I62</f>
        <v>0</v>
      </c>
      <c r="K62" s="357">
        <f>H62+J62</f>
        <v>0</v>
      </c>
      <c r="L62" s="363"/>
    </row>
    <row r="63" spans="1:12" s="353" customFormat="1" ht="12" customHeight="1">
      <c r="A63" s="363"/>
      <c r="B63" s="358"/>
      <c r="C63" s="621" t="s">
        <v>951</v>
      </c>
      <c r="D63" s="622"/>
      <c r="E63" s="359"/>
      <c r="F63" s="359"/>
      <c r="G63" s="360"/>
      <c r="H63" s="361"/>
      <c r="I63" s="360"/>
      <c r="J63" s="361"/>
      <c r="K63" s="362"/>
      <c r="L63" s="363"/>
    </row>
    <row r="64" spans="1:12" s="353" customFormat="1" ht="12" customHeight="1">
      <c r="A64" s="363"/>
      <c r="B64" s="354" t="s">
        <v>738</v>
      </c>
      <c r="C64" s="619" t="s">
        <v>724</v>
      </c>
      <c r="D64" s="620"/>
      <c r="E64" s="355">
        <v>1</v>
      </c>
      <c r="F64" s="355" t="s">
        <v>705</v>
      </c>
      <c r="G64" s="356">
        <v>0</v>
      </c>
      <c r="H64" s="356">
        <f>E64*G64</f>
        <v>0</v>
      </c>
      <c r="I64" s="356">
        <f>G64*0.18</f>
        <v>0</v>
      </c>
      <c r="J64" s="356">
        <f>E64*I64</f>
        <v>0</v>
      </c>
      <c r="K64" s="357">
        <f>H64+J64</f>
        <v>0</v>
      </c>
      <c r="L64" s="363"/>
    </row>
    <row r="65" spans="1:12" s="353" customFormat="1" ht="12" customHeight="1">
      <c r="A65" s="363"/>
      <c r="B65" s="358"/>
      <c r="C65" s="621" t="s">
        <v>953</v>
      </c>
      <c r="D65" s="622"/>
      <c r="E65" s="359"/>
      <c r="F65" s="359"/>
      <c r="G65" s="360"/>
      <c r="H65" s="361"/>
      <c r="I65" s="360"/>
      <c r="J65" s="361"/>
      <c r="K65" s="362"/>
      <c r="L65" s="363"/>
    </row>
    <row r="66" spans="1:12" s="353" customFormat="1" ht="14.1" customHeight="1">
      <c r="A66" s="363"/>
      <c r="B66" s="354" t="s">
        <v>739</v>
      </c>
      <c r="C66" s="619" t="s">
        <v>724</v>
      </c>
      <c r="D66" s="620"/>
      <c r="E66" s="355">
        <v>3</v>
      </c>
      <c r="F66" s="355" t="s">
        <v>705</v>
      </c>
      <c r="G66" s="356">
        <v>0</v>
      </c>
      <c r="H66" s="356">
        <f>E66*G66</f>
        <v>0</v>
      </c>
      <c r="I66" s="356">
        <f>G66*0.18</f>
        <v>0</v>
      </c>
      <c r="J66" s="356">
        <f>E66*I66</f>
        <v>0</v>
      </c>
      <c r="K66" s="357">
        <f>H66+J66</f>
        <v>0</v>
      </c>
      <c r="L66" s="363"/>
    </row>
    <row r="67" spans="1:12" s="353" customFormat="1" ht="12" customHeight="1">
      <c r="A67" s="363"/>
      <c r="B67" s="358"/>
      <c r="C67" s="621" t="s">
        <v>960</v>
      </c>
      <c r="D67" s="622"/>
      <c r="E67" s="359"/>
      <c r="F67" s="359"/>
      <c r="G67" s="360"/>
      <c r="H67" s="361"/>
      <c r="I67" s="360"/>
      <c r="J67" s="361"/>
      <c r="K67" s="362"/>
      <c r="L67" s="363"/>
    </row>
    <row r="68" spans="1:12" s="353" customFormat="1" ht="12" customHeight="1">
      <c r="A68" s="363"/>
      <c r="B68" s="354" t="s">
        <v>740</v>
      </c>
      <c r="C68" s="619" t="s">
        <v>724</v>
      </c>
      <c r="D68" s="620"/>
      <c r="E68" s="355">
        <v>1</v>
      </c>
      <c r="F68" s="355" t="s">
        <v>705</v>
      </c>
      <c r="G68" s="356">
        <v>0</v>
      </c>
      <c r="H68" s="356">
        <f>E68*G68</f>
        <v>0</v>
      </c>
      <c r="I68" s="356">
        <f>G68*0.18</f>
        <v>0</v>
      </c>
      <c r="J68" s="356">
        <f>E68*I68</f>
        <v>0</v>
      </c>
      <c r="K68" s="357">
        <f>H68+J68</f>
        <v>0</v>
      </c>
      <c r="L68" s="374"/>
    </row>
    <row r="69" spans="1:12" s="353" customFormat="1" ht="12" customHeight="1">
      <c r="A69" s="363"/>
      <c r="B69" s="358"/>
      <c r="C69" s="621" t="s">
        <v>956</v>
      </c>
      <c r="D69" s="622"/>
      <c r="E69" s="359"/>
      <c r="F69" s="359"/>
      <c r="G69" s="360"/>
      <c r="H69" s="361"/>
      <c r="I69" s="360"/>
      <c r="J69" s="361"/>
      <c r="K69" s="362"/>
      <c r="L69" s="363"/>
    </row>
    <row r="70" spans="1:12" s="353" customFormat="1" ht="12" customHeight="1">
      <c r="A70" s="363"/>
      <c r="B70" s="354" t="s">
        <v>741</v>
      </c>
      <c r="C70" s="631" t="s">
        <v>710</v>
      </c>
      <c r="D70" s="632"/>
      <c r="E70" s="355">
        <v>130</v>
      </c>
      <c r="F70" s="355" t="s">
        <v>711</v>
      </c>
      <c r="G70" s="356">
        <v>0</v>
      </c>
      <c r="H70" s="356">
        <f>E70*G70</f>
        <v>0</v>
      </c>
      <c r="I70" s="356">
        <v>0</v>
      </c>
      <c r="J70" s="356">
        <f>E70*I70</f>
        <v>0</v>
      </c>
      <c r="K70" s="357">
        <f>H70+J70</f>
        <v>0</v>
      </c>
      <c r="L70" s="363"/>
    </row>
    <row r="71" spans="1:12" s="353" customFormat="1" ht="12" customHeight="1">
      <c r="A71" s="363"/>
      <c r="B71" s="358"/>
      <c r="C71" s="625"/>
      <c r="D71" s="626"/>
      <c r="E71" s="359"/>
      <c r="F71" s="359"/>
      <c r="G71" s="360"/>
      <c r="H71" s="361"/>
      <c r="I71" s="360"/>
      <c r="J71" s="361"/>
      <c r="K71" s="362"/>
      <c r="L71" s="374"/>
    </row>
    <row r="72" spans="1:12" s="353" customFormat="1" ht="12" customHeight="1">
      <c r="A72" s="363"/>
      <c r="B72" s="354" t="s">
        <v>742</v>
      </c>
      <c r="C72" s="631" t="s">
        <v>713</v>
      </c>
      <c r="D72" s="632"/>
      <c r="E72" s="355">
        <v>15</v>
      </c>
      <c r="F72" s="355" t="s">
        <v>705</v>
      </c>
      <c r="G72" s="356">
        <v>0</v>
      </c>
      <c r="H72" s="356">
        <f>E72*G72</f>
        <v>0</v>
      </c>
      <c r="I72" s="356">
        <f>G72*0.18</f>
        <v>0</v>
      </c>
      <c r="J72" s="356">
        <f>E72*I72</f>
        <v>0</v>
      </c>
      <c r="K72" s="357">
        <f>H72+J72</f>
        <v>0</v>
      </c>
      <c r="L72" s="363"/>
    </row>
    <row r="73" spans="1:12" s="353" customFormat="1" ht="12" customHeight="1">
      <c r="A73" s="363"/>
      <c r="B73" s="358"/>
      <c r="C73" s="625" t="s">
        <v>714</v>
      </c>
      <c r="D73" s="630"/>
      <c r="E73" s="359"/>
      <c r="F73" s="359"/>
      <c r="G73" s="360"/>
      <c r="H73" s="361"/>
      <c r="I73" s="360"/>
      <c r="J73" s="361"/>
      <c r="K73" s="362"/>
      <c r="L73" s="363"/>
    </row>
    <row r="74" spans="1:12" s="353" customFormat="1" ht="12" customHeight="1">
      <c r="A74" s="363"/>
      <c r="B74" s="354" t="s">
        <v>743</v>
      </c>
      <c r="C74" s="631" t="s">
        <v>716</v>
      </c>
      <c r="D74" s="628"/>
      <c r="E74" s="355">
        <v>1</v>
      </c>
      <c r="F74" s="355" t="s">
        <v>705</v>
      </c>
      <c r="G74" s="356">
        <v>0</v>
      </c>
      <c r="H74" s="356">
        <f>E74*G74</f>
        <v>0</v>
      </c>
      <c r="I74" s="356">
        <f>G74*0.18</f>
        <v>0</v>
      </c>
      <c r="J74" s="356">
        <f>E74*I74</f>
        <v>0</v>
      </c>
      <c r="K74" s="357">
        <f>H74+J74</f>
        <v>0</v>
      </c>
      <c r="L74" s="363"/>
    </row>
    <row r="75" spans="1:12" s="353" customFormat="1" ht="12" customHeight="1">
      <c r="A75" s="363"/>
      <c r="B75" s="358"/>
      <c r="C75" s="625"/>
      <c r="D75" s="626"/>
      <c r="E75" s="359"/>
      <c r="F75" s="359"/>
      <c r="G75" s="360"/>
      <c r="H75" s="361"/>
      <c r="I75" s="360"/>
      <c r="J75" s="361"/>
      <c r="K75" s="362"/>
      <c r="L75" s="363"/>
    </row>
    <row r="76" spans="1:12" s="353" customFormat="1" ht="12" customHeight="1">
      <c r="A76" s="363"/>
      <c r="B76" s="375"/>
      <c r="C76" s="633" t="s">
        <v>717</v>
      </c>
      <c r="D76" s="634"/>
      <c r="E76" s="364"/>
      <c r="F76" s="364"/>
      <c r="G76" s="365"/>
      <c r="H76" s="366">
        <f>SUM(H60:H75)</f>
        <v>0</v>
      </c>
      <c r="I76" s="366"/>
      <c r="J76" s="366">
        <f>SUM(J60:J75)</f>
        <v>0</v>
      </c>
      <c r="K76" s="367">
        <f>SUM(K60:K75)</f>
        <v>0</v>
      </c>
      <c r="L76" s="363"/>
    </row>
    <row r="77" spans="1:12" s="353" customFormat="1" ht="12" customHeight="1">
      <c r="A77" s="363"/>
      <c r="B77" s="376"/>
      <c r="C77" s="629"/>
      <c r="D77" s="635"/>
      <c r="E77" s="368"/>
      <c r="F77" s="368"/>
      <c r="G77" s="369"/>
      <c r="H77" s="370"/>
      <c r="I77" s="370"/>
      <c r="J77" s="370"/>
      <c r="K77" s="371"/>
      <c r="L77" s="363"/>
    </row>
    <row r="78" spans="1:12" s="353" customFormat="1" ht="12" customHeight="1">
      <c r="A78" s="363"/>
      <c r="B78" s="350"/>
      <c r="C78" s="615" t="s">
        <v>744</v>
      </c>
      <c r="D78" s="615"/>
      <c r="E78" s="351"/>
      <c r="F78" s="351"/>
      <c r="G78" s="352"/>
      <c r="H78" s="352"/>
      <c r="I78" s="352"/>
      <c r="J78" s="352"/>
      <c r="K78" s="352"/>
      <c r="L78" s="363"/>
    </row>
    <row r="79" spans="1:12" s="353" customFormat="1" ht="12" customHeight="1">
      <c r="A79" s="363"/>
      <c r="B79" s="354" t="s">
        <v>745</v>
      </c>
      <c r="C79" s="631" t="s">
        <v>704</v>
      </c>
      <c r="D79" s="628"/>
      <c r="E79" s="355">
        <v>1</v>
      </c>
      <c r="F79" s="355" t="s">
        <v>705</v>
      </c>
      <c r="G79" s="356">
        <v>0</v>
      </c>
      <c r="H79" s="356">
        <f>E79*G79</f>
        <v>0</v>
      </c>
      <c r="I79" s="356">
        <f>G79*0.18</f>
        <v>0</v>
      </c>
      <c r="J79" s="356">
        <f>E79*I79</f>
        <v>0</v>
      </c>
      <c r="K79" s="357">
        <f>H79+J79</f>
        <v>0</v>
      </c>
      <c r="L79" s="363"/>
    </row>
    <row r="80" spans="1:12" s="353" customFormat="1" ht="12" customHeight="1">
      <c r="A80" s="363"/>
      <c r="B80" s="358"/>
      <c r="C80" s="625" t="s">
        <v>961</v>
      </c>
      <c r="D80" s="626"/>
      <c r="E80" s="359"/>
      <c r="F80" s="359"/>
      <c r="G80" s="360"/>
      <c r="H80" s="361"/>
      <c r="I80" s="360"/>
      <c r="J80" s="361"/>
      <c r="K80" s="362"/>
      <c r="L80" s="363"/>
    </row>
    <row r="81" spans="1:12" s="353" customFormat="1" ht="12" customHeight="1">
      <c r="A81" s="363"/>
      <c r="B81" s="354" t="s">
        <v>746</v>
      </c>
      <c r="C81" s="631" t="s">
        <v>724</v>
      </c>
      <c r="D81" s="628"/>
      <c r="E81" s="355">
        <v>6</v>
      </c>
      <c r="F81" s="355" t="s">
        <v>705</v>
      </c>
      <c r="G81" s="356">
        <v>0</v>
      </c>
      <c r="H81" s="356">
        <f>E81*G81</f>
        <v>0</v>
      </c>
      <c r="I81" s="356">
        <f>G81*0.18</f>
        <v>0</v>
      </c>
      <c r="J81" s="356">
        <f>E81*I81</f>
        <v>0</v>
      </c>
      <c r="K81" s="357">
        <f>H81+J81</f>
        <v>0</v>
      </c>
      <c r="L81" s="363"/>
    </row>
    <row r="82" spans="1:12" s="353" customFormat="1" ht="12" customHeight="1">
      <c r="A82" s="363"/>
      <c r="B82" s="358"/>
      <c r="C82" s="625" t="s">
        <v>951</v>
      </c>
      <c r="D82" s="626"/>
      <c r="E82" s="359"/>
      <c r="F82" s="359"/>
      <c r="G82" s="360"/>
      <c r="H82" s="361"/>
      <c r="I82" s="360"/>
      <c r="J82" s="361"/>
      <c r="K82" s="362"/>
      <c r="L82" s="363"/>
    </row>
    <row r="83" spans="1:12" s="353" customFormat="1" ht="14.1" customHeight="1">
      <c r="A83" s="363"/>
      <c r="B83" s="354" t="s">
        <v>747</v>
      </c>
      <c r="C83" s="631" t="s">
        <v>724</v>
      </c>
      <c r="D83" s="628"/>
      <c r="E83" s="355">
        <v>1</v>
      </c>
      <c r="F83" s="355" t="s">
        <v>705</v>
      </c>
      <c r="G83" s="356">
        <v>0</v>
      </c>
      <c r="H83" s="356">
        <f>E83*G83</f>
        <v>0</v>
      </c>
      <c r="I83" s="356">
        <f>G83*0.18</f>
        <v>0</v>
      </c>
      <c r="J83" s="356">
        <f>E83*I83</f>
        <v>0</v>
      </c>
      <c r="K83" s="357">
        <f>H83+J83</f>
        <v>0</v>
      </c>
      <c r="L83" s="363"/>
    </row>
    <row r="84" spans="1:12" s="353" customFormat="1" ht="12" customHeight="1">
      <c r="A84" s="363"/>
      <c r="B84" s="358"/>
      <c r="C84" s="625" t="s">
        <v>953</v>
      </c>
      <c r="D84" s="626"/>
      <c r="E84" s="359"/>
      <c r="F84" s="359"/>
      <c r="G84" s="360"/>
      <c r="H84" s="361"/>
      <c r="I84" s="360"/>
      <c r="J84" s="361"/>
      <c r="K84" s="362"/>
      <c r="L84" s="363"/>
    </row>
    <row r="85" spans="1:12" s="353" customFormat="1" ht="12" customHeight="1">
      <c r="A85" s="363"/>
      <c r="B85" s="354" t="s">
        <v>748</v>
      </c>
      <c r="C85" s="631" t="s">
        <v>724</v>
      </c>
      <c r="D85" s="628"/>
      <c r="E85" s="355">
        <v>5</v>
      </c>
      <c r="F85" s="355" t="s">
        <v>705</v>
      </c>
      <c r="G85" s="356">
        <v>0</v>
      </c>
      <c r="H85" s="356">
        <f>E85*G85</f>
        <v>0</v>
      </c>
      <c r="I85" s="356">
        <f>G85*0.18</f>
        <v>0</v>
      </c>
      <c r="J85" s="356">
        <f>E85*I85</f>
        <v>0</v>
      </c>
      <c r="K85" s="357">
        <f>H85+J85</f>
        <v>0</v>
      </c>
      <c r="L85" s="363"/>
    </row>
    <row r="86" spans="1:12" s="353" customFormat="1" ht="12" customHeight="1">
      <c r="A86" s="363"/>
      <c r="B86" s="358"/>
      <c r="C86" s="625" t="s">
        <v>954</v>
      </c>
      <c r="D86" s="626"/>
      <c r="E86" s="359"/>
      <c r="F86" s="359"/>
      <c r="G86" s="360"/>
      <c r="H86" s="361"/>
      <c r="I86" s="360"/>
      <c r="J86" s="361"/>
      <c r="K86" s="362"/>
      <c r="L86" s="363"/>
    </row>
    <row r="87" spans="1:12" s="353" customFormat="1" ht="12" customHeight="1">
      <c r="A87" s="363"/>
      <c r="B87" s="354" t="s">
        <v>749</v>
      </c>
      <c r="C87" s="631" t="s">
        <v>710</v>
      </c>
      <c r="D87" s="632"/>
      <c r="E87" s="355">
        <v>70</v>
      </c>
      <c r="F87" s="355" t="s">
        <v>711</v>
      </c>
      <c r="G87" s="356">
        <v>0</v>
      </c>
      <c r="H87" s="356">
        <f>E87*G87</f>
        <v>0</v>
      </c>
      <c r="I87" s="356">
        <v>0</v>
      </c>
      <c r="J87" s="356">
        <f>E87*I87</f>
        <v>0</v>
      </c>
      <c r="K87" s="357">
        <f>H87+J87</f>
        <v>0</v>
      </c>
      <c r="L87" s="363"/>
    </row>
    <row r="88" spans="1:12" s="353" customFormat="1" ht="9.9" customHeight="1">
      <c r="A88" s="363"/>
      <c r="B88" s="358"/>
      <c r="C88" s="625"/>
      <c r="D88" s="626"/>
      <c r="E88" s="359"/>
      <c r="F88" s="359"/>
      <c r="G88" s="360"/>
      <c r="H88" s="361"/>
      <c r="I88" s="360"/>
      <c r="J88" s="361"/>
      <c r="K88" s="362"/>
      <c r="L88" s="363"/>
    </row>
    <row r="89" spans="1:12" s="353" customFormat="1" ht="12" customHeight="1">
      <c r="A89" s="363"/>
      <c r="B89" s="354" t="s">
        <v>750</v>
      </c>
      <c r="C89" s="631" t="s">
        <v>713</v>
      </c>
      <c r="D89" s="632"/>
      <c r="E89" s="355">
        <v>13</v>
      </c>
      <c r="F89" s="355" t="s">
        <v>705</v>
      </c>
      <c r="G89" s="356">
        <v>0</v>
      </c>
      <c r="H89" s="356">
        <f>E89*G89</f>
        <v>0</v>
      </c>
      <c r="I89" s="356">
        <f>G89*0.18</f>
        <v>0</v>
      </c>
      <c r="J89" s="356">
        <f>E89*I89</f>
        <v>0</v>
      </c>
      <c r="K89" s="357">
        <f>H89+J89</f>
        <v>0</v>
      </c>
      <c r="L89" s="363"/>
    </row>
    <row r="90" spans="1:12" s="353" customFormat="1" ht="12" customHeight="1">
      <c r="A90" s="363"/>
      <c r="B90" s="358"/>
      <c r="C90" s="625" t="s">
        <v>714</v>
      </c>
      <c r="D90" s="630"/>
      <c r="E90" s="359"/>
      <c r="F90" s="359"/>
      <c r="G90" s="360"/>
      <c r="H90" s="361"/>
      <c r="I90" s="360"/>
      <c r="J90" s="361"/>
      <c r="K90" s="362"/>
      <c r="L90" s="363"/>
    </row>
    <row r="91" spans="1:12" s="353" customFormat="1" ht="12" customHeight="1">
      <c r="A91" s="363"/>
      <c r="B91" s="354" t="s">
        <v>751</v>
      </c>
      <c r="C91" s="631" t="s">
        <v>716</v>
      </c>
      <c r="D91" s="628"/>
      <c r="E91" s="355">
        <v>1</v>
      </c>
      <c r="F91" s="355" t="s">
        <v>705</v>
      </c>
      <c r="G91" s="356">
        <v>0</v>
      </c>
      <c r="H91" s="356">
        <f>E91*G91</f>
        <v>0</v>
      </c>
      <c r="I91" s="356">
        <f>G91*0.18</f>
        <v>0</v>
      </c>
      <c r="J91" s="356">
        <f>E91*I91</f>
        <v>0</v>
      </c>
      <c r="K91" s="357">
        <f>H91+J91</f>
        <v>0</v>
      </c>
      <c r="L91" s="363"/>
    </row>
    <row r="92" spans="1:12" s="353" customFormat="1" ht="12" customHeight="1">
      <c r="A92" s="363"/>
      <c r="B92" s="377"/>
      <c r="C92" s="378"/>
      <c r="D92" s="379"/>
      <c r="E92" s="380"/>
      <c r="F92" s="380"/>
      <c r="G92" s="381"/>
      <c r="H92" s="381"/>
      <c r="I92" s="381"/>
      <c r="J92" s="381"/>
      <c r="K92" s="382"/>
      <c r="L92" s="363"/>
    </row>
    <row r="93" spans="1:12" s="353" customFormat="1" ht="12" customHeight="1">
      <c r="A93" s="363"/>
      <c r="B93" s="354" t="s">
        <v>752</v>
      </c>
      <c r="C93" s="627" t="s">
        <v>753</v>
      </c>
      <c r="D93" s="628"/>
      <c r="E93" s="355">
        <v>1</v>
      </c>
      <c r="F93" s="355" t="s">
        <v>705</v>
      </c>
      <c r="G93" s="356">
        <v>0</v>
      </c>
      <c r="H93" s="356">
        <f>E93*G93</f>
        <v>0</v>
      </c>
      <c r="I93" s="356">
        <f>G93*0.18</f>
        <v>0</v>
      </c>
      <c r="J93" s="356">
        <f>E93*I93</f>
        <v>0</v>
      </c>
      <c r="K93" s="357">
        <f>H93+J93</f>
        <v>0</v>
      </c>
      <c r="L93" s="363"/>
    </row>
    <row r="94" spans="1:12" s="353" customFormat="1" ht="12" customHeight="1">
      <c r="A94" s="363"/>
      <c r="B94" s="358"/>
      <c r="C94" s="625" t="s">
        <v>969</v>
      </c>
      <c r="D94" s="626"/>
      <c r="E94" s="359"/>
      <c r="F94" s="359"/>
      <c r="G94" s="360"/>
      <c r="H94" s="361"/>
      <c r="I94" s="360"/>
      <c r="J94" s="361"/>
      <c r="K94" s="362"/>
      <c r="L94" s="363"/>
    </row>
    <row r="95" spans="1:12" s="353" customFormat="1" ht="12" customHeight="1">
      <c r="A95" s="363"/>
      <c r="B95" s="375"/>
      <c r="C95" s="633" t="s">
        <v>717</v>
      </c>
      <c r="D95" s="634"/>
      <c r="E95" s="364"/>
      <c r="F95" s="364"/>
      <c r="G95" s="365"/>
      <c r="H95" s="366">
        <f>SUM(H79:H94)</f>
        <v>0</v>
      </c>
      <c r="I95" s="366"/>
      <c r="J95" s="366">
        <f>SUM(J79:J94)</f>
        <v>0</v>
      </c>
      <c r="K95" s="367">
        <f>SUM(K79:K94)</f>
        <v>0</v>
      </c>
      <c r="L95" s="363"/>
    </row>
    <row r="96" spans="1:12" s="353" customFormat="1" ht="12" customHeight="1">
      <c r="A96" s="363"/>
      <c r="B96" s="376"/>
      <c r="C96" s="629"/>
      <c r="D96" s="635"/>
      <c r="E96" s="368"/>
      <c r="F96" s="368"/>
      <c r="G96" s="369"/>
      <c r="H96" s="370"/>
      <c r="I96" s="370"/>
      <c r="J96" s="370"/>
      <c r="K96" s="371"/>
      <c r="L96" s="363"/>
    </row>
    <row r="97" spans="1:12" s="353" customFormat="1" ht="12" customHeight="1">
      <c r="A97" s="363"/>
      <c r="B97" s="350"/>
      <c r="C97" s="615" t="s">
        <v>754</v>
      </c>
      <c r="D97" s="616"/>
      <c r="E97" s="351"/>
      <c r="F97" s="351"/>
      <c r="G97" s="352"/>
      <c r="H97" s="352"/>
      <c r="I97" s="352"/>
      <c r="J97" s="352"/>
      <c r="K97" s="352"/>
      <c r="L97" s="363"/>
    </row>
    <row r="98" spans="1:12" s="353" customFormat="1" ht="12" customHeight="1">
      <c r="A98" s="363"/>
      <c r="B98" s="354" t="s">
        <v>755</v>
      </c>
      <c r="C98" s="619" t="s">
        <v>704</v>
      </c>
      <c r="D98" s="620"/>
      <c r="E98" s="355">
        <v>1</v>
      </c>
      <c r="F98" s="355" t="s">
        <v>705</v>
      </c>
      <c r="G98" s="356">
        <v>0</v>
      </c>
      <c r="H98" s="356">
        <f>E98*G98</f>
        <v>0</v>
      </c>
      <c r="I98" s="356">
        <f>G98*0.18</f>
        <v>0</v>
      </c>
      <c r="J98" s="356">
        <f>E98*I98</f>
        <v>0</v>
      </c>
      <c r="K98" s="357">
        <f>H98+J98</f>
        <v>0</v>
      </c>
      <c r="L98" s="363"/>
    </row>
    <row r="99" spans="1:12" s="353" customFormat="1" ht="12" customHeight="1">
      <c r="A99" s="363"/>
      <c r="B99" s="358"/>
      <c r="C99" s="621" t="s">
        <v>959</v>
      </c>
      <c r="D99" s="622"/>
      <c r="E99" s="359"/>
      <c r="F99" s="359"/>
      <c r="G99" s="360"/>
      <c r="H99" s="361"/>
      <c r="I99" s="360"/>
      <c r="J99" s="361"/>
      <c r="K99" s="362"/>
      <c r="L99" s="363"/>
    </row>
    <row r="100" spans="1:12" s="353" customFormat="1" ht="12" customHeight="1">
      <c r="A100" s="363"/>
      <c r="B100" s="354" t="s">
        <v>756</v>
      </c>
      <c r="C100" s="619" t="s">
        <v>724</v>
      </c>
      <c r="D100" s="620"/>
      <c r="E100" s="355">
        <v>4</v>
      </c>
      <c r="F100" s="355" t="s">
        <v>705</v>
      </c>
      <c r="G100" s="356">
        <v>0</v>
      </c>
      <c r="H100" s="356">
        <f>E100*G100</f>
        <v>0</v>
      </c>
      <c r="I100" s="356">
        <f>G100*0.18</f>
        <v>0</v>
      </c>
      <c r="J100" s="356">
        <f>E100*I100</f>
        <v>0</v>
      </c>
      <c r="K100" s="357">
        <f>H100+J100</f>
        <v>0</v>
      </c>
      <c r="L100" s="363"/>
    </row>
    <row r="101" spans="1:12" s="353" customFormat="1" ht="12" customHeight="1">
      <c r="A101" s="363"/>
      <c r="B101" s="358"/>
      <c r="C101" s="621" t="s">
        <v>951</v>
      </c>
      <c r="D101" s="622"/>
      <c r="E101" s="359"/>
      <c r="F101" s="359"/>
      <c r="G101" s="360"/>
      <c r="H101" s="361"/>
      <c r="I101" s="360"/>
      <c r="J101" s="361"/>
      <c r="K101" s="362"/>
      <c r="L101" s="363"/>
    </row>
    <row r="102" spans="1:12" s="353" customFormat="1" ht="9.9" customHeight="1">
      <c r="A102" s="363"/>
      <c r="B102" s="354" t="s">
        <v>757</v>
      </c>
      <c r="C102" s="619" t="s">
        <v>724</v>
      </c>
      <c r="D102" s="620"/>
      <c r="E102" s="355">
        <v>1</v>
      </c>
      <c r="F102" s="355" t="s">
        <v>705</v>
      </c>
      <c r="G102" s="356">
        <v>0</v>
      </c>
      <c r="H102" s="356">
        <f>E102*G102</f>
        <v>0</v>
      </c>
      <c r="I102" s="356">
        <f t="shared" ref="I102" si="0">G102*0.18</f>
        <v>0</v>
      </c>
      <c r="J102" s="356">
        <f>E102*I102</f>
        <v>0</v>
      </c>
      <c r="K102" s="357">
        <f>H102+J102</f>
        <v>0</v>
      </c>
      <c r="L102" s="363"/>
    </row>
    <row r="103" spans="1:12" s="353" customFormat="1" ht="12" customHeight="1">
      <c r="A103" s="363"/>
      <c r="B103" s="358"/>
      <c r="C103" s="621" t="s">
        <v>953</v>
      </c>
      <c r="D103" s="622"/>
      <c r="E103" s="359"/>
      <c r="F103" s="359"/>
      <c r="G103" s="360"/>
      <c r="H103" s="361"/>
      <c r="I103" s="356"/>
      <c r="J103" s="361"/>
      <c r="K103" s="362"/>
      <c r="L103" s="363"/>
    </row>
    <row r="104" spans="1:12" s="353" customFormat="1" ht="12" customHeight="1">
      <c r="A104" s="363"/>
      <c r="B104" s="354" t="s">
        <v>758</v>
      </c>
      <c r="C104" s="619" t="s">
        <v>724</v>
      </c>
      <c r="D104" s="620"/>
      <c r="E104" s="355">
        <v>6</v>
      </c>
      <c r="F104" s="355" t="s">
        <v>705</v>
      </c>
      <c r="G104" s="356">
        <v>0</v>
      </c>
      <c r="H104" s="356">
        <f>E104*G104</f>
        <v>0</v>
      </c>
      <c r="I104" s="356">
        <f>G104*0.18</f>
        <v>0</v>
      </c>
      <c r="J104" s="356">
        <f>E104*I104</f>
        <v>0</v>
      </c>
      <c r="K104" s="357">
        <f>H104+J104</f>
        <v>0</v>
      </c>
      <c r="L104" s="363"/>
    </row>
    <row r="105" spans="1:12" s="353" customFormat="1" ht="12" customHeight="1">
      <c r="A105" s="363"/>
      <c r="B105" s="358"/>
      <c r="C105" s="621" t="s">
        <v>960</v>
      </c>
      <c r="D105" s="622"/>
      <c r="E105" s="359"/>
      <c r="F105" s="359"/>
      <c r="G105" s="360"/>
      <c r="H105" s="361"/>
      <c r="I105" s="360"/>
      <c r="J105" s="361"/>
      <c r="K105" s="362"/>
      <c r="L105" s="363"/>
    </row>
    <row r="106" spans="1:12" s="353" customFormat="1" ht="12" customHeight="1">
      <c r="A106" s="363"/>
      <c r="B106" s="354" t="s">
        <v>759</v>
      </c>
      <c r="C106" s="631" t="s">
        <v>710</v>
      </c>
      <c r="D106" s="632"/>
      <c r="E106" s="355">
        <v>70</v>
      </c>
      <c r="F106" s="355" t="s">
        <v>711</v>
      </c>
      <c r="G106" s="356">
        <v>0</v>
      </c>
      <c r="H106" s="356">
        <f>E106*G106</f>
        <v>0</v>
      </c>
      <c r="I106" s="356">
        <v>0</v>
      </c>
      <c r="J106" s="356">
        <f>E106*I106</f>
        <v>0</v>
      </c>
      <c r="K106" s="357">
        <f>H106+J106</f>
        <v>0</v>
      </c>
      <c r="L106" s="363"/>
    </row>
    <row r="107" spans="1:12" s="353" customFormat="1" ht="12" customHeight="1">
      <c r="A107" s="363"/>
      <c r="B107" s="358"/>
      <c r="C107" s="625"/>
      <c r="D107" s="626"/>
      <c r="E107" s="359"/>
      <c r="F107" s="359"/>
      <c r="G107" s="360"/>
      <c r="H107" s="361"/>
      <c r="I107" s="360"/>
      <c r="J107" s="361"/>
      <c r="K107" s="362"/>
      <c r="L107" s="363"/>
    </row>
    <row r="108" spans="1:12" s="353" customFormat="1" ht="12" customHeight="1">
      <c r="A108" s="363"/>
      <c r="B108" s="354" t="s">
        <v>760</v>
      </c>
      <c r="C108" s="631" t="s">
        <v>713</v>
      </c>
      <c r="D108" s="632"/>
      <c r="E108" s="355">
        <v>12</v>
      </c>
      <c r="F108" s="355" t="s">
        <v>705</v>
      </c>
      <c r="G108" s="356">
        <v>0</v>
      </c>
      <c r="H108" s="356">
        <f>E108*G108</f>
        <v>0</v>
      </c>
      <c r="I108" s="356">
        <f>G108*0.18</f>
        <v>0</v>
      </c>
      <c r="J108" s="356">
        <f>E108*I108</f>
        <v>0</v>
      </c>
      <c r="K108" s="357">
        <f>H108+J108</f>
        <v>0</v>
      </c>
      <c r="L108" s="363"/>
    </row>
    <row r="109" spans="1:12" s="353" customFormat="1" ht="12" customHeight="1">
      <c r="A109" s="363"/>
      <c r="B109" s="358"/>
      <c r="C109" s="625" t="s">
        <v>714</v>
      </c>
      <c r="D109" s="630"/>
      <c r="E109" s="359"/>
      <c r="F109" s="359"/>
      <c r="G109" s="360"/>
      <c r="H109" s="361"/>
      <c r="I109" s="360"/>
      <c r="J109" s="361"/>
      <c r="K109" s="362"/>
      <c r="L109" s="363"/>
    </row>
    <row r="110" spans="1:12" s="353" customFormat="1" ht="12" customHeight="1">
      <c r="A110" s="363"/>
      <c r="B110" s="354" t="s">
        <v>761</v>
      </c>
      <c r="C110" s="631" t="s">
        <v>716</v>
      </c>
      <c r="D110" s="628"/>
      <c r="E110" s="355">
        <v>1</v>
      </c>
      <c r="F110" s="355" t="s">
        <v>705</v>
      </c>
      <c r="G110" s="356">
        <v>0</v>
      </c>
      <c r="H110" s="356">
        <f>E110*G110</f>
        <v>0</v>
      </c>
      <c r="I110" s="356">
        <f>G110*0.18</f>
        <v>0</v>
      </c>
      <c r="J110" s="356">
        <f>E110*I110</f>
        <v>0</v>
      </c>
      <c r="K110" s="357">
        <f>H110+J110</f>
        <v>0</v>
      </c>
      <c r="L110" s="363"/>
    </row>
    <row r="111" spans="1:12" s="353" customFormat="1" ht="9.9" customHeight="1">
      <c r="A111" s="363"/>
      <c r="B111" s="358"/>
      <c r="C111" s="625"/>
      <c r="D111" s="626"/>
      <c r="E111" s="359"/>
      <c r="F111" s="359"/>
      <c r="G111" s="360"/>
      <c r="H111" s="361"/>
      <c r="I111" s="360"/>
      <c r="J111" s="361"/>
      <c r="K111" s="362"/>
      <c r="L111" s="363"/>
    </row>
    <row r="112" spans="1:12" s="353" customFormat="1" ht="12" customHeight="1">
      <c r="A112" s="363"/>
      <c r="B112" s="354" t="s">
        <v>762</v>
      </c>
      <c r="C112" s="627" t="s">
        <v>753</v>
      </c>
      <c r="D112" s="628"/>
      <c r="E112" s="355">
        <v>1</v>
      </c>
      <c r="F112" s="355" t="s">
        <v>705</v>
      </c>
      <c r="G112" s="356">
        <v>0</v>
      </c>
      <c r="H112" s="356">
        <f>E112*G112</f>
        <v>0</v>
      </c>
      <c r="I112" s="356">
        <f>G112*0.18</f>
        <v>0</v>
      </c>
      <c r="J112" s="356">
        <f>E112*I112</f>
        <v>0</v>
      </c>
      <c r="K112" s="357">
        <f>H112+J112</f>
        <v>0</v>
      </c>
      <c r="L112" s="363"/>
    </row>
    <row r="113" spans="1:12" s="353" customFormat="1" ht="12.6" customHeight="1">
      <c r="A113" s="363"/>
      <c r="B113" s="358"/>
      <c r="C113" s="625" t="s">
        <v>970</v>
      </c>
      <c r="D113" s="626"/>
      <c r="E113" s="359"/>
      <c r="F113" s="359"/>
      <c r="G113" s="360"/>
      <c r="H113" s="361"/>
      <c r="I113" s="360"/>
      <c r="J113" s="361"/>
      <c r="K113" s="362"/>
      <c r="L113" s="363"/>
    </row>
    <row r="114" spans="1:12" s="353" customFormat="1" ht="12" customHeight="1">
      <c r="A114" s="363"/>
      <c r="B114" s="375"/>
      <c r="C114" s="617" t="s">
        <v>717</v>
      </c>
      <c r="D114" s="618"/>
      <c r="E114" s="364"/>
      <c r="F114" s="364"/>
      <c r="G114" s="365"/>
      <c r="H114" s="366">
        <f>SUM(H98:H113)</f>
        <v>0</v>
      </c>
      <c r="I114" s="366"/>
      <c r="J114" s="366">
        <f>SUM(J98:J113)</f>
        <v>0</v>
      </c>
      <c r="K114" s="367">
        <f>SUM(K98:K113)</f>
        <v>0</v>
      </c>
      <c r="L114" s="363"/>
    </row>
    <row r="115" spans="1:12" s="353" customFormat="1" ht="11.4" customHeight="1">
      <c r="A115" s="363"/>
      <c r="B115" s="376"/>
      <c r="C115" s="629"/>
      <c r="D115" s="630"/>
      <c r="E115" s="368"/>
      <c r="F115" s="368"/>
      <c r="G115" s="369"/>
      <c r="H115" s="370"/>
      <c r="I115" s="370"/>
      <c r="J115" s="370"/>
      <c r="K115" s="371"/>
      <c r="L115" s="363"/>
    </row>
    <row r="116" spans="1:12" s="353" customFormat="1" ht="12" customHeight="1">
      <c r="A116" s="363"/>
      <c r="B116" s="350"/>
      <c r="C116" s="615" t="s">
        <v>763</v>
      </c>
      <c r="D116" s="616"/>
      <c r="E116" s="351"/>
      <c r="F116" s="351"/>
      <c r="G116" s="352"/>
      <c r="H116" s="352"/>
      <c r="I116" s="352"/>
      <c r="J116" s="352"/>
      <c r="K116" s="352"/>
      <c r="L116" s="363"/>
    </row>
    <row r="117" spans="1:12" s="353" customFormat="1" ht="21.6" customHeight="1">
      <c r="A117" s="363"/>
      <c r="B117" s="354" t="s">
        <v>764</v>
      </c>
      <c r="C117" s="623" t="s">
        <v>765</v>
      </c>
      <c r="D117" s="624"/>
      <c r="E117" s="355">
        <v>1</v>
      </c>
      <c r="F117" s="355" t="s">
        <v>125</v>
      </c>
      <c r="G117" s="356">
        <v>0</v>
      </c>
      <c r="H117" s="356">
        <f>E117*G117</f>
        <v>0</v>
      </c>
      <c r="I117" s="356">
        <v>0</v>
      </c>
      <c r="J117" s="356">
        <f>E117*I117</f>
        <v>0</v>
      </c>
      <c r="K117" s="383">
        <f>H117+J117</f>
        <v>0</v>
      </c>
      <c r="L117" s="363"/>
    </row>
    <row r="118" spans="1:12" s="353" customFormat="1" ht="12" customHeight="1">
      <c r="A118" s="363"/>
      <c r="B118" s="358"/>
      <c r="C118" s="621"/>
      <c r="D118" s="622"/>
      <c r="E118" s="359"/>
      <c r="F118" s="359"/>
      <c r="G118" s="360"/>
      <c r="H118" s="361"/>
      <c r="I118" s="360"/>
      <c r="J118" s="361"/>
      <c r="K118" s="362"/>
      <c r="L118" s="363"/>
    </row>
    <row r="119" spans="1:12" s="353" customFormat="1" ht="12" customHeight="1">
      <c r="A119" s="363"/>
      <c r="B119" s="375"/>
      <c r="C119" s="617" t="s">
        <v>717</v>
      </c>
      <c r="D119" s="618"/>
      <c r="E119" s="364"/>
      <c r="F119" s="364"/>
      <c r="G119" s="365"/>
      <c r="H119" s="366">
        <f>SUM(H117:H118)</f>
        <v>0</v>
      </c>
      <c r="I119" s="366"/>
      <c r="J119" s="366">
        <f>SUM(J117:J118)</f>
        <v>0</v>
      </c>
      <c r="K119" s="367">
        <f>SUM(K117:K118)</f>
        <v>0</v>
      </c>
      <c r="L119" s="363"/>
    </row>
    <row r="120" spans="1:12" s="353" customFormat="1" ht="12" customHeight="1">
      <c r="A120" s="363"/>
      <c r="B120" s="384"/>
      <c r="C120" s="613"/>
      <c r="D120" s="614"/>
      <c r="E120" s="385"/>
      <c r="F120" s="385"/>
      <c r="G120" s="386"/>
      <c r="H120" s="387"/>
      <c r="I120" s="387"/>
      <c r="J120" s="387"/>
      <c r="K120" s="388"/>
      <c r="L120" s="363"/>
    </row>
    <row r="121" spans="1:12" s="353" customFormat="1" ht="12.6" customHeight="1">
      <c r="A121" s="363"/>
      <c r="B121" s="350"/>
      <c r="C121" s="615" t="s">
        <v>766</v>
      </c>
      <c r="D121" s="616"/>
      <c r="E121" s="351"/>
      <c r="F121" s="351"/>
      <c r="G121" s="352"/>
      <c r="H121" s="352"/>
      <c r="I121" s="352"/>
      <c r="J121" s="352"/>
      <c r="K121" s="352"/>
      <c r="L121" s="363"/>
    </row>
    <row r="122" spans="1:12" s="353" customFormat="1" ht="12" customHeight="1">
      <c r="A122" s="363"/>
      <c r="B122" s="354" t="s">
        <v>767</v>
      </c>
      <c r="C122" s="619" t="s">
        <v>768</v>
      </c>
      <c r="D122" s="620"/>
      <c r="E122" s="355">
        <v>1</v>
      </c>
      <c r="F122" s="355" t="s">
        <v>125</v>
      </c>
      <c r="G122" s="356">
        <v>0</v>
      </c>
      <c r="H122" s="356">
        <f>E122*G122</f>
        <v>0</v>
      </c>
      <c r="I122" s="356">
        <v>0</v>
      </c>
      <c r="J122" s="356">
        <f>E122*I122</f>
        <v>0</v>
      </c>
      <c r="K122" s="383">
        <f>H122+J122</f>
        <v>0</v>
      </c>
      <c r="L122" s="363"/>
    </row>
    <row r="123" spans="1:12" s="353" customFormat="1" ht="12" customHeight="1">
      <c r="A123" s="363"/>
      <c r="B123" s="358"/>
      <c r="C123" s="621"/>
      <c r="D123" s="622"/>
      <c r="E123" s="359"/>
      <c r="F123" s="359"/>
      <c r="G123" s="360"/>
      <c r="H123" s="361"/>
      <c r="I123" s="360"/>
      <c r="J123" s="361"/>
      <c r="K123" s="362"/>
      <c r="L123" s="363"/>
    </row>
    <row r="124" spans="1:12" s="353" customFormat="1" ht="12" customHeight="1">
      <c r="A124" s="363"/>
      <c r="B124" s="354" t="s">
        <v>769</v>
      </c>
      <c r="C124" s="619" t="s">
        <v>770</v>
      </c>
      <c r="D124" s="620"/>
      <c r="E124" s="355">
        <v>1</v>
      </c>
      <c r="F124" s="355" t="s">
        <v>125</v>
      </c>
      <c r="G124" s="356">
        <v>0</v>
      </c>
      <c r="H124" s="356">
        <f>E124*G124</f>
        <v>0</v>
      </c>
      <c r="I124" s="356">
        <v>0</v>
      </c>
      <c r="J124" s="356">
        <f>E124*I124</f>
        <v>0</v>
      </c>
      <c r="K124" s="383">
        <f>H124+J124</f>
        <v>0</v>
      </c>
      <c r="L124" s="363"/>
    </row>
    <row r="125" spans="1:12" s="353" customFormat="1" ht="12" customHeight="1">
      <c r="A125" s="363"/>
      <c r="B125" s="358"/>
      <c r="C125" s="621"/>
      <c r="D125" s="622"/>
      <c r="E125" s="359"/>
      <c r="F125" s="359"/>
      <c r="G125" s="360"/>
      <c r="H125" s="361"/>
      <c r="I125" s="360"/>
      <c r="J125" s="361"/>
      <c r="K125" s="362"/>
      <c r="L125" s="363"/>
    </row>
    <row r="126" spans="1:12" s="353" customFormat="1" ht="14.4" customHeight="1">
      <c r="A126" s="363"/>
      <c r="B126" s="375"/>
      <c r="C126" s="617" t="s">
        <v>717</v>
      </c>
      <c r="D126" s="618"/>
      <c r="E126" s="364"/>
      <c r="F126" s="364"/>
      <c r="G126" s="365"/>
      <c r="H126" s="366">
        <f>SUM(H122:H125)</f>
        <v>0</v>
      </c>
      <c r="I126" s="366"/>
      <c r="J126" s="366">
        <f>SUM(J122:J125)</f>
        <v>0</v>
      </c>
      <c r="K126" s="367">
        <f>SUM(K122:K125)</f>
        <v>0</v>
      </c>
      <c r="L126" s="363"/>
    </row>
    <row r="127" spans="1:12" s="353" customFormat="1" ht="9.9" customHeight="1">
      <c r="A127" s="363"/>
      <c r="B127" s="384"/>
      <c r="C127" s="613"/>
      <c r="D127" s="614"/>
      <c r="E127" s="385"/>
      <c r="F127" s="385"/>
      <c r="G127" s="386"/>
      <c r="H127" s="387"/>
      <c r="I127" s="387"/>
      <c r="J127" s="387"/>
      <c r="K127" s="388"/>
      <c r="L127" s="363"/>
    </row>
    <row r="128" spans="1:12" s="353" customFormat="1" ht="13.2" customHeight="1">
      <c r="A128" s="363"/>
      <c r="B128" s="350"/>
      <c r="C128" s="615" t="s">
        <v>771</v>
      </c>
      <c r="D128" s="616"/>
      <c r="E128" s="351"/>
      <c r="F128" s="351"/>
      <c r="G128" s="352"/>
      <c r="H128" s="352"/>
      <c r="I128" s="352"/>
      <c r="J128" s="352"/>
      <c r="K128" s="352"/>
      <c r="L128" s="363"/>
    </row>
    <row r="129" spans="1:12" s="353" customFormat="1" ht="13.8" customHeight="1">
      <c r="A129" s="363"/>
      <c r="B129" s="375"/>
      <c r="C129" s="617" t="s">
        <v>772</v>
      </c>
      <c r="D129" s="618"/>
      <c r="E129" s="364"/>
      <c r="F129" s="364"/>
      <c r="G129" s="365"/>
      <c r="H129" s="366">
        <f>H57+H119+H126+H114+H95+H76+H30</f>
        <v>0</v>
      </c>
      <c r="I129" s="366"/>
      <c r="J129" s="366">
        <f>J126+J119+J114+J95+J76+J57+J30</f>
        <v>0</v>
      </c>
      <c r="K129" s="367">
        <f>K126+K119+K114+K95+K76+K57+K30</f>
        <v>0</v>
      </c>
      <c r="L129" s="363"/>
    </row>
    <row r="130" spans="1:12" s="353" customFormat="1" ht="12.6" customHeight="1">
      <c r="A130" s="363"/>
      <c r="B130" s="384"/>
      <c r="C130" s="613"/>
      <c r="D130" s="614"/>
      <c r="E130" s="385"/>
      <c r="F130" s="385"/>
      <c r="G130" s="386"/>
      <c r="H130" s="387"/>
      <c r="I130" s="387"/>
      <c r="J130" s="387"/>
      <c r="K130" s="388"/>
      <c r="L130" s="363"/>
    </row>
    <row r="131" spans="1:12" s="353" customFormat="1" ht="12" customHeight="1">
      <c r="A131" s="363"/>
      <c r="B131" s="363"/>
      <c r="C131" s="363"/>
      <c r="D131" s="363"/>
      <c r="E131" s="363"/>
      <c r="F131" s="363"/>
      <c r="G131" s="363"/>
      <c r="H131" s="363"/>
      <c r="I131" s="363"/>
      <c r="J131" s="363"/>
      <c r="K131" s="363"/>
      <c r="L131" s="363"/>
    </row>
    <row r="132" spans="1:12" s="353" customFormat="1" ht="12" customHeight="1"/>
    <row r="133" spans="1:12" s="353" customFormat="1" ht="12" customHeight="1"/>
    <row r="134" spans="1:12" s="353" customFormat="1" ht="12" customHeight="1"/>
    <row r="135" spans="1:12" s="353" customFormat="1" ht="12" customHeight="1"/>
    <row r="136" spans="1:12" s="353" customFormat="1" ht="14.4" customHeight="1"/>
    <row r="137" spans="1:12" s="353" customFormat="1" ht="12" customHeight="1"/>
    <row r="138" spans="1:12" s="353" customFormat="1" ht="12" customHeight="1"/>
    <row r="139" spans="1:12" s="353" customFormat="1" ht="13.2" customHeight="1"/>
    <row r="140" spans="1:12" s="353" customFormat="1" ht="9.9" customHeight="1"/>
    <row r="141" spans="1:12" s="353" customFormat="1" ht="9.9" customHeight="1"/>
    <row r="142" spans="1:12" s="353" customFormat="1" ht="9.9" customHeight="1"/>
    <row r="143" spans="1:12" s="353" customFormat="1" ht="9.9" customHeight="1"/>
    <row r="144" spans="1:12" s="353" customFormat="1" ht="9.9" customHeight="1"/>
    <row r="145" s="353" customFormat="1" ht="12" customHeight="1"/>
    <row r="146" s="353" customFormat="1" ht="9.9" customHeight="1"/>
    <row r="147" s="353" customFormat="1" ht="12" customHeight="1"/>
    <row r="148" s="353" customFormat="1" ht="12.6" customHeight="1"/>
    <row r="149" s="353" customFormat="1" ht="9.9" customHeight="1"/>
    <row r="150" s="353" customFormat="1" ht="9.9" customHeight="1"/>
    <row r="151" s="353" customFormat="1" ht="9.9" customHeight="1"/>
    <row r="152" s="353" customFormat="1" ht="9.9" customHeight="1"/>
    <row r="153" s="353" customFormat="1" ht="9.9" customHeight="1"/>
    <row r="154" s="353" customFormat="1" ht="9.9" customHeight="1"/>
    <row r="155" s="353" customFormat="1" ht="9.9" customHeight="1"/>
    <row r="156" s="353" customFormat="1" ht="12.6" customHeight="1"/>
    <row r="157" s="353" customFormat="1" ht="11.4" customHeight="1"/>
    <row r="158" s="353" customFormat="1" ht="9.9" customHeight="1"/>
    <row r="159" s="353" customFormat="1" ht="9.9" customHeight="1"/>
    <row r="160" s="353" customFormat="1" ht="9.9" customHeight="1"/>
    <row r="161" s="353" customFormat="1" ht="9.9" customHeight="1"/>
    <row r="162" s="353" customFormat="1" ht="9.9" customHeight="1"/>
    <row r="163" s="353" customFormat="1" ht="9.9" customHeight="1"/>
    <row r="164" s="353" customFormat="1" ht="9.9" customHeight="1"/>
    <row r="165" s="353" customFormat="1" ht="9.9" customHeight="1"/>
    <row r="166" s="353" customFormat="1" ht="9.9" customHeight="1"/>
    <row r="167" s="353" customFormat="1" ht="9.9" customHeight="1"/>
    <row r="168" s="353" customFormat="1" ht="9.9" customHeight="1"/>
    <row r="169" s="353" customFormat="1" ht="9.9" customHeight="1"/>
    <row r="170" s="353" customFormat="1" ht="9.9" customHeight="1"/>
    <row r="171" s="353" customFormat="1" ht="9.9" customHeight="1"/>
    <row r="172" s="353" customFormat="1" ht="9.9" customHeight="1"/>
    <row r="173" s="353" customFormat="1" ht="9.9" customHeight="1"/>
    <row r="174" s="353" customFormat="1" ht="9.9" customHeight="1"/>
    <row r="175" s="353" customFormat="1" ht="9.9" customHeight="1"/>
    <row r="176" s="353" customFormat="1" ht="9.9" customHeight="1"/>
    <row r="177" s="353" customFormat="1" ht="9.9" customHeight="1"/>
    <row r="178" s="353" customFormat="1" ht="9.9" customHeight="1"/>
    <row r="179" s="353" customFormat="1" ht="9.9" customHeight="1"/>
    <row r="180" s="353" customFormat="1" ht="9.9" customHeight="1"/>
    <row r="181" s="353" customFormat="1" ht="9.9" customHeight="1"/>
    <row r="182" s="353" customFormat="1" ht="9.9" customHeight="1"/>
    <row r="183" s="353" customFormat="1" ht="9.9" customHeight="1"/>
    <row r="184" s="353" customFormat="1" ht="9.9" customHeight="1"/>
    <row r="185" s="353" customFormat="1" ht="9.9" customHeight="1"/>
    <row r="186" s="353" customFormat="1" ht="9.9" customHeight="1"/>
    <row r="187" s="353" customFormat="1" ht="9.9" customHeight="1"/>
    <row r="188" s="353" customFormat="1" ht="9.9" customHeight="1"/>
    <row r="189" s="353" customFormat="1" ht="9.9" customHeight="1"/>
    <row r="190" s="353" customFormat="1" ht="9.9" customHeight="1"/>
    <row r="191" s="353" customFormat="1" ht="9.9" customHeight="1"/>
    <row r="192" s="353" customFormat="1" ht="9.9" customHeight="1"/>
    <row r="193" s="353" customFormat="1" ht="9.9" customHeight="1"/>
    <row r="194" s="353" customFormat="1" ht="9.9" customHeight="1"/>
    <row r="195" s="353" customFormat="1" ht="9.9" customHeight="1"/>
    <row r="196" s="353" customFormat="1" ht="9.9" customHeight="1"/>
    <row r="197" s="353" customFormat="1" ht="9.9" customHeight="1"/>
    <row r="198" s="353" customFormat="1" ht="9.9" customHeight="1"/>
    <row r="199" s="353" customFormat="1" ht="9.9" customHeight="1"/>
    <row r="200" s="353" customFormat="1" ht="9.9" customHeight="1"/>
    <row r="201" s="353" customFormat="1" ht="9.9" customHeight="1"/>
    <row r="202" s="353" customFormat="1" ht="9.9" customHeight="1"/>
    <row r="203" s="353" customFormat="1" ht="9.9" customHeight="1"/>
    <row r="204" s="353" customFormat="1" ht="9.9" customHeight="1"/>
    <row r="205" s="353" customFormat="1" ht="9.9" customHeight="1"/>
    <row r="206" s="353" customFormat="1" ht="9.9" customHeight="1"/>
    <row r="207" s="353" customFormat="1" ht="9.9" customHeight="1"/>
    <row r="208" s="353" customFormat="1" ht="9.9" customHeight="1"/>
    <row r="209" s="353" customFormat="1" ht="9.9" customHeight="1"/>
    <row r="210" s="353" customFormat="1" ht="9.9" customHeight="1"/>
    <row r="211" s="353" customFormat="1" ht="9.9" customHeight="1"/>
    <row r="212" s="353" customFormat="1" ht="9.9" customHeight="1"/>
    <row r="213" s="353" customFormat="1" ht="9.9" customHeight="1"/>
    <row r="214" s="353" customFormat="1" ht="9.9" customHeight="1"/>
    <row r="215" s="353" customFormat="1" ht="9.9" customHeight="1"/>
    <row r="216" s="353" customFormat="1" ht="9.9" customHeight="1"/>
    <row r="217" s="353" customFormat="1" ht="9.9" customHeight="1"/>
    <row r="218" s="353" customFormat="1" ht="9.9" customHeight="1"/>
    <row r="219" s="353" customFormat="1" ht="9.9" customHeight="1"/>
    <row r="220" s="353" customFormat="1" ht="9.9" customHeight="1"/>
    <row r="221" s="353" customFormat="1" ht="9.9" customHeight="1"/>
    <row r="222" s="353" customFormat="1" ht="9.9" customHeight="1"/>
    <row r="223" s="353" customFormat="1" ht="9.9" customHeight="1"/>
    <row r="224" s="353" customFormat="1" ht="9.9" customHeight="1"/>
    <row r="225" s="353" customFormat="1" ht="9.9" customHeight="1"/>
    <row r="226" s="353" customFormat="1" ht="9.9" customHeight="1"/>
    <row r="227" s="353" customFormat="1" ht="9.9" customHeight="1"/>
    <row r="228" s="353" customFormat="1" ht="9.9" customHeight="1"/>
    <row r="229" s="353" customFormat="1" ht="9.9" customHeight="1"/>
    <row r="230" s="353" customFormat="1" ht="9.9" customHeight="1"/>
    <row r="231" s="353" customFormat="1" ht="9.9" customHeight="1"/>
    <row r="232" s="353" customFormat="1" ht="9.9" customHeight="1"/>
    <row r="233" s="353" customFormat="1" ht="9.9" customHeight="1"/>
    <row r="234" s="353" customFormat="1" ht="9.9" customHeight="1"/>
    <row r="235" s="353" customFormat="1" ht="9.9" customHeight="1"/>
    <row r="236" s="353" customFormat="1" ht="9.9" customHeight="1"/>
    <row r="237" s="353" customFormat="1" ht="9.9" customHeight="1"/>
    <row r="238" s="353" customFormat="1" ht="9.9" customHeight="1"/>
    <row r="239" s="353" customFormat="1" ht="9.9" customHeight="1"/>
    <row r="240" s="353" customFormat="1" ht="9.9" customHeight="1"/>
    <row r="241" s="353" customFormat="1" ht="9.9" customHeight="1"/>
    <row r="242" s="353" customFormat="1" ht="9.9" customHeight="1"/>
    <row r="243" s="353" customFormat="1" ht="9.9" customHeight="1"/>
    <row r="244" s="353" customFormat="1" ht="9.9" customHeight="1"/>
    <row r="245" s="353" customFormat="1" ht="9.9" customHeight="1"/>
    <row r="246" s="353" customFormat="1" ht="9.9" customHeight="1"/>
    <row r="247" s="353" customFormat="1" ht="9.9" customHeight="1"/>
    <row r="248" s="353" customFormat="1" ht="9.9" customHeight="1"/>
    <row r="249" s="353" customFormat="1" ht="9.9" customHeight="1"/>
    <row r="250" s="353" customFormat="1" ht="9.9" customHeight="1"/>
    <row r="251" s="353" customFormat="1" ht="9.9" customHeight="1"/>
    <row r="252" s="353" customFormat="1" ht="9.9" customHeight="1"/>
    <row r="253" s="353" customFormat="1" ht="9.9" customHeight="1"/>
    <row r="254" s="353" customFormat="1" ht="9.9" customHeight="1"/>
    <row r="255" s="353" customFormat="1" ht="9.9" customHeight="1"/>
    <row r="256" s="353" customFormat="1" ht="9.9" customHeight="1"/>
    <row r="257" s="353" customFormat="1" ht="9.9" customHeight="1"/>
    <row r="258" s="353" customFormat="1" ht="9.9" customHeight="1"/>
    <row r="259" s="353" customFormat="1" ht="9.9" customHeight="1"/>
    <row r="260" s="353" customFormat="1" ht="9.9" customHeight="1"/>
    <row r="261" s="353" customFormat="1" ht="9.9" customHeight="1"/>
    <row r="262" s="353" customFormat="1" ht="9.9" customHeight="1"/>
    <row r="263" s="353" customFormat="1" ht="9.9" customHeight="1"/>
    <row r="264" s="353" customFormat="1" ht="9.9" customHeight="1"/>
    <row r="265" s="353" customFormat="1" ht="9.9" customHeight="1"/>
    <row r="266" s="353" customFormat="1" ht="9.9" customHeight="1"/>
    <row r="267" s="353" customFormat="1" ht="9.9" customHeight="1"/>
    <row r="268" s="353" customFormat="1" ht="9.9" customHeight="1"/>
    <row r="269" s="353" customFormat="1" ht="9.9" customHeight="1"/>
    <row r="270" s="353" customFormat="1" ht="9.9" customHeight="1"/>
    <row r="271" s="353" customFormat="1" ht="9.9" customHeight="1"/>
    <row r="272" s="353" customFormat="1" ht="9.9" customHeight="1"/>
    <row r="273" s="353" customFormat="1" ht="9.9" customHeight="1"/>
    <row r="274" s="353" customFormat="1" ht="9.9" customHeight="1"/>
    <row r="275" s="353" customFormat="1" ht="9.9" customHeight="1"/>
    <row r="276" s="353" customFormat="1" ht="9.9" customHeight="1"/>
    <row r="277" s="353" customFormat="1" ht="9.9" customHeight="1"/>
    <row r="278" s="353" customFormat="1" ht="9.9" customHeight="1"/>
    <row r="279" s="353" customFormat="1" ht="9.9" customHeight="1"/>
    <row r="280" s="353" customFormat="1" ht="9.9" customHeight="1"/>
    <row r="281" s="353" customFormat="1" ht="9.9" customHeight="1"/>
    <row r="282" s="353" customFormat="1" ht="9.9" customHeight="1"/>
    <row r="283" s="353" customFormat="1" ht="9.9" customHeight="1"/>
    <row r="284" s="353" customFormat="1" ht="9.9" customHeight="1"/>
    <row r="285" s="353" customFormat="1" ht="9.9" customHeight="1"/>
    <row r="286" s="353" customFormat="1" ht="9.9" customHeight="1"/>
    <row r="287" s="353" customFormat="1" ht="9.9" customHeight="1"/>
    <row r="288" s="353" customFormat="1" ht="9.9" customHeight="1"/>
    <row r="289" s="353" customFormat="1" ht="9.9" customHeight="1"/>
    <row r="290" s="353" customFormat="1" ht="9.9" customHeight="1"/>
    <row r="291" s="353" customFormat="1" ht="9.9" customHeight="1"/>
    <row r="292" s="353" customFormat="1" ht="9.9" customHeight="1"/>
    <row r="293" s="353" customFormat="1" ht="9.9" customHeight="1"/>
    <row r="294" s="353" customFormat="1" ht="9.9" customHeight="1"/>
    <row r="295" s="353" customFormat="1" ht="9.9" customHeight="1"/>
    <row r="296" s="353" customFormat="1" ht="9.9" customHeight="1"/>
    <row r="297" s="353" customFormat="1" ht="9.9" customHeight="1"/>
    <row r="298" s="353" customFormat="1" ht="9.9" customHeight="1"/>
    <row r="299" s="353" customFormat="1" ht="9.9" customHeight="1"/>
    <row r="300" s="353" customFormat="1" ht="9.9" customHeight="1"/>
    <row r="301" s="353" customFormat="1" ht="9.9" customHeight="1"/>
    <row r="302" s="353" customFormat="1" ht="9.9" customHeight="1"/>
    <row r="303" s="353" customFormat="1" ht="9.9" customHeight="1"/>
    <row r="304" s="353" customFormat="1" ht="9.9" customHeight="1"/>
    <row r="305" s="353" customFormat="1" ht="9.9" customHeight="1"/>
    <row r="306" s="353" customFormat="1" ht="9.9" customHeight="1"/>
    <row r="307" s="353" customFormat="1" ht="9.9" customHeight="1"/>
    <row r="308" s="353" customFormat="1" ht="9.9" customHeight="1"/>
    <row r="309" s="353" customFormat="1" ht="9.9" customHeight="1"/>
    <row r="310" s="353" customFormat="1" ht="9.9" customHeight="1"/>
    <row r="311" s="353" customFormat="1" ht="9.9" customHeight="1"/>
    <row r="312" s="353" customFormat="1" ht="9.9" customHeight="1"/>
    <row r="313" s="353" customFormat="1" ht="9.9" customHeight="1"/>
    <row r="314" s="353" customFormat="1" ht="9.9" customHeight="1"/>
    <row r="315" s="353" customFormat="1" ht="9.9" customHeight="1"/>
    <row r="316" s="353" customFormat="1" ht="9.9" customHeight="1"/>
    <row r="317" s="353" customFormat="1" ht="9.9" customHeight="1"/>
    <row r="318" s="353" customFormat="1" ht="9.9" customHeight="1"/>
    <row r="319" s="353" customFormat="1" ht="9.9" customHeight="1"/>
    <row r="320" s="353" customFormat="1" ht="9.9" customHeight="1"/>
    <row r="321" s="353" customFormat="1" ht="9.9" customHeight="1"/>
    <row r="322" s="353" customFormat="1" ht="9.9" customHeight="1"/>
    <row r="323" s="353" customFormat="1" ht="9.9" customHeight="1"/>
    <row r="324" s="353" customFormat="1" ht="9.9" customHeight="1"/>
    <row r="325" s="353" customFormat="1" ht="9.9" customHeight="1"/>
    <row r="326" s="353" customFormat="1" ht="9.9" customHeight="1"/>
    <row r="327" s="353" customFormat="1" ht="9.9" customHeight="1"/>
    <row r="328" s="353" customFormat="1" ht="9.9" customHeight="1"/>
    <row r="329" s="353" customFormat="1" ht="9.9" customHeight="1"/>
    <row r="330" s="353" customFormat="1" ht="9.9" customHeight="1"/>
    <row r="331" s="353" customFormat="1" ht="9.9" customHeight="1"/>
    <row r="332" s="353" customFormat="1" ht="9.9" customHeight="1"/>
    <row r="333" s="353" customFormat="1" ht="9.9" customHeight="1"/>
    <row r="334" s="353" customFormat="1" ht="9.9" customHeight="1"/>
    <row r="335" s="353" customFormat="1" ht="9.9" customHeight="1"/>
    <row r="336" s="353" customFormat="1" ht="9.9" customHeight="1"/>
    <row r="337" s="353" customFormat="1" ht="9.9" customHeight="1"/>
    <row r="338" s="353" customFormat="1" ht="9.9" customHeight="1"/>
    <row r="339" s="353" customFormat="1" ht="9.9" customHeight="1"/>
    <row r="340" s="353" customFormat="1" ht="9.9" customHeight="1"/>
    <row r="341" s="353" customFormat="1" ht="9.9" customHeight="1"/>
    <row r="342" s="353" customFormat="1" ht="9.9" customHeight="1"/>
    <row r="343" s="353" customFormat="1" ht="9.9" customHeight="1"/>
    <row r="344" s="353" customFormat="1" ht="9.9" customHeight="1"/>
    <row r="345" s="353" customFormat="1" ht="9.9" customHeight="1"/>
    <row r="346" s="353" customFormat="1" ht="9.9" customHeight="1"/>
    <row r="347" s="353" customFormat="1" ht="9.9" customHeight="1"/>
    <row r="348" s="353" customFormat="1" ht="9.9" customHeight="1"/>
    <row r="349" s="353" customFormat="1" ht="9.9" customHeight="1"/>
    <row r="350" s="353" customFormat="1" ht="9.9" customHeight="1"/>
    <row r="351" s="353" customFormat="1" ht="9.9" customHeight="1"/>
    <row r="352" s="353" customFormat="1" ht="9.9" customHeight="1"/>
    <row r="353" s="353" customFormat="1" ht="9.9" customHeight="1"/>
    <row r="354" s="353" customFormat="1" ht="9.9" customHeight="1"/>
    <row r="355" s="353" customFormat="1" ht="9.9" customHeight="1"/>
    <row r="356" s="353" customFormat="1" ht="9.9" customHeight="1"/>
    <row r="357" s="353" customFormat="1" ht="9.9" customHeight="1"/>
    <row r="358" s="353" customFormat="1" ht="9.9" customHeight="1"/>
    <row r="359" s="353" customFormat="1" ht="9.9" customHeight="1"/>
    <row r="360" s="353" customFormat="1" ht="9.9" customHeight="1"/>
    <row r="361" s="353" customFormat="1" ht="9.9" customHeight="1"/>
    <row r="362" s="353" customFormat="1" ht="9.9" customHeight="1"/>
    <row r="363" s="353" customFormat="1" ht="9.9" customHeight="1"/>
    <row r="364" s="353" customFormat="1" ht="9.9" customHeight="1"/>
    <row r="365" s="353" customFormat="1" ht="9.9" customHeight="1"/>
    <row r="366" s="353" customFormat="1" ht="9.9" customHeight="1"/>
    <row r="367" s="353" customFormat="1" ht="9.9" customHeight="1"/>
    <row r="368" s="353" customFormat="1" ht="9.9" customHeight="1"/>
    <row r="369" s="353" customFormat="1" ht="9.9" customHeight="1"/>
    <row r="370" s="353" customFormat="1" ht="9.9" customHeight="1"/>
    <row r="371" s="353" customFormat="1" ht="9.9" customHeight="1"/>
    <row r="372" s="353" customFormat="1" ht="9.9" customHeight="1"/>
    <row r="373" s="353" customFormat="1" ht="9.9" customHeight="1"/>
    <row r="374" s="353" customFormat="1" ht="9.9" customHeight="1"/>
    <row r="375" s="353" customFormat="1" ht="9.9" customHeight="1"/>
    <row r="376" s="353" customFormat="1" ht="9.9" customHeight="1"/>
    <row r="377" s="353" customFormat="1" ht="9.9" customHeight="1"/>
    <row r="378" s="353" customFormat="1" ht="9.9" customHeight="1"/>
    <row r="379" s="353" customFormat="1" ht="9.9" customHeight="1"/>
    <row r="380" s="353" customFormat="1" ht="9.9" customHeight="1"/>
    <row r="381" s="353" customFormat="1" ht="9.9" customHeight="1"/>
    <row r="382" s="353" customFormat="1" ht="9.9" customHeight="1"/>
    <row r="383" s="353" customFormat="1" ht="9.9" customHeight="1"/>
    <row r="384" s="353" customFormat="1" ht="9.9" customHeight="1"/>
    <row r="385" spans="2:11" s="353" customFormat="1" ht="9.9" customHeight="1"/>
    <row r="386" spans="2:11" s="353" customFormat="1" ht="9.9" customHeight="1"/>
    <row r="387" spans="2:11" s="353" customFormat="1" ht="9.9" customHeight="1">
      <c r="B387" s="389"/>
      <c r="C387" s="389"/>
      <c r="D387" s="389"/>
      <c r="E387" s="389"/>
      <c r="F387" s="389"/>
      <c r="G387" s="389"/>
      <c r="H387" s="389"/>
      <c r="I387" s="389"/>
      <c r="J387" s="389"/>
      <c r="K387" s="389"/>
    </row>
    <row r="388" spans="2:11" s="353" customFormat="1" ht="9.9" customHeight="1">
      <c r="B388" s="389"/>
      <c r="C388" s="389"/>
      <c r="D388" s="389"/>
      <c r="E388" s="389"/>
      <c r="F388" s="389"/>
      <c r="G388" s="389"/>
      <c r="H388" s="389"/>
      <c r="I388" s="389"/>
      <c r="J388" s="389"/>
      <c r="K388" s="389"/>
    </row>
    <row r="389" spans="2:11" s="353" customFormat="1" ht="9.9" customHeight="1">
      <c r="B389" s="389"/>
      <c r="C389" s="389"/>
      <c r="D389" s="389"/>
      <c r="E389" s="389"/>
      <c r="F389" s="389"/>
      <c r="G389" s="389"/>
      <c r="H389" s="389"/>
      <c r="I389" s="389"/>
      <c r="J389" s="389"/>
      <c r="K389" s="389"/>
    </row>
    <row r="390" spans="2:11" s="353" customFormat="1" ht="9.9" customHeight="1">
      <c r="B390" s="389"/>
      <c r="C390" s="389"/>
      <c r="D390" s="389"/>
      <c r="E390" s="389"/>
      <c r="F390" s="389"/>
      <c r="G390" s="389"/>
      <c r="H390" s="389"/>
      <c r="I390" s="389"/>
      <c r="J390" s="389"/>
      <c r="K390" s="389"/>
    </row>
    <row r="391" spans="2:11" s="353" customFormat="1" ht="9.9" customHeight="1">
      <c r="B391" s="389"/>
      <c r="C391" s="389"/>
      <c r="D391" s="389"/>
      <c r="E391" s="389"/>
      <c r="F391" s="389"/>
      <c r="G391" s="389"/>
      <c r="H391" s="389"/>
      <c r="I391" s="389"/>
      <c r="J391" s="389"/>
      <c r="K391" s="389"/>
    </row>
    <row r="392" spans="2:11" s="353" customFormat="1" ht="9.9" customHeight="1">
      <c r="B392" s="389"/>
      <c r="C392" s="389"/>
      <c r="D392" s="389"/>
      <c r="E392" s="389"/>
      <c r="F392" s="389"/>
      <c r="G392" s="389"/>
      <c r="H392" s="389"/>
      <c r="I392" s="389"/>
      <c r="J392" s="389"/>
      <c r="K392" s="389"/>
    </row>
    <row r="393" spans="2:11" s="353" customFormat="1" ht="9.9" customHeight="1">
      <c r="B393" s="389"/>
      <c r="C393" s="389"/>
      <c r="D393" s="389"/>
      <c r="E393" s="389"/>
      <c r="F393" s="389"/>
      <c r="G393" s="389"/>
      <c r="H393" s="389"/>
      <c r="I393" s="389"/>
      <c r="J393" s="389"/>
      <c r="K393" s="389"/>
    </row>
    <row r="394" spans="2:11" s="353" customFormat="1" ht="9.9" customHeight="1">
      <c r="B394" s="389"/>
      <c r="C394" s="389"/>
      <c r="D394" s="389"/>
      <c r="E394" s="389"/>
      <c r="F394" s="389"/>
      <c r="G394" s="389"/>
      <c r="H394" s="389"/>
      <c r="I394" s="389"/>
      <c r="J394" s="389"/>
      <c r="K394" s="389"/>
    </row>
    <row r="395" spans="2:11" s="353" customFormat="1" ht="9.9" customHeight="1">
      <c r="B395" s="389"/>
      <c r="C395" s="389"/>
      <c r="D395" s="389"/>
      <c r="E395" s="389"/>
      <c r="F395" s="389"/>
      <c r="G395" s="389"/>
      <c r="H395" s="389"/>
      <c r="I395" s="389"/>
      <c r="J395" s="389"/>
      <c r="K395" s="389"/>
    </row>
    <row r="396" spans="2:11" s="353" customFormat="1" ht="9.9" customHeight="1">
      <c r="B396" s="389"/>
      <c r="C396" s="389"/>
      <c r="D396" s="389"/>
      <c r="E396" s="389"/>
      <c r="F396" s="389"/>
      <c r="G396" s="389"/>
      <c r="H396" s="389"/>
      <c r="I396" s="389"/>
      <c r="J396" s="389"/>
      <c r="K396" s="389"/>
    </row>
    <row r="397" spans="2:11" s="353" customFormat="1" ht="9.9" customHeight="1">
      <c r="B397" s="389"/>
      <c r="C397" s="389"/>
      <c r="D397" s="389"/>
      <c r="E397" s="389"/>
      <c r="F397" s="389"/>
      <c r="G397" s="389"/>
      <c r="H397" s="389"/>
      <c r="I397" s="389"/>
      <c r="J397" s="389"/>
      <c r="K397" s="389"/>
    </row>
    <row r="398" spans="2:11" s="353" customFormat="1" ht="9.9" customHeight="1">
      <c r="B398" s="389"/>
      <c r="C398" s="389"/>
      <c r="D398" s="389"/>
      <c r="E398" s="389"/>
      <c r="F398" s="389"/>
      <c r="G398" s="389"/>
      <c r="H398" s="389"/>
      <c r="I398" s="389"/>
      <c r="J398" s="389"/>
      <c r="K398" s="389"/>
    </row>
    <row r="399" spans="2:11" s="353" customFormat="1" ht="9.9" customHeight="1">
      <c r="B399" s="389"/>
      <c r="C399" s="389"/>
      <c r="D399" s="389"/>
      <c r="E399" s="389"/>
      <c r="F399" s="389"/>
      <c r="G399" s="389"/>
      <c r="H399" s="389"/>
      <c r="I399" s="389"/>
      <c r="J399" s="389"/>
      <c r="K399" s="389"/>
    </row>
    <row r="400" spans="2:11" s="353" customFormat="1" ht="9.9" customHeight="1">
      <c r="B400" s="389"/>
      <c r="C400" s="389"/>
      <c r="D400" s="389"/>
      <c r="E400" s="389"/>
      <c r="F400" s="389"/>
      <c r="G400" s="389"/>
      <c r="H400" s="389"/>
      <c r="I400" s="389"/>
      <c r="J400" s="389"/>
      <c r="K400" s="389"/>
    </row>
    <row r="401" spans="2:11" s="353" customFormat="1" ht="9.9" customHeight="1">
      <c r="B401" s="389"/>
      <c r="C401" s="389"/>
      <c r="D401" s="389"/>
      <c r="E401" s="389"/>
      <c r="F401" s="389"/>
      <c r="G401" s="389"/>
      <c r="H401" s="389"/>
      <c r="I401" s="389"/>
      <c r="J401" s="389"/>
      <c r="K401" s="389"/>
    </row>
    <row r="402" spans="2:11" s="353" customFormat="1" ht="9.9" customHeight="1">
      <c r="B402" s="389"/>
      <c r="C402" s="389"/>
      <c r="D402" s="389"/>
      <c r="E402" s="389"/>
      <c r="F402" s="389"/>
      <c r="G402" s="389"/>
      <c r="H402" s="389"/>
      <c r="I402" s="389"/>
      <c r="J402" s="389"/>
      <c r="K402" s="389"/>
    </row>
    <row r="403" spans="2:11" s="353" customFormat="1" ht="9.9" customHeight="1">
      <c r="B403" s="389"/>
      <c r="C403" s="389"/>
      <c r="D403" s="389"/>
      <c r="E403" s="389"/>
      <c r="F403" s="389"/>
      <c r="G403" s="389"/>
      <c r="H403" s="389"/>
      <c r="I403" s="389"/>
      <c r="J403" s="389"/>
      <c r="K403" s="389"/>
    </row>
    <row r="404" spans="2:11" s="353" customFormat="1" ht="9.9" customHeight="1">
      <c r="B404" s="389"/>
      <c r="C404" s="389"/>
      <c r="D404" s="389"/>
      <c r="E404" s="389"/>
      <c r="F404" s="389"/>
      <c r="G404" s="389"/>
      <c r="H404" s="389"/>
      <c r="I404" s="389"/>
      <c r="J404" s="389"/>
      <c r="K404" s="389"/>
    </row>
    <row r="405" spans="2:11" s="353" customFormat="1" ht="9.9" customHeight="1">
      <c r="B405" s="389"/>
      <c r="C405" s="389"/>
      <c r="D405" s="389"/>
      <c r="E405" s="389"/>
      <c r="F405" s="389"/>
      <c r="G405" s="389"/>
      <c r="H405" s="389"/>
      <c r="I405" s="389"/>
      <c r="J405" s="389"/>
      <c r="K405" s="389"/>
    </row>
    <row r="406" spans="2:11" s="353" customFormat="1" ht="9.9" customHeight="1">
      <c r="B406" s="389"/>
      <c r="C406" s="389"/>
      <c r="D406" s="389"/>
      <c r="E406" s="389"/>
      <c r="F406" s="389"/>
      <c r="G406" s="389"/>
      <c r="H406" s="389"/>
      <c r="I406" s="389"/>
      <c r="J406" s="389"/>
      <c r="K406" s="389"/>
    </row>
    <row r="407" spans="2:11" s="353" customFormat="1" ht="9.9" customHeight="1">
      <c r="B407" s="389"/>
      <c r="C407" s="389"/>
      <c r="D407" s="389"/>
      <c r="E407" s="389"/>
      <c r="F407" s="389"/>
      <c r="G407" s="389"/>
      <c r="H407" s="389"/>
      <c r="I407" s="389"/>
      <c r="J407" s="389"/>
      <c r="K407" s="389"/>
    </row>
    <row r="408" spans="2:11" s="353" customFormat="1" ht="9.9" customHeight="1">
      <c r="B408" s="389"/>
      <c r="C408" s="389"/>
      <c r="D408" s="389"/>
      <c r="E408" s="389"/>
      <c r="F408" s="389"/>
      <c r="G408" s="389"/>
      <c r="H408" s="389"/>
      <c r="I408" s="389"/>
      <c r="J408" s="389"/>
      <c r="K408" s="389"/>
    </row>
    <row r="409" spans="2:11" s="353" customFormat="1" ht="9.9" customHeight="1">
      <c r="B409" s="389"/>
      <c r="C409" s="389"/>
      <c r="D409" s="389"/>
      <c r="E409" s="389"/>
      <c r="F409" s="389"/>
      <c r="G409" s="389"/>
      <c r="H409" s="389"/>
      <c r="I409" s="389"/>
      <c r="J409" s="389"/>
      <c r="K409" s="389"/>
    </row>
    <row r="410" spans="2:11" s="353" customFormat="1" ht="9.9" customHeight="1">
      <c r="B410" s="389"/>
      <c r="C410" s="389"/>
      <c r="D410" s="389"/>
      <c r="E410" s="389"/>
      <c r="F410" s="389"/>
      <c r="G410" s="389"/>
      <c r="H410" s="389"/>
      <c r="I410" s="389"/>
      <c r="J410" s="389"/>
      <c r="K410" s="389"/>
    </row>
    <row r="411" spans="2:11" s="353" customFormat="1" ht="9.9" customHeight="1">
      <c r="B411" s="389"/>
      <c r="C411" s="389"/>
      <c r="D411" s="389"/>
      <c r="E411" s="389"/>
      <c r="F411" s="389"/>
      <c r="G411" s="389"/>
      <c r="H411" s="389"/>
      <c r="I411" s="389"/>
      <c r="J411" s="389"/>
      <c r="K411" s="389"/>
    </row>
    <row r="412" spans="2:11" s="353" customFormat="1" ht="9.9" customHeight="1">
      <c r="B412" s="389"/>
      <c r="C412" s="389"/>
      <c r="D412" s="389"/>
      <c r="E412" s="389"/>
      <c r="F412" s="389"/>
      <c r="G412" s="389"/>
      <c r="H412" s="389"/>
      <c r="I412" s="389"/>
      <c r="J412" s="389"/>
      <c r="K412" s="389"/>
    </row>
    <row r="413" spans="2:11" s="353" customFormat="1" ht="9.9" customHeight="1">
      <c r="B413" s="389"/>
      <c r="C413" s="389"/>
      <c r="D413" s="389"/>
      <c r="E413" s="389"/>
      <c r="F413" s="389"/>
      <c r="G413" s="389"/>
      <c r="H413" s="389"/>
      <c r="I413" s="389"/>
      <c r="J413" s="389"/>
      <c r="K413" s="389"/>
    </row>
    <row r="414" spans="2:11" s="353" customFormat="1" ht="9.9" customHeight="1">
      <c r="B414" s="389"/>
      <c r="C414" s="389"/>
      <c r="D414" s="389"/>
      <c r="E414" s="389"/>
      <c r="F414" s="389"/>
      <c r="G414" s="389"/>
      <c r="H414" s="389"/>
      <c r="I414" s="389"/>
      <c r="J414" s="389"/>
      <c r="K414" s="389"/>
    </row>
    <row r="415" spans="2:11" s="353" customFormat="1" ht="9.9" customHeight="1">
      <c r="B415" s="389"/>
      <c r="C415" s="389"/>
      <c r="D415" s="389"/>
      <c r="E415" s="389"/>
      <c r="F415" s="389"/>
      <c r="G415" s="389"/>
      <c r="H415" s="389"/>
      <c r="I415" s="389"/>
      <c r="J415" s="389"/>
      <c r="K415" s="389"/>
    </row>
    <row r="416" spans="2:11" s="353" customFormat="1" ht="9.9" customHeight="1">
      <c r="B416" s="389"/>
      <c r="C416" s="389"/>
      <c r="D416" s="389"/>
      <c r="E416" s="389"/>
      <c r="F416" s="389"/>
      <c r="G416" s="389"/>
      <c r="H416" s="389"/>
      <c r="I416" s="389"/>
      <c r="J416" s="389"/>
      <c r="K416" s="389"/>
    </row>
    <row r="417" spans="1:13" s="353" customFormat="1" ht="9.9" customHeight="1">
      <c r="A417" s="389"/>
      <c r="B417" s="389"/>
      <c r="C417" s="389"/>
      <c r="D417" s="389"/>
      <c r="E417" s="389"/>
      <c r="F417" s="389"/>
      <c r="G417" s="389"/>
      <c r="H417" s="389"/>
      <c r="I417" s="389"/>
      <c r="J417" s="389"/>
      <c r="K417" s="389"/>
    </row>
    <row r="418" spans="1:13" s="353" customFormat="1" ht="9.9" customHeight="1">
      <c r="A418" s="389"/>
      <c r="B418" s="389"/>
      <c r="C418" s="389"/>
      <c r="D418" s="389"/>
      <c r="E418" s="389"/>
      <c r="F418" s="389"/>
      <c r="G418" s="389"/>
      <c r="H418" s="389"/>
      <c r="I418" s="389"/>
      <c r="J418" s="389"/>
      <c r="K418" s="389"/>
    </row>
    <row r="419" spans="1:13" s="353" customFormat="1" ht="9.9" customHeight="1">
      <c r="A419" s="389"/>
      <c r="B419" s="389"/>
      <c r="C419" s="389"/>
      <c r="D419" s="389"/>
      <c r="E419" s="389"/>
      <c r="F419" s="389"/>
      <c r="G419" s="389"/>
      <c r="H419" s="389"/>
      <c r="I419" s="389"/>
      <c r="J419" s="389"/>
      <c r="K419" s="389"/>
      <c r="L419" s="389"/>
      <c r="M419" s="389"/>
    </row>
    <row r="420" spans="1:13" s="353" customFormat="1" ht="9.9" customHeight="1">
      <c r="A420" s="389"/>
      <c r="B420" s="389"/>
      <c r="C420" s="389"/>
      <c r="D420" s="389"/>
      <c r="E420" s="389"/>
      <c r="F420" s="389"/>
      <c r="G420" s="389"/>
      <c r="H420" s="389"/>
      <c r="I420" s="389"/>
      <c r="J420" s="389"/>
      <c r="K420" s="389"/>
      <c r="L420" s="389"/>
      <c r="M420" s="389"/>
    </row>
    <row r="421" spans="1:13" s="353" customFormat="1" ht="9.9" customHeight="1">
      <c r="A421" s="389"/>
      <c r="B421" s="389"/>
      <c r="C421" s="389"/>
      <c r="D421" s="389"/>
      <c r="E421" s="389"/>
      <c r="F421" s="389"/>
      <c r="G421" s="389"/>
      <c r="H421" s="389"/>
      <c r="I421" s="389"/>
      <c r="J421" s="389"/>
      <c r="K421" s="389"/>
      <c r="L421" s="389"/>
      <c r="M421" s="389"/>
    </row>
    <row r="422" spans="1:13" s="353" customFormat="1" ht="9.9" customHeight="1">
      <c r="A422" s="389"/>
      <c r="B422" s="389"/>
      <c r="C422" s="389"/>
      <c r="D422" s="389"/>
      <c r="E422" s="389"/>
      <c r="F422" s="389"/>
      <c r="G422" s="389"/>
      <c r="H422" s="389"/>
      <c r="I422" s="389"/>
      <c r="J422" s="389"/>
      <c r="K422" s="389"/>
      <c r="L422" s="389"/>
      <c r="M422" s="389"/>
    </row>
    <row r="423" spans="1:13" s="353" customFormat="1" ht="9.9" customHeight="1">
      <c r="A423" s="389"/>
      <c r="B423" s="389"/>
      <c r="C423" s="389"/>
      <c r="D423" s="389"/>
      <c r="E423" s="389"/>
      <c r="F423" s="389"/>
      <c r="G423" s="389"/>
      <c r="H423" s="389"/>
      <c r="I423" s="389"/>
      <c r="J423" s="389"/>
      <c r="K423" s="389"/>
      <c r="L423" s="389"/>
      <c r="M423" s="389"/>
    </row>
    <row r="424" spans="1:13" s="353" customFormat="1" ht="9.9" customHeight="1">
      <c r="A424" s="389"/>
      <c r="B424" s="389"/>
      <c r="C424" s="389"/>
      <c r="D424" s="389"/>
      <c r="E424" s="389"/>
      <c r="F424" s="389"/>
      <c r="G424" s="389"/>
      <c r="H424" s="389"/>
      <c r="I424" s="389"/>
      <c r="J424" s="389"/>
      <c r="K424" s="389"/>
      <c r="L424" s="389"/>
      <c r="M424" s="389"/>
    </row>
    <row r="425" spans="1:13" s="389" customFormat="1" ht="9.9" customHeight="1"/>
    <row r="426" spans="1:13" s="389" customFormat="1" ht="9.9" customHeight="1"/>
    <row r="427" spans="1:13" s="389" customFormat="1" ht="9.9" customHeight="1"/>
    <row r="428" spans="1:13" s="389" customFormat="1" ht="9.9" customHeight="1"/>
    <row r="429" spans="1:13" s="389" customFormat="1" ht="9.9" customHeight="1"/>
    <row r="430" spans="1:13" s="389" customFormat="1" ht="9.9" customHeight="1"/>
    <row r="431" spans="1:13" s="389" customFormat="1" ht="9.9" customHeight="1"/>
    <row r="432" spans="1:13" s="389" customFormat="1" ht="9.9" customHeight="1"/>
    <row r="433" s="389" customFormat="1" ht="9.9" customHeight="1"/>
    <row r="434" s="389" customFormat="1" ht="9.9" customHeight="1"/>
    <row r="435" s="389" customFormat="1" ht="9.9" customHeight="1"/>
    <row r="436" s="389" customFormat="1" ht="9.9" customHeight="1"/>
    <row r="437" s="389" customFormat="1" ht="9.9" customHeight="1"/>
    <row r="438" s="389" customFormat="1" ht="9.9" customHeight="1"/>
    <row r="439" s="389" customFormat="1" ht="9.9" customHeight="1"/>
    <row r="440" s="389" customFormat="1" ht="9.9" customHeight="1"/>
    <row r="441" s="389" customFormat="1" ht="9.9" customHeight="1"/>
    <row r="442" s="389" customFormat="1" ht="9.9" customHeight="1"/>
    <row r="443" s="389" customFormat="1" ht="9.9" customHeight="1"/>
    <row r="444" s="389" customFormat="1" ht="9.9" customHeight="1"/>
    <row r="445" s="389" customFormat="1" ht="9.9" customHeight="1"/>
    <row r="446" s="389" customFormat="1" ht="9.9" customHeight="1"/>
    <row r="447" s="389" customFormat="1" ht="9.9" customHeight="1"/>
    <row r="448" s="389" customFormat="1" ht="9.9" customHeight="1"/>
    <row r="449" s="389" customFormat="1" ht="9.9" customHeight="1"/>
    <row r="450" s="389" customFormat="1" ht="9.9" customHeight="1"/>
    <row r="451" s="389" customFormat="1" ht="9.9" customHeight="1"/>
    <row r="452" s="389" customFormat="1" ht="9.9" customHeight="1"/>
    <row r="453" s="389" customFormat="1" ht="9.9" customHeight="1"/>
    <row r="454" s="389" customFormat="1" ht="9.9" customHeight="1"/>
    <row r="455" s="389" customFormat="1" ht="9.9" customHeight="1"/>
    <row r="456" s="389" customFormat="1" ht="9.9" customHeight="1"/>
    <row r="457" s="389" customFormat="1" ht="9.9" customHeight="1"/>
    <row r="458" s="389" customFormat="1" ht="9.9" customHeight="1"/>
    <row r="459" s="389" customFormat="1" ht="9.9" customHeight="1"/>
    <row r="460" s="389" customFormat="1" ht="9.9" customHeight="1"/>
    <row r="461" s="389" customFormat="1" ht="9.9" customHeight="1"/>
    <row r="462" s="389" customFormat="1" ht="9.9" customHeight="1"/>
    <row r="463" s="389" customFormat="1" ht="9.9" customHeight="1"/>
    <row r="464" s="389" customFormat="1" ht="9.9" customHeight="1"/>
    <row r="465" s="389" customFormat="1" ht="9.9" customHeight="1"/>
    <row r="466" s="389" customFormat="1" ht="9.9" customHeight="1"/>
    <row r="467" s="389" customFormat="1" ht="9.9" customHeight="1"/>
    <row r="468" s="389" customFormat="1" ht="9.9" customHeight="1"/>
    <row r="469" s="389" customFormat="1" ht="9.9" customHeight="1"/>
    <row r="470" s="389" customFormat="1" ht="9.9" customHeight="1"/>
    <row r="471" s="389" customFormat="1" ht="9.9" customHeight="1"/>
    <row r="472" s="389" customFormat="1" ht="9.9" customHeight="1"/>
    <row r="473" s="389" customFormat="1" ht="9.9" customHeight="1"/>
    <row r="474" s="389" customFormat="1" ht="9.9" customHeight="1"/>
    <row r="475" s="389" customFormat="1" ht="9.9" customHeight="1"/>
    <row r="476" s="389" customFormat="1" ht="9.9" customHeight="1"/>
    <row r="477" s="389" customFormat="1" ht="9.9" customHeight="1"/>
    <row r="478" s="389" customFormat="1" ht="9.9" customHeight="1"/>
    <row r="479" s="389" customFormat="1" ht="9.9" customHeight="1"/>
    <row r="480" s="389" customFormat="1" ht="9.9" customHeight="1"/>
    <row r="481" s="389" customFormat="1" ht="9.9" customHeight="1"/>
    <row r="482" s="389" customFormat="1" ht="9.9" customHeight="1"/>
    <row r="483" s="389" customFormat="1" ht="9.9" customHeight="1"/>
    <row r="484" s="389" customFormat="1" ht="9.9" customHeight="1"/>
    <row r="485" s="389" customFormat="1" ht="9.9" customHeight="1"/>
    <row r="486" s="389" customFormat="1" ht="9.9" customHeight="1"/>
    <row r="487" s="389" customFormat="1" ht="9.9" customHeight="1"/>
    <row r="488" s="389" customFormat="1" ht="9.9" customHeight="1"/>
    <row r="489" s="389" customFormat="1" ht="9.9" customHeight="1"/>
    <row r="490" s="389" customFormat="1" ht="9.9" customHeight="1"/>
    <row r="491" s="389" customFormat="1" ht="9.9" customHeight="1"/>
    <row r="492" s="389" customFormat="1" ht="9.9" customHeight="1"/>
    <row r="493" s="389" customFormat="1" ht="9.9" customHeight="1"/>
    <row r="494" s="389" customFormat="1" ht="9.9" customHeight="1"/>
    <row r="495" s="389" customFormat="1" ht="9.9" customHeight="1"/>
    <row r="496" s="389" customFormat="1" ht="9.9" customHeight="1"/>
    <row r="497" s="389" customFormat="1" ht="9.9" customHeight="1"/>
    <row r="498" s="389" customFormat="1" ht="9.9" customHeight="1"/>
    <row r="499" s="389" customFormat="1" ht="9.9" customHeight="1"/>
    <row r="500" s="389" customFormat="1" ht="9.9" customHeight="1"/>
    <row r="501" s="389" customFormat="1" ht="9.9" customHeight="1"/>
    <row r="502" s="389" customFormat="1" ht="9.9" customHeight="1"/>
    <row r="503" s="389" customFormat="1" ht="9.9" customHeight="1"/>
    <row r="504" s="389" customFormat="1" ht="9.9" customHeight="1"/>
    <row r="505" s="389" customFormat="1" ht="9.9" customHeight="1"/>
    <row r="506" s="389" customFormat="1" ht="9.9" customHeight="1"/>
    <row r="507" s="389" customFormat="1" ht="9.9" customHeight="1"/>
    <row r="508" s="389" customFormat="1" ht="9.9" customHeight="1"/>
    <row r="509" s="389" customFormat="1" ht="9.9" customHeight="1"/>
    <row r="510" s="389" customFormat="1" ht="9.9" customHeight="1"/>
    <row r="511" s="389" customFormat="1" ht="9.9" customHeight="1"/>
    <row r="512" s="389" customFormat="1" ht="9.9" customHeight="1"/>
    <row r="513" s="389" customFormat="1" ht="9.9" customHeight="1"/>
    <row r="514" s="389" customFormat="1" ht="9.9" customHeight="1"/>
    <row r="515" s="389" customFormat="1" ht="9.9" customHeight="1"/>
    <row r="516" s="389" customFormat="1" ht="9.9" customHeight="1"/>
    <row r="517" s="389" customFormat="1" ht="9.9" customHeight="1"/>
    <row r="518" s="389" customFormat="1" ht="9.9" customHeight="1"/>
    <row r="519" s="389" customFormat="1" ht="9.9" customHeight="1"/>
    <row r="520" s="389" customFormat="1" ht="9.9" customHeight="1"/>
    <row r="521" s="389" customFormat="1" ht="9.9" customHeight="1"/>
    <row r="522" s="389" customFormat="1" ht="9.9" customHeight="1"/>
    <row r="523" s="389" customFormat="1" ht="9.9" customHeight="1"/>
    <row r="524" s="389" customFormat="1" ht="9.9" customHeight="1"/>
    <row r="525" s="389" customFormat="1" ht="9.9" customHeight="1"/>
    <row r="526" s="389" customFormat="1" ht="9.9" customHeight="1"/>
    <row r="527" s="389" customFormat="1" ht="9.9" customHeight="1"/>
    <row r="528" s="389" customFormat="1" ht="9.9" customHeight="1"/>
    <row r="529" s="389" customFormat="1" ht="9.9" customHeight="1"/>
    <row r="530" s="389" customFormat="1" ht="9.9" customHeight="1"/>
    <row r="531" s="389" customFormat="1" ht="9.9" customHeight="1"/>
    <row r="532" s="389" customFormat="1" ht="9.9" customHeight="1"/>
    <row r="533" s="389" customFormat="1" ht="9.9" customHeight="1"/>
    <row r="534" s="389" customFormat="1" ht="9.9" customHeight="1"/>
    <row r="535" s="389" customFormat="1" ht="9.9" customHeight="1"/>
    <row r="536" s="389" customFormat="1" ht="9.9" customHeight="1"/>
    <row r="537" s="389" customFormat="1" ht="9.9" customHeight="1"/>
    <row r="538" s="389" customFormat="1" ht="9.9" customHeight="1"/>
    <row r="539" s="389" customFormat="1" ht="9.9" customHeight="1"/>
    <row r="540" s="389" customFormat="1" ht="9.9" customHeight="1"/>
    <row r="541" s="389" customFormat="1" ht="9.9" customHeight="1"/>
    <row r="542" s="389" customFormat="1" ht="9.9" customHeight="1"/>
    <row r="543" s="389" customFormat="1" ht="9.9" customHeight="1"/>
    <row r="544" s="389" customFormat="1" ht="9.9" customHeight="1"/>
    <row r="545" s="389" customFormat="1" ht="9.9" customHeight="1"/>
    <row r="546" s="389" customFormat="1" ht="9.9" customHeight="1"/>
    <row r="547" s="389" customFormat="1" ht="9.9" customHeight="1"/>
    <row r="548" s="389" customFormat="1" ht="9.9" customHeight="1"/>
    <row r="549" s="389" customFormat="1" ht="9.9" customHeight="1"/>
    <row r="550" s="389" customFormat="1" ht="9.9" customHeight="1"/>
    <row r="551" s="389" customFormat="1" ht="9.9" customHeight="1"/>
    <row r="552" s="389" customFormat="1" ht="9.9" customHeight="1"/>
    <row r="553" s="389" customFormat="1" ht="9.9" customHeight="1"/>
    <row r="554" s="389" customFormat="1" ht="9.9" customHeight="1"/>
    <row r="555" s="389" customFormat="1" ht="9.9" customHeight="1"/>
    <row r="556" s="389" customFormat="1" ht="9.9" customHeight="1"/>
    <row r="557" s="389" customFormat="1" ht="9.9" customHeight="1"/>
    <row r="558" s="389" customFormat="1" ht="9.9" customHeight="1"/>
    <row r="559" s="389" customFormat="1" ht="9.9" customHeight="1"/>
    <row r="560" s="389" customFormat="1" ht="9.9" customHeight="1"/>
    <row r="561" s="389" customFormat="1" ht="9.9" customHeight="1"/>
    <row r="562" s="389" customFormat="1" ht="9.9" customHeight="1"/>
    <row r="563" s="389" customFormat="1" ht="9.9" customHeight="1"/>
    <row r="564" s="389" customFormat="1" ht="9.9" customHeight="1"/>
    <row r="565" s="389" customFormat="1" ht="9.9" customHeight="1"/>
    <row r="566" s="389" customFormat="1" ht="9.9" customHeight="1"/>
    <row r="567" s="389" customFormat="1" ht="9.9" customHeight="1"/>
    <row r="568" s="389" customFormat="1" ht="9.9" customHeight="1"/>
    <row r="569" s="389" customFormat="1" ht="9.9" customHeight="1"/>
    <row r="570" s="389" customFormat="1" ht="9.9" customHeight="1"/>
    <row r="571" s="389" customFormat="1" ht="9.9" customHeight="1"/>
    <row r="572" s="389" customFormat="1" ht="9.9" customHeight="1"/>
    <row r="573" s="389" customFormat="1" ht="9.9" customHeight="1"/>
    <row r="574" s="389" customFormat="1" ht="9.9" customHeight="1"/>
    <row r="575" s="389" customFormat="1" ht="9.9" customHeight="1"/>
    <row r="576" s="389" customFormat="1" ht="9.9" customHeight="1"/>
    <row r="577" spans="2:11" s="389" customFormat="1" ht="9.9" customHeight="1"/>
    <row r="578" spans="2:11" s="389" customFormat="1" ht="9.9" customHeight="1">
      <c r="B578" s="327"/>
      <c r="C578" s="327"/>
      <c r="D578" s="327"/>
      <c r="E578" s="327"/>
      <c r="F578" s="327"/>
      <c r="G578" s="327"/>
      <c r="H578" s="327"/>
      <c r="I578" s="327"/>
      <c r="J578" s="327"/>
      <c r="K578" s="327"/>
    </row>
    <row r="579" spans="2:11" s="389" customFormat="1" ht="9.9" customHeight="1">
      <c r="B579" s="327"/>
      <c r="C579" s="327"/>
      <c r="D579" s="327"/>
      <c r="E579" s="327"/>
      <c r="F579" s="327"/>
      <c r="G579" s="327"/>
      <c r="H579" s="327"/>
      <c r="I579" s="327"/>
      <c r="J579" s="327"/>
      <c r="K579" s="327"/>
    </row>
    <row r="580" spans="2:11" s="389" customFormat="1" ht="9.9" customHeight="1">
      <c r="B580" s="327"/>
      <c r="C580" s="327"/>
      <c r="D580" s="327"/>
      <c r="E580" s="327"/>
      <c r="F580" s="327"/>
      <c r="G580" s="327"/>
      <c r="H580" s="327"/>
      <c r="I580" s="327"/>
      <c r="J580" s="327"/>
      <c r="K580" s="327"/>
    </row>
    <row r="581" spans="2:11" s="389" customFormat="1" ht="9.9" customHeight="1">
      <c r="B581" s="327"/>
      <c r="C581" s="327"/>
      <c r="D581" s="327"/>
      <c r="E581" s="327"/>
      <c r="F581" s="327"/>
      <c r="G581" s="327"/>
      <c r="H581" s="327"/>
      <c r="I581" s="327"/>
      <c r="J581" s="327"/>
      <c r="K581" s="327"/>
    </row>
    <row r="582" spans="2:11" s="389" customFormat="1" ht="9.9" customHeight="1">
      <c r="B582" s="327"/>
      <c r="C582" s="327"/>
      <c r="D582" s="327"/>
      <c r="E582" s="327"/>
      <c r="F582" s="327"/>
      <c r="G582" s="327"/>
      <c r="H582" s="327"/>
      <c r="I582" s="327"/>
      <c r="J582" s="327"/>
      <c r="K582" s="327"/>
    </row>
    <row r="583" spans="2:11" s="389" customFormat="1" ht="9.9" customHeight="1">
      <c r="B583" s="327"/>
      <c r="C583" s="327"/>
      <c r="D583" s="327"/>
      <c r="E583" s="327"/>
      <c r="F583" s="327"/>
      <c r="G583" s="327"/>
      <c r="H583" s="327"/>
      <c r="I583" s="327"/>
      <c r="J583" s="327"/>
      <c r="K583" s="327"/>
    </row>
    <row r="584" spans="2:11" s="389" customFormat="1" ht="9.9" customHeight="1">
      <c r="B584" s="327"/>
      <c r="C584" s="327"/>
      <c r="D584" s="327"/>
      <c r="E584" s="327"/>
      <c r="F584" s="327"/>
      <c r="G584" s="327"/>
      <c r="H584" s="327"/>
      <c r="I584" s="327"/>
      <c r="J584" s="327"/>
      <c r="K584" s="327"/>
    </row>
    <row r="585" spans="2:11" s="389" customFormat="1" ht="9.9" customHeight="1">
      <c r="B585" s="327"/>
      <c r="C585" s="327"/>
      <c r="D585" s="327"/>
      <c r="E585" s="327"/>
      <c r="F585" s="327"/>
      <c r="G585" s="327"/>
      <c r="H585" s="327"/>
      <c r="I585" s="327"/>
      <c r="J585" s="327"/>
      <c r="K585" s="327"/>
    </row>
    <row r="586" spans="2:11" s="389" customFormat="1" ht="9.9" customHeight="1">
      <c r="B586" s="327"/>
      <c r="C586" s="327"/>
      <c r="D586" s="327"/>
      <c r="E586" s="327"/>
      <c r="F586" s="327"/>
      <c r="G586" s="327"/>
      <c r="H586" s="327"/>
      <c r="I586" s="327"/>
      <c r="J586" s="327"/>
      <c r="K586" s="327"/>
    </row>
    <row r="587" spans="2:11" s="389" customFormat="1" ht="9.9" customHeight="1">
      <c r="B587" s="327"/>
      <c r="C587" s="327"/>
      <c r="D587" s="327"/>
      <c r="E587" s="327"/>
      <c r="F587" s="327"/>
      <c r="G587" s="327"/>
      <c r="H587" s="327"/>
      <c r="I587" s="327"/>
      <c r="J587" s="327"/>
      <c r="K587" s="327"/>
    </row>
    <row r="588" spans="2:11" s="389" customFormat="1" ht="9.9" customHeight="1">
      <c r="B588" s="327"/>
      <c r="C588" s="327"/>
      <c r="D588" s="327"/>
      <c r="E588" s="327"/>
      <c r="F588" s="327"/>
      <c r="G588" s="327"/>
      <c r="H588" s="327"/>
      <c r="I588" s="327"/>
      <c r="J588" s="327"/>
      <c r="K588" s="327"/>
    </row>
    <row r="589" spans="2:11" s="389" customFormat="1" ht="9.9" customHeight="1">
      <c r="B589" s="327"/>
      <c r="C589" s="327"/>
      <c r="D589" s="327"/>
      <c r="E589" s="327"/>
      <c r="F589" s="327"/>
      <c r="G589" s="327"/>
      <c r="H589" s="327"/>
      <c r="I589" s="327"/>
      <c r="J589" s="327"/>
      <c r="K589" s="327"/>
    </row>
    <row r="590" spans="2:11" s="389" customFormat="1" ht="9.9" customHeight="1">
      <c r="B590" s="327"/>
      <c r="C590" s="327"/>
      <c r="D590" s="327"/>
      <c r="E590" s="327"/>
      <c r="F590" s="327"/>
      <c r="G590" s="327"/>
      <c r="H590" s="327"/>
      <c r="I590" s="327"/>
      <c r="J590" s="327"/>
      <c r="K590" s="327"/>
    </row>
    <row r="591" spans="2:11" s="389" customFormat="1" ht="9.9" customHeight="1">
      <c r="B591" s="327"/>
      <c r="C591" s="327"/>
      <c r="D591" s="327"/>
      <c r="E591" s="327"/>
      <c r="F591" s="327"/>
      <c r="G591" s="327"/>
      <c r="H591" s="327"/>
      <c r="I591" s="327"/>
      <c r="J591" s="327"/>
      <c r="K591" s="327"/>
    </row>
    <row r="592" spans="2:11" s="389" customFormat="1" ht="9.9" customHeight="1">
      <c r="B592" s="327"/>
      <c r="C592" s="327"/>
      <c r="D592" s="327"/>
      <c r="E592" s="327"/>
      <c r="F592" s="327"/>
      <c r="G592" s="327"/>
      <c r="H592" s="327"/>
      <c r="I592" s="327"/>
      <c r="J592" s="327"/>
      <c r="K592" s="327"/>
    </row>
    <row r="593" spans="1:11" s="389" customFormat="1" ht="9.9" customHeight="1">
      <c r="B593" s="327"/>
      <c r="C593" s="327"/>
      <c r="D593" s="327"/>
      <c r="E593" s="327"/>
      <c r="F593" s="327"/>
      <c r="G593" s="327"/>
      <c r="H593" s="327"/>
      <c r="I593" s="327"/>
      <c r="J593" s="327"/>
      <c r="K593" s="327"/>
    </row>
    <row r="594" spans="1:11" s="389" customFormat="1" ht="9.9" customHeight="1">
      <c r="B594" s="327"/>
      <c r="C594" s="327"/>
      <c r="D594" s="327"/>
      <c r="E594" s="327"/>
      <c r="F594" s="327"/>
      <c r="G594" s="327"/>
      <c r="H594" s="327"/>
      <c r="I594" s="327"/>
      <c r="J594" s="327"/>
      <c r="K594" s="327"/>
    </row>
    <row r="595" spans="1:11" s="389" customFormat="1" ht="9.9" customHeight="1">
      <c r="B595" s="327"/>
      <c r="C595" s="327"/>
      <c r="D595" s="327"/>
      <c r="E595" s="327"/>
      <c r="F595" s="327"/>
      <c r="G595" s="327"/>
      <c r="H595" s="327"/>
      <c r="I595" s="327"/>
      <c r="J595" s="327"/>
      <c r="K595" s="327"/>
    </row>
    <row r="596" spans="1:11" s="389" customFormat="1" ht="9.9" customHeight="1">
      <c r="B596" s="327"/>
      <c r="C596" s="327"/>
      <c r="D596" s="327"/>
      <c r="E596" s="327"/>
      <c r="F596" s="327"/>
      <c r="G596" s="327"/>
      <c r="H596" s="327"/>
      <c r="I596" s="327"/>
      <c r="J596" s="327"/>
      <c r="K596" s="327"/>
    </row>
    <row r="597" spans="1:11" s="389" customFormat="1" ht="9.9" customHeight="1">
      <c r="B597" s="327"/>
      <c r="C597" s="327"/>
      <c r="D597" s="327"/>
      <c r="E597" s="327"/>
      <c r="F597" s="327"/>
      <c r="G597" s="327"/>
      <c r="H597" s="327"/>
      <c r="I597" s="327"/>
      <c r="J597" s="327"/>
      <c r="K597" s="327"/>
    </row>
    <row r="598" spans="1:11" s="389" customFormat="1" ht="9.9" customHeight="1">
      <c r="B598" s="327"/>
      <c r="C598" s="327"/>
      <c r="D598" s="327"/>
      <c r="E598" s="327"/>
      <c r="F598" s="327"/>
      <c r="G598" s="327"/>
      <c r="H598" s="327"/>
      <c r="I598" s="327"/>
      <c r="J598" s="327"/>
      <c r="K598" s="327"/>
    </row>
    <row r="599" spans="1:11" s="389" customFormat="1" ht="9.9" customHeight="1">
      <c r="B599" s="327"/>
      <c r="C599" s="327"/>
      <c r="D599" s="327"/>
      <c r="E599" s="327"/>
      <c r="F599" s="327"/>
      <c r="G599" s="327"/>
      <c r="H599" s="327"/>
      <c r="I599" s="327"/>
      <c r="J599" s="327"/>
      <c r="K599" s="327"/>
    </row>
    <row r="600" spans="1:11" s="389" customFormat="1" ht="9.9" customHeight="1">
      <c r="B600" s="327"/>
      <c r="C600" s="327"/>
      <c r="D600" s="327"/>
      <c r="E600" s="327"/>
      <c r="F600" s="327"/>
      <c r="G600" s="327"/>
      <c r="H600" s="327"/>
      <c r="I600" s="327"/>
      <c r="J600" s="327"/>
      <c r="K600" s="327"/>
    </row>
    <row r="601" spans="1:11" s="389" customFormat="1" ht="9.9" customHeight="1">
      <c r="B601" s="327"/>
      <c r="C601" s="327"/>
      <c r="D601" s="327"/>
      <c r="E601" s="327"/>
      <c r="F601" s="327"/>
      <c r="G601" s="327"/>
      <c r="H601" s="327"/>
      <c r="I601" s="327"/>
      <c r="J601" s="327"/>
      <c r="K601" s="327"/>
    </row>
    <row r="602" spans="1:11" s="389" customFormat="1" ht="9.9" customHeight="1">
      <c r="B602" s="327"/>
      <c r="C602" s="327"/>
      <c r="D602" s="327"/>
      <c r="E602" s="327"/>
      <c r="F602" s="327"/>
      <c r="G602" s="327"/>
      <c r="H602" s="327"/>
      <c r="I602" s="327"/>
      <c r="J602" s="327"/>
      <c r="K602" s="327"/>
    </row>
    <row r="603" spans="1:11" s="389" customFormat="1" ht="9.9" customHeight="1">
      <c r="B603" s="327"/>
      <c r="C603" s="327"/>
      <c r="D603" s="327"/>
      <c r="E603" s="327"/>
      <c r="F603" s="327"/>
      <c r="G603" s="327"/>
      <c r="H603" s="327"/>
      <c r="I603" s="327"/>
      <c r="J603" s="327"/>
      <c r="K603" s="327"/>
    </row>
    <row r="604" spans="1:11" s="389" customFormat="1" ht="9.9" customHeight="1">
      <c r="B604" s="327"/>
      <c r="C604" s="327"/>
      <c r="D604" s="327"/>
      <c r="E604" s="327"/>
      <c r="F604" s="327"/>
      <c r="G604" s="327"/>
      <c r="H604" s="327"/>
      <c r="I604" s="327"/>
      <c r="J604" s="327"/>
      <c r="K604" s="327"/>
    </row>
    <row r="605" spans="1:11" s="389" customFormat="1" ht="9.9" customHeight="1">
      <c r="B605" s="327"/>
      <c r="C605" s="327"/>
      <c r="D605" s="327"/>
      <c r="E605" s="327"/>
      <c r="F605" s="327"/>
      <c r="G605" s="327"/>
      <c r="H605" s="327"/>
      <c r="I605" s="327"/>
      <c r="J605" s="327"/>
      <c r="K605" s="327"/>
    </row>
    <row r="606" spans="1:11" s="389" customFormat="1" ht="9.9" customHeight="1">
      <c r="B606" s="327"/>
      <c r="C606" s="327"/>
      <c r="D606" s="327"/>
      <c r="E606" s="327"/>
      <c r="F606" s="327"/>
      <c r="G606" s="327"/>
      <c r="H606" s="327"/>
      <c r="I606" s="327"/>
      <c r="J606" s="327"/>
      <c r="K606" s="327"/>
    </row>
    <row r="607" spans="1:11" s="389" customFormat="1" ht="9.9" customHeight="1">
      <c r="B607" s="327"/>
      <c r="C607" s="327"/>
      <c r="D607" s="327"/>
      <c r="E607" s="327"/>
      <c r="F607" s="327"/>
      <c r="G607" s="327"/>
      <c r="H607" s="327"/>
      <c r="I607" s="327"/>
      <c r="J607" s="327"/>
      <c r="K607" s="327"/>
    </row>
    <row r="608" spans="1:11" s="389" customFormat="1" ht="9.9" customHeight="1">
      <c r="A608" s="327"/>
      <c r="B608" s="327"/>
      <c r="C608" s="327"/>
      <c r="D608" s="327"/>
      <c r="E608" s="327"/>
      <c r="F608" s="327"/>
      <c r="G608" s="327"/>
      <c r="H608" s="327"/>
      <c r="I608" s="327"/>
      <c r="J608" s="327"/>
      <c r="K608" s="327"/>
    </row>
    <row r="609" spans="1:13" s="389" customFormat="1" ht="9.9" customHeight="1">
      <c r="A609" s="327"/>
      <c r="B609" s="327"/>
      <c r="C609" s="327"/>
      <c r="D609" s="327"/>
      <c r="E609" s="327"/>
      <c r="F609" s="327"/>
      <c r="G609" s="327"/>
      <c r="H609" s="327"/>
      <c r="I609" s="327"/>
      <c r="J609" s="327"/>
      <c r="K609" s="327"/>
    </row>
    <row r="610" spans="1:13" s="389" customFormat="1" ht="9.9" customHeight="1">
      <c r="A610" s="327"/>
      <c r="B610" s="327"/>
      <c r="C610" s="327"/>
      <c r="D610" s="327"/>
      <c r="E610" s="327"/>
      <c r="F610" s="327"/>
      <c r="G610" s="327"/>
      <c r="H610" s="327"/>
      <c r="I610" s="327"/>
      <c r="J610" s="327"/>
      <c r="K610" s="327"/>
      <c r="L610" s="327"/>
      <c r="M610" s="327"/>
    </row>
    <row r="611" spans="1:13" s="389" customFormat="1" ht="9.9" customHeight="1">
      <c r="A611" s="327"/>
      <c r="B611" s="327"/>
      <c r="C611" s="327"/>
      <c r="D611" s="327"/>
      <c r="E611" s="327"/>
      <c r="F611" s="327"/>
      <c r="G611" s="327"/>
      <c r="H611" s="327"/>
      <c r="I611" s="327"/>
      <c r="J611" s="327"/>
      <c r="K611" s="327"/>
      <c r="L611" s="327"/>
      <c r="M611" s="327"/>
    </row>
    <row r="612" spans="1:13" s="389" customFormat="1" ht="9.9" customHeight="1">
      <c r="A612" s="327"/>
      <c r="B612" s="327"/>
      <c r="C612" s="327"/>
      <c r="D612" s="327"/>
      <c r="E612" s="327"/>
      <c r="F612" s="327"/>
      <c r="G612" s="327"/>
      <c r="H612" s="327"/>
      <c r="I612" s="327"/>
      <c r="J612" s="327"/>
      <c r="K612" s="327"/>
      <c r="L612" s="327"/>
      <c r="M612" s="327"/>
    </row>
    <row r="613" spans="1:13" s="389" customFormat="1" ht="9.9" customHeight="1">
      <c r="A613" s="327"/>
      <c r="B613" s="327"/>
      <c r="C613" s="327"/>
      <c r="D613" s="327"/>
      <c r="E613" s="327"/>
      <c r="F613" s="327"/>
      <c r="G613" s="327"/>
      <c r="H613" s="327"/>
      <c r="I613" s="327"/>
      <c r="J613" s="327"/>
      <c r="K613" s="327"/>
      <c r="L613" s="327"/>
      <c r="M613" s="327"/>
    </row>
    <row r="614" spans="1:13" s="389" customFormat="1" ht="9.9" customHeight="1">
      <c r="A614" s="327"/>
      <c r="B614" s="327"/>
      <c r="C614" s="327"/>
      <c r="D614" s="327"/>
      <c r="E614" s="327"/>
      <c r="F614" s="327"/>
      <c r="G614" s="327"/>
      <c r="H614" s="327"/>
      <c r="I614" s="327"/>
      <c r="J614" s="327"/>
      <c r="K614" s="327"/>
      <c r="L614" s="327"/>
      <c r="M614" s="327"/>
    </row>
    <row r="615" spans="1:13" s="389" customFormat="1" ht="9.9" customHeight="1">
      <c r="A615" s="327"/>
      <c r="B615" s="327"/>
      <c r="C615" s="327"/>
      <c r="D615" s="327"/>
      <c r="E615" s="327"/>
      <c r="F615" s="327"/>
      <c r="G615" s="327"/>
      <c r="H615" s="327"/>
      <c r="I615" s="327"/>
      <c r="J615" s="327"/>
      <c r="K615" s="327"/>
      <c r="L615" s="327"/>
      <c r="M615" s="327"/>
    </row>
    <row r="616" spans="1:13" ht="9.9" customHeight="1"/>
    <row r="617" spans="1:13" ht="9.9" customHeight="1"/>
    <row r="618" spans="1:13" ht="9.9" customHeight="1"/>
    <row r="619" spans="1:13" ht="9.9" customHeight="1"/>
    <row r="620" spans="1:13" ht="9.9" customHeight="1"/>
    <row r="621" spans="1:13" ht="9.9" customHeight="1"/>
    <row r="622" spans="1:13" ht="9.9" customHeight="1"/>
    <row r="623" spans="1:13" ht="9.9" customHeight="1"/>
    <row r="624" spans="1:13" ht="9.9" customHeight="1"/>
    <row r="625" ht="9.9" customHeight="1"/>
    <row r="626" ht="9.9" customHeight="1"/>
    <row r="627" ht="9.9" customHeight="1"/>
    <row r="628" ht="9.9" customHeight="1"/>
    <row r="629" ht="9.9" customHeight="1"/>
    <row r="630" ht="9.9" customHeight="1"/>
    <row r="631" ht="9.9" customHeight="1"/>
    <row r="632" ht="9.9" customHeight="1"/>
    <row r="633" ht="9.9" customHeight="1"/>
    <row r="634" ht="9.9" customHeight="1"/>
    <row r="635" ht="9.9" customHeight="1"/>
    <row r="636" ht="9.9" customHeight="1"/>
    <row r="637" ht="9.9" customHeight="1"/>
    <row r="638" ht="9.9" customHeight="1"/>
    <row r="639" ht="9.9" customHeight="1"/>
    <row r="640" ht="9.9" customHeight="1"/>
    <row r="641" ht="9.9" customHeight="1"/>
    <row r="642" ht="9.9" customHeight="1"/>
    <row r="643" ht="9.9" customHeight="1"/>
    <row r="644" ht="9.9" customHeight="1"/>
    <row r="645" ht="9.9" customHeight="1"/>
    <row r="646" ht="9.9" customHeight="1"/>
    <row r="647" ht="9.9" customHeight="1"/>
    <row r="648" ht="9.9" customHeight="1"/>
    <row r="649" ht="9.9" customHeight="1"/>
    <row r="650" ht="9.9" customHeight="1"/>
    <row r="651" ht="9.9" customHeight="1"/>
    <row r="652" ht="9.9" customHeight="1"/>
    <row r="653" ht="9.9" customHeight="1"/>
    <row r="654" ht="9.9" customHeight="1"/>
    <row r="655" ht="9.9" customHeight="1"/>
    <row r="656" ht="9.9" customHeight="1"/>
    <row r="657" ht="9.9" customHeight="1"/>
    <row r="658" ht="9.9" customHeight="1"/>
    <row r="659" ht="9.9" customHeight="1"/>
    <row r="660" ht="9.9" customHeight="1"/>
    <row r="661" ht="9.9" customHeight="1"/>
    <row r="662" ht="9.9" customHeight="1"/>
    <row r="663" ht="9.9" customHeight="1"/>
    <row r="664" ht="9.9" customHeight="1"/>
    <row r="665" ht="9.9" customHeight="1"/>
    <row r="666" ht="9.9" customHeight="1"/>
    <row r="667" ht="9.9" customHeight="1"/>
    <row r="668" ht="9.9" customHeight="1"/>
    <row r="669" ht="9.9" customHeight="1"/>
    <row r="670" ht="9.9" customHeight="1"/>
    <row r="671" ht="9.9" customHeight="1"/>
    <row r="672" ht="9.9" customHeight="1"/>
    <row r="673" ht="9.9" customHeight="1"/>
    <row r="674" ht="9.9" customHeight="1"/>
    <row r="675" ht="9.9" customHeight="1"/>
    <row r="676" ht="9.9" customHeight="1"/>
    <row r="677" ht="9.9" customHeight="1"/>
    <row r="678" ht="9.9" customHeight="1"/>
    <row r="679" ht="9.9" customHeight="1"/>
    <row r="680" ht="9.9" customHeight="1"/>
    <row r="681" ht="9.9" customHeight="1"/>
    <row r="682" ht="9.9" customHeight="1"/>
    <row r="683" ht="9.9" customHeight="1"/>
    <row r="684" ht="9.9" customHeight="1"/>
    <row r="685" ht="9.9" customHeight="1"/>
    <row r="686" ht="9.9" customHeight="1"/>
    <row r="687" ht="9.9" customHeight="1"/>
    <row r="688" ht="9.9" customHeight="1"/>
    <row r="689" ht="9.9" customHeight="1"/>
    <row r="690" ht="9.9" customHeight="1"/>
    <row r="691" ht="9.9" customHeight="1"/>
    <row r="692" ht="9.9" customHeight="1"/>
    <row r="693" ht="9.9" customHeight="1"/>
    <row r="694" ht="9.9" customHeight="1"/>
    <row r="695" ht="9.9" customHeight="1"/>
    <row r="696" ht="9.9" customHeight="1"/>
    <row r="697" ht="9.9" customHeight="1"/>
    <row r="698" ht="9.9" customHeight="1"/>
    <row r="699" ht="9.9" customHeight="1"/>
    <row r="700" ht="9.9" customHeight="1"/>
    <row r="701" ht="9.9" customHeight="1"/>
    <row r="702" ht="9.9" customHeight="1"/>
    <row r="703" ht="9.9" customHeight="1"/>
    <row r="704" ht="9.9" customHeight="1"/>
    <row r="705" ht="9.9" customHeight="1"/>
    <row r="706" ht="9.9" customHeight="1"/>
    <row r="707" ht="9.9" customHeight="1"/>
    <row r="708" ht="9.9" customHeight="1"/>
    <row r="709" ht="9.9" customHeight="1"/>
    <row r="710" ht="9.9" customHeight="1"/>
    <row r="711" ht="9.9" customHeight="1"/>
    <row r="712" ht="9.9" customHeight="1"/>
    <row r="713" ht="9.9" customHeight="1"/>
    <row r="714" ht="9.9" customHeight="1"/>
    <row r="715" ht="9.9" customHeight="1"/>
    <row r="716" ht="9.9" customHeight="1"/>
    <row r="717" ht="9.9" customHeight="1"/>
    <row r="718" ht="9.9" customHeight="1"/>
    <row r="719" ht="9.9" customHeight="1"/>
    <row r="720" ht="9.9" customHeight="1"/>
    <row r="721" ht="9.9" customHeight="1"/>
    <row r="722" ht="9.9" customHeight="1"/>
    <row r="723" ht="9.9" customHeight="1"/>
    <row r="724" ht="9.9" customHeight="1"/>
    <row r="725" ht="9.9" customHeight="1"/>
    <row r="726" ht="9.9" customHeight="1"/>
    <row r="727" ht="9.9" customHeight="1"/>
    <row r="728" ht="9.9" customHeight="1"/>
    <row r="729" ht="9.9" customHeight="1"/>
    <row r="730" ht="9.9" customHeight="1"/>
    <row r="731" ht="9.9" customHeight="1"/>
    <row r="732" ht="9.9" customHeight="1"/>
    <row r="733" ht="9.9" customHeight="1"/>
    <row r="734" ht="9.9" customHeight="1"/>
    <row r="735" ht="9.9" customHeight="1"/>
    <row r="736" ht="9.9" customHeight="1"/>
    <row r="737" ht="9.9" customHeight="1"/>
    <row r="738" ht="9.9" customHeight="1"/>
    <row r="739" ht="9.9" customHeight="1"/>
    <row r="740" ht="9.9" customHeight="1"/>
    <row r="741" ht="9.9" customHeight="1"/>
    <row r="742" ht="9.9" customHeight="1"/>
    <row r="743" ht="9.9" customHeight="1"/>
    <row r="744" ht="9.9" customHeight="1"/>
    <row r="745" ht="9.9" customHeight="1"/>
    <row r="746" ht="9.9" customHeight="1"/>
    <row r="747" ht="9.9" customHeight="1"/>
    <row r="748" ht="9.9" customHeight="1"/>
    <row r="749" ht="9.9" customHeight="1"/>
    <row r="750" ht="9.9" customHeight="1"/>
    <row r="751" ht="9.9" customHeight="1"/>
    <row r="752" ht="9.9" customHeight="1"/>
    <row r="753" ht="9.9" customHeight="1"/>
    <row r="754" ht="9.9" customHeight="1"/>
    <row r="755" ht="9.9" customHeight="1"/>
    <row r="756" ht="9.9" customHeight="1"/>
    <row r="757" ht="9.9" customHeight="1"/>
    <row r="758" ht="9.9" customHeight="1"/>
    <row r="759" ht="9.9" customHeight="1"/>
    <row r="760" ht="9.9" customHeight="1"/>
    <row r="761" ht="9.9" customHeight="1"/>
    <row r="762" ht="9.9" customHeight="1"/>
    <row r="763" ht="9.9" customHeight="1"/>
    <row r="764" ht="9.9" customHeight="1"/>
    <row r="765" ht="9.9" customHeight="1"/>
    <row r="766" ht="9.9" customHeight="1"/>
    <row r="767" ht="9.9" customHeight="1"/>
    <row r="768" ht="9.9" customHeight="1"/>
    <row r="769" ht="9.9" customHeight="1"/>
    <row r="770" ht="9.9" customHeight="1"/>
    <row r="771" ht="9.9" customHeight="1"/>
    <row r="772" ht="9.9" customHeight="1"/>
    <row r="773" ht="9.9" customHeight="1"/>
    <row r="774" ht="9.9" customHeight="1"/>
    <row r="775" ht="9.9" customHeight="1"/>
    <row r="776" ht="9.9" customHeight="1"/>
    <row r="777" ht="9.9" customHeight="1"/>
    <row r="778" ht="9.9" customHeight="1"/>
    <row r="779" ht="9.9" customHeight="1"/>
    <row r="780" ht="9.9" customHeight="1"/>
    <row r="781" ht="9.9" customHeight="1"/>
    <row r="782" ht="9.9" customHeight="1"/>
    <row r="783" ht="9.9" customHeight="1"/>
    <row r="784" ht="9.9" customHeight="1"/>
    <row r="785" ht="9.9" customHeight="1"/>
    <row r="786" ht="9.9" customHeight="1"/>
    <row r="787" ht="9.9" customHeight="1"/>
    <row r="788" ht="9.9" customHeight="1"/>
    <row r="789" ht="9.9" customHeight="1"/>
    <row r="790" ht="9.9" customHeight="1"/>
    <row r="791" ht="9.9" customHeight="1"/>
    <row r="792" ht="9.9" customHeight="1"/>
    <row r="793" ht="9.9" customHeight="1"/>
    <row r="794" ht="9.9" customHeight="1"/>
    <row r="795" ht="9.9" customHeight="1"/>
    <row r="796" ht="9.9" customHeight="1"/>
    <row r="797" ht="9.9" customHeight="1"/>
    <row r="798" ht="9.9" customHeight="1"/>
    <row r="799" ht="9.9" customHeight="1"/>
    <row r="800" ht="9.9" customHeight="1"/>
    <row r="801" ht="9.9" customHeight="1"/>
    <row r="802" ht="9.9" customHeight="1"/>
    <row r="803" ht="9.9" customHeight="1"/>
    <row r="804" ht="9.9" customHeight="1"/>
    <row r="805" ht="9.9" customHeight="1"/>
    <row r="806" ht="9.9" customHeight="1"/>
    <row r="807" ht="9.9" customHeight="1"/>
    <row r="808" ht="9.9" customHeight="1"/>
  </sheetData>
  <mergeCells count="145">
    <mergeCell ref="B6:K6"/>
    <mergeCell ref="B7:C7"/>
    <mergeCell ref="E7:F7"/>
    <mergeCell ref="J7:K7"/>
    <mergeCell ref="B8:D8"/>
    <mergeCell ref="E8:I8"/>
    <mergeCell ref="J8:K8"/>
    <mergeCell ref="B2:C5"/>
    <mergeCell ref="D2:I2"/>
    <mergeCell ref="J2:K2"/>
    <mergeCell ref="D3:I3"/>
    <mergeCell ref="J3:K3"/>
    <mergeCell ref="D4:I4"/>
    <mergeCell ref="J4:K4"/>
    <mergeCell ref="D5:I5"/>
    <mergeCell ref="J5:K5"/>
    <mergeCell ref="B12:D12"/>
    <mergeCell ref="E12:G12"/>
    <mergeCell ref="J12:K12"/>
    <mergeCell ref="B13:C13"/>
    <mergeCell ref="E13:I13"/>
    <mergeCell ref="J13:K13"/>
    <mergeCell ref="B9:C9"/>
    <mergeCell ref="E9:G9"/>
    <mergeCell ref="J9:K9"/>
    <mergeCell ref="B10:D10"/>
    <mergeCell ref="E10:I11"/>
    <mergeCell ref="J10:K10"/>
    <mergeCell ref="B11:D11"/>
    <mergeCell ref="C19:D19"/>
    <mergeCell ref="C20:D20"/>
    <mergeCell ref="C21:D21"/>
    <mergeCell ref="C22:D22"/>
    <mergeCell ref="C23:D23"/>
    <mergeCell ref="C24:D24"/>
    <mergeCell ref="C15:D15"/>
    <mergeCell ref="G15:H15"/>
    <mergeCell ref="I15:J15"/>
    <mergeCell ref="C16:D16"/>
    <mergeCell ref="C17:D17"/>
    <mergeCell ref="C18:D18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43:D43"/>
    <mergeCell ref="C45:D45"/>
    <mergeCell ref="C46:D46"/>
    <mergeCell ref="C47:D47"/>
    <mergeCell ref="C48:D48"/>
    <mergeCell ref="C49:D49"/>
    <mergeCell ref="C37:D37"/>
    <mergeCell ref="C38:D38"/>
    <mergeCell ref="C39:D39"/>
    <mergeCell ref="C40:D40"/>
    <mergeCell ref="C41:D41"/>
    <mergeCell ref="C42:D42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3:D93"/>
    <mergeCell ref="C94:D94"/>
    <mergeCell ref="C95:D95"/>
    <mergeCell ref="C96:D96"/>
    <mergeCell ref="C97:D97"/>
    <mergeCell ref="C98:D98"/>
    <mergeCell ref="C86:D86"/>
    <mergeCell ref="C87:D87"/>
    <mergeCell ref="C88:D88"/>
    <mergeCell ref="C89:D89"/>
    <mergeCell ref="C90:D90"/>
    <mergeCell ref="C91:D91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117:D117"/>
    <mergeCell ref="C118:D118"/>
    <mergeCell ref="C119:D119"/>
    <mergeCell ref="C120:D120"/>
    <mergeCell ref="C121:D121"/>
    <mergeCell ref="C111:D111"/>
    <mergeCell ref="C112:D112"/>
    <mergeCell ref="C113:D113"/>
    <mergeCell ref="C114:D114"/>
    <mergeCell ref="C115:D115"/>
    <mergeCell ref="C116:D116"/>
    <mergeCell ref="C127:D127"/>
    <mergeCell ref="C128:D128"/>
    <mergeCell ref="C129:D129"/>
    <mergeCell ref="C130:D130"/>
    <mergeCell ref="C122:D122"/>
    <mergeCell ref="C123:D123"/>
    <mergeCell ref="C124:D124"/>
    <mergeCell ref="C125:D125"/>
    <mergeCell ref="C126:D126"/>
  </mergeCells>
  <pageMargins left="0.25" right="0.25" top="0.75" bottom="0.75" header="0.3" footer="0.3"/>
  <pageSetup paperSize="9" orientation="landscape" useFirstPageNumber="1" horizontalDpi="300" verticalDpi="300" r:id="rId1"/>
  <headerFooter alignWithMargins="0">
    <oddHeader>&amp;L&amp;"Tahoma,Kurzíva"&amp;G&amp;C&amp;"Arial,Tučné"&amp;9ROZPOČET&amp;"Arial CE,Obyčejné"&amp;10
&amp;"Arial,Kurzíva"&amp;7Budget&amp;R&amp;"Arial,Obyčejné"&amp;9&amp;P/&amp;N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85"/>
  <sheetViews>
    <sheetView showGridLines="0" topLeftCell="A56" workbookViewId="0">
      <selection activeCell="F49" sqref="F49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9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9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AT2" s="15" t="s">
        <v>91</v>
      </c>
    </row>
    <row r="3" spans="1:46" s="1" customFormat="1" ht="6.9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8"/>
      <c r="AT3" s="15" t="s">
        <v>85</v>
      </c>
    </row>
    <row r="4" spans="1:46" s="1" customFormat="1" ht="24.9" customHeight="1">
      <c r="B4" s="18"/>
      <c r="D4" s="103" t="s">
        <v>95</v>
      </c>
      <c r="I4" s="99"/>
      <c r="L4" s="18"/>
      <c r="M4" s="104" t="s">
        <v>10</v>
      </c>
      <c r="AT4" s="15" t="s">
        <v>4</v>
      </c>
    </row>
    <row r="5" spans="1:46" s="1" customFormat="1" ht="6.9" customHeight="1">
      <c r="B5" s="18"/>
      <c r="I5" s="99"/>
      <c r="L5" s="18"/>
    </row>
    <row r="6" spans="1:46" s="1" customFormat="1" ht="12" customHeight="1">
      <c r="B6" s="18"/>
      <c r="D6" s="105" t="s">
        <v>16</v>
      </c>
      <c r="I6" s="99"/>
      <c r="L6" s="18"/>
    </row>
    <row r="7" spans="1:46" s="1" customFormat="1" ht="16.5" customHeight="1">
      <c r="B7" s="18"/>
      <c r="E7" s="486" t="str">
        <f>'Rekapitulace stavby'!K6</f>
        <v>Komplexní klimatizace v objektu MZe Ústí nad Labem</v>
      </c>
      <c r="F7" s="487"/>
      <c r="G7" s="487"/>
      <c r="H7" s="487"/>
      <c r="I7" s="99"/>
      <c r="L7" s="18"/>
    </row>
    <row r="8" spans="1:46" s="2" customFormat="1" ht="12" customHeight="1">
      <c r="A8" s="32"/>
      <c r="B8" s="37"/>
      <c r="C8" s="32"/>
      <c r="D8" s="105" t="s">
        <v>96</v>
      </c>
      <c r="E8" s="32"/>
      <c r="F8" s="32"/>
      <c r="G8" s="32"/>
      <c r="H8" s="32"/>
      <c r="I8" s="106"/>
      <c r="J8" s="32"/>
      <c r="K8" s="32"/>
      <c r="L8" s="10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488" t="s">
        <v>130</v>
      </c>
      <c r="F9" s="489"/>
      <c r="G9" s="489"/>
      <c r="H9" s="489"/>
      <c r="I9" s="106"/>
      <c r="J9" s="32"/>
      <c r="K9" s="32"/>
      <c r="L9" s="10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106"/>
      <c r="J10" s="32"/>
      <c r="K10" s="32"/>
      <c r="L10" s="10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5" t="s">
        <v>18</v>
      </c>
      <c r="E11" s="32"/>
      <c r="F11" s="108" t="s">
        <v>19</v>
      </c>
      <c r="G11" s="32"/>
      <c r="H11" s="32"/>
      <c r="I11" s="109" t="s">
        <v>20</v>
      </c>
      <c r="J11" s="108" t="s">
        <v>19</v>
      </c>
      <c r="K11" s="32"/>
      <c r="L11" s="10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5" t="s">
        <v>21</v>
      </c>
      <c r="E12" s="32"/>
      <c r="F12" s="108" t="s">
        <v>22</v>
      </c>
      <c r="G12" s="32"/>
      <c r="H12" s="32"/>
      <c r="I12" s="109" t="s">
        <v>23</v>
      </c>
      <c r="J12" s="110" t="str">
        <f>'Rekapitulace stavby'!AN8</f>
        <v>21. 2. 2020</v>
      </c>
      <c r="K12" s="32"/>
      <c r="L12" s="10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5" customHeight="1">
      <c r="A13" s="32"/>
      <c r="B13" s="37"/>
      <c r="C13" s="32"/>
      <c r="D13" s="32"/>
      <c r="E13" s="32"/>
      <c r="F13" s="32"/>
      <c r="G13" s="32"/>
      <c r="H13" s="32"/>
      <c r="I13" s="106"/>
      <c r="J13" s="32"/>
      <c r="K13" s="32"/>
      <c r="L13" s="10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5" t="s">
        <v>25</v>
      </c>
      <c r="E14" s="32"/>
      <c r="F14" s="32"/>
      <c r="G14" s="32"/>
      <c r="H14" s="32"/>
      <c r="I14" s="109" t="s">
        <v>26</v>
      </c>
      <c r="J14" s="108" t="s">
        <v>27</v>
      </c>
      <c r="K14" s="32"/>
      <c r="L14" s="10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8" t="s">
        <v>28</v>
      </c>
      <c r="F15" s="32"/>
      <c r="G15" s="32"/>
      <c r="H15" s="32"/>
      <c r="I15" s="109" t="s">
        <v>29</v>
      </c>
      <c r="J15" s="108" t="s">
        <v>30</v>
      </c>
      <c r="K15" s="32"/>
      <c r="L15" s="10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7"/>
      <c r="C16" s="32"/>
      <c r="D16" s="32"/>
      <c r="E16" s="32"/>
      <c r="F16" s="32"/>
      <c r="G16" s="32"/>
      <c r="H16" s="32"/>
      <c r="I16" s="106"/>
      <c r="J16" s="32"/>
      <c r="K16" s="32"/>
      <c r="L16" s="10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5" t="s">
        <v>31</v>
      </c>
      <c r="E17" s="32"/>
      <c r="F17" s="32"/>
      <c r="G17" s="32"/>
      <c r="H17" s="32"/>
      <c r="I17" s="109" t="s">
        <v>26</v>
      </c>
      <c r="J17" s="28" t="str">
        <f>'Rekapitulace stavby'!AN13</f>
        <v>Vyplň údaj</v>
      </c>
      <c r="K17" s="32"/>
      <c r="L17" s="10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490" t="str">
        <f>'Rekapitulace stavby'!E14</f>
        <v>Vyplň údaj</v>
      </c>
      <c r="F18" s="491"/>
      <c r="G18" s="491"/>
      <c r="H18" s="491"/>
      <c r="I18" s="109" t="s">
        <v>29</v>
      </c>
      <c r="J18" s="28" t="str">
        <f>'Rekapitulace stavby'!AN14</f>
        <v>Vyplň údaj</v>
      </c>
      <c r="K18" s="32"/>
      <c r="L18" s="10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7"/>
      <c r="C19" s="32"/>
      <c r="D19" s="32"/>
      <c r="E19" s="32"/>
      <c r="F19" s="32"/>
      <c r="G19" s="32"/>
      <c r="H19" s="32"/>
      <c r="I19" s="106"/>
      <c r="J19" s="32"/>
      <c r="K19" s="32"/>
      <c r="L19" s="10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5" t="s">
        <v>33</v>
      </c>
      <c r="E20" s="32"/>
      <c r="F20" s="32"/>
      <c r="G20" s="32"/>
      <c r="H20" s="32"/>
      <c r="I20" s="109" t="s">
        <v>26</v>
      </c>
      <c r="J20" s="108" t="s">
        <v>34</v>
      </c>
      <c r="K20" s="32"/>
      <c r="L20" s="10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8" t="s">
        <v>35</v>
      </c>
      <c r="F21" s="32"/>
      <c r="G21" s="32"/>
      <c r="H21" s="32"/>
      <c r="I21" s="109" t="s">
        <v>29</v>
      </c>
      <c r="J21" s="108" t="s">
        <v>36</v>
      </c>
      <c r="K21" s="32"/>
      <c r="L21" s="10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7"/>
      <c r="C22" s="32"/>
      <c r="D22" s="32"/>
      <c r="E22" s="32"/>
      <c r="F22" s="32"/>
      <c r="G22" s="32"/>
      <c r="H22" s="32"/>
      <c r="I22" s="106"/>
      <c r="J22" s="32"/>
      <c r="K22" s="32"/>
      <c r="L22" s="10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5" t="s">
        <v>38</v>
      </c>
      <c r="E23" s="32"/>
      <c r="F23" s="32"/>
      <c r="G23" s="32"/>
      <c r="H23" s="32"/>
      <c r="I23" s="109" t="s">
        <v>26</v>
      </c>
      <c r="J23" s="108" t="s">
        <v>34</v>
      </c>
      <c r="K23" s="32"/>
      <c r="L23" s="10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8" t="s">
        <v>35</v>
      </c>
      <c r="F24" s="32"/>
      <c r="G24" s="32"/>
      <c r="H24" s="32"/>
      <c r="I24" s="109" t="s">
        <v>29</v>
      </c>
      <c r="J24" s="108" t="s">
        <v>36</v>
      </c>
      <c r="K24" s="32"/>
      <c r="L24" s="10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7"/>
      <c r="C25" s="32"/>
      <c r="D25" s="32"/>
      <c r="E25" s="32"/>
      <c r="F25" s="32"/>
      <c r="G25" s="32"/>
      <c r="H25" s="32"/>
      <c r="I25" s="106"/>
      <c r="J25" s="32"/>
      <c r="K25" s="32"/>
      <c r="L25" s="10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5" t="s">
        <v>39</v>
      </c>
      <c r="E26" s="32"/>
      <c r="F26" s="32"/>
      <c r="G26" s="32"/>
      <c r="H26" s="32"/>
      <c r="I26" s="106"/>
      <c r="J26" s="32"/>
      <c r="K26" s="32"/>
      <c r="L26" s="10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1"/>
      <c r="B27" s="112"/>
      <c r="C27" s="111"/>
      <c r="D27" s="111"/>
      <c r="E27" s="492" t="s">
        <v>19</v>
      </c>
      <c r="F27" s="492"/>
      <c r="G27" s="492"/>
      <c r="H27" s="492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2"/>
      <c r="B28" s="37"/>
      <c r="C28" s="32"/>
      <c r="D28" s="32"/>
      <c r="E28" s="32"/>
      <c r="F28" s="32"/>
      <c r="G28" s="32"/>
      <c r="H28" s="32"/>
      <c r="I28" s="106"/>
      <c r="J28" s="32"/>
      <c r="K28" s="32"/>
      <c r="L28" s="10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7"/>
      <c r="C29" s="32"/>
      <c r="D29" s="115"/>
      <c r="E29" s="115"/>
      <c r="F29" s="115"/>
      <c r="G29" s="115"/>
      <c r="H29" s="115"/>
      <c r="I29" s="116"/>
      <c r="J29" s="115"/>
      <c r="K29" s="115"/>
      <c r="L29" s="10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41</v>
      </c>
      <c r="E30" s="32"/>
      <c r="F30" s="32"/>
      <c r="G30" s="32"/>
      <c r="H30" s="32"/>
      <c r="I30" s="106"/>
      <c r="J30" s="118">
        <f>ROUND(J81, 2)</f>
        <v>0</v>
      </c>
      <c r="K30" s="32"/>
      <c r="L30" s="10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7"/>
      <c r="C31" s="32"/>
      <c r="D31" s="115"/>
      <c r="E31" s="115"/>
      <c r="F31" s="115"/>
      <c r="G31" s="115"/>
      <c r="H31" s="115"/>
      <c r="I31" s="116"/>
      <c r="J31" s="115"/>
      <c r="K31" s="115"/>
      <c r="L31" s="10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7"/>
      <c r="C32" s="32"/>
      <c r="D32" s="32"/>
      <c r="E32" s="32"/>
      <c r="F32" s="119" t="s">
        <v>43</v>
      </c>
      <c r="G32" s="32"/>
      <c r="H32" s="32"/>
      <c r="I32" s="120" t="s">
        <v>42</v>
      </c>
      <c r="J32" s="119" t="s">
        <v>44</v>
      </c>
      <c r="K32" s="32"/>
      <c r="L32" s="10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7"/>
      <c r="C33" s="32"/>
      <c r="D33" s="121" t="s">
        <v>45</v>
      </c>
      <c r="E33" s="105" t="s">
        <v>46</v>
      </c>
      <c r="F33" s="122">
        <f>ROUND((SUM(BE81:BE84)),  2)</f>
        <v>0</v>
      </c>
      <c r="G33" s="32"/>
      <c r="H33" s="32"/>
      <c r="I33" s="123">
        <v>0.21</v>
      </c>
      <c r="J33" s="122">
        <f>ROUND(((SUM(BE81:BE84))*I33),  2)</f>
        <v>0</v>
      </c>
      <c r="K33" s="32"/>
      <c r="L33" s="10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7"/>
      <c r="C34" s="32"/>
      <c r="D34" s="32"/>
      <c r="E34" s="105" t="s">
        <v>47</v>
      </c>
      <c r="F34" s="122">
        <f>ROUND((SUM(BF81:BF84)),  2)</f>
        <v>0</v>
      </c>
      <c r="G34" s="32"/>
      <c r="H34" s="32"/>
      <c r="I34" s="123">
        <v>0.15</v>
      </c>
      <c r="J34" s="122">
        <f>ROUND(((SUM(BF81:BF84))*I34),  2)</f>
        <v>0</v>
      </c>
      <c r="K34" s="32"/>
      <c r="L34" s="10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7"/>
      <c r="C35" s="32"/>
      <c r="D35" s="32"/>
      <c r="E35" s="105" t="s">
        <v>48</v>
      </c>
      <c r="F35" s="122">
        <f>ROUND((SUM(BG81:BG84)),  2)</f>
        <v>0</v>
      </c>
      <c r="G35" s="32"/>
      <c r="H35" s="32"/>
      <c r="I35" s="123">
        <v>0.21</v>
      </c>
      <c r="J35" s="122">
        <f>0</f>
        <v>0</v>
      </c>
      <c r="K35" s="32"/>
      <c r="L35" s="10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7"/>
      <c r="C36" s="32"/>
      <c r="D36" s="32"/>
      <c r="E36" s="105" t="s">
        <v>49</v>
      </c>
      <c r="F36" s="122">
        <f>ROUND((SUM(BH81:BH84)),  2)</f>
        <v>0</v>
      </c>
      <c r="G36" s="32"/>
      <c r="H36" s="32"/>
      <c r="I36" s="123">
        <v>0.15</v>
      </c>
      <c r="J36" s="122">
        <f>0</f>
        <v>0</v>
      </c>
      <c r="K36" s="32"/>
      <c r="L36" s="10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7"/>
      <c r="C37" s="32"/>
      <c r="D37" s="32"/>
      <c r="E37" s="105" t="s">
        <v>50</v>
      </c>
      <c r="F37" s="122">
        <f>ROUND((SUM(BI81:BI84)),  2)</f>
        <v>0</v>
      </c>
      <c r="G37" s="32"/>
      <c r="H37" s="32"/>
      <c r="I37" s="123">
        <v>0</v>
      </c>
      <c r="J37" s="122">
        <f>0</f>
        <v>0</v>
      </c>
      <c r="K37" s="32"/>
      <c r="L37" s="10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7"/>
      <c r="C38" s="32"/>
      <c r="D38" s="32"/>
      <c r="E38" s="32"/>
      <c r="F38" s="32"/>
      <c r="G38" s="32"/>
      <c r="H38" s="32"/>
      <c r="I38" s="106"/>
      <c r="J38" s="32"/>
      <c r="K38" s="32"/>
      <c r="L38" s="10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4"/>
      <c r="D39" s="125" t="s">
        <v>51</v>
      </c>
      <c r="E39" s="126"/>
      <c r="F39" s="126"/>
      <c r="G39" s="127" t="s">
        <v>52</v>
      </c>
      <c r="H39" s="128" t="s">
        <v>53</v>
      </c>
      <c r="I39" s="129"/>
      <c r="J39" s="130">
        <f>SUM(J30:J37)</f>
        <v>0</v>
      </c>
      <c r="K39" s="131"/>
      <c r="L39" s="10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132"/>
      <c r="C40" s="133"/>
      <c r="D40" s="133"/>
      <c r="E40" s="133"/>
      <c r="F40" s="133"/>
      <c r="G40" s="133"/>
      <c r="H40" s="133"/>
      <c r="I40" s="134"/>
      <c r="J40" s="133"/>
      <c r="K40" s="133"/>
      <c r="L40" s="10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" customHeight="1">
      <c r="A44" s="32"/>
      <c r="B44" s="135"/>
      <c r="C44" s="136"/>
      <c r="D44" s="136"/>
      <c r="E44" s="136"/>
      <c r="F44" s="136"/>
      <c r="G44" s="136"/>
      <c r="H44" s="136"/>
      <c r="I44" s="137"/>
      <c r="J44" s="136"/>
      <c r="K44" s="136"/>
      <c r="L44" s="10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" customHeight="1">
      <c r="A45" s="32"/>
      <c r="B45" s="33"/>
      <c r="C45" s="21" t="s">
        <v>98</v>
      </c>
      <c r="D45" s="34"/>
      <c r="E45" s="34"/>
      <c r="F45" s="34"/>
      <c r="G45" s="34"/>
      <c r="H45" s="34"/>
      <c r="I45" s="106"/>
      <c r="J45" s="34"/>
      <c r="K45" s="34"/>
      <c r="L45" s="10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" customHeight="1">
      <c r="A46" s="32"/>
      <c r="B46" s="33"/>
      <c r="C46" s="34"/>
      <c r="D46" s="34"/>
      <c r="E46" s="34"/>
      <c r="F46" s="34"/>
      <c r="G46" s="34"/>
      <c r="H46" s="34"/>
      <c r="I46" s="106"/>
      <c r="J46" s="34"/>
      <c r="K46" s="34"/>
      <c r="L46" s="10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106"/>
      <c r="J47" s="34"/>
      <c r="K47" s="34"/>
      <c r="L47" s="10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4"/>
      <c r="D48" s="34"/>
      <c r="E48" s="484" t="str">
        <f>E7</f>
        <v>Komplexní klimatizace v objektu MZe Ústí nad Labem</v>
      </c>
      <c r="F48" s="485"/>
      <c r="G48" s="485"/>
      <c r="H48" s="485"/>
      <c r="I48" s="106"/>
      <c r="J48" s="34"/>
      <c r="K48" s="34"/>
      <c r="L48" s="10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96</v>
      </c>
      <c r="D49" s="34"/>
      <c r="E49" s="34"/>
      <c r="F49" s="34"/>
      <c r="G49" s="34"/>
      <c r="H49" s="34"/>
      <c r="I49" s="106"/>
      <c r="J49" s="34"/>
      <c r="K49" s="34"/>
      <c r="L49" s="10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4"/>
      <c r="D50" s="34"/>
      <c r="E50" s="465" t="str">
        <f>E9</f>
        <v>D.1.4.2 - Zařízení silnoproudé elektrotechniky</v>
      </c>
      <c r="F50" s="483"/>
      <c r="G50" s="483"/>
      <c r="H50" s="483"/>
      <c r="I50" s="106"/>
      <c r="J50" s="34"/>
      <c r="K50" s="34"/>
      <c r="L50" s="10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" customHeight="1">
      <c r="A51" s="32"/>
      <c r="B51" s="33"/>
      <c r="C51" s="34"/>
      <c r="D51" s="34"/>
      <c r="E51" s="34"/>
      <c r="F51" s="34"/>
      <c r="G51" s="34"/>
      <c r="H51" s="34"/>
      <c r="I51" s="106"/>
      <c r="J51" s="34"/>
      <c r="K51" s="34"/>
      <c r="L51" s="10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21</v>
      </c>
      <c r="D52" s="34"/>
      <c r="E52" s="34"/>
      <c r="F52" s="25" t="str">
        <f>F12</f>
        <v>Ústí nad Labem</v>
      </c>
      <c r="G52" s="34"/>
      <c r="H52" s="34"/>
      <c r="I52" s="109" t="s">
        <v>23</v>
      </c>
      <c r="J52" s="57" t="str">
        <f>IF(J12="","",J12)</f>
        <v>21. 2. 2020</v>
      </c>
      <c r="K52" s="34"/>
      <c r="L52" s="10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" customHeight="1">
      <c r="A53" s="32"/>
      <c r="B53" s="33"/>
      <c r="C53" s="34"/>
      <c r="D53" s="34"/>
      <c r="E53" s="34"/>
      <c r="F53" s="34"/>
      <c r="G53" s="34"/>
      <c r="H53" s="34"/>
      <c r="I53" s="106"/>
      <c r="J53" s="34"/>
      <c r="K53" s="34"/>
      <c r="L53" s="10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200000000000003" customHeight="1">
      <c r="A54" s="32"/>
      <c r="B54" s="33"/>
      <c r="C54" s="27" t="s">
        <v>25</v>
      </c>
      <c r="D54" s="34"/>
      <c r="E54" s="34"/>
      <c r="F54" s="25" t="str">
        <f>E15</f>
        <v>Česká republika - Ministerstvo zemědělství</v>
      </c>
      <c r="G54" s="34"/>
      <c r="H54" s="34"/>
      <c r="I54" s="109" t="s">
        <v>33</v>
      </c>
      <c r="J54" s="30" t="str">
        <f>E21</f>
        <v>NCI.CZ ENGINEERING s.r.o.</v>
      </c>
      <c r="K54" s="34"/>
      <c r="L54" s="10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200000000000003" customHeight="1">
      <c r="A55" s="32"/>
      <c r="B55" s="33"/>
      <c r="C55" s="27" t="s">
        <v>31</v>
      </c>
      <c r="D55" s="34"/>
      <c r="E55" s="34"/>
      <c r="F55" s="25" t="str">
        <f>IF(E18="","",E18)</f>
        <v>Vyplň údaj</v>
      </c>
      <c r="G55" s="34"/>
      <c r="H55" s="34"/>
      <c r="I55" s="109" t="s">
        <v>38</v>
      </c>
      <c r="J55" s="30" t="str">
        <f>E24</f>
        <v>NCI.CZ ENGINEERING s.r.o.</v>
      </c>
      <c r="K55" s="34"/>
      <c r="L55" s="10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4"/>
      <c r="D56" s="34"/>
      <c r="E56" s="34"/>
      <c r="F56" s="34"/>
      <c r="G56" s="34"/>
      <c r="H56" s="34"/>
      <c r="I56" s="106"/>
      <c r="J56" s="34"/>
      <c r="K56" s="34"/>
      <c r="L56" s="10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38" t="s">
        <v>99</v>
      </c>
      <c r="D57" s="139"/>
      <c r="E57" s="139"/>
      <c r="F57" s="139"/>
      <c r="G57" s="139"/>
      <c r="H57" s="139"/>
      <c r="I57" s="140"/>
      <c r="J57" s="141" t="s">
        <v>100</v>
      </c>
      <c r="K57" s="139"/>
      <c r="L57" s="10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4"/>
      <c r="D58" s="34"/>
      <c r="E58" s="34"/>
      <c r="F58" s="34"/>
      <c r="G58" s="34"/>
      <c r="H58" s="34"/>
      <c r="I58" s="106"/>
      <c r="J58" s="34"/>
      <c r="K58" s="34"/>
      <c r="L58" s="10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5" customHeight="1">
      <c r="A59" s="32"/>
      <c r="B59" s="33"/>
      <c r="C59" s="142" t="s">
        <v>73</v>
      </c>
      <c r="D59" s="34"/>
      <c r="E59" s="34"/>
      <c r="F59" s="34"/>
      <c r="G59" s="34"/>
      <c r="H59" s="34"/>
      <c r="I59" s="106"/>
      <c r="J59" s="75">
        <f>J81</f>
        <v>0</v>
      </c>
      <c r="K59" s="34"/>
      <c r="L59" s="10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101</v>
      </c>
    </row>
    <row r="60" spans="1:47" s="9" customFormat="1" ht="24.9" customHeight="1">
      <c r="B60" s="143"/>
      <c r="C60" s="144"/>
      <c r="D60" s="145" t="s">
        <v>102</v>
      </c>
      <c r="E60" s="146"/>
      <c r="F60" s="146"/>
      <c r="G60" s="146"/>
      <c r="H60" s="146"/>
      <c r="I60" s="147"/>
      <c r="J60" s="148">
        <f>J82</f>
        <v>0</v>
      </c>
      <c r="K60" s="144"/>
      <c r="L60" s="149"/>
    </row>
    <row r="61" spans="1:47" s="10" customFormat="1" ht="19.95" customHeight="1">
      <c r="B61" s="150"/>
      <c r="C61" s="151"/>
      <c r="D61" s="152" t="s">
        <v>103</v>
      </c>
      <c r="E61" s="153"/>
      <c r="F61" s="153"/>
      <c r="G61" s="153"/>
      <c r="H61" s="153"/>
      <c r="I61" s="154"/>
      <c r="J61" s="155">
        <f>J83</f>
        <v>0</v>
      </c>
      <c r="K61" s="151"/>
      <c r="L61" s="156"/>
    </row>
    <row r="62" spans="1:47" s="2" customFormat="1" ht="21.75" customHeight="1">
      <c r="A62" s="32"/>
      <c r="B62" s="33"/>
      <c r="C62" s="34"/>
      <c r="D62" s="34"/>
      <c r="E62" s="34"/>
      <c r="F62" s="34"/>
      <c r="G62" s="34"/>
      <c r="H62" s="34"/>
      <c r="I62" s="106"/>
      <c r="J62" s="34"/>
      <c r="K62" s="34"/>
      <c r="L62" s="10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" customHeight="1">
      <c r="A63" s="32"/>
      <c r="B63" s="45"/>
      <c r="C63" s="46"/>
      <c r="D63" s="46"/>
      <c r="E63" s="46"/>
      <c r="F63" s="46"/>
      <c r="G63" s="46"/>
      <c r="H63" s="46"/>
      <c r="I63" s="134"/>
      <c r="J63" s="46"/>
      <c r="K63" s="46"/>
      <c r="L63" s="10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6.9" customHeight="1">
      <c r="A67" s="32"/>
      <c r="B67" s="47"/>
      <c r="C67" s="48"/>
      <c r="D67" s="48"/>
      <c r="E67" s="48"/>
      <c r="F67" s="48"/>
      <c r="G67" s="48"/>
      <c r="H67" s="48"/>
      <c r="I67" s="137"/>
      <c r="J67" s="48"/>
      <c r="K67" s="48"/>
      <c r="L67" s="10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" customHeight="1">
      <c r="A68" s="32"/>
      <c r="B68" s="33"/>
      <c r="C68" s="21" t="s">
        <v>104</v>
      </c>
      <c r="D68" s="34"/>
      <c r="E68" s="34"/>
      <c r="F68" s="34"/>
      <c r="G68" s="34"/>
      <c r="H68" s="34"/>
      <c r="I68" s="106"/>
      <c r="J68" s="34"/>
      <c r="K68" s="34"/>
      <c r="L68" s="10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" customHeight="1">
      <c r="A69" s="32"/>
      <c r="B69" s="33"/>
      <c r="C69" s="34"/>
      <c r="D69" s="34"/>
      <c r="E69" s="34"/>
      <c r="F69" s="34"/>
      <c r="G69" s="34"/>
      <c r="H69" s="34"/>
      <c r="I69" s="106"/>
      <c r="J69" s="34"/>
      <c r="K69" s="34"/>
      <c r="L69" s="10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16</v>
      </c>
      <c r="D70" s="34"/>
      <c r="E70" s="34"/>
      <c r="F70" s="34"/>
      <c r="G70" s="34"/>
      <c r="H70" s="34"/>
      <c r="I70" s="106"/>
      <c r="J70" s="34"/>
      <c r="K70" s="34"/>
      <c r="L70" s="10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>
      <c r="A71" s="32"/>
      <c r="B71" s="33"/>
      <c r="C71" s="34"/>
      <c r="D71" s="34"/>
      <c r="E71" s="484" t="str">
        <f>E7</f>
        <v>Komplexní klimatizace v objektu MZe Ústí nad Labem</v>
      </c>
      <c r="F71" s="485"/>
      <c r="G71" s="485"/>
      <c r="H71" s="485"/>
      <c r="I71" s="106"/>
      <c r="J71" s="34"/>
      <c r="K71" s="34"/>
      <c r="L71" s="10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96</v>
      </c>
      <c r="D72" s="34"/>
      <c r="E72" s="34"/>
      <c r="F72" s="34"/>
      <c r="G72" s="34"/>
      <c r="H72" s="34"/>
      <c r="I72" s="106"/>
      <c r="J72" s="34"/>
      <c r="K72" s="34"/>
      <c r="L72" s="10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>
      <c r="A73" s="32"/>
      <c r="B73" s="33"/>
      <c r="C73" s="34"/>
      <c r="D73" s="34"/>
      <c r="E73" s="465" t="str">
        <f>E9</f>
        <v>D.1.4.2 - Zařízení silnoproudé elektrotechniky</v>
      </c>
      <c r="F73" s="483"/>
      <c r="G73" s="483"/>
      <c r="H73" s="483"/>
      <c r="I73" s="106"/>
      <c r="J73" s="34"/>
      <c r="K73" s="34"/>
      <c r="L73" s="10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" customHeight="1">
      <c r="A74" s="32"/>
      <c r="B74" s="33"/>
      <c r="C74" s="34"/>
      <c r="D74" s="34"/>
      <c r="E74" s="34"/>
      <c r="F74" s="34"/>
      <c r="G74" s="34"/>
      <c r="H74" s="34"/>
      <c r="I74" s="106"/>
      <c r="J74" s="34"/>
      <c r="K74" s="34"/>
      <c r="L74" s="10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21</v>
      </c>
      <c r="D75" s="34"/>
      <c r="E75" s="34"/>
      <c r="F75" s="25" t="str">
        <f>F12</f>
        <v>Ústí nad Labem</v>
      </c>
      <c r="G75" s="34"/>
      <c r="H75" s="34"/>
      <c r="I75" s="109" t="s">
        <v>23</v>
      </c>
      <c r="J75" s="57" t="str">
        <f>IF(J12="","",J12)</f>
        <v>21. 2. 2020</v>
      </c>
      <c r="K75" s="34"/>
      <c r="L75" s="10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" customHeight="1">
      <c r="A76" s="32"/>
      <c r="B76" s="33"/>
      <c r="C76" s="34"/>
      <c r="D76" s="34"/>
      <c r="E76" s="34"/>
      <c r="F76" s="34"/>
      <c r="G76" s="34"/>
      <c r="H76" s="34"/>
      <c r="I76" s="106"/>
      <c r="J76" s="34"/>
      <c r="K76" s="34"/>
      <c r="L76" s="10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40.200000000000003" customHeight="1">
      <c r="A77" s="32"/>
      <c r="B77" s="33"/>
      <c r="C77" s="27" t="s">
        <v>25</v>
      </c>
      <c r="D77" s="34"/>
      <c r="E77" s="34"/>
      <c r="F77" s="25" t="str">
        <f>E15</f>
        <v>Česká republika - Ministerstvo zemědělství</v>
      </c>
      <c r="G77" s="34"/>
      <c r="H77" s="34"/>
      <c r="I77" s="109" t="s">
        <v>33</v>
      </c>
      <c r="J77" s="30" t="str">
        <f>E21</f>
        <v>NCI.CZ ENGINEERING s.r.o.</v>
      </c>
      <c r="K77" s="34"/>
      <c r="L77" s="10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200000000000003" customHeight="1">
      <c r="A78" s="32"/>
      <c r="B78" s="33"/>
      <c r="C78" s="27" t="s">
        <v>31</v>
      </c>
      <c r="D78" s="34"/>
      <c r="E78" s="34"/>
      <c r="F78" s="25" t="str">
        <f>IF(E18="","",E18)</f>
        <v>Vyplň údaj</v>
      </c>
      <c r="G78" s="34"/>
      <c r="H78" s="34"/>
      <c r="I78" s="109" t="s">
        <v>38</v>
      </c>
      <c r="J78" s="30" t="str">
        <f>E24</f>
        <v>NCI.CZ ENGINEERING s.r.o.</v>
      </c>
      <c r="K78" s="34"/>
      <c r="L78" s="10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4"/>
      <c r="D79" s="34"/>
      <c r="E79" s="34"/>
      <c r="F79" s="34"/>
      <c r="G79" s="34"/>
      <c r="H79" s="34"/>
      <c r="I79" s="106"/>
      <c r="J79" s="34"/>
      <c r="K79" s="34"/>
      <c r="L79" s="10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57"/>
      <c r="B80" s="158"/>
      <c r="C80" s="159" t="s">
        <v>105</v>
      </c>
      <c r="D80" s="160" t="s">
        <v>60</v>
      </c>
      <c r="E80" s="160" t="s">
        <v>56</v>
      </c>
      <c r="F80" s="160" t="s">
        <v>57</v>
      </c>
      <c r="G80" s="160" t="s">
        <v>106</v>
      </c>
      <c r="H80" s="160" t="s">
        <v>107</v>
      </c>
      <c r="I80" s="161" t="s">
        <v>108</v>
      </c>
      <c r="J80" s="160" t="s">
        <v>100</v>
      </c>
      <c r="K80" s="162" t="s">
        <v>109</v>
      </c>
      <c r="L80" s="163"/>
      <c r="M80" s="66" t="s">
        <v>19</v>
      </c>
      <c r="N80" s="67" t="s">
        <v>45</v>
      </c>
      <c r="O80" s="67" t="s">
        <v>110</v>
      </c>
      <c r="P80" s="67" t="s">
        <v>111</v>
      </c>
      <c r="Q80" s="67" t="s">
        <v>112</v>
      </c>
      <c r="R80" s="67" t="s">
        <v>113</v>
      </c>
      <c r="S80" s="67" t="s">
        <v>114</v>
      </c>
      <c r="T80" s="68" t="s">
        <v>115</v>
      </c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</row>
    <row r="81" spans="1:65" s="2" customFormat="1" ht="22.95" customHeight="1">
      <c r="A81" s="32"/>
      <c r="B81" s="33"/>
      <c r="C81" s="73" t="s">
        <v>116</v>
      </c>
      <c r="D81" s="34"/>
      <c r="E81" s="34"/>
      <c r="F81" s="34"/>
      <c r="G81" s="34"/>
      <c r="H81" s="34"/>
      <c r="I81" s="106"/>
      <c r="J81" s="164">
        <f>BK81</f>
        <v>0</v>
      </c>
      <c r="K81" s="34"/>
      <c r="L81" s="37"/>
      <c r="M81" s="69"/>
      <c r="N81" s="165"/>
      <c r="O81" s="70"/>
      <c r="P81" s="166">
        <f>P82</f>
        <v>0</v>
      </c>
      <c r="Q81" s="70"/>
      <c r="R81" s="166">
        <f>R82</f>
        <v>0</v>
      </c>
      <c r="S81" s="70"/>
      <c r="T81" s="167">
        <f>T82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74</v>
      </c>
      <c r="AU81" s="15" t="s">
        <v>101</v>
      </c>
      <c r="BK81" s="168">
        <f>BK82</f>
        <v>0</v>
      </c>
    </row>
    <row r="82" spans="1:65" s="12" customFormat="1" ht="25.95" customHeight="1">
      <c r="B82" s="169"/>
      <c r="C82" s="170"/>
      <c r="D82" s="171" t="s">
        <v>74</v>
      </c>
      <c r="E82" s="172" t="s">
        <v>117</v>
      </c>
      <c r="F82" s="172" t="s">
        <v>118</v>
      </c>
      <c r="G82" s="170"/>
      <c r="H82" s="170"/>
      <c r="I82" s="173"/>
      <c r="J82" s="174">
        <f>BK82</f>
        <v>0</v>
      </c>
      <c r="K82" s="170"/>
      <c r="L82" s="175"/>
      <c r="M82" s="176"/>
      <c r="N82" s="177"/>
      <c r="O82" s="177"/>
      <c r="P82" s="178">
        <f>P83</f>
        <v>0</v>
      </c>
      <c r="Q82" s="177"/>
      <c r="R82" s="178">
        <f>R83</f>
        <v>0</v>
      </c>
      <c r="S82" s="177"/>
      <c r="T82" s="179">
        <f>T83</f>
        <v>0</v>
      </c>
      <c r="AR82" s="180" t="s">
        <v>119</v>
      </c>
      <c r="AT82" s="181" t="s">
        <v>74</v>
      </c>
      <c r="AU82" s="181" t="s">
        <v>75</v>
      </c>
      <c r="AY82" s="180" t="s">
        <v>120</v>
      </c>
      <c r="BK82" s="182">
        <f>BK83</f>
        <v>0</v>
      </c>
    </row>
    <row r="83" spans="1:65" s="12" customFormat="1" ht="22.95" customHeight="1">
      <c r="B83" s="169"/>
      <c r="C83" s="170"/>
      <c r="D83" s="171" t="s">
        <v>74</v>
      </c>
      <c r="E83" s="183" t="s">
        <v>121</v>
      </c>
      <c r="F83" s="183" t="s">
        <v>122</v>
      </c>
      <c r="G83" s="170"/>
      <c r="H83" s="170"/>
      <c r="I83" s="173"/>
      <c r="J83" s="184">
        <f>BK83</f>
        <v>0</v>
      </c>
      <c r="K83" s="170"/>
      <c r="L83" s="175"/>
      <c r="M83" s="176"/>
      <c r="N83" s="177"/>
      <c r="O83" s="177"/>
      <c r="P83" s="178">
        <f>P84</f>
        <v>0</v>
      </c>
      <c r="Q83" s="177"/>
      <c r="R83" s="178">
        <f>R84</f>
        <v>0</v>
      </c>
      <c r="S83" s="177"/>
      <c r="T83" s="179">
        <f>T84</f>
        <v>0</v>
      </c>
      <c r="AR83" s="180" t="s">
        <v>119</v>
      </c>
      <c r="AT83" s="181" t="s">
        <v>74</v>
      </c>
      <c r="AU83" s="181" t="s">
        <v>83</v>
      </c>
      <c r="AY83" s="180" t="s">
        <v>120</v>
      </c>
      <c r="BK83" s="182">
        <f>BK84</f>
        <v>0</v>
      </c>
    </row>
    <row r="84" spans="1:65" s="2" customFormat="1" ht="16.5" customHeight="1">
      <c r="A84" s="32"/>
      <c r="B84" s="33"/>
      <c r="C84" s="185" t="s">
        <v>83</v>
      </c>
      <c r="D84" s="185" t="s">
        <v>123</v>
      </c>
      <c r="E84" s="186" t="s">
        <v>89</v>
      </c>
      <c r="F84" s="187" t="s">
        <v>90</v>
      </c>
      <c r="G84" s="188" t="s">
        <v>125</v>
      </c>
      <c r="H84" s="189">
        <v>1</v>
      </c>
      <c r="I84" s="190">
        <f>'Rekapitulace el'!C24</f>
        <v>0</v>
      </c>
      <c r="J84" s="191">
        <f>ROUND(I84*H84,2)</f>
        <v>0</v>
      </c>
      <c r="K84" s="187" t="s">
        <v>19</v>
      </c>
      <c r="L84" s="37"/>
      <c r="M84" s="192" t="s">
        <v>19</v>
      </c>
      <c r="N84" s="193" t="s">
        <v>46</v>
      </c>
      <c r="O84" s="194"/>
      <c r="P84" s="195">
        <f>O84*H84</f>
        <v>0</v>
      </c>
      <c r="Q84" s="195">
        <v>0</v>
      </c>
      <c r="R84" s="195">
        <f>Q84*H84</f>
        <v>0</v>
      </c>
      <c r="S84" s="195">
        <v>0</v>
      </c>
      <c r="T84" s="196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97" t="s">
        <v>126</v>
      </c>
      <c r="AT84" s="197" t="s">
        <v>123</v>
      </c>
      <c r="AU84" s="197" t="s">
        <v>85</v>
      </c>
      <c r="AY84" s="15" t="s">
        <v>120</v>
      </c>
      <c r="BE84" s="198">
        <f>IF(N84="základní",J84,0)</f>
        <v>0</v>
      </c>
      <c r="BF84" s="198">
        <f>IF(N84="snížená",J84,0)</f>
        <v>0</v>
      </c>
      <c r="BG84" s="198">
        <f>IF(N84="zákl. přenesená",J84,0)</f>
        <v>0</v>
      </c>
      <c r="BH84" s="198">
        <f>IF(N84="sníž. přenesená",J84,0)</f>
        <v>0</v>
      </c>
      <c r="BI84" s="198">
        <f>IF(N84="nulová",J84,0)</f>
        <v>0</v>
      </c>
      <c r="BJ84" s="15" t="s">
        <v>83</v>
      </c>
      <c r="BK84" s="198">
        <f>ROUND(I84*H84,2)</f>
        <v>0</v>
      </c>
      <c r="BL84" s="15" t="s">
        <v>126</v>
      </c>
      <c r="BM84" s="197" t="s">
        <v>131</v>
      </c>
    </row>
    <row r="85" spans="1:65" s="2" customFormat="1" ht="6.9" customHeight="1">
      <c r="A85" s="32"/>
      <c r="B85" s="45"/>
      <c r="C85" s="46"/>
      <c r="D85" s="46"/>
      <c r="E85" s="46"/>
      <c r="F85" s="46"/>
      <c r="G85" s="46"/>
      <c r="H85" s="46"/>
      <c r="I85" s="134"/>
      <c r="J85" s="46"/>
      <c r="K85" s="46"/>
      <c r="L85" s="37"/>
      <c r="M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</sheetData>
  <sheetProtection algorithmName="SHA-512" hashValue="azCVUuIIZCkzccZHHISnJIdfz9NzNo2XjIgq80mvYYaKqlVHSn8j20RH9hXu4A9TX+Ru+/dXGZPjO9waw6zlNg==" saltValue="AoCGPGtlDKhZIFcOVWa+PwbyiN4klo6bZhksh61nxeSn7JF+h9MQI52otlenfXJArqGXH9SnWJKBFBjMCEHx5A==" spinCount="100000" sheet="1" objects="1" scenarios="1" formatColumns="0" formatRows="0" autoFilter="0"/>
  <autoFilter ref="C80:K84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6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456B5-FE4A-4318-B4DF-AEE1BDB444AA}">
  <dimension ref="A1:D35"/>
  <sheetViews>
    <sheetView workbookViewId="0">
      <selection activeCell="B26" sqref="B26"/>
    </sheetView>
  </sheetViews>
  <sheetFormatPr defaultColWidth="9.28515625" defaultRowHeight="14.4"/>
  <cols>
    <col min="1" max="1" width="45.85546875" style="427" bestFit="1" customWidth="1"/>
    <col min="2" max="2" width="17.42578125" style="428" bestFit="1" customWidth="1"/>
    <col min="3" max="3" width="21.7109375" style="428" customWidth="1"/>
    <col min="4" max="5" width="9.28515625" style="419"/>
    <col min="6" max="6" width="0" style="419" hidden="1" customWidth="1"/>
    <col min="7" max="16384" width="9.28515625" style="419"/>
  </cols>
  <sheetData>
    <row r="1" spans="1:4">
      <c r="A1" s="416" t="s">
        <v>200</v>
      </c>
      <c r="B1" s="417" t="s">
        <v>854</v>
      </c>
      <c r="C1" s="417" t="s">
        <v>855</v>
      </c>
      <c r="D1" s="418"/>
    </row>
    <row r="2" spans="1:4">
      <c r="A2" s="429" t="s">
        <v>856</v>
      </c>
      <c r="B2" s="430"/>
      <c r="C2" s="430"/>
      <c r="D2" s="418"/>
    </row>
    <row r="3" spans="1:4">
      <c r="A3" s="422" t="s">
        <v>344</v>
      </c>
      <c r="B3" s="423">
        <f>('Rozpočet el'!F51)</f>
        <v>0</v>
      </c>
      <c r="C3" s="423"/>
      <c r="D3" s="418"/>
    </row>
    <row r="4" spans="1:4">
      <c r="A4" s="422" t="s">
        <v>857</v>
      </c>
      <c r="B4" s="423">
        <f>B3 * Parametry!B16 / 100</f>
        <v>0</v>
      </c>
      <c r="C4" s="423">
        <f>B3 * Parametry!B17 / 100</f>
        <v>0</v>
      </c>
      <c r="D4" s="418"/>
    </row>
    <row r="5" spans="1:4">
      <c r="A5" s="422" t="s">
        <v>858</v>
      </c>
      <c r="B5" s="423"/>
      <c r="C5" s="423">
        <f>0 + 0</f>
        <v>0</v>
      </c>
      <c r="D5" s="418"/>
    </row>
    <row r="6" spans="1:4">
      <c r="A6" s="422" t="s">
        <v>859</v>
      </c>
      <c r="B6" s="423"/>
      <c r="C6" s="423">
        <f>('Rozpočet el'!I51) + 0 + 0</f>
        <v>0</v>
      </c>
      <c r="D6" s="418"/>
    </row>
    <row r="7" spans="1:4">
      <c r="A7" s="431" t="s">
        <v>860</v>
      </c>
      <c r="B7" s="432">
        <f>B3 + B4</f>
        <v>0</v>
      </c>
      <c r="C7" s="432">
        <f>C3 + C4 + C5 + C6</f>
        <v>0</v>
      </c>
      <c r="D7" s="418"/>
    </row>
    <row r="8" spans="1:4">
      <c r="A8" s="422" t="s">
        <v>861</v>
      </c>
      <c r="B8" s="423"/>
      <c r="C8" s="423">
        <f>(C5 + C6) * Parametry!B18 / 100</f>
        <v>0</v>
      </c>
      <c r="D8" s="418"/>
    </row>
    <row r="9" spans="1:4">
      <c r="A9" s="422" t="s">
        <v>517</v>
      </c>
      <c r="B9" s="423"/>
      <c r="C9" s="423">
        <f>0 + 0</f>
        <v>0</v>
      </c>
      <c r="D9" s="418"/>
    </row>
    <row r="10" spans="1:4">
      <c r="A10" s="422" t="s">
        <v>862</v>
      </c>
      <c r="B10" s="423"/>
      <c r="C10" s="423">
        <f>0 + 0</f>
        <v>0</v>
      </c>
      <c r="D10" s="418"/>
    </row>
    <row r="11" spans="1:4">
      <c r="A11" s="422" t="s">
        <v>863</v>
      </c>
      <c r="B11" s="423"/>
      <c r="C11" s="423">
        <f>(C9 + C10) * Parametry!B19 / 100</f>
        <v>0</v>
      </c>
      <c r="D11" s="418"/>
    </row>
    <row r="12" spans="1:4">
      <c r="A12" s="431" t="s">
        <v>864</v>
      </c>
      <c r="B12" s="432">
        <f>B7</f>
        <v>0</v>
      </c>
      <c r="C12" s="432">
        <f>C7 + C8 + C9 + C10 + C11</f>
        <v>0</v>
      </c>
      <c r="D12" s="418"/>
    </row>
    <row r="13" spans="1:4">
      <c r="A13" s="422" t="s">
        <v>865</v>
      </c>
      <c r="B13" s="423"/>
      <c r="C13" s="423">
        <f>(B12 + C12) * Parametry!B20 / 100</f>
        <v>0</v>
      </c>
      <c r="D13" s="418"/>
    </row>
    <row r="14" spans="1:4">
      <c r="A14" s="422" t="s">
        <v>866</v>
      </c>
      <c r="B14" s="423"/>
      <c r="C14" s="423">
        <f>(B12 + C12) * Parametry!B21 / 100</f>
        <v>0</v>
      </c>
      <c r="D14" s="418"/>
    </row>
    <row r="15" spans="1:4">
      <c r="A15" s="422" t="s">
        <v>867</v>
      </c>
      <c r="B15" s="423"/>
      <c r="C15" s="423">
        <f>(B7 + C7) * Parametry!B22 / 100</f>
        <v>0</v>
      </c>
      <c r="D15" s="418"/>
    </row>
    <row r="16" spans="1:4">
      <c r="A16" s="429" t="s">
        <v>868</v>
      </c>
      <c r="B16" s="430"/>
      <c r="C16" s="430">
        <f>B12 + C12 + C13 + C14 + C15</f>
        <v>0</v>
      </c>
      <c r="D16" s="418"/>
    </row>
    <row r="17" spans="1:4">
      <c r="A17" s="422" t="s">
        <v>19</v>
      </c>
      <c r="B17" s="423"/>
      <c r="C17" s="423"/>
      <c r="D17" s="418"/>
    </row>
    <row r="18" spans="1:4">
      <c r="A18" s="429" t="s">
        <v>869</v>
      </c>
      <c r="B18" s="430"/>
      <c r="C18" s="430"/>
      <c r="D18" s="418"/>
    </row>
    <row r="19" spans="1:4">
      <c r="A19" s="422" t="s">
        <v>870</v>
      </c>
      <c r="B19" s="423"/>
      <c r="C19" s="423">
        <f>C12 * Parametry!B23 / 100</f>
        <v>0</v>
      </c>
      <c r="D19" s="418"/>
    </row>
    <row r="20" spans="1:4">
      <c r="A20" s="422" t="s">
        <v>871</v>
      </c>
      <c r="B20" s="423"/>
      <c r="C20" s="423">
        <f>C12 * Parametry!B24 / 100</f>
        <v>0</v>
      </c>
      <c r="D20" s="418"/>
    </row>
    <row r="21" spans="1:4">
      <c r="A21" s="429" t="s">
        <v>872</v>
      </c>
      <c r="B21" s="430"/>
      <c r="C21" s="430">
        <f>C19 + C20</f>
        <v>0</v>
      </c>
      <c r="D21" s="418"/>
    </row>
    <row r="22" spans="1:4">
      <c r="A22" s="422" t="s">
        <v>873</v>
      </c>
      <c r="B22" s="423"/>
      <c r="C22" s="423">
        <f>Parametry!B25 * Parametry!B28 * (C16 * Parametry!B27)^Parametry!B26</f>
        <v>0</v>
      </c>
      <c r="D22" s="418"/>
    </row>
    <row r="23" spans="1:4">
      <c r="A23" s="422" t="s">
        <v>19</v>
      </c>
      <c r="B23" s="423"/>
      <c r="C23" s="423"/>
      <c r="D23" s="418"/>
    </row>
    <row r="24" spans="1:4">
      <c r="A24" s="420" t="s">
        <v>874</v>
      </c>
      <c r="B24" s="421"/>
      <c r="C24" s="421">
        <f>C16 + C21 + C22</f>
        <v>0</v>
      </c>
      <c r="D24" s="418"/>
    </row>
    <row r="25" spans="1:4">
      <c r="A25" s="422" t="s">
        <v>875</v>
      </c>
      <c r="B25" s="423">
        <f>(SUM('Rozpočet el'!F3:F50)) + (SUM('Rozpočet el'!I3:I50)) + B4 + C4 + C8 + C11 + C13 + C14 + C15 + C21 + C22</f>
        <v>0</v>
      </c>
      <c r="C25" s="423">
        <f>B25 * Parametry!B31 / 100</f>
        <v>0</v>
      </c>
      <c r="D25" s="418"/>
    </row>
    <row r="26" spans="1:4">
      <c r="A26" s="422" t="s">
        <v>876</v>
      </c>
      <c r="B26" s="423">
        <f>(SUM('Rozpočet el'!F5:'Rozpočet el'!F50))+(SUM('Rozpočet el'!H3:'Rozpočet el'!H50))+'Rekapitulace el'!B3+'Rekapitulace el'!C4+'Rekapitulace el'!C8+'Rekapitulace el'!C11+'Rekapitulace el'!C13+'Rekapitulace el'!C14+'Rekapitulace el'!C15+'Rekapitulace el'!C21+'Rekapitulace el'!C22</f>
        <v>0</v>
      </c>
      <c r="C26" s="423">
        <f>B26 * Parametry!B32 / 100</f>
        <v>0</v>
      </c>
      <c r="D26" s="418"/>
    </row>
    <row r="27" spans="1:4">
      <c r="A27" s="420" t="s">
        <v>877</v>
      </c>
      <c r="B27" s="421"/>
      <c r="C27" s="421">
        <f>C24 + C25 + C26</f>
        <v>0</v>
      </c>
      <c r="D27" s="418"/>
    </row>
    <row r="28" spans="1:4">
      <c r="A28" s="422" t="s">
        <v>19</v>
      </c>
      <c r="B28" s="423"/>
      <c r="C28" s="423"/>
      <c r="D28" s="418"/>
    </row>
    <row r="29" spans="1:4">
      <c r="A29" s="422" t="s">
        <v>878</v>
      </c>
      <c r="B29" s="423"/>
      <c r="C29" s="423">
        <f>C24 * Parametry!B29 / 100</f>
        <v>0</v>
      </c>
      <c r="D29" s="418"/>
    </row>
    <row r="30" spans="1:4">
      <c r="A30" s="422" t="s">
        <v>878</v>
      </c>
      <c r="B30" s="423"/>
      <c r="C30" s="423">
        <f>C24 * Parametry!B30 / 100</f>
        <v>0</v>
      </c>
      <c r="D30" s="418"/>
    </row>
    <row r="31" spans="1:4">
      <c r="A31" s="429" t="s">
        <v>879</v>
      </c>
      <c r="B31" s="433" t="s">
        <v>826</v>
      </c>
      <c r="C31" s="433" t="s">
        <v>345</v>
      </c>
      <c r="D31" s="418"/>
    </row>
    <row r="32" spans="1:4">
      <c r="A32" s="422" t="s">
        <v>833</v>
      </c>
      <c r="B32" s="423">
        <f>('Rozpočet el'!F51)</f>
        <v>0</v>
      </c>
      <c r="C32" s="423">
        <f>('Rozpočet el'!I51)</f>
        <v>0</v>
      </c>
      <c r="D32" s="418"/>
    </row>
    <row r="33" spans="1:4">
      <c r="A33" s="422" t="s">
        <v>19</v>
      </c>
      <c r="B33" s="423"/>
      <c r="C33" s="423"/>
      <c r="D33" s="418"/>
    </row>
    <row r="34" spans="1:4">
      <c r="A34" s="422" t="s">
        <v>19</v>
      </c>
      <c r="B34" s="423"/>
      <c r="C34" s="423"/>
      <c r="D34" s="418"/>
    </row>
    <row r="35" spans="1:4">
      <c r="A35" s="422" t="s">
        <v>19</v>
      </c>
      <c r="B35" s="423"/>
      <c r="C35" s="423"/>
      <c r="D35" s="418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CE766-C303-4F9A-A04C-70402B088D8B}">
  <sheetPr>
    <pageSetUpPr fitToPage="1"/>
  </sheetPr>
  <dimension ref="A1:O60"/>
  <sheetViews>
    <sheetView workbookViewId="0">
      <selection sqref="A1:N52"/>
    </sheetView>
  </sheetViews>
  <sheetFormatPr defaultColWidth="9.28515625" defaultRowHeight="14.4"/>
  <cols>
    <col min="1" max="1" width="7.140625" style="427" bestFit="1" customWidth="1"/>
    <col min="2" max="2" width="128.42578125" style="427" bestFit="1" customWidth="1"/>
    <col min="3" max="3" width="4.7109375" style="427" bestFit="1" customWidth="1"/>
    <col min="4" max="4" width="7.42578125" style="428" bestFit="1" customWidth="1"/>
    <col min="5" max="5" width="9.140625" style="428" bestFit="1" customWidth="1"/>
    <col min="6" max="6" width="15.7109375" style="428" bestFit="1" customWidth="1"/>
    <col min="7" max="7" width="16.85546875" style="427" bestFit="1" customWidth="1"/>
    <col min="8" max="8" width="9.140625" style="428" bestFit="1" customWidth="1"/>
    <col min="9" max="9" width="14.7109375" style="428" bestFit="1" customWidth="1"/>
    <col min="10" max="10" width="9.140625" style="428" bestFit="1" customWidth="1"/>
    <col min="11" max="11" width="13.28515625" style="428" bestFit="1" customWidth="1"/>
    <col min="12" max="13" width="12.42578125" style="427" bestFit="1" customWidth="1"/>
    <col min="14" max="15" width="9.28515625" style="419"/>
    <col min="16" max="16" width="0" style="419" hidden="1" customWidth="1"/>
    <col min="17" max="16384" width="9.28515625" style="419"/>
  </cols>
  <sheetData>
    <row r="1" spans="1:15">
      <c r="A1" s="416" t="s">
        <v>823</v>
      </c>
      <c r="B1" s="416" t="s">
        <v>200</v>
      </c>
      <c r="C1" s="416" t="s">
        <v>824</v>
      </c>
      <c r="D1" s="417" t="s">
        <v>825</v>
      </c>
      <c r="E1" s="417" t="s">
        <v>826</v>
      </c>
      <c r="F1" s="417" t="s">
        <v>827</v>
      </c>
      <c r="G1" s="416" t="s">
        <v>828</v>
      </c>
      <c r="H1" s="417" t="s">
        <v>345</v>
      </c>
      <c r="I1" s="417" t="s">
        <v>829</v>
      </c>
      <c r="J1" s="417" t="s">
        <v>830</v>
      </c>
      <c r="K1" s="417" t="s">
        <v>270</v>
      </c>
      <c r="L1" s="416" t="s">
        <v>831</v>
      </c>
      <c r="M1" s="416" t="s">
        <v>832</v>
      </c>
      <c r="N1" s="418"/>
      <c r="O1" s="418"/>
    </row>
    <row r="2" spans="1:15">
      <c r="A2" s="420" t="s">
        <v>19</v>
      </c>
      <c r="B2" s="420" t="s">
        <v>833</v>
      </c>
      <c r="C2" s="420" t="s">
        <v>19</v>
      </c>
      <c r="D2" s="421"/>
      <c r="E2" s="421"/>
      <c r="F2" s="421"/>
      <c r="G2" s="420" t="s">
        <v>19</v>
      </c>
      <c r="H2" s="421"/>
      <c r="I2" s="421"/>
      <c r="J2" s="421"/>
      <c r="K2" s="421"/>
      <c r="L2" s="420" t="s">
        <v>19</v>
      </c>
      <c r="M2" s="420" t="s">
        <v>19</v>
      </c>
      <c r="N2" s="418"/>
      <c r="O2" s="418"/>
    </row>
    <row r="3" spans="1:15" ht="24">
      <c r="A3" s="422" t="s">
        <v>83</v>
      </c>
      <c r="B3" s="439" t="s">
        <v>921</v>
      </c>
      <c r="C3" s="422" t="s">
        <v>834</v>
      </c>
      <c r="D3" s="423">
        <v>1</v>
      </c>
      <c r="E3" s="423">
        <v>0</v>
      </c>
      <c r="F3" s="423">
        <f t="shared" ref="F3:F13" si="0">D3*E3</f>
        <v>0</v>
      </c>
      <c r="G3" s="422" t="s">
        <v>19</v>
      </c>
      <c r="H3" s="423">
        <v>0</v>
      </c>
      <c r="I3" s="423">
        <f t="shared" ref="I3:I13" si="1">D3*H3</f>
        <v>0</v>
      </c>
      <c r="J3" s="423">
        <f t="shared" ref="J3:K13" si="2">E3+H3</f>
        <v>0</v>
      </c>
      <c r="K3" s="423">
        <f t="shared" si="2"/>
        <v>0</v>
      </c>
      <c r="L3" s="422" t="s">
        <v>19</v>
      </c>
      <c r="M3" s="422" t="s">
        <v>19</v>
      </c>
      <c r="N3" s="418"/>
      <c r="O3" s="418"/>
    </row>
    <row r="4" spans="1:15">
      <c r="A4" s="422" t="s">
        <v>85</v>
      </c>
      <c r="B4" s="440" t="s">
        <v>922</v>
      </c>
      <c r="C4" s="422" t="s">
        <v>834</v>
      </c>
      <c r="D4" s="423">
        <v>3</v>
      </c>
      <c r="E4" s="423">
        <v>0</v>
      </c>
      <c r="F4" s="423">
        <f t="shared" si="0"/>
        <v>0</v>
      </c>
      <c r="G4" s="422" t="s">
        <v>19</v>
      </c>
      <c r="H4" s="423">
        <v>0</v>
      </c>
      <c r="I4" s="423">
        <f t="shared" si="1"/>
        <v>0</v>
      </c>
      <c r="J4" s="423">
        <f t="shared" si="2"/>
        <v>0</v>
      </c>
      <c r="K4" s="423">
        <f t="shared" si="2"/>
        <v>0</v>
      </c>
      <c r="L4" s="422" t="s">
        <v>19</v>
      </c>
      <c r="M4" s="422" t="s">
        <v>19</v>
      </c>
      <c r="N4" s="418"/>
      <c r="O4" s="418"/>
    </row>
    <row r="5" spans="1:15">
      <c r="A5" s="422" t="s">
        <v>370</v>
      </c>
      <c r="B5" s="440" t="s">
        <v>923</v>
      </c>
      <c r="C5" s="422" t="s">
        <v>834</v>
      </c>
      <c r="D5" s="423">
        <v>1</v>
      </c>
      <c r="E5" s="423">
        <v>0</v>
      </c>
      <c r="F5" s="423">
        <f t="shared" si="0"/>
        <v>0</v>
      </c>
      <c r="G5" s="422" t="s">
        <v>19</v>
      </c>
      <c r="H5" s="423">
        <v>0</v>
      </c>
      <c r="I5" s="423">
        <f t="shared" si="1"/>
        <v>0</v>
      </c>
      <c r="J5" s="423">
        <f t="shared" si="2"/>
        <v>0</v>
      </c>
      <c r="K5" s="423">
        <f t="shared" si="2"/>
        <v>0</v>
      </c>
      <c r="L5" s="422" t="s">
        <v>19</v>
      </c>
      <c r="M5" s="422" t="s">
        <v>19</v>
      </c>
      <c r="N5" s="418"/>
      <c r="O5" s="418"/>
    </row>
    <row r="6" spans="1:15">
      <c r="A6" s="422" t="s">
        <v>119</v>
      </c>
      <c r="B6" s="440" t="s">
        <v>924</v>
      </c>
      <c r="C6" s="422" t="s">
        <v>834</v>
      </c>
      <c r="D6" s="423">
        <v>1</v>
      </c>
      <c r="E6" s="423">
        <v>0</v>
      </c>
      <c r="F6" s="423">
        <f t="shared" si="0"/>
        <v>0</v>
      </c>
      <c r="G6" s="422" t="s">
        <v>19</v>
      </c>
      <c r="H6" s="423">
        <v>0</v>
      </c>
      <c r="I6" s="423">
        <f t="shared" si="1"/>
        <v>0</v>
      </c>
      <c r="J6" s="423">
        <f t="shared" si="2"/>
        <v>0</v>
      </c>
      <c r="K6" s="423">
        <f t="shared" si="2"/>
        <v>0</v>
      </c>
      <c r="L6" s="422" t="s">
        <v>19</v>
      </c>
      <c r="M6" s="422" t="s">
        <v>19</v>
      </c>
      <c r="N6" s="418"/>
      <c r="O6" s="418"/>
    </row>
    <row r="7" spans="1:15">
      <c r="A7" s="422" t="s">
        <v>380</v>
      </c>
      <c r="B7" s="440" t="s">
        <v>925</v>
      </c>
      <c r="C7" s="422" t="s">
        <v>834</v>
      </c>
      <c r="D7" s="423">
        <v>1</v>
      </c>
      <c r="E7" s="423">
        <v>0</v>
      </c>
      <c r="F7" s="423">
        <f t="shared" si="0"/>
        <v>0</v>
      </c>
      <c r="G7" s="422" t="s">
        <v>19</v>
      </c>
      <c r="H7" s="423">
        <v>0</v>
      </c>
      <c r="I7" s="423">
        <f t="shared" si="1"/>
        <v>0</v>
      </c>
      <c r="J7" s="423">
        <f t="shared" si="2"/>
        <v>0</v>
      </c>
      <c r="K7" s="423">
        <f t="shared" si="2"/>
        <v>0</v>
      </c>
      <c r="L7" s="422" t="s">
        <v>19</v>
      </c>
      <c r="M7" s="422" t="s">
        <v>19</v>
      </c>
      <c r="N7" s="418"/>
      <c r="O7" s="418"/>
    </row>
    <row r="8" spans="1:15">
      <c r="A8" s="422" t="s">
        <v>384</v>
      </c>
      <c r="B8" s="440" t="s">
        <v>926</v>
      </c>
      <c r="C8" s="422" t="s">
        <v>834</v>
      </c>
      <c r="D8" s="423">
        <v>1</v>
      </c>
      <c r="E8" s="423">
        <v>0</v>
      </c>
      <c r="F8" s="423">
        <f t="shared" si="0"/>
        <v>0</v>
      </c>
      <c r="G8" s="422" t="s">
        <v>19</v>
      </c>
      <c r="H8" s="423">
        <v>0</v>
      </c>
      <c r="I8" s="423">
        <f t="shared" si="1"/>
        <v>0</v>
      </c>
      <c r="J8" s="423">
        <f t="shared" si="2"/>
        <v>0</v>
      </c>
      <c r="K8" s="423">
        <f t="shared" si="2"/>
        <v>0</v>
      </c>
      <c r="L8" s="422" t="s">
        <v>19</v>
      </c>
      <c r="M8" s="422" t="s">
        <v>19</v>
      </c>
      <c r="N8" s="418"/>
      <c r="O8" s="418"/>
    </row>
    <row r="9" spans="1:15">
      <c r="A9" s="422" t="s">
        <v>390</v>
      </c>
      <c r="B9" s="440" t="s">
        <v>927</v>
      </c>
      <c r="C9" s="422" t="s">
        <v>834</v>
      </c>
      <c r="D9" s="423">
        <v>3</v>
      </c>
      <c r="E9" s="423">
        <v>0</v>
      </c>
      <c r="F9" s="423">
        <f t="shared" si="0"/>
        <v>0</v>
      </c>
      <c r="G9" s="422" t="s">
        <v>19</v>
      </c>
      <c r="H9" s="423">
        <v>0</v>
      </c>
      <c r="I9" s="423">
        <f t="shared" si="1"/>
        <v>0</v>
      </c>
      <c r="J9" s="423">
        <f t="shared" si="2"/>
        <v>0</v>
      </c>
      <c r="K9" s="423">
        <f t="shared" si="2"/>
        <v>0</v>
      </c>
      <c r="L9" s="422" t="s">
        <v>19</v>
      </c>
      <c r="M9" s="422" t="s">
        <v>19</v>
      </c>
      <c r="N9" s="418"/>
      <c r="O9" s="418"/>
    </row>
    <row r="10" spans="1:15">
      <c r="A10" s="422" t="s">
        <v>401</v>
      </c>
      <c r="B10" s="440" t="s">
        <v>928</v>
      </c>
      <c r="C10" s="422" t="s">
        <v>834</v>
      </c>
      <c r="D10" s="423">
        <v>2</v>
      </c>
      <c r="E10" s="423">
        <v>0</v>
      </c>
      <c r="F10" s="423">
        <f t="shared" si="0"/>
        <v>0</v>
      </c>
      <c r="G10" s="422" t="s">
        <v>19</v>
      </c>
      <c r="H10" s="423">
        <v>0</v>
      </c>
      <c r="I10" s="423">
        <f t="shared" si="1"/>
        <v>0</v>
      </c>
      <c r="J10" s="423">
        <f t="shared" si="2"/>
        <v>0</v>
      </c>
      <c r="K10" s="423">
        <f t="shared" si="2"/>
        <v>0</v>
      </c>
      <c r="L10" s="422" t="s">
        <v>19</v>
      </c>
      <c r="M10" s="422" t="s">
        <v>19</v>
      </c>
      <c r="N10" s="418"/>
      <c r="O10" s="418"/>
    </row>
    <row r="11" spans="1:15">
      <c r="A11" s="422" t="s">
        <v>411</v>
      </c>
      <c r="B11" s="440" t="s">
        <v>929</v>
      </c>
      <c r="C11" s="422" t="s">
        <v>834</v>
      </c>
      <c r="D11" s="423">
        <v>2</v>
      </c>
      <c r="E11" s="423">
        <v>0</v>
      </c>
      <c r="F11" s="423">
        <f t="shared" si="0"/>
        <v>0</v>
      </c>
      <c r="G11" s="422" t="s">
        <v>19</v>
      </c>
      <c r="H11" s="423">
        <v>0</v>
      </c>
      <c r="I11" s="423">
        <f t="shared" si="1"/>
        <v>0</v>
      </c>
      <c r="J11" s="423">
        <f t="shared" si="2"/>
        <v>0</v>
      </c>
      <c r="K11" s="423">
        <f t="shared" si="2"/>
        <v>0</v>
      </c>
      <c r="L11" s="422" t="s">
        <v>19</v>
      </c>
      <c r="M11" s="422" t="s">
        <v>19</v>
      </c>
      <c r="N11" s="418"/>
      <c r="O11" s="418"/>
    </row>
    <row r="12" spans="1:15">
      <c r="A12" s="422" t="s">
        <v>420</v>
      </c>
      <c r="B12" s="440" t="s">
        <v>930</v>
      </c>
      <c r="C12" s="422" t="s">
        <v>834</v>
      </c>
      <c r="D12" s="423">
        <v>2</v>
      </c>
      <c r="E12" s="423">
        <v>0</v>
      </c>
      <c r="F12" s="423">
        <f t="shared" si="0"/>
        <v>0</v>
      </c>
      <c r="G12" s="422" t="s">
        <v>19</v>
      </c>
      <c r="H12" s="423">
        <v>0</v>
      </c>
      <c r="I12" s="423">
        <f t="shared" si="1"/>
        <v>0</v>
      </c>
      <c r="J12" s="423">
        <f t="shared" si="2"/>
        <v>0</v>
      </c>
      <c r="K12" s="423">
        <f t="shared" si="2"/>
        <v>0</v>
      </c>
      <c r="L12" s="422" t="s">
        <v>19</v>
      </c>
      <c r="M12" s="422" t="s">
        <v>19</v>
      </c>
      <c r="N12" s="418"/>
      <c r="O12" s="418"/>
    </row>
    <row r="13" spans="1:15">
      <c r="A13" s="422" t="s">
        <v>426</v>
      </c>
      <c r="B13" s="422" t="s">
        <v>931</v>
      </c>
      <c r="C13" s="422" t="s">
        <v>834</v>
      </c>
      <c r="D13" s="423">
        <v>6</v>
      </c>
      <c r="E13" s="423">
        <v>0</v>
      </c>
      <c r="F13" s="423">
        <f t="shared" si="0"/>
        <v>0</v>
      </c>
      <c r="G13" s="422" t="s">
        <v>19</v>
      </c>
      <c r="H13" s="423">
        <v>0</v>
      </c>
      <c r="I13" s="423">
        <f t="shared" si="1"/>
        <v>0</v>
      </c>
      <c r="J13" s="423">
        <f t="shared" si="2"/>
        <v>0</v>
      </c>
      <c r="K13" s="423">
        <f t="shared" si="2"/>
        <v>0</v>
      </c>
      <c r="L13" s="422" t="s">
        <v>19</v>
      </c>
      <c r="M13" s="422" t="s">
        <v>19</v>
      </c>
      <c r="N13" s="418"/>
      <c r="O13" s="418"/>
    </row>
    <row r="14" spans="1:15">
      <c r="A14" s="422" t="s">
        <v>434</v>
      </c>
      <c r="B14" s="440" t="s">
        <v>932</v>
      </c>
      <c r="C14" s="422" t="s">
        <v>705</v>
      </c>
      <c r="D14" s="423">
        <v>4</v>
      </c>
      <c r="E14" s="423">
        <v>0</v>
      </c>
      <c r="F14" s="423">
        <f t="shared" ref="F14:F24" si="3">D14*E14</f>
        <v>0</v>
      </c>
      <c r="G14" s="422" t="s">
        <v>19</v>
      </c>
      <c r="H14" s="423">
        <v>0</v>
      </c>
      <c r="I14" s="423">
        <f t="shared" ref="I14:I24" si="4">D14*H14</f>
        <v>0</v>
      </c>
      <c r="J14" s="423">
        <f t="shared" ref="J14:K16" si="5">E14+H14</f>
        <v>0</v>
      </c>
      <c r="K14" s="423">
        <f t="shared" si="5"/>
        <v>0</v>
      </c>
      <c r="L14" s="422" t="s">
        <v>19</v>
      </c>
      <c r="M14" s="422" t="s">
        <v>19</v>
      </c>
      <c r="N14" s="418"/>
      <c r="O14" s="418"/>
    </row>
    <row r="15" spans="1:15">
      <c r="A15" s="422" t="s">
        <v>441</v>
      </c>
      <c r="B15" s="440" t="s">
        <v>933</v>
      </c>
      <c r="C15" s="422" t="s">
        <v>705</v>
      </c>
      <c r="D15" s="423">
        <v>16</v>
      </c>
      <c r="E15" s="423">
        <v>0</v>
      </c>
      <c r="F15" s="423">
        <f t="shared" si="3"/>
        <v>0</v>
      </c>
      <c r="G15" s="422" t="s">
        <v>19</v>
      </c>
      <c r="H15" s="423">
        <v>0</v>
      </c>
      <c r="I15" s="423">
        <f t="shared" si="4"/>
        <v>0</v>
      </c>
      <c r="J15" s="423">
        <f t="shared" si="5"/>
        <v>0</v>
      </c>
      <c r="K15" s="423">
        <f t="shared" si="5"/>
        <v>0</v>
      </c>
      <c r="L15" s="422" t="s">
        <v>19</v>
      </c>
      <c r="M15" s="422" t="s">
        <v>19</v>
      </c>
      <c r="N15" s="418"/>
      <c r="O15" s="418"/>
    </row>
    <row r="16" spans="1:15">
      <c r="A16" s="422" t="s">
        <v>446</v>
      </c>
      <c r="B16" s="440" t="s">
        <v>934</v>
      </c>
      <c r="C16" s="422" t="s">
        <v>705</v>
      </c>
      <c r="D16" s="423">
        <v>12</v>
      </c>
      <c r="E16" s="423">
        <v>0</v>
      </c>
      <c r="F16" s="423">
        <f t="shared" si="3"/>
        <v>0</v>
      </c>
      <c r="G16" s="422" t="s">
        <v>19</v>
      </c>
      <c r="H16" s="423">
        <v>0</v>
      </c>
      <c r="I16" s="423">
        <f t="shared" si="4"/>
        <v>0</v>
      </c>
      <c r="J16" s="423">
        <f t="shared" si="5"/>
        <v>0</v>
      </c>
      <c r="K16" s="423">
        <f t="shared" si="5"/>
        <v>0</v>
      </c>
      <c r="L16" s="422" t="s">
        <v>19</v>
      </c>
      <c r="M16" s="422" t="s">
        <v>19</v>
      </c>
      <c r="N16" s="418"/>
      <c r="O16" s="418"/>
    </row>
    <row r="17" spans="1:15">
      <c r="A17" s="422" t="s">
        <v>8</v>
      </c>
      <c r="B17" s="440" t="s">
        <v>935</v>
      </c>
      <c r="C17" s="422" t="s">
        <v>705</v>
      </c>
      <c r="D17" s="423">
        <v>1</v>
      </c>
      <c r="E17" s="423">
        <v>0</v>
      </c>
      <c r="F17" s="423">
        <f t="shared" si="3"/>
        <v>0</v>
      </c>
      <c r="G17" s="422" t="s">
        <v>19</v>
      </c>
      <c r="H17" s="423">
        <v>0</v>
      </c>
      <c r="I17" s="423">
        <f t="shared" si="4"/>
        <v>0</v>
      </c>
      <c r="J17" s="423">
        <f t="shared" ref="J17:K19" si="6">E17+H17</f>
        <v>0</v>
      </c>
      <c r="K17" s="423">
        <f t="shared" si="6"/>
        <v>0</v>
      </c>
      <c r="L17" s="422" t="s">
        <v>19</v>
      </c>
      <c r="M17" s="422" t="s">
        <v>19</v>
      </c>
      <c r="N17" s="418"/>
      <c r="O17" s="418"/>
    </row>
    <row r="18" spans="1:15">
      <c r="A18" s="422" t="s">
        <v>453</v>
      </c>
      <c r="B18" s="440" t="s">
        <v>936</v>
      </c>
      <c r="C18" s="422" t="s">
        <v>705</v>
      </c>
      <c r="D18" s="423">
        <v>4</v>
      </c>
      <c r="E18" s="423">
        <v>0</v>
      </c>
      <c r="F18" s="423">
        <f t="shared" si="3"/>
        <v>0</v>
      </c>
      <c r="G18" s="422" t="s">
        <v>19</v>
      </c>
      <c r="H18" s="423">
        <v>0</v>
      </c>
      <c r="I18" s="423">
        <f t="shared" si="4"/>
        <v>0</v>
      </c>
      <c r="J18" s="423">
        <f t="shared" si="6"/>
        <v>0</v>
      </c>
      <c r="K18" s="423">
        <f t="shared" si="6"/>
        <v>0</v>
      </c>
      <c r="L18" s="422" t="s">
        <v>19</v>
      </c>
      <c r="M18" s="422" t="s">
        <v>19</v>
      </c>
      <c r="N18" s="418"/>
      <c r="O18" s="418"/>
    </row>
    <row r="19" spans="1:15">
      <c r="A19" s="422" t="s">
        <v>460</v>
      </c>
      <c r="B19" s="440" t="s">
        <v>937</v>
      </c>
      <c r="C19" s="422" t="s">
        <v>705</v>
      </c>
      <c r="D19" s="423">
        <v>4</v>
      </c>
      <c r="E19" s="423">
        <v>0</v>
      </c>
      <c r="F19" s="423">
        <f t="shared" si="3"/>
        <v>0</v>
      </c>
      <c r="G19" s="422" t="s">
        <v>19</v>
      </c>
      <c r="H19" s="423">
        <v>0</v>
      </c>
      <c r="I19" s="423">
        <f t="shared" si="4"/>
        <v>0</v>
      </c>
      <c r="J19" s="423">
        <f t="shared" si="6"/>
        <v>0</v>
      </c>
      <c r="K19" s="423">
        <f t="shared" si="6"/>
        <v>0</v>
      </c>
      <c r="L19" s="422" t="s">
        <v>19</v>
      </c>
      <c r="M19" s="422" t="s">
        <v>19</v>
      </c>
      <c r="N19" s="418"/>
      <c r="O19" s="418"/>
    </row>
    <row r="20" spans="1:15">
      <c r="A20" s="422" t="s">
        <v>465</v>
      </c>
      <c r="B20" s="440" t="s">
        <v>938</v>
      </c>
      <c r="C20" s="422" t="s">
        <v>705</v>
      </c>
      <c r="D20" s="423">
        <v>1</v>
      </c>
      <c r="E20" s="423">
        <v>0</v>
      </c>
      <c r="F20" s="423">
        <f t="shared" si="3"/>
        <v>0</v>
      </c>
      <c r="G20" s="422" t="s">
        <v>19</v>
      </c>
      <c r="H20" s="423">
        <v>0</v>
      </c>
      <c r="I20" s="423">
        <f t="shared" si="4"/>
        <v>0</v>
      </c>
      <c r="J20" s="423">
        <f t="shared" ref="J20:K24" si="7">E20+H20</f>
        <v>0</v>
      </c>
      <c r="K20" s="423">
        <f t="shared" si="7"/>
        <v>0</v>
      </c>
      <c r="L20" s="422" t="s">
        <v>19</v>
      </c>
      <c r="M20" s="422" t="s">
        <v>19</v>
      </c>
      <c r="N20" s="418"/>
      <c r="O20" s="418"/>
    </row>
    <row r="21" spans="1:15">
      <c r="A21" s="422" t="s">
        <v>470</v>
      </c>
      <c r="B21" s="440" t="s">
        <v>939</v>
      </c>
      <c r="C21" s="422" t="s">
        <v>705</v>
      </c>
      <c r="D21" s="423">
        <v>4</v>
      </c>
      <c r="E21" s="423">
        <v>0</v>
      </c>
      <c r="F21" s="423">
        <f t="shared" si="3"/>
        <v>0</v>
      </c>
      <c r="G21" s="422" t="s">
        <v>19</v>
      </c>
      <c r="H21" s="423">
        <v>0</v>
      </c>
      <c r="I21" s="423">
        <f t="shared" si="4"/>
        <v>0</v>
      </c>
      <c r="J21" s="423">
        <f t="shared" si="7"/>
        <v>0</v>
      </c>
      <c r="K21" s="423">
        <f t="shared" si="7"/>
        <v>0</v>
      </c>
      <c r="L21" s="422" t="s">
        <v>19</v>
      </c>
      <c r="M21" s="422" t="s">
        <v>19</v>
      </c>
      <c r="N21" s="418"/>
      <c r="O21" s="418"/>
    </row>
    <row r="22" spans="1:15">
      <c r="A22" s="422" t="s">
        <v>483</v>
      </c>
      <c r="B22" s="440" t="s">
        <v>940</v>
      </c>
      <c r="C22" s="422" t="s">
        <v>705</v>
      </c>
      <c r="D22" s="423">
        <v>2</v>
      </c>
      <c r="E22" s="423">
        <v>0</v>
      </c>
      <c r="F22" s="423">
        <f t="shared" si="3"/>
        <v>0</v>
      </c>
      <c r="G22" s="422" t="s">
        <v>19</v>
      </c>
      <c r="H22" s="423">
        <v>0</v>
      </c>
      <c r="I22" s="423">
        <f t="shared" si="4"/>
        <v>0</v>
      </c>
      <c r="J22" s="423">
        <f t="shared" si="7"/>
        <v>0</v>
      </c>
      <c r="K22" s="423">
        <f t="shared" si="7"/>
        <v>0</v>
      </c>
      <c r="L22" s="422" t="s">
        <v>19</v>
      </c>
      <c r="M22" s="422" t="s">
        <v>19</v>
      </c>
      <c r="N22" s="418"/>
      <c r="O22" s="418"/>
    </row>
    <row r="23" spans="1:15">
      <c r="A23" s="422" t="s">
        <v>7</v>
      </c>
      <c r="B23" s="440" t="s">
        <v>941</v>
      </c>
      <c r="C23" s="422" t="s">
        <v>705</v>
      </c>
      <c r="D23" s="423">
        <v>2</v>
      </c>
      <c r="E23" s="423">
        <v>0</v>
      </c>
      <c r="F23" s="423">
        <f t="shared" si="3"/>
        <v>0</v>
      </c>
      <c r="G23" s="422" t="s">
        <v>19</v>
      </c>
      <c r="H23" s="423">
        <v>0</v>
      </c>
      <c r="I23" s="423">
        <f t="shared" si="4"/>
        <v>0</v>
      </c>
      <c r="J23" s="423">
        <f t="shared" si="7"/>
        <v>0</v>
      </c>
      <c r="K23" s="423">
        <f t="shared" si="7"/>
        <v>0</v>
      </c>
      <c r="L23" s="422" t="s">
        <v>19</v>
      </c>
      <c r="M23" s="422" t="s">
        <v>19</v>
      </c>
      <c r="N23" s="418"/>
      <c r="O23" s="418"/>
    </row>
    <row r="24" spans="1:15">
      <c r="A24" s="422" t="s">
        <v>493</v>
      </c>
      <c r="B24" s="440" t="s">
        <v>942</v>
      </c>
      <c r="C24" s="422" t="s">
        <v>705</v>
      </c>
      <c r="D24" s="423">
        <v>45</v>
      </c>
      <c r="E24" s="423">
        <v>0</v>
      </c>
      <c r="F24" s="423">
        <f t="shared" si="3"/>
        <v>0</v>
      </c>
      <c r="G24" s="422" t="s">
        <v>19</v>
      </c>
      <c r="H24" s="423">
        <v>0</v>
      </c>
      <c r="I24" s="423">
        <f t="shared" si="4"/>
        <v>0</v>
      </c>
      <c r="J24" s="423">
        <f t="shared" si="7"/>
        <v>0</v>
      </c>
      <c r="K24" s="423">
        <f t="shared" si="7"/>
        <v>0</v>
      </c>
      <c r="L24" s="422" t="s">
        <v>206</v>
      </c>
      <c r="M24" s="422" t="s">
        <v>19</v>
      </c>
      <c r="N24" s="418"/>
      <c r="O24" s="418"/>
    </row>
    <row r="25" spans="1:15">
      <c r="A25" s="440" t="s">
        <v>499</v>
      </c>
      <c r="B25" s="440" t="s">
        <v>943</v>
      </c>
      <c r="C25" s="440" t="s">
        <v>705</v>
      </c>
      <c r="D25" s="441">
        <v>65</v>
      </c>
      <c r="E25" s="441"/>
      <c r="F25" s="441">
        <f t="shared" ref="F25" si="8">D25*E25</f>
        <v>0</v>
      </c>
      <c r="G25" s="441"/>
      <c r="H25" s="441">
        <f t="shared" ref="H25" si="9">D25*G25</f>
        <v>0</v>
      </c>
      <c r="I25" s="441">
        <f t="shared" ref="I25:J25" si="10">E25+G25</f>
        <v>0</v>
      </c>
      <c r="J25" s="441">
        <f t="shared" si="10"/>
        <v>0</v>
      </c>
      <c r="K25" s="423"/>
      <c r="L25" s="422"/>
      <c r="M25" s="422"/>
      <c r="N25" s="418"/>
      <c r="O25" s="418"/>
    </row>
    <row r="26" spans="1:15">
      <c r="A26" s="422" t="s">
        <v>504</v>
      </c>
      <c r="B26" s="422" t="s">
        <v>949</v>
      </c>
      <c r="C26" s="422" t="s">
        <v>414</v>
      </c>
      <c r="D26" s="423">
        <v>10</v>
      </c>
      <c r="E26" s="423">
        <v>0</v>
      </c>
      <c r="F26" s="423">
        <f t="shared" ref="F26:F34" si="11">D26*E26</f>
        <v>0</v>
      </c>
      <c r="G26" s="422" t="s">
        <v>19</v>
      </c>
      <c r="H26" s="423">
        <v>0</v>
      </c>
      <c r="I26" s="423">
        <f t="shared" ref="I26:I34" si="12">D26*H26</f>
        <v>0</v>
      </c>
      <c r="J26" s="423">
        <f t="shared" ref="J26:K29" si="13">E26+H26</f>
        <v>0</v>
      </c>
      <c r="K26" s="423">
        <f t="shared" si="13"/>
        <v>0</v>
      </c>
      <c r="L26" s="422" t="s">
        <v>19</v>
      </c>
      <c r="M26" s="422" t="s">
        <v>19</v>
      </c>
      <c r="N26" s="418"/>
      <c r="O26" s="418"/>
    </row>
    <row r="27" spans="1:15">
      <c r="A27" s="422" t="s">
        <v>509</v>
      </c>
      <c r="B27" s="422" t="s">
        <v>835</v>
      </c>
      <c r="C27" s="422" t="s">
        <v>414</v>
      </c>
      <c r="D27" s="423">
        <v>280</v>
      </c>
      <c r="E27" s="423">
        <v>0</v>
      </c>
      <c r="F27" s="423">
        <f t="shared" si="11"/>
        <v>0</v>
      </c>
      <c r="G27" s="422" t="s">
        <v>19</v>
      </c>
      <c r="H27" s="423">
        <v>0</v>
      </c>
      <c r="I27" s="423">
        <f t="shared" si="12"/>
        <v>0</v>
      </c>
      <c r="J27" s="423">
        <f t="shared" si="13"/>
        <v>0</v>
      </c>
      <c r="K27" s="423">
        <f t="shared" si="13"/>
        <v>0</v>
      </c>
      <c r="L27" s="422" t="s">
        <v>19</v>
      </c>
      <c r="M27" s="422" t="s">
        <v>19</v>
      </c>
      <c r="N27" s="418"/>
      <c r="O27" s="418"/>
    </row>
    <row r="28" spans="1:15">
      <c r="A28" s="422" t="s">
        <v>518</v>
      </c>
      <c r="B28" s="422" t="s">
        <v>836</v>
      </c>
      <c r="C28" s="422" t="s">
        <v>414</v>
      </c>
      <c r="D28" s="423">
        <v>150</v>
      </c>
      <c r="E28" s="423">
        <v>0</v>
      </c>
      <c r="F28" s="423">
        <f t="shared" si="11"/>
        <v>0</v>
      </c>
      <c r="G28" s="422" t="s">
        <v>19</v>
      </c>
      <c r="H28" s="423">
        <v>0</v>
      </c>
      <c r="I28" s="423">
        <f t="shared" si="12"/>
        <v>0</v>
      </c>
      <c r="J28" s="423">
        <f t="shared" si="13"/>
        <v>0</v>
      </c>
      <c r="K28" s="423">
        <f t="shared" si="13"/>
        <v>0</v>
      </c>
      <c r="L28" s="422" t="s">
        <v>19</v>
      </c>
      <c r="M28" s="422" t="s">
        <v>19</v>
      </c>
      <c r="N28" s="418"/>
      <c r="O28" s="418"/>
    </row>
    <row r="29" spans="1:15">
      <c r="A29" s="422" t="s">
        <v>373</v>
      </c>
      <c r="B29" s="422" t="s">
        <v>837</v>
      </c>
      <c r="C29" s="422" t="s">
        <v>414</v>
      </c>
      <c r="D29" s="423">
        <v>670</v>
      </c>
      <c r="E29" s="423">
        <v>0</v>
      </c>
      <c r="F29" s="423">
        <f t="shared" si="11"/>
        <v>0</v>
      </c>
      <c r="G29" s="422" t="s">
        <v>19</v>
      </c>
      <c r="H29" s="423">
        <v>0</v>
      </c>
      <c r="I29" s="423">
        <f t="shared" si="12"/>
        <v>0</v>
      </c>
      <c r="J29" s="423">
        <f t="shared" si="13"/>
        <v>0</v>
      </c>
      <c r="K29" s="423">
        <f t="shared" si="13"/>
        <v>0</v>
      </c>
      <c r="L29" s="422" t="s">
        <v>19</v>
      </c>
      <c r="M29" s="422" t="s">
        <v>19</v>
      </c>
      <c r="N29" s="418"/>
      <c r="O29" s="418"/>
    </row>
    <row r="30" spans="1:15">
      <c r="A30" s="422" t="s">
        <v>532</v>
      </c>
      <c r="B30" s="422" t="s">
        <v>838</v>
      </c>
      <c r="C30" s="422" t="s">
        <v>414</v>
      </c>
      <c r="D30" s="423">
        <v>900</v>
      </c>
      <c r="E30" s="423">
        <v>0</v>
      </c>
      <c r="F30" s="423">
        <f t="shared" si="11"/>
        <v>0</v>
      </c>
      <c r="G30" s="422" t="s">
        <v>19</v>
      </c>
      <c r="H30" s="423">
        <v>0</v>
      </c>
      <c r="I30" s="423">
        <f t="shared" si="12"/>
        <v>0</v>
      </c>
      <c r="J30" s="423">
        <f>E30+H30</f>
        <v>0</v>
      </c>
      <c r="K30" s="423">
        <f>F30+I30</f>
        <v>0</v>
      </c>
      <c r="L30" s="422" t="s">
        <v>19</v>
      </c>
      <c r="M30" s="422" t="s">
        <v>19</v>
      </c>
      <c r="N30" s="418"/>
      <c r="O30" s="418"/>
    </row>
    <row r="31" spans="1:15">
      <c r="A31" s="422" t="s">
        <v>541</v>
      </c>
      <c r="B31" s="422" t="s">
        <v>839</v>
      </c>
      <c r="C31" s="422" t="s">
        <v>414</v>
      </c>
      <c r="D31" s="423">
        <v>70</v>
      </c>
      <c r="E31" s="423">
        <v>0</v>
      </c>
      <c r="F31" s="423">
        <f t="shared" si="11"/>
        <v>0</v>
      </c>
      <c r="G31" s="422" t="s">
        <v>19</v>
      </c>
      <c r="H31" s="423">
        <v>0</v>
      </c>
      <c r="I31" s="423">
        <f t="shared" si="12"/>
        <v>0</v>
      </c>
      <c r="J31" s="423">
        <f t="shared" ref="J31:K33" si="14">E31+H31</f>
        <v>0</v>
      </c>
      <c r="K31" s="423">
        <f t="shared" si="14"/>
        <v>0</v>
      </c>
      <c r="L31" s="422" t="s">
        <v>19</v>
      </c>
      <c r="M31" s="422" t="s">
        <v>19</v>
      </c>
      <c r="N31" s="418"/>
      <c r="O31" s="418"/>
    </row>
    <row r="32" spans="1:15">
      <c r="A32" s="422" t="s">
        <v>548</v>
      </c>
      <c r="B32" s="440" t="s">
        <v>944</v>
      </c>
      <c r="C32" s="422" t="s">
        <v>414</v>
      </c>
      <c r="D32" s="423">
        <v>40</v>
      </c>
      <c r="E32" s="423">
        <v>0</v>
      </c>
      <c r="F32" s="423">
        <f t="shared" si="11"/>
        <v>0</v>
      </c>
      <c r="G32" s="422" t="s">
        <v>19</v>
      </c>
      <c r="H32" s="423">
        <v>0</v>
      </c>
      <c r="I32" s="423">
        <f t="shared" si="12"/>
        <v>0</v>
      </c>
      <c r="J32" s="423">
        <f t="shared" si="14"/>
        <v>0</v>
      </c>
      <c r="K32" s="423">
        <f t="shared" si="14"/>
        <v>0</v>
      </c>
      <c r="L32" s="422" t="s">
        <v>19</v>
      </c>
      <c r="M32" s="422" t="s">
        <v>19</v>
      </c>
      <c r="N32" s="418"/>
      <c r="O32" s="418"/>
    </row>
    <row r="33" spans="1:15">
      <c r="A33" s="422" t="s">
        <v>388</v>
      </c>
      <c r="B33" s="440" t="s">
        <v>945</v>
      </c>
      <c r="C33" s="440" t="s">
        <v>705</v>
      </c>
      <c r="D33" s="441">
        <v>58</v>
      </c>
      <c r="E33" s="423">
        <v>0</v>
      </c>
      <c r="F33" s="423">
        <f t="shared" si="11"/>
        <v>0</v>
      </c>
      <c r="G33" s="422" t="s">
        <v>19</v>
      </c>
      <c r="H33" s="423">
        <v>0</v>
      </c>
      <c r="I33" s="423">
        <f t="shared" si="12"/>
        <v>0</v>
      </c>
      <c r="J33" s="423">
        <f t="shared" si="14"/>
        <v>0</v>
      </c>
      <c r="K33" s="423">
        <f t="shared" si="14"/>
        <v>0</v>
      </c>
      <c r="L33" s="422" t="s">
        <v>19</v>
      </c>
      <c r="M33" s="422" t="s">
        <v>19</v>
      </c>
      <c r="N33" s="418"/>
      <c r="O33" s="418"/>
    </row>
    <row r="34" spans="1:15">
      <c r="A34" s="442" t="s">
        <v>559</v>
      </c>
      <c r="B34" s="440" t="s">
        <v>946</v>
      </c>
      <c r="C34" s="440" t="s">
        <v>705</v>
      </c>
      <c r="D34" s="441">
        <v>123</v>
      </c>
      <c r="E34" s="423">
        <v>0</v>
      </c>
      <c r="F34" s="423">
        <f t="shared" si="11"/>
        <v>0</v>
      </c>
      <c r="G34" s="422" t="s">
        <v>19</v>
      </c>
      <c r="H34" s="423">
        <v>0</v>
      </c>
      <c r="I34" s="423">
        <f t="shared" si="12"/>
        <v>0</v>
      </c>
      <c r="J34" s="423">
        <f t="shared" ref="J34" si="15">E34+H34</f>
        <v>0</v>
      </c>
      <c r="K34" s="423">
        <f t="shared" ref="K34:K36" si="16">F34+I34</f>
        <v>0</v>
      </c>
      <c r="L34" s="422" t="s">
        <v>19</v>
      </c>
      <c r="M34" s="422" t="s">
        <v>19</v>
      </c>
      <c r="N34" s="418"/>
      <c r="O34" s="418"/>
    </row>
    <row r="35" spans="1:15">
      <c r="A35" s="442" t="s">
        <v>565</v>
      </c>
      <c r="B35" s="440" t="s">
        <v>947</v>
      </c>
      <c r="C35" s="440" t="s">
        <v>414</v>
      </c>
      <c r="D35" s="441">
        <v>900</v>
      </c>
      <c r="E35" s="423">
        <v>0</v>
      </c>
      <c r="F35" s="441">
        <f t="shared" ref="F35:F36" si="17">D35*E35</f>
        <v>0</v>
      </c>
      <c r="G35" s="441"/>
      <c r="H35" s="441">
        <f t="shared" ref="H35:H36" si="18">D35*G35</f>
        <v>0</v>
      </c>
      <c r="I35" s="441">
        <f t="shared" ref="I35:J36" si="19">E35+G35</f>
        <v>0</v>
      </c>
      <c r="J35" s="441">
        <f t="shared" si="19"/>
        <v>0</v>
      </c>
      <c r="K35" s="423">
        <f t="shared" si="16"/>
        <v>0</v>
      </c>
      <c r="L35" s="422" t="s">
        <v>19</v>
      </c>
      <c r="M35" s="422" t="s">
        <v>19</v>
      </c>
      <c r="N35" s="418"/>
      <c r="O35" s="418"/>
    </row>
    <row r="36" spans="1:15">
      <c r="A36" s="442" t="s">
        <v>574</v>
      </c>
      <c r="B36" s="440" t="s">
        <v>948</v>
      </c>
      <c r="C36" s="440" t="s">
        <v>414</v>
      </c>
      <c r="D36" s="441">
        <v>80</v>
      </c>
      <c r="E36" s="423">
        <v>0</v>
      </c>
      <c r="F36" s="441">
        <f t="shared" si="17"/>
        <v>0</v>
      </c>
      <c r="G36" s="441"/>
      <c r="H36" s="441">
        <f t="shared" si="18"/>
        <v>0</v>
      </c>
      <c r="I36" s="441">
        <f t="shared" si="19"/>
        <v>0</v>
      </c>
      <c r="J36" s="441">
        <f t="shared" si="19"/>
        <v>0</v>
      </c>
      <c r="K36" s="423">
        <f t="shared" si="16"/>
        <v>0</v>
      </c>
      <c r="L36" s="422" t="s">
        <v>19</v>
      </c>
      <c r="M36" s="422" t="s">
        <v>19</v>
      </c>
      <c r="N36" s="418"/>
      <c r="O36" s="418"/>
    </row>
    <row r="37" spans="1:15">
      <c r="A37" s="424" t="s">
        <v>19</v>
      </c>
      <c r="B37" s="424" t="s">
        <v>840</v>
      </c>
      <c r="C37" s="424" t="s">
        <v>19</v>
      </c>
      <c r="D37" s="426"/>
      <c r="E37" s="426"/>
      <c r="F37" s="426"/>
      <c r="G37" s="424" t="s">
        <v>19</v>
      </c>
      <c r="H37" s="426"/>
      <c r="I37" s="426"/>
      <c r="J37" s="426"/>
      <c r="K37" s="426"/>
      <c r="L37" s="424" t="s">
        <v>19</v>
      </c>
      <c r="M37" s="424" t="s">
        <v>19</v>
      </c>
      <c r="N37" s="418"/>
      <c r="O37" s="418"/>
    </row>
    <row r="38" spans="1:15">
      <c r="A38" s="422" t="s">
        <v>578</v>
      </c>
      <c r="B38" s="422" t="s">
        <v>841</v>
      </c>
      <c r="C38" s="422" t="s">
        <v>705</v>
      </c>
      <c r="D38" s="423">
        <v>2</v>
      </c>
      <c r="E38" s="423">
        <v>0</v>
      </c>
      <c r="F38" s="423">
        <f>D38*E38</f>
        <v>0</v>
      </c>
      <c r="G38" s="422"/>
      <c r="H38" s="423">
        <v>0</v>
      </c>
      <c r="I38" s="423">
        <f>D38*H38</f>
        <v>0</v>
      </c>
      <c r="J38" s="423">
        <f>E38+H38</f>
        <v>0</v>
      </c>
      <c r="K38" s="423">
        <f>F38+I38</f>
        <v>0</v>
      </c>
      <c r="L38" s="422" t="s">
        <v>19</v>
      </c>
      <c r="M38" s="422" t="s">
        <v>19</v>
      </c>
      <c r="N38" s="418"/>
      <c r="O38" s="418"/>
    </row>
    <row r="39" spans="1:15">
      <c r="A39" s="424" t="s">
        <v>19</v>
      </c>
      <c r="B39" s="424" t="s">
        <v>842</v>
      </c>
      <c r="C39" s="424" t="s">
        <v>19</v>
      </c>
      <c r="D39" s="426"/>
      <c r="E39" s="426"/>
      <c r="F39" s="426"/>
      <c r="G39" s="424"/>
      <c r="H39" s="426"/>
      <c r="I39" s="426"/>
      <c r="J39" s="426"/>
      <c r="K39" s="426"/>
      <c r="L39" s="424" t="s">
        <v>19</v>
      </c>
      <c r="M39" s="424" t="s">
        <v>19</v>
      </c>
      <c r="N39" s="418"/>
      <c r="O39" s="418"/>
    </row>
    <row r="40" spans="1:15">
      <c r="A40" s="422" t="s">
        <v>584</v>
      </c>
      <c r="B40" s="422" t="s">
        <v>841</v>
      </c>
      <c r="C40" s="422" t="s">
        <v>705</v>
      </c>
      <c r="D40" s="423">
        <v>2</v>
      </c>
      <c r="E40" s="423">
        <v>0</v>
      </c>
      <c r="F40" s="423">
        <f>D40*E40</f>
        <v>0</v>
      </c>
      <c r="G40" s="422"/>
      <c r="H40" s="423">
        <v>0</v>
      </c>
      <c r="I40" s="423">
        <f>D40*H40</f>
        <v>0</v>
      </c>
      <c r="J40" s="423">
        <f>E40+H40</f>
        <v>0</v>
      </c>
      <c r="K40" s="423">
        <f>F40+I40</f>
        <v>0</v>
      </c>
      <c r="L40" s="422" t="s">
        <v>19</v>
      </c>
      <c r="M40" s="422" t="s">
        <v>19</v>
      </c>
      <c r="N40" s="418"/>
      <c r="O40" s="418"/>
    </row>
    <row r="41" spans="1:15">
      <c r="A41" s="424" t="s">
        <v>19</v>
      </c>
      <c r="B41" s="424" t="s">
        <v>843</v>
      </c>
      <c r="C41" s="424" t="s">
        <v>19</v>
      </c>
      <c r="D41" s="426"/>
      <c r="E41" s="426"/>
      <c r="F41" s="426"/>
      <c r="G41" s="424" t="s">
        <v>19</v>
      </c>
      <c r="H41" s="426"/>
      <c r="I41" s="426"/>
      <c r="J41" s="426"/>
      <c r="K41" s="426"/>
      <c r="L41" s="424" t="s">
        <v>19</v>
      </c>
      <c r="M41" s="424" t="s">
        <v>19</v>
      </c>
      <c r="N41" s="418"/>
      <c r="O41" s="418"/>
    </row>
    <row r="42" spans="1:15">
      <c r="A42" s="422" t="s">
        <v>593</v>
      </c>
      <c r="B42" s="422" t="s">
        <v>841</v>
      </c>
      <c r="C42" s="422" t="s">
        <v>705</v>
      </c>
      <c r="D42" s="423">
        <v>4</v>
      </c>
      <c r="E42" s="423">
        <v>0</v>
      </c>
      <c r="F42" s="423">
        <f>D42*E42</f>
        <v>0</v>
      </c>
      <c r="G42" s="422"/>
      <c r="H42" s="423">
        <v>0</v>
      </c>
      <c r="I42" s="423">
        <f>D42*H42</f>
        <v>0</v>
      </c>
      <c r="J42" s="423">
        <f>E42+H42</f>
        <v>0</v>
      </c>
      <c r="K42" s="423">
        <f>F42+I42</f>
        <v>0</v>
      </c>
      <c r="L42" s="422" t="s">
        <v>19</v>
      </c>
      <c r="M42" s="422" t="s">
        <v>19</v>
      </c>
      <c r="N42" s="418"/>
      <c r="O42" s="418"/>
    </row>
    <row r="43" spans="1:15">
      <c r="A43" s="424" t="s">
        <v>19</v>
      </c>
      <c r="B43" s="424" t="s">
        <v>844</v>
      </c>
      <c r="C43" s="424" t="s">
        <v>19</v>
      </c>
      <c r="D43" s="425"/>
      <c r="E43" s="425"/>
      <c r="F43" s="425"/>
      <c r="G43" s="424" t="s">
        <v>19</v>
      </c>
      <c r="H43" s="425"/>
      <c r="I43" s="425"/>
      <c r="J43" s="425"/>
      <c r="K43" s="425"/>
      <c r="L43" s="424" t="s">
        <v>19</v>
      </c>
      <c r="M43" s="424" t="s">
        <v>19</v>
      </c>
      <c r="N43" s="418"/>
      <c r="O43" s="418"/>
    </row>
    <row r="44" spans="1:15">
      <c r="A44" s="422" t="s">
        <v>599</v>
      </c>
      <c r="B44" s="422" t="s">
        <v>845</v>
      </c>
      <c r="C44" s="422" t="s">
        <v>705</v>
      </c>
      <c r="D44" s="423">
        <v>1</v>
      </c>
      <c r="E44" s="423">
        <v>0</v>
      </c>
      <c r="F44" s="423">
        <f>D44*E44</f>
        <v>0</v>
      </c>
      <c r="G44" s="422"/>
      <c r="H44" s="423">
        <v>0</v>
      </c>
      <c r="I44" s="423">
        <f>D44*H44</f>
        <v>0</v>
      </c>
      <c r="J44" s="423">
        <f>E44+H44</f>
        <v>0</v>
      </c>
      <c r="K44" s="423">
        <f>F44+I44</f>
        <v>0</v>
      </c>
      <c r="L44" s="422" t="s">
        <v>19</v>
      </c>
      <c r="M44" s="422" t="s">
        <v>19</v>
      </c>
      <c r="N44" s="418"/>
      <c r="O44" s="418"/>
    </row>
    <row r="45" spans="1:15">
      <c r="A45" s="424" t="s">
        <v>19</v>
      </c>
      <c r="B45" s="424" t="s">
        <v>846</v>
      </c>
      <c r="C45" s="424" t="s">
        <v>19</v>
      </c>
      <c r="D45" s="425"/>
      <c r="E45" s="425"/>
      <c r="F45" s="425"/>
      <c r="G45" s="424" t="s">
        <v>19</v>
      </c>
      <c r="H45" s="425"/>
      <c r="I45" s="425"/>
      <c r="J45" s="425"/>
      <c r="K45" s="425"/>
      <c r="L45" s="424" t="s">
        <v>19</v>
      </c>
      <c r="M45" s="424" t="s">
        <v>19</v>
      </c>
      <c r="N45" s="418"/>
      <c r="O45" s="418"/>
    </row>
    <row r="46" spans="1:15">
      <c r="A46" s="422" t="s">
        <v>606</v>
      </c>
      <c r="B46" s="422" t="s">
        <v>847</v>
      </c>
      <c r="C46" s="422" t="s">
        <v>705</v>
      </c>
      <c r="D46" s="423">
        <v>45</v>
      </c>
      <c r="E46" s="423">
        <v>0</v>
      </c>
      <c r="F46" s="423">
        <f>D46*E46</f>
        <v>0</v>
      </c>
      <c r="G46" s="422"/>
      <c r="H46" s="423">
        <v>0</v>
      </c>
      <c r="I46" s="423">
        <f>D46*H46</f>
        <v>0</v>
      </c>
      <c r="J46" s="423">
        <f>E46+H46</f>
        <v>0</v>
      </c>
      <c r="K46" s="423">
        <f>F46+I46</f>
        <v>0</v>
      </c>
      <c r="L46" s="422" t="s">
        <v>19</v>
      </c>
      <c r="M46" s="422" t="s">
        <v>19</v>
      </c>
      <c r="N46" s="418"/>
      <c r="O46" s="418"/>
    </row>
    <row r="47" spans="1:15">
      <c r="A47" s="424" t="s">
        <v>19</v>
      </c>
      <c r="B47" s="424" t="s">
        <v>848</v>
      </c>
      <c r="C47" s="424" t="s">
        <v>19</v>
      </c>
      <c r="D47" s="426"/>
      <c r="E47" s="426"/>
      <c r="F47" s="426"/>
      <c r="G47" s="424" t="s">
        <v>19</v>
      </c>
      <c r="H47" s="426"/>
      <c r="I47" s="426"/>
      <c r="J47" s="426"/>
      <c r="K47" s="426"/>
      <c r="L47" s="424" t="s">
        <v>19</v>
      </c>
      <c r="M47" s="424" t="s">
        <v>19</v>
      </c>
      <c r="N47" s="418"/>
      <c r="O47" s="418"/>
    </row>
    <row r="48" spans="1:15">
      <c r="A48" s="422" t="s">
        <v>611</v>
      </c>
      <c r="B48" s="422" t="s">
        <v>849</v>
      </c>
      <c r="C48" s="422" t="s">
        <v>850</v>
      </c>
      <c r="D48" s="423">
        <v>48</v>
      </c>
      <c r="E48" s="423">
        <v>0</v>
      </c>
      <c r="F48" s="423">
        <f>D48*E48</f>
        <v>0</v>
      </c>
      <c r="G48" s="422" t="s">
        <v>19</v>
      </c>
      <c r="H48" s="423">
        <v>0</v>
      </c>
      <c r="I48" s="423">
        <f>D48*H48</f>
        <v>0</v>
      </c>
      <c r="J48" s="423">
        <f>E48+H48</f>
        <v>0</v>
      </c>
      <c r="K48" s="423">
        <f>F48+I48</f>
        <v>0</v>
      </c>
      <c r="L48" s="422" t="s">
        <v>19</v>
      </c>
      <c r="M48" s="422" t="s">
        <v>19</v>
      </c>
      <c r="N48" s="418"/>
      <c r="O48" s="418"/>
    </row>
    <row r="49" spans="1:15">
      <c r="A49" s="424" t="s">
        <v>19</v>
      </c>
      <c r="B49" s="424" t="s">
        <v>851</v>
      </c>
      <c r="C49" s="424" t="s">
        <v>19</v>
      </c>
      <c r="D49" s="426"/>
      <c r="E49" s="426"/>
      <c r="F49" s="426"/>
      <c r="G49" s="424" t="s">
        <v>19</v>
      </c>
      <c r="H49" s="426"/>
      <c r="I49" s="426"/>
      <c r="J49" s="426"/>
      <c r="K49" s="426"/>
      <c r="L49" s="424" t="s">
        <v>19</v>
      </c>
      <c r="M49" s="424" t="s">
        <v>19</v>
      </c>
      <c r="N49" s="418"/>
      <c r="O49" s="418"/>
    </row>
    <row r="50" spans="1:15">
      <c r="A50" s="422" t="s">
        <v>614</v>
      </c>
      <c r="B50" s="422" t="s">
        <v>852</v>
      </c>
      <c r="C50" s="422" t="s">
        <v>705</v>
      </c>
      <c r="D50" s="423">
        <v>1</v>
      </c>
      <c r="E50" s="423">
        <v>0</v>
      </c>
      <c r="F50" s="423">
        <f>D50*E50</f>
        <v>0</v>
      </c>
      <c r="G50" s="422"/>
      <c r="H50" s="423">
        <v>0</v>
      </c>
      <c r="I50" s="423">
        <f>D50*H50</f>
        <v>0</v>
      </c>
      <c r="J50" s="423">
        <f>E50+H50</f>
        <v>0</v>
      </c>
      <c r="K50" s="423">
        <f>F50+I50</f>
        <v>0</v>
      </c>
      <c r="L50" s="422" t="s">
        <v>19</v>
      </c>
      <c r="M50" s="422" t="s">
        <v>19</v>
      </c>
      <c r="N50" s="418"/>
      <c r="O50" s="418"/>
    </row>
    <row r="51" spans="1:15">
      <c r="A51" s="420" t="s">
        <v>19</v>
      </c>
      <c r="B51" s="420" t="s">
        <v>853</v>
      </c>
      <c r="C51" s="420" t="s">
        <v>19</v>
      </c>
      <c r="D51" s="421"/>
      <c r="E51" s="421"/>
      <c r="F51" s="421">
        <f>SUM(F3:F50)</f>
        <v>0</v>
      </c>
      <c r="G51" s="420" t="s">
        <v>19</v>
      </c>
      <c r="H51" s="421"/>
      <c r="I51" s="421">
        <f>SUM(I3:I50)</f>
        <v>0</v>
      </c>
      <c r="J51" s="421"/>
      <c r="K51" s="421">
        <f>SUM(K3:K50)</f>
        <v>0</v>
      </c>
      <c r="L51" s="420" t="s">
        <v>19</v>
      </c>
      <c r="M51" s="420" t="s">
        <v>19</v>
      </c>
      <c r="N51" s="418"/>
      <c r="O51" s="418"/>
    </row>
    <row r="52" spans="1:15">
      <c r="A52" s="422" t="s">
        <v>19</v>
      </c>
      <c r="B52" s="422" t="s">
        <v>19</v>
      </c>
      <c r="C52" s="422" t="s">
        <v>19</v>
      </c>
      <c r="D52" s="423"/>
      <c r="E52" s="423"/>
      <c r="F52" s="423"/>
      <c r="G52" s="422" t="s">
        <v>19</v>
      </c>
      <c r="H52" s="423"/>
      <c r="I52" s="423"/>
      <c r="J52" s="423">
        <f>E52+H52</f>
        <v>0</v>
      </c>
      <c r="K52" s="423">
        <f>F52+I52</f>
        <v>0</v>
      </c>
      <c r="L52" s="422" t="s">
        <v>19</v>
      </c>
      <c r="M52" s="422" t="s">
        <v>19</v>
      </c>
      <c r="N52" s="418"/>
      <c r="O52" s="418"/>
    </row>
    <row r="53" spans="1:15">
      <c r="N53" s="418"/>
      <c r="O53" s="418"/>
    </row>
    <row r="54" spans="1:15">
      <c r="N54" s="418"/>
      <c r="O54" s="418"/>
    </row>
    <row r="55" spans="1:15">
      <c r="N55" s="418"/>
      <c r="O55" s="418"/>
    </row>
    <row r="56" spans="1:15">
      <c r="N56" s="418"/>
      <c r="O56" s="418"/>
    </row>
    <row r="57" spans="1:15">
      <c r="N57" s="418"/>
      <c r="O57" s="418"/>
    </row>
    <row r="58" spans="1:15">
      <c r="N58" s="418"/>
      <c r="O58" s="418"/>
    </row>
    <row r="59" spans="1:15">
      <c r="O59" s="418"/>
    </row>
    <row r="60" spans="1:15">
      <c r="O60" s="418"/>
    </row>
  </sheetData>
  <pageMargins left="0.25" right="0.25" top="0.75" bottom="0.75" header="0.3" footer="0.3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4CE33-B4F5-4F57-ADEB-C9D789C2FB88}">
  <dimension ref="A1:C32"/>
  <sheetViews>
    <sheetView workbookViewId="0">
      <selection activeCell="C1" sqref="A1:C33"/>
    </sheetView>
  </sheetViews>
  <sheetFormatPr defaultColWidth="9.28515625" defaultRowHeight="14.4"/>
  <cols>
    <col min="1" max="1" width="33.140625" style="427" bestFit="1" customWidth="1"/>
    <col min="2" max="2" width="83.28515625" style="427" bestFit="1" customWidth="1"/>
    <col min="3" max="3" width="9.28515625" style="419"/>
    <col min="4" max="4" width="0" style="419" hidden="1" customWidth="1"/>
    <col min="5" max="16384" width="9.28515625" style="419"/>
  </cols>
  <sheetData>
    <row r="1" spans="1:3">
      <c r="A1" s="416" t="s">
        <v>200</v>
      </c>
      <c r="B1" s="416" t="s">
        <v>306</v>
      </c>
      <c r="C1" s="418"/>
    </row>
    <row r="2" spans="1:3">
      <c r="A2" s="416" t="s">
        <v>880</v>
      </c>
      <c r="B2" s="420" t="s">
        <v>881</v>
      </c>
      <c r="C2" s="418"/>
    </row>
    <row r="3" spans="1:3">
      <c r="A3" s="416" t="s">
        <v>882</v>
      </c>
      <c r="B3" s="429" t="s">
        <v>883</v>
      </c>
      <c r="C3" s="418"/>
    </row>
    <row r="4" spans="1:3">
      <c r="A4" s="416" t="s">
        <v>884</v>
      </c>
      <c r="B4" s="429" t="s">
        <v>885</v>
      </c>
      <c r="C4" s="418"/>
    </row>
    <row r="5" spans="1:3">
      <c r="A5" s="416" t="s">
        <v>886</v>
      </c>
      <c r="B5" s="429" t="s">
        <v>887</v>
      </c>
      <c r="C5" s="418"/>
    </row>
    <row r="6" spans="1:3">
      <c r="A6" s="416" t="s">
        <v>888</v>
      </c>
      <c r="B6" s="429" t="s">
        <v>19</v>
      </c>
      <c r="C6" s="418"/>
    </row>
    <row r="7" spans="1:3">
      <c r="A7" s="416" t="s">
        <v>889</v>
      </c>
      <c r="B7" s="429" t="s">
        <v>19</v>
      </c>
      <c r="C7" s="418"/>
    </row>
    <row r="8" spans="1:3">
      <c r="A8" s="416" t="s">
        <v>890</v>
      </c>
      <c r="B8" s="429" t="s">
        <v>19</v>
      </c>
      <c r="C8" s="418"/>
    </row>
    <row r="9" spans="1:3">
      <c r="A9" s="416" t="s">
        <v>891</v>
      </c>
      <c r="B9" s="429" t="s">
        <v>892</v>
      </c>
      <c r="C9" s="418"/>
    </row>
    <row r="10" spans="1:3">
      <c r="A10" s="416" t="s">
        <v>893</v>
      </c>
      <c r="B10" s="429" t="s">
        <v>892</v>
      </c>
      <c r="C10" s="418"/>
    </row>
    <row r="11" spans="1:3">
      <c r="A11" s="416" t="s">
        <v>214</v>
      </c>
      <c r="B11" s="429" t="s">
        <v>894</v>
      </c>
      <c r="C11" s="418"/>
    </row>
    <row r="12" spans="1:3">
      <c r="A12" s="416" t="s">
        <v>895</v>
      </c>
      <c r="B12" s="429" t="s">
        <v>19</v>
      </c>
      <c r="C12" s="418"/>
    </row>
    <row r="13" spans="1:3">
      <c r="A13" s="416" t="s">
        <v>896</v>
      </c>
      <c r="B13" s="429" t="s">
        <v>897</v>
      </c>
      <c r="C13" s="418"/>
    </row>
    <row r="14" spans="1:3">
      <c r="A14" s="416" t="s">
        <v>234</v>
      </c>
      <c r="B14" s="429" t="s">
        <v>898</v>
      </c>
      <c r="C14" s="418"/>
    </row>
    <row r="15" spans="1:3">
      <c r="A15" s="416" t="s">
        <v>19</v>
      </c>
      <c r="B15" s="422" t="s">
        <v>19</v>
      </c>
      <c r="C15" s="418"/>
    </row>
    <row r="16" spans="1:3">
      <c r="A16" s="416" t="s">
        <v>899</v>
      </c>
      <c r="B16" s="431" t="s">
        <v>900</v>
      </c>
      <c r="C16" s="418"/>
    </row>
    <row r="17" spans="1:3">
      <c r="A17" s="416" t="s">
        <v>901</v>
      </c>
      <c r="B17" s="431" t="s">
        <v>902</v>
      </c>
      <c r="C17" s="418"/>
    </row>
    <row r="18" spans="1:3">
      <c r="A18" s="416" t="s">
        <v>903</v>
      </c>
      <c r="B18" s="431" t="s">
        <v>904</v>
      </c>
      <c r="C18" s="418"/>
    </row>
    <row r="19" spans="1:3">
      <c r="A19" s="416" t="s">
        <v>905</v>
      </c>
      <c r="B19" s="431" t="s">
        <v>906</v>
      </c>
      <c r="C19" s="418"/>
    </row>
    <row r="20" spans="1:3">
      <c r="A20" s="416" t="s">
        <v>907</v>
      </c>
      <c r="B20" s="431" t="s">
        <v>906</v>
      </c>
      <c r="C20" s="418"/>
    </row>
    <row r="21" spans="1:3">
      <c r="A21" s="416" t="s">
        <v>908</v>
      </c>
      <c r="B21" s="431" t="s">
        <v>906</v>
      </c>
      <c r="C21" s="418"/>
    </row>
    <row r="22" spans="1:3">
      <c r="A22" s="416" t="s">
        <v>909</v>
      </c>
      <c r="B22" s="431" t="s">
        <v>906</v>
      </c>
      <c r="C22" s="418"/>
    </row>
    <row r="23" spans="1:3">
      <c r="A23" s="416" t="s">
        <v>910</v>
      </c>
      <c r="B23" s="431" t="s">
        <v>906</v>
      </c>
      <c r="C23" s="418"/>
    </row>
    <row r="24" spans="1:3">
      <c r="A24" s="416" t="s">
        <v>911</v>
      </c>
      <c r="B24" s="431" t="s">
        <v>906</v>
      </c>
      <c r="C24" s="418"/>
    </row>
    <row r="25" spans="1:3">
      <c r="A25" s="416" t="s">
        <v>912</v>
      </c>
      <c r="B25" s="431" t="s">
        <v>906</v>
      </c>
      <c r="C25" s="418"/>
    </row>
    <row r="26" spans="1:3">
      <c r="A26" s="416" t="s">
        <v>913</v>
      </c>
      <c r="B26" s="431" t="s">
        <v>914</v>
      </c>
      <c r="C26" s="418"/>
    </row>
    <row r="27" spans="1:3">
      <c r="A27" s="416" t="s">
        <v>915</v>
      </c>
      <c r="B27" s="431" t="s">
        <v>906</v>
      </c>
      <c r="C27" s="418"/>
    </row>
    <row r="28" spans="1:3">
      <c r="A28" s="416" t="s">
        <v>916</v>
      </c>
      <c r="B28" s="431" t="s">
        <v>906</v>
      </c>
      <c r="C28" s="418"/>
    </row>
    <row r="29" spans="1:3">
      <c r="A29" s="416" t="s">
        <v>917</v>
      </c>
      <c r="B29" s="431" t="s">
        <v>906</v>
      </c>
      <c r="C29" s="418"/>
    </row>
    <row r="30" spans="1:3">
      <c r="A30" s="416" t="s">
        <v>918</v>
      </c>
      <c r="B30" s="431" t="s">
        <v>906</v>
      </c>
      <c r="C30" s="418"/>
    </row>
    <row r="31" spans="1:3" ht="24">
      <c r="A31" s="434" t="s">
        <v>919</v>
      </c>
      <c r="B31" s="431" t="s">
        <v>7</v>
      </c>
      <c r="C31" s="418"/>
    </row>
    <row r="32" spans="1:3">
      <c r="A32" s="416" t="s">
        <v>920</v>
      </c>
      <c r="B32" s="431" t="s">
        <v>8</v>
      </c>
      <c r="C32" s="418"/>
    </row>
  </sheetData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85"/>
  <sheetViews>
    <sheetView showGridLines="0" topLeftCell="A65" workbookViewId="0">
      <selection activeCell="J95" sqref="J9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9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9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AT2" s="15" t="s">
        <v>94</v>
      </c>
    </row>
    <row r="3" spans="1:46" s="1" customFormat="1" ht="6.9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8"/>
      <c r="AT3" s="15" t="s">
        <v>85</v>
      </c>
    </row>
    <row r="4" spans="1:46" s="1" customFormat="1" ht="24.9" customHeight="1">
      <c r="B4" s="18"/>
      <c r="D4" s="103" t="s">
        <v>95</v>
      </c>
      <c r="I4" s="99"/>
      <c r="L4" s="18"/>
      <c r="M4" s="104" t="s">
        <v>10</v>
      </c>
      <c r="AT4" s="15" t="s">
        <v>4</v>
      </c>
    </row>
    <row r="5" spans="1:46" s="1" customFormat="1" ht="6.9" customHeight="1">
      <c r="B5" s="18"/>
      <c r="I5" s="99"/>
      <c r="L5" s="18"/>
    </row>
    <row r="6" spans="1:46" s="1" customFormat="1" ht="12" customHeight="1">
      <c r="B6" s="18"/>
      <c r="D6" s="105" t="s">
        <v>16</v>
      </c>
      <c r="I6" s="99"/>
      <c r="L6" s="18"/>
    </row>
    <row r="7" spans="1:46" s="1" customFormat="1" ht="16.5" customHeight="1">
      <c r="B7" s="18"/>
      <c r="E7" s="486" t="str">
        <f>'Rekapitulace stavby'!K6</f>
        <v>Komplexní klimatizace v objektu MZe Ústí nad Labem</v>
      </c>
      <c r="F7" s="487"/>
      <c r="G7" s="487"/>
      <c r="H7" s="487"/>
      <c r="I7" s="99"/>
      <c r="L7" s="18"/>
    </row>
    <row r="8" spans="1:46" s="2" customFormat="1" ht="12" customHeight="1">
      <c r="A8" s="32"/>
      <c r="B8" s="37"/>
      <c r="C8" s="32"/>
      <c r="D8" s="105" t="s">
        <v>96</v>
      </c>
      <c r="E8" s="32"/>
      <c r="F8" s="32"/>
      <c r="G8" s="32"/>
      <c r="H8" s="32"/>
      <c r="I8" s="106"/>
      <c r="J8" s="32"/>
      <c r="K8" s="32"/>
      <c r="L8" s="10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488" t="s">
        <v>132</v>
      </c>
      <c r="F9" s="489"/>
      <c r="G9" s="489"/>
      <c r="H9" s="489"/>
      <c r="I9" s="106"/>
      <c r="J9" s="32"/>
      <c r="K9" s="32"/>
      <c r="L9" s="10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106"/>
      <c r="J10" s="32"/>
      <c r="K10" s="32"/>
      <c r="L10" s="10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5" t="s">
        <v>18</v>
      </c>
      <c r="E11" s="32"/>
      <c r="F11" s="108" t="s">
        <v>19</v>
      </c>
      <c r="G11" s="32"/>
      <c r="H11" s="32"/>
      <c r="I11" s="109" t="s">
        <v>20</v>
      </c>
      <c r="J11" s="108" t="s">
        <v>19</v>
      </c>
      <c r="K11" s="32"/>
      <c r="L11" s="10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5" t="s">
        <v>21</v>
      </c>
      <c r="E12" s="32"/>
      <c r="F12" s="108" t="s">
        <v>22</v>
      </c>
      <c r="G12" s="32"/>
      <c r="H12" s="32"/>
      <c r="I12" s="109" t="s">
        <v>23</v>
      </c>
      <c r="J12" s="110" t="str">
        <f>'Rekapitulace stavby'!AN8</f>
        <v>21. 2. 2020</v>
      </c>
      <c r="K12" s="32"/>
      <c r="L12" s="10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5" customHeight="1">
      <c r="A13" s="32"/>
      <c r="B13" s="37"/>
      <c r="C13" s="32"/>
      <c r="D13" s="32"/>
      <c r="E13" s="32"/>
      <c r="F13" s="32"/>
      <c r="G13" s="32"/>
      <c r="H13" s="32"/>
      <c r="I13" s="106"/>
      <c r="J13" s="32"/>
      <c r="K13" s="32"/>
      <c r="L13" s="10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5" t="s">
        <v>25</v>
      </c>
      <c r="E14" s="32"/>
      <c r="F14" s="32"/>
      <c r="G14" s="32"/>
      <c r="H14" s="32"/>
      <c r="I14" s="109" t="s">
        <v>26</v>
      </c>
      <c r="J14" s="108" t="s">
        <v>27</v>
      </c>
      <c r="K14" s="32"/>
      <c r="L14" s="10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8" t="s">
        <v>28</v>
      </c>
      <c r="F15" s="32"/>
      <c r="G15" s="32"/>
      <c r="H15" s="32"/>
      <c r="I15" s="109" t="s">
        <v>29</v>
      </c>
      <c r="J15" s="108" t="s">
        <v>30</v>
      </c>
      <c r="K15" s="32"/>
      <c r="L15" s="10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7"/>
      <c r="C16" s="32"/>
      <c r="D16" s="32"/>
      <c r="E16" s="32"/>
      <c r="F16" s="32"/>
      <c r="G16" s="32"/>
      <c r="H16" s="32"/>
      <c r="I16" s="106"/>
      <c r="J16" s="32"/>
      <c r="K16" s="32"/>
      <c r="L16" s="10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5" t="s">
        <v>31</v>
      </c>
      <c r="E17" s="32"/>
      <c r="F17" s="32"/>
      <c r="G17" s="32"/>
      <c r="H17" s="32"/>
      <c r="I17" s="109" t="s">
        <v>26</v>
      </c>
      <c r="J17" s="28" t="str">
        <f>'Rekapitulace stavby'!AN13</f>
        <v>Vyplň údaj</v>
      </c>
      <c r="K17" s="32"/>
      <c r="L17" s="10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490" t="str">
        <f>'Rekapitulace stavby'!E14</f>
        <v>Vyplň údaj</v>
      </c>
      <c r="F18" s="491"/>
      <c r="G18" s="491"/>
      <c r="H18" s="491"/>
      <c r="I18" s="109" t="s">
        <v>29</v>
      </c>
      <c r="J18" s="28" t="str">
        <f>'Rekapitulace stavby'!AN14</f>
        <v>Vyplň údaj</v>
      </c>
      <c r="K18" s="32"/>
      <c r="L18" s="10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7"/>
      <c r="C19" s="32"/>
      <c r="D19" s="32"/>
      <c r="E19" s="32"/>
      <c r="F19" s="32"/>
      <c r="G19" s="32"/>
      <c r="H19" s="32"/>
      <c r="I19" s="106"/>
      <c r="J19" s="32"/>
      <c r="K19" s="32"/>
      <c r="L19" s="10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5" t="s">
        <v>33</v>
      </c>
      <c r="E20" s="32"/>
      <c r="F20" s="32"/>
      <c r="G20" s="32"/>
      <c r="H20" s="32"/>
      <c r="I20" s="109" t="s">
        <v>26</v>
      </c>
      <c r="J20" s="108" t="s">
        <v>34</v>
      </c>
      <c r="K20" s="32"/>
      <c r="L20" s="10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8" t="s">
        <v>35</v>
      </c>
      <c r="F21" s="32"/>
      <c r="G21" s="32"/>
      <c r="H21" s="32"/>
      <c r="I21" s="109" t="s">
        <v>29</v>
      </c>
      <c r="J21" s="108" t="s">
        <v>36</v>
      </c>
      <c r="K21" s="32"/>
      <c r="L21" s="10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7"/>
      <c r="C22" s="32"/>
      <c r="D22" s="32"/>
      <c r="E22" s="32"/>
      <c r="F22" s="32"/>
      <c r="G22" s="32"/>
      <c r="H22" s="32"/>
      <c r="I22" s="106"/>
      <c r="J22" s="32"/>
      <c r="K22" s="32"/>
      <c r="L22" s="10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5" t="s">
        <v>38</v>
      </c>
      <c r="E23" s="32"/>
      <c r="F23" s="32"/>
      <c r="G23" s="32"/>
      <c r="H23" s="32"/>
      <c r="I23" s="109" t="s">
        <v>26</v>
      </c>
      <c r="J23" s="108" t="s">
        <v>34</v>
      </c>
      <c r="K23" s="32"/>
      <c r="L23" s="10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8" t="s">
        <v>35</v>
      </c>
      <c r="F24" s="32"/>
      <c r="G24" s="32"/>
      <c r="H24" s="32"/>
      <c r="I24" s="109" t="s">
        <v>29</v>
      </c>
      <c r="J24" s="108" t="s">
        <v>36</v>
      </c>
      <c r="K24" s="32"/>
      <c r="L24" s="10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7"/>
      <c r="C25" s="32"/>
      <c r="D25" s="32"/>
      <c r="E25" s="32"/>
      <c r="F25" s="32"/>
      <c r="G25" s="32"/>
      <c r="H25" s="32"/>
      <c r="I25" s="106"/>
      <c r="J25" s="32"/>
      <c r="K25" s="32"/>
      <c r="L25" s="10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5" t="s">
        <v>39</v>
      </c>
      <c r="E26" s="32"/>
      <c r="F26" s="32"/>
      <c r="G26" s="32"/>
      <c r="H26" s="32"/>
      <c r="I26" s="106"/>
      <c r="J26" s="32"/>
      <c r="K26" s="32"/>
      <c r="L26" s="10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1"/>
      <c r="B27" s="112"/>
      <c r="C27" s="111"/>
      <c r="D27" s="111"/>
      <c r="E27" s="492" t="s">
        <v>19</v>
      </c>
      <c r="F27" s="492"/>
      <c r="G27" s="492"/>
      <c r="H27" s="492"/>
      <c r="I27" s="113"/>
      <c r="J27" s="111"/>
      <c r="K27" s="111"/>
      <c r="L27" s="114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2"/>
      <c r="B28" s="37"/>
      <c r="C28" s="32"/>
      <c r="D28" s="32"/>
      <c r="E28" s="32"/>
      <c r="F28" s="32"/>
      <c r="G28" s="32"/>
      <c r="H28" s="32"/>
      <c r="I28" s="106"/>
      <c r="J28" s="32"/>
      <c r="K28" s="32"/>
      <c r="L28" s="10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7"/>
      <c r="C29" s="32"/>
      <c r="D29" s="115"/>
      <c r="E29" s="115"/>
      <c r="F29" s="115"/>
      <c r="G29" s="115"/>
      <c r="H29" s="115"/>
      <c r="I29" s="116"/>
      <c r="J29" s="115"/>
      <c r="K29" s="115"/>
      <c r="L29" s="10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41</v>
      </c>
      <c r="E30" s="32"/>
      <c r="F30" s="32"/>
      <c r="G30" s="32"/>
      <c r="H30" s="32"/>
      <c r="I30" s="106"/>
      <c r="J30" s="118">
        <f>ROUND(J81, 2)</f>
        <v>0</v>
      </c>
      <c r="K30" s="32"/>
      <c r="L30" s="10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7"/>
      <c r="C31" s="32"/>
      <c r="D31" s="115"/>
      <c r="E31" s="115"/>
      <c r="F31" s="115"/>
      <c r="G31" s="115"/>
      <c r="H31" s="115"/>
      <c r="I31" s="116"/>
      <c r="J31" s="115"/>
      <c r="K31" s="115"/>
      <c r="L31" s="10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7"/>
      <c r="C32" s="32"/>
      <c r="D32" s="32"/>
      <c r="E32" s="32"/>
      <c r="F32" s="119" t="s">
        <v>43</v>
      </c>
      <c r="G32" s="32"/>
      <c r="H32" s="32"/>
      <c r="I32" s="120" t="s">
        <v>42</v>
      </c>
      <c r="J32" s="119" t="s">
        <v>44</v>
      </c>
      <c r="K32" s="32"/>
      <c r="L32" s="10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7"/>
      <c r="C33" s="32"/>
      <c r="D33" s="121" t="s">
        <v>45</v>
      </c>
      <c r="E33" s="105" t="s">
        <v>46</v>
      </c>
      <c r="F33" s="122">
        <f>ROUND((SUM(BE81:BE84)),  2)</f>
        <v>0</v>
      </c>
      <c r="G33" s="32"/>
      <c r="H33" s="32"/>
      <c r="I33" s="123">
        <v>0.21</v>
      </c>
      <c r="J33" s="122">
        <f>ROUND(((SUM(BE81:BE84))*I33),  2)</f>
        <v>0</v>
      </c>
      <c r="K33" s="32"/>
      <c r="L33" s="10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7"/>
      <c r="C34" s="32"/>
      <c r="D34" s="32"/>
      <c r="E34" s="105" t="s">
        <v>47</v>
      </c>
      <c r="F34" s="122">
        <f>ROUND((SUM(BF81:BF84)),  2)</f>
        <v>0</v>
      </c>
      <c r="G34" s="32"/>
      <c r="H34" s="32"/>
      <c r="I34" s="123">
        <v>0.15</v>
      </c>
      <c r="J34" s="122">
        <f>ROUND(((SUM(BF81:BF84))*I34),  2)</f>
        <v>0</v>
      </c>
      <c r="K34" s="32"/>
      <c r="L34" s="10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7"/>
      <c r="C35" s="32"/>
      <c r="D35" s="32"/>
      <c r="E35" s="105" t="s">
        <v>48</v>
      </c>
      <c r="F35" s="122">
        <f>ROUND((SUM(BG81:BG84)),  2)</f>
        <v>0</v>
      </c>
      <c r="G35" s="32"/>
      <c r="H35" s="32"/>
      <c r="I35" s="123">
        <v>0.21</v>
      </c>
      <c r="J35" s="122">
        <f>0</f>
        <v>0</v>
      </c>
      <c r="K35" s="32"/>
      <c r="L35" s="10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7"/>
      <c r="C36" s="32"/>
      <c r="D36" s="32"/>
      <c r="E36" s="105" t="s">
        <v>49</v>
      </c>
      <c r="F36" s="122">
        <f>ROUND((SUM(BH81:BH84)),  2)</f>
        <v>0</v>
      </c>
      <c r="G36" s="32"/>
      <c r="H36" s="32"/>
      <c r="I36" s="123">
        <v>0.15</v>
      </c>
      <c r="J36" s="122">
        <f>0</f>
        <v>0</v>
      </c>
      <c r="K36" s="32"/>
      <c r="L36" s="10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7"/>
      <c r="C37" s="32"/>
      <c r="D37" s="32"/>
      <c r="E37" s="105" t="s">
        <v>50</v>
      </c>
      <c r="F37" s="122">
        <f>ROUND((SUM(BI81:BI84)),  2)</f>
        <v>0</v>
      </c>
      <c r="G37" s="32"/>
      <c r="H37" s="32"/>
      <c r="I37" s="123">
        <v>0</v>
      </c>
      <c r="J37" s="122">
        <f>0</f>
        <v>0</v>
      </c>
      <c r="K37" s="32"/>
      <c r="L37" s="10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7"/>
      <c r="C38" s="32"/>
      <c r="D38" s="32"/>
      <c r="E38" s="32"/>
      <c r="F38" s="32"/>
      <c r="G38" s="32"/>
      <c r="H38" s="32"/>
      <c r="I38" s="106"/>
      <c r="J38" s="32"/>
      <c r="K38" s="32"/>
      <c r="L38" s="10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4"/>
      <c r="D39" s="125" t="s">
        <v>51</v>
      </c>
      <c r="E39" s="126"/>
      <c r="F39" s="126"/>
      <c r="G39" s="127" t="s">
        <v>52</v>
      </c>
      <c r="H39" s="128" t="s">
        <v>53</v>
      </c>
      <c r="I39" s="129"/>
      <c r="J39" s="130">
        <f>SUM(J30:J37)</f>
        <v>0</v>
      </c>
      <c r="K39" s="131"/>
      <c r="L39" s="10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132"/>
      <c r="C40" s="133"/>
      <c r="D40" s="133"/>
      <c r="E40" s="133"/>
      <c r="F40" s="133"/>
      <c r="G40" s="133"/>
      <c r="H40" s="133"/>
      <c r="I40" s="134"/>
      <c r="J40" s="133"/>
      <c r="K40" s="133"/>
      <c r="L40" s="10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" customHeight="1">
      <c r="A44" s="32"/>
      <c r="B44" s="135"/>
      <c r="C44" s="136"/>
      <c r="D44" s="136"/>
      <c r="E44" s="136"/>
      <c r="F44" s="136"/>
      <c r="G44" s="136"/>
      <c r="H44" s="136"/>
      <c r="I44" s="137"/>
      <c r="J44" s="136"/>
      <c r="K44" s="136"/>
      <c r="L44" s="10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" customHeight="1">
      <c r="A45" s="32"/>
      <c r="B45" s="33"/>
      <c r="C45" s="21" t="s">
        <v>98</v>
      </c>
      <c r="D45" s="34"/>
      <c r="E45" s="34"/>
      <c r="F45" s="34"/>
      <c r="G45" s="34"/>
      <c r="H45" s="34"/>
      <c r="I45" s="106"/>
      <c r="J45" s="34"/>
      <c r="K45" s="34"/>
      <c r="L45" s="10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" customHeight="1">
      <c r="A46" s="32"/>
      <c r="B46" s="33"/>
      <c r="C46" s="34"/>
      <c r="D46" s="34"/>
      <c r="E46" s="34"/>
      <c r="F46" s="34"/>
      <c r="G46" s="34"/>
      <c r="H46" s="34"/>
      <c r="I46" s="106"/>
      <c r="J46" s="34"/>
      <c r="K46" s="34"/>
      <c r="L46" s="10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106"/>
      <c r="J47" s="34"/>
      <c r="K47" s="34"/>
      <c r="L47" s="10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4"/>
      <c r="D48" s="34"/>
      <c r="E48" s="484" t="str">
        <f>E7</f>
        <v>Komplexní klimatizace v objektu MZe Ústí nad Labem</v>
      </c>
      <c r="F48" s="485"/>
      <c r="G48" s="485"/>
      <c r="H48" s="485"/>
      <c r="I48" s="106"/>
      <c r="J48" s="34"/>
      <c r="K48" s="34"/>
      <c r="L48" s="10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96</v>
      </c>
      <c r="D49" s="34"/>
      <c r="E49" s="34"/>
      <c r="F49" s="34"/>
      <c r="G49" s="34"/>
      <c r="H49" s="34"/>
      <c r="I49" s="106"/>
      <c r="J49" s="34"/>
      <c r="K49" s="34"/>
      <c r="L49" s="10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4"/>
      <c r="D50" s="34"/>
      <c r="E50" s="465" t="str">
        <f>E9</f>
        <v>D.1.4.3 - Zdravotnětechnické instalace</v>
      </c>
      <c r="F50" s="483"/>
      <c r="G50" s="483"/>
      <c r="H50" s="483"/>
      <c r="I50" s="106"/>
      <c r="J50" s="34"/>
      <c r="K50" s="34"/>
      <c r="L50" s="10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" customHeight="1">
      <c r="A51" s="32"/>
      <c r="B51" s="33"/>
      <c r="C51" s="34"/>
      <c r="D51" s="34"/>
      <c r="E51" s="34"/>
      <c r="F51" s="34"/>
      <c r="G51" s="34"/>
      <c r="H51" s="34"/>
      <c r="I51" s="106"/>
      <c r="J51" s="34"/>
      <c r="K51" s="34"/>
      <c r="L51" s="10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21</v>
      </c>
      <c r="D52" s="34"/>
      <c r="E52" s="34"/>
      <c r="F52" s="25" t="str">
        <f>F12</f>
        <v>Ústí nad Labem</v>
      </c>
      <c r="G52" s="34"/>
      <c r="H52" s="34"/>
      <c r="I52" s="109" t="s">
        <v>23</v>
      </c>
      <c r="J52" s="57" t="str">
        <f>IF(J12="","",J12)</f>
        <v>21. 2. 2020</v>
      </c>
      <c r="K52" s="34"/>
      <c r="L52" s="10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" customHeight="1">
      <c r="A53" s="32"/>
      <c r="B53" s="33"/>
      <c r="C53" s="34"/>
      <c r="D53" s="34"/>
      <c r="E53" s="34"/>
      <c r="F53" s="34"/>
      <c r="G53" s="34"/>
      <c r="H53" s="34"/>
      <c r="I53" s="106"/>
      <c r="J53" s="34"/>
      <c r="K53" s="34"/>
      <c r="L53" s="10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200000000000003" customHeight="1">
      <c r="A54" s="32"/>
      <c r="B54" s="33"/>
      <c r="C54" s="27" t="s">
        <v>25</v>
      </c>
      <c r="D54" s="34"/>
      <c r="E54" s="34"/>
      <c r="F54" s="25" t="str">
        <f>E15</f>
        <v>Česká republika - Ministerstvo zemědělství</v>
      </c>
      <c r="G54" s="34"/>
      <c r="H54" s="34"/>
      <c r="I54" s="109" t="s">
        <v>33</v>
      </c>
      <c r="J54" s="30" t="str">
        <f>E21</f>
        <v>NCI.CZ ENGINEERING s.r.o.</v>
      </c>
      <c r="K54" s="34"/>
      <c r="L54" s="10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200000000000003" customHeight="1">
      <c r="A55" s="32"/>
      <c r="B55" s="33"/>
      <c r="C55" s="27" t="s">
        <v>31</v>
      </c>
      <c r="D55" s="34"/>
      <c r="E55" s="34"/>
      <c r="F55" s="25" t="str">
        <f>IF(E18="","",E18)</f>
        <v>Vyplň údaj</v>
      </c>
      <c r="G55" s="34"/>
      <c r="H55" s="34"/>
      <c r="I55" s="109" t="s">
        <v>38</v>
      </c>
      <c r="J55" s="30" t="str">
        <f>E24</f>
        <v>NCI.CZ ENGINEERING s.r.o.</v>
      </c>
      <c r="K55" s="34"/>
      <c r="L55" s="10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4"/>
      <c r="D56" s="34"/>
      <c r="E56" s="34"/>
      <c r="F56" s="34"/>
      <c r="G56" s="34"/>
      <c r="H56" s="34"/>
      <c r="I56" s="106"/>
      <c r="J56" s="34"/>
      <c r="K56" s="34"/>
      <c r="L56" s="10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38" t="s">
        <v>99</v>
      </c>
      <c r="D57" s="139"/>
      <c r="E57" s="139"/>
      <c r="F57" s="139"/>
      <c r="G57" s="139"/>
      <c r="H57" s="139"/>
      <c r="I57" s="140"/>
      <c r="J57" s="141" t="s">
        <v>100</v>
      </c>
      <c r="K57" s="139"/>
      <c r="L57" s="10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4"/>
      <c r="D58" s="34"/>
      <c r="E58" s="34"/>
      <c r="F58" s="34"/>
      <c r="G58" s="34"/>
      <c r="H58" s="34"/>
      <c r="I58" s="106"/>
      <c r="J58" s="34"/>
      <c r="K58" s="34"/>
      <c r="L58" s="10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5" customHeight="1">
      <c r="A59" s="32"/>
      <c r="B59" s="33"/>
      <c r="C59" s="142" t="s">
        <v>73</v>
      </c>
      <c r="D59" s="34"/>
      <c r="E59" s="34"/>
      <c r="F59" s="34"/>
      <c r="G59" s="34"/>
      <c r="H59" s="34"/>
      <c r="I59" s="106"/>
      <c r="J59" s="75">
        <f>J81</f>
        <v>0</v>
      </c>
      <c r="K59" s="34"/>
      <c r="L59" s="10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101</v>
      </c>
    </row>
    <row r="60" spans="1:47" s="9" customFormat="1" ht="24.9" customHeight="1">
      <c r="B60" s="143"/>
      <c r="C60" s="144"/>
      <c r="D60" s="145" t="s">
        <v>102</v>
      </c>
      <c r="E60" s="146"/>
      <c r="F60" s="146"/>
      <c r="G60" s="146"/>
      <c r="H60" s="146"/>
      <c r="I60" s="147"/>
      <c r="J60" s="148">
        <f>J82</f>
        <v>0</v>
      </c>
      <c r="K60" s="144"/>
      <c r="L60" s="149"/>
    </row>
    <row r="61" spans="1:47" s="10" customFormat="1" ht="19.95" customHeight="1">
      <c r="B61" s="150"/>
      <c r="C61" s="151"/>
      <c r="D61" s="152" t="s">
        <v>103</v>
      </c>
      <c r="E61" s="153"/>
      <c r="F61" s="153"/>
      <c r="G61" s="153"/>
      <c r="H61" s="153"/>
      <c r="I61" s="154"/>
      <c r="J61" s="155">
        <f>J83</f>
        <v>0</v>
      </c>
      <c r="K61" s="151"/>
      <c r="L61" s="156"/>
    </row>
    <row r="62" spans="1:47" s="2" customFormat="1" ht="21.75" customHeight="1">
      <c r="A62" s="32"/>
      <c r="B62" s="33"/>
      <c r="C62" s="34"/>
      <c r="D62" s="34"/>
      <c r="E62" s="34"/>
      <c r="F62" s="34"/>
      <c r="G62" s="34"/>
      <c r="H62" s="34"/>
      <c r="I62" s="106"/>
      <c r="J62" s="34"/>
      <c r="K62" s="34"/>
      <c r="L62" s="10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" customHeight="1">
      <c r="A63" s="32"/>
      <c r="B63" s="45"/>
      <c r="C63" s="46"/>
      <c r="D63" s="46"/>
      <c r="E63" s="46"/>
      <c r="F63" s="46"/>
      <c r="G63" s="46"/>
      <c r="H63" s="46"/>
      <c r="I63" s="134"/>
      <c r="J63" s="46"/>
      <c r="K63" s="46"/>
      <c r="L63" s="10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6.9" customHeight="1">
      <c r="A67" s="32"/>
      <c r="B67" s="47"/>
      <c r="C67" s="48"/>
      <c r="D67" s="48"/>
      <c r="E67" s="48"/>
      <c r="F67" s="48"/>
      <c r="G67" s="48"/>
      <c r="H67" s="48"/>
      <c r="I67" s="137"/>
      <c r="J67" s="48"/>
      <c r="K67" s="48"/>
      <c r="L67" s="10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" customHeight="1">
      <c r="A68" s="32"/>
      <c r="B68" s="33"/>
      <c r="C68" s="21" t="s">
        <v>104</v>
      </c>
      <c r="D68" s="34"/>
      <c r="E68" s="34"/>
      <c r="F68" s="34"/>
      <c r="G68" s="34"/>
      <c r="H68" s="34"/>
      <c r="I68" s="106"/>
      <c r="J68" s="34"/>
      <c r="K68" s="34"/>
      <c r="L68" s="10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" customHeight="1">
      <c r="A69" s="32"/>
      <c r="B69" s="33"/>
      <c r="C69" s="34"/>
      <c r="D69" s="34"/>
      <c r="E69" s="34"/>
      <c r="F69" s="34"/>
      <c r="G69" s="34"/>
      <c r="H69" s="34"/>
      <c r="I69" s="106"/>
      <c r="J69" s="34"/>
      <c r="K69" s="34"/>
      <c r="L69" s="10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16</v>
      </c>
      <c r="D70" s="34"/>
      <c r="E70" s="34"/>
      <c r="F70" s="34"/>
      <c r="G70" s="34"/>
      <c r="H70" s="34"/>
      <c r="I70" s="106"/>
      <c r="J70" s="34"/>
      <c r="K70" s="34"/>
      <c r="L70" s="10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>
      <c r="A71" s="32"/>
      <c r="B71" s="33"/>
      <c r="C71" s="34"/>
      <c r="D71" s="34"/>
      <c r="E71" s="484" t="str">
        <f>E7</f>
        <v>Komplexní klimatizace v objektu MZe Ústí nad Labem</v>
      </c>
      <c r="F71" s="485"/>
      <c r="G71" s="485"/>
      <c r="H71" s="485"/>
      <c r="I71" s="106"/>
      <c r="J71" s="34"/>
      <c r="K71" s="34"/>
      <c r="L71" s="10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96</v>
      </c>
      <c r="D72" s="34"/>
      <c r="E72" s="34"/>
      <c r="F72" s="34"/>
      <c r="G72" s="34"/>
      <c r="H72" s="34"/>
      <c r="I72" s="106"/>
      <c r="J72" s="34"/>
      <c r="K72" s="34"/>
      <c r="L72" s="10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>
      <c r="A73" s="32"/>
      <c r="B73" s="33"/>
      <c r="C73" s="34"/>
      <c r="D73" s="34"/>
      <c r="E73" s="465" t="str">
        <f>E9</f>
        <v>D.1.4.3 - Zdravotnětechnické instalace</v>
      </c>
      <c r="F73" s="483"/>
      <c r="G73" s="483"/>
      <c r="H73" s="483"/>
      <c r="I73" s="106"/>
      <c r="J73" s="34"/>
      <c r="K73" s="34"/>
      <c r="L73" s="10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" customHeight="1">
      <c r="A74" s="32"/>
      <c r="B74" s="33"/>
      <c r="C74" s="34"/>
      <c r="D74" s="34"/>
      <c r="E74" s="34"/>
      <c r="F74" s="34"/>
      <c r="G74" s="34"/>
      <c r="H74" s="34"/>
      <c r="I74" s="106"/>
      <c r="J74" s="34"/>
      <c r="K74" s="34"/>
      <c r="L74" s="10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21</v>
      </c>
      <c r="D75" s="34"/>
      <c r="E75" s="34"/>
      <c r="F75" s="25" t="str">
        <f>F12</f>
        <v>Ústí nad Labem</v>
      </c>
      <c r="G75" s="34"/>
      <c r="H75" s="34"/>
      <c r="I75" s="109" t="s">
        <v>23</v>
      </c>
      <c r="J75" s="57" t="str">
        <f>IF(J12="","",J12)</f>
        <v>21. 2. 2020</v>
      </c>
      <c r="K75" s="34"/>
      <c r="L75" s="10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" customHeight="1">
      <c r="A76" s="32"/>
      <c r="B76" s="33"/>
      <c r="C76" s="34"/>
      <c r="D76" s="34"/>
      <c r="E76" s="34"/>
      <c r="F76" s="34"/>
      <c r="G76" s="34"/>
      <c r="H76" s="34"/>
      <c r="I76" s="106"/>
      <c r="J76" s="34"/>
      <c r="K76" s="34"/>
      <c r="L76" s="10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40.200000000000003" customHeight="1">
      <c r="A77" s="32"/>
      <c r="B77" s="33"/>
      <c r="C77" s="27" t="s">
        <v>25</v>
      </c>
      <c r="D77" s="34"/>
      <c r="E77" s="34"/>
      <c r="F77" s="25" t="str">
        <f>E15</f>
        <v>Česká republika - Ministerstvo zemědělství</v>
      </c>
      <c r="G77" s="34"/>
      <c r="H77" s="34"/>
      <c r="I77" s="109" t="s">
        <v>33</v>
      </c>
      <c r="J77" s="30" t="str">
        <f>E21</f>
        <v>NCI.CZ ENGINEERING s.r.o.</v>
      </c>
      <c r="K77" s="34"/>
      <c r="L77" s="10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200000000000003" customHeight="1">
      <c r="A78" s="32"/>
      <c r="B78" s="33"/>
      <c r="C78" s="27" t="s">
        <v>31</v>
      </c>
      <c r="D78" s="34"/>
      <c r="E78" s="34"/>
      <c r="F78" s="25" t="str">
        <f>IF(E18="","",E18)</f>
        <v>Vyplň údaj</v>
      </c>
      <c r="G78" s="34"/>
      <c r="H78" s="34"/>
      <c r="I78" s="109" t="s">
        <v>38</v>
      </c>
      <c r="J78" s="30" t="str">
        <f>E24</f>
        <v>NCI.CZ ENGINEERING s.r.o.</v>
      </c>
      <c r="K78" s="34"/>
      <c r="L78" s="10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4"/>
      <c r="D79" s="34"/>
      <c r="E79" s="34"/>
      <c r="F79" s="34"/>
      <c r="G79" s="34"/>
      <c r="H79" s="34"/>
      <c r="I79" s="106"/>
      <c r="J79" s="34"/>
      <c r="K79" s="34"/>
      <c r="L79" s="10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57"/>
      <c r="B80" s="158"/>
      <c r="C80" s="159" t="s">
        <v>105</v>
      </c>
      <c r="D80" s="160" t="s">
        <v>60</v>
      </c>
      <c r="E80" s="160" t="s">
        <v>56</v>
      </c>
      <c r="F80" s="160" t="s">
        <v>57</v>
      </c>
      <c r="G80" s="160" t="s">
        <v>106</v>
      </c>
      <c r="H80" s="160" t="s">
        <v>107</v>
      </c>
      <c r="I80" s="161" t="s">
        <v>108</v>
      </c>
      <c r="J80" s="160" t="s">
        <v>100</v>
      </c>
      <c r="K80" s="162" t="s">
        <v>109</v>
      </c>
      <c r="L80" s="163"/>
      <c r="M80" s="66" t="s">
        <v>19</v>
      </c>
      <c r="N80" s="67" t="s">
        <v>45</v>
      </c>
      <c r="O80" s="67" t="s">
        <v>110</v>
      </c>
      <c r="P80" s="67" t="s">
        <v>111</v>
      </c>
      <c r="Q80" s="67" t="s">
        <v>112</v>
      </c>
      <c r="R80" s="67" t="s">
        <v>113</v>
      </c>
      <c r="S80" s="67" t="s">
        <v>114</v>
      </c>
      <c r="T80" s="68" t="s">
        <v>115</v>
      </c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</row>
    <row r="81" spans="1:65" s="2" customFormat="1" ht="22.95" customHeight="1">
      <c r="A81" s="32"/>
      <c r="B81" s="33"/>
      <c r="C81" s="73" t="s">
        <v>116</v>
      </c>
      <c r="D81" s="34"/>
      <c r="E81" s="34"/>
      <c r="F81" s="34"/>
      <c r="G81" s="34"/>
      <c r="H81" s="34"/>
      <c r="I81" s="106"/>
      <c r="J81" s="164">
        <f>BK81</f>
        <v>0</v>
      </c>
      <c r="K81" s="34"/>
      <c r="L81" s="37"/>
      <c r="M81" s="69"/>
      <c r="N81" s="165"/>
      <c r="O81" s="70"/>
      <c r="P81" s="166">
        <f>P82</f>
        <v>0</v>
      </c>
      <c r="Q81" s="70"/>
      <c r="R81" s="166">
        <f>R82</f>
        <v>0</v>
      </c>
      <c r="S81" s="70"/>
      <c r="T81" s="167">
        <f>T82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74</v>
      </c>
      <c r="AU81" s="15" t="s">
        <v>101</v>
      </c>
      <c r="BK81" s="168">
        <f>BK82</f>
        <v>0</v>
      </c>
    </row>
    <row r="82" spans="1:65" s="12" customFormat="1" ht="25.95" customHeight="1">
      <c r="B82" s="169"/>
      <c r="C82" s="170"/>
      <c r="D82" s="171" t="s">
        <v>74</v>
      </c>
      <c r="E82" s="172" t="s">
        <v>117</v>
      </c>
      <c r="F82" s="172" t="s">
        <v>118</v>
      </c>
      <c r="G82" s="170"/>
      <c r="H82" s="170"/>
      <c r="I82" s="173"/>
      <c r="J82" s="174">
        <f>BK82</f>
        <v>0</v>
      </c>
      <c r="K82" s="170"/>
      <c r="L82" s="175"/>
      <c r="M82" s="176"/>
      <c r="N82" s="177"/>
      <c r="O82" s="177"/>
      <c r="P82" s="178">
        <f>P83</f>
        <v>0</v>
      </c>
      <c r="Q82" s="177"/>
      <c r="R82" s="178">
        <f>R83</f>
        <v>0</v>
      </c>
      <c r="S82" s="177"/>
      <c r="T82" s="179">
        <f>T83</f>
        <v>0</v>
      </c>
      <c r="AR82" s="180" t="s">
        <v>119</v>
      </c>
      <c r="AT82" s="181" t="s">
        <v>74</v>
      </c>
      <c r="AU82" s="181" t="s">
        <v>75</v>
      </c>
      <c r="AY82" s="180" t="s">
        <v>120</v>
      </c>
      <c r="BK82" s="182">
        <f>BK83</f>
        <v>0</v>
      </c>
    </row>
    <row r="83" spans="1:65" s="12" customFormat="1" ht="22.95" customHeight="1">
      <c r="B83" s="169"/>
      <c r="C83" s="170"/>
      <c r="D83" s="171" t="s">
        <v>74</v>
      </c>
      <c r="E83" s="183" t="s">
        <v>121</v>
      </c>
      <c r="F83" s="183" t="s">
        <v>122</v>
      </c>
      <c r="G83" s="170"/>
      <c r="H83" s="170"/>
      <c r="I83" s="173"/>
      <c r="J83" s="184">
        <f>BK83</f>
        <v>0</v>
      </c>
      <c r="K83" s="170"/>
      <c r="L83" s="175"/>
      <c r="M83" s="176"/>
      <c r="N83" s="177"/>
      <c r="O83" s="177"/>
      <c r="P83" s="178">
        <f>P84</f>
        <v>0</v>
      </c>
      <c r="Q83" s="177"/>
      <c r="R83" s="178">
        <f>R84</f>
        <v>0</v>
      </c>
      <c r="S83" s="177"/>
      <c r="T83" s="179">
        <f>T84</f>
        <v>0</v>
      </c>
      <c r="AR83" s="180" t="s">
        <v>119</v>
      </c>
      <c r="AT83" s="181" t="s">
        <v>74</v>
      </c>
      <c r="AU83" s="181" t="s">
        <v>83</v>
      </c>
      <c r="AY83" s="180" t="s">
        <v>120</v>
      </c>
      <c r="BK83" s="182">
        <f>BK84</f>
        <v>0</v>
      </c>
    </row>
    <row r="84" spans="1:65" s="2" customFormat="1" ht="16.5" customHeight="1">
      <c r="A84" s="32"/>
      <c r="B84" s="33"/>
      <c r="C84" s="185" t="s">
        <v>83</v>
      </c>
      <c r="D84" s="185" t="s">
        <v>123</v>
      </c>
      <c r="E84" s="186" t="s">
        <v>92</v>
      </c>
      <c r="F84" s="187" t="s">
        <v>93</v>
      </c>
      <c r="G84" s="188" t="s">
        <v>125</v>
      </c>
      <c r="H84" s="189">
        <v>1</v>
      </c>
      <c r="I84" s="190">
        <f>'Rekapitulace zti'!B40</f>
        <v>0</v>
      </c>
      <c r="J84" s="191">
        <f>ROUND(I84*H84,2)</f>
        <v>0</v>
      </c>
      <c r="K84" s="187" t="s">
        <v>19</v>
      </c>
      <c r="L84" s="37"/>
      <c r="M84" s="192" t="s">
        <v>19</v>
      </c>
      <c r="N84" s="193" t="s">
        <v>46</v>
      </c>
      <c r="O84" s="194"/>
      <c r="P84" s="195">
        <f>O84*H84</f>
        <v>0</v>
      </c>
      <c r="Q84" s="195">
        <v>0</v>
      </c>
      <c r="R84" s="195">
        <f>Q84*H84</f>
        <v>0</v>
      </c>
      <c r="S84" s="195">
        <v>0</v>
      </c>
      <c r="T84" s="196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97" t="s">
        <v>126</v>
      </c>
      <c r="AT84" s="197" t="s">
        <v>123</v>
      </c>
      <c r="AU84" s="197" t="s">
        <v>85</v>
      </c>
      <c r="AY84" s="15" t="s">
        <v>120</v>
      </c>
      <c r="BE84" s="198">
        <f>IF(N84="základní",J84,0)</f>
        <v>0</v>
      </c>
      <c r="BF84" s="198">
        <f>IF(N84="snížená",J84,0)</f>
        <v>0</v>
      </c>
      <c r="BG84" s="198">
        <f>IF(N84="zákl. přenesená",J84,0)</f>
        <v>0</v>
      </c>
      <c r="BH84" s="198">
        <f>IF(N84="sníž. přenesená",J84,0)</f>
        <v>0</v>
      </c>
      <c r="BI84" s="198">
        <f>IF(N84="nulová",J84,0)</f>
        <v>0</v>
      </c>
      <c r="BJ84" s="15" t="s">
        <v>83</v>
      </c>
      <c r="BK84" s="198">
        <f>ROUND(I84*H84,2)</f>
        <v>0</v>
      </c>
      <c r="BL84" s="15" t="s">
        <v>126</v>
      </c>
      <c r="BM84" s="197" t="s">
        <v>133</v>
      </c>
    </row>
    <row r="85" spans="1:65" s="2" customFormat="1" ht="6.9" customHeight="1">
      <c r="A85" s="32"/>
      <c r="B85" s="45"/>
      <c r="C85" s="46"/>
      <c r="D85" s="46"/>
      <c r="E85" s="46"/>
      <c r="F85" s="46"/>
      <c r="G85" s="46"/>
      <c r="H85" s="46"/>
      <c r="I85" s="134"/>
      <c r="J85" s="46"/>
      <c r="K85" s="46"/>
      <c r="L85" s="37"/>
      <c r="M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</sheetData>
  <sheetProtection algorithmName="SHA-512" hashValue="2LzqwtfhnJcf8HuiJ9NqWUO0VvGcohKKFjq/7XHquLijY4370vKzI6DHQ0+OpjDNHcsN54Pfb5BPRQfJS9y8KQ==" saltValue="rXqP5TlMsW13PcENOfFky037XVfT1hlkaSp1sdDfM3xLENCO+9Gu3dm0sVJptvNEFyT2a3BqAqodHcGLKWRvqw==" spinCount="100000" sheet="1" objects="1" scenarios="1" formatColumns="0" formatRows="0" autoFilter="0"/>
  <autoFilter ref="C80:K84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6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5C19-3A50-4AAC-ADBD-1D003F7DCBC1}">
  <dimension ref="A1:I41"/>
  <sheetViews>
    <sheetView workbookViewId="0">
      <selection activeCell="I46" sqref="I46"/>
    </sheetView>
  </sheetViews>
  <sheetFormatPr defaultColWidth="9.28515625" defaultRowHeight="13.2"/>
  <cols>
    <col min="1" max="1" width="2" style="390" customWidth="1"/>
    <col min="2" max="2" width="29" style="390" customWidth="1"/>
    <col min="3" max="3" width="7.28515625" style="390" customWidth="1"/>
    <col min="4" max="4" width="20.140625" style="390" customWidth="1"/>
    <col min="5" max="5" width="7.28515625" style="390" customWidth="1"/>
    <col min="6" max="6" width="25" style="390" customWidth="1"/>
    <col min="7" max="7" width="7.7109375" style="390" customWidth="1"/>
    <col min="8" max="8" width="18.28515625" style="390" customWidth="1"/>
    <col min="9" max="9" width="2" style="390" customWidth="1"/>
    <col min="10" max="16384" width="9.28515625" style="390"/>
  </cols>
  <sheetData>
    <row r="1" spans="1:9" ht="9" customHeight="1">
      <c r="A1" s="328"/>
      <c r="B1" s="328"/>
      <c r="C1" s="328"/>
      <c r="D1" s="328"/>
      <c r="E1" s="328"/>
      <c r="F1" s="328"/>
      <c r="G1" s="328"/>
      <c r="H1" s="328"/>
      <c r="I1" s="328"/>
    </row>
    <row r="2" spans="1:9" ht="18" customHeight="1">
      <c r="A2" s="328"/>
      <c r="B2" s="592"/>
      <c r="C2" s="595"/>
      <c r="D2" s="595"/>
      <c r="E2" s="595"/>
      <c r="F2" s="595"/>
      <c r="G2" s="596"/>
      <c r="H2" s="597"/>
      <c r="I2" s="328"/>
    </row>
    <row r="3" spans="1:9" ht="18" customHeight="1">
      <c r="A3" s="328"/>
      <c r="B3" s="593"/>
      <c r="C3" s="598" t="s">
        <v>773</v>
      </c>
      <c r="D3" s="598"/>
      <c r="E3" s="598"/>
      <c r="F3" s="598"/>
      <c r="G3" s="599" t="s">
        <v>672</v>
      </c>
      <c r="H3" s="597"/>
      <c r="I3" s="328"/>
    </row>
    <row r="4" spans="1:9" ht="18" customHeight="1">
      <c r="A4" s="328"/>
      <c r="B4" s="593"/>
      <c r="C4" s="600" t="s">
        <v>774</v>
      </c>
      <c r="D4" s="601"/>
      <c r="E4" s="601"/>
      <c r="F4" s="602"/>
      <c r="G4" s="599" t="s">
        <v>674</v>
      </c>
      <c r="H4" s="597"/>
      <c r="I4" s="328"/>
    </row>
    <row r="5" spans="1:9" ht="18" customHeight="1">
      <c r="A5" s="328"/>
      <c r="B5" s="594"/>
      <c r="C5" s="603"/>
      <c r="D5" s="603"/>
      <c r="E5" s="603"/>
      <c r="F5" s="603"/>
      <c r="G5" s="599" t="s">
        <v>675</v>
      </c>
      <c r="H5" s="597"/>
      <c r="I5" s="328"/>
    </row>
    <row r="6" spans="1:9" ht="12.75" customHeight="1">
      <c r="A6" s="328"/>
      <c r="B6" s="604" t="s">
        <v>676</v>
      </c>
      <c r="C6" s="605"/>
      <c r="D6" s="605"/>
      <c r="E6" s="605"/>
      <c r="F6" s="605"/>
      <c r="G6" s="605"/>
      <c r="H6" s="605"/>
      <c r="I6" s="328"/>
    </row>
    <row r="7" spans="1:9" ht="9.9" customHeight="1">
      <c r="A7" s="328"/>
      <c r="B7" s="391" t="s">
        <v>677</v>
      </c>
      <c r="C7" s="392"/>
      <c r="D7" s="392"/>
      <c r="E7" s="393" t="s">
        <v>678</v>
      </c>
      <c r="F7" s="394"/>
      <c r="G7" s="583" t="s">
        <v>679</v>
      </c>
      <c r="H7" s="591"/>
      <c r="I7" s="328"/>
    </row>
    <row r="8" spans="1:9" ht="23.25" customHeight="1">
      <c r="A8" s="328"/>
      <c r="B8" s="682" t="s">
        <v>819</v>
      </c>
      <c r="C8" s="654"/>
      <c r="D8" s="655"/>
      <c r="E8" s="610" t="s">
        <v>28</v>
      </c>
      <c r="F8" s="611"/>
      <c r="G8" s="682" t="s">
        <v>820</v>
      </c>
      <c r="H8" s="655"/>
      <c r="I8" s="328"/>
    </row>
    <row r="9" spans="1:9" ht="9.9" customHeight="1">
      <c r="A9" s="328"/>
      <c r="B9" s="395" t="s">
        <v>682</v>
      </c>
      <c r="C9" s="396"/>
      <c r="D9" s="397"/>
      <c r="E9" s="395" t="s">
        <v>683</v>
      </c>
      <c r="F9" s="398"/>
      <c r="G9" s="583" t="s">
        <v>684</v>
      </c>
      <c r="H9" s="591"/>
      <c r="I9" s="328"/>
    </row>
    <row r="10" spans="1:9" ht="12.75" customHeight="1">
      <c r="A10" s="328"/>
      <c r="B10" s="576" t="s">
        <v>806</v>
      </c>
      <c r="C10" s="577"/>
      <c r="D10" s="578"/>
      <c r="E10" s="579" t="s">
        <v>807</v>
      </c>
      <c r="F10" s="580"/>
      <c r="G10" s="612" t="s">
        <v>687</v>
      </c>
      <c r="H10" s="612"/>
      <c r="I10" s="328"/>
    </row>
    <row r="11" spans="1:9" ht="12.75" customHeight="1">
      <c r="A11" s="328"/>
      <c r="B11" s="673"/>
      <c r="C11" s="674"/>
      <c r="D11" s="581"/>
      <c r="E11" s="672"/>
      <c r="F11" s="588"/>
      <c r="G11" s="337" t="s">
        <v>688</v>
      </c>
      <c r="H11" s="338" t="s">
        <v>92</v>
      </c>
      <c r="I11" s="328"/>
    </row>
    <row r="12" spans="1:9" ht="12.75" customHeight="1">
      <c r="A12" s="328"/>
      <c r="B12" s="675"/>
      <c r="C12" s="676"/>
      <c r="D12" s="677"/>
      <c r="E12" s="391" t="s">
        <v>690</v>
      </c>
      <c r="F12" s="394"/>
      <c r="G12" s="583" t="s">
        <v>23</v>
      </c>
      <c r="H12" s="591"/>
      <c r="I12" s="328"/>
    </row>
    <row r="13" spans="1:9">
      <c r="A13" s="328"/>
      <c r="B13" s="399" t="s">
        <v>691</v>
      </c>
      <c r="C13" s="678" t="s">
        <v>692</v>
      </c>
      <c r="D13" s="586"/>
      <c r="E13" s="679" t="s">
        <v>692</v>
      </c>
      <c r="F13" s="588"/>
      <c r="G13" s="680">
        <v>43875</v>
      </c>
      <c r="H13" s="681"/>
      <c r="I13" s="328"/>
    </row>
    <row r="14" spans="1:9" ht="12.75" customHeight="1">
      <c r="A14" s="328"/>
      <c r="B14" s="532"/>
      <c r="C14" s="533"/>
      <c r="D14" s="533"/>
      <c r="E14" s="533"/>
      <c r="F14" s="533"/>
      <c r="G14" s="533"/>
      <c r="H14" s="533"/>
      <c r="I14" s="328"/>
    </row>
    <row r="15" spans="1:9" ht="14.1" customHeight="1">
      <c r="A15" s="328"/>
      <c r="B15" s="534" t="s">
        <v>775</v>
      </c>
      <c r="C15" s="535"/>
      <c r="D15" s="535"/>
      <c r="E15" s="535"/>
      <c r="F15" s="535"/>
      <c r="G15" s="535"/>
      <c r="H15" s="536"/>
      <c r="I15" s="328"/>
    </row>
    <row r="16" spans="1:9" ht="12.75" customHeight="1">
      <c r="A16" s="328"/>
      <c r="B16" s="574" t="s">
        <v>694</v>
      </c>
      <c r="C16" s="671"/>
      <c r="D16" s="540" t="s">
        <v>776</v>
      </c>
      <c r="E16" s="561"/>
      <c r="F16" s="400" t="s">
        <v>777</v>
      </c>
      <c r="G16" s="561" t="s">
        <v>778</v>
      </c>
      <c r="H16" s="562"/>
      <c r="I16" s="328"/>
    </row>
    <row r="17" spans="1:9" ht="12.75" customHeight="1">
      <c r="A17" s="415"/>
      <c r="B17" s="668" t="s">
        <v>821</v>
      </c>
      <c r="C17" s="668"/>
      <c r="D17" s="669">
        <f>'Rozpočet zti'!H26</f>
        <v>0</v>
      </c>
      <c r="E17" s="670"/>
      <c r="F17" s="401">
        <f>'Rozpočet zti'!J26</f>
        <v>0</v>
      </c>
      <c r="G17" s="547">
        <f>D17+F17</f>
        <v>0</v>
      </c>
      <c r="H17" s="548"/>
      <c r="I17" s="328"/>
    </row>
    <row r="18" spans="1:9" ht="12.75" customHeight="1">
      <c r="A18" s="328"/>
      <c r="B18" s="553" t="s">
        <v>783</v>
      </c>
      <c r="C18" s="554"/>
      <c r="D18" s="555"/>
      <c r="E18" s="555"/>
      <c r="F18" s="556"/>
      <c r="G18" s="559">
        <f>SUM(G17:H17)</f>
        <v>0</v>
      </c>
      <c r="H18" s="560"/>
      <c r="I18" s="328"/>
    </row>
    <row r="19" spans="1:9" ht="12.75" customHeight="1">
      <c r="A19" s="328"/>
      <c r="B19" s="532"/>
      <c r="C19" s="533"/>
      <c r="D19" s="533"/>
      <c r="E19" s="533"/>
      <c r="F19" s="533"/>
      <c r="G19" s="533"/>
      <c r="H19" s="533"/>
      <c r="I19" s="328"/>
    </row>
    <row r="20" spans="1:9" ht="14.1" customHeight="1">
      <c r="A20" s="328"/>
      <c r="B20" s="534" t="s">
        <v>784</v>
      </c>
      <c r="C20" s="535"/>
      <c r="D20" s="535"/>
      <c r="E20" s="535"/>
      <c r="F20" s="535"/>
      <c r="G20" s="535"/>
      <c r="H20" s="536"/>
      <c r="I20" s="328"/>
    </row>
    <row r="21" spans="1:9" ht="12.75" customHeight="1">
      <c r="A21" s="328"/>
      <c r="B21" s="403" t="s">
        <v>785</v>
      </c>
      <c r="C21" s="400" t="s">
        <v>106</v>
      </c>
      <c r="D21" s="561" t="s">
        <v>776</v>
      </c>
      <c r="E21" s="561"/>
      <c r="F21" s="400" t="s">
        <v>777</v>
      </c>
      <c r="G21" s="561" t="s">
        <v>778</v>
      </c>
      <c r="H21" s="562"/>
      <c r="I21" s="328"/>
    </row>
    <row r="22" spans="1:9">
      <c r="A22" s="328"/>
      <c r="B22" s="404" t="s">
        <v>786</v>
      </c>
      <c r="C22" s="405" t="s">
        <v>125</v>
      </c>
      <c r="D22" s="545">
        <f>SUM(D17:E17)</f>
        <v>0</v>
      </c>
      <c r="E22" s="546"/>
      <c r="F22" s="401">
        <f>SUM(F17:F17)</f>
        <v>0</v>
      </c>
      <c r="G22" s="547">
        <f>D22+F22</f>
        <v>0</v>
      </c>
      <c r="H22" s="548"/>
      <c r="I22" s="328"/>
    </row>
    <row r="23" spans="1:9" ht="12" customHeight="1">
      <c r="A23" s="328"/>
      <c r="B23" s="406"/>
      <c r="C23" s="407"/>
      <c r="D23" s="549"/>
      <c r="E23" s="550"/>
      <c r="F23" s="408"/>
      <c r="G23" s="551"/>
      <c r="H23" s="552"/>
      <c r="I23" s="328"/>
    </row>
    <row r="24" spans="1:9">
      <c r="A24" s="328"/>
      <c r="B24" s="404" t="s">
        <v>787</v>
      </c>
      <c r="C24" s="405" t="s">
        <v>788</v>
      </c>
      <c r="D24" s="545">
        <f>D22*C25*0.01</f>
        <v>0</v>
      </c>
      <c r="E24" s="546"/>
      <c r="F24" s="401">
        <v>0</v>
      </c>
      <c r="G24" s="547">
        <f>D24+F24</f>
        <v>0</v>
      </c>
      <c r="H24" s="548"/>
      <c r="I24" s="328"/>
    </row>
    <row r="25" spans="1:9" ht="12" customHeight="1">
      <c r="A25" s="328"/>
      <c r="B25" s="406" t="s">
        <v>789</v>
      </c>
      <c r="C25" s="409">
        <v>5</v>
      </c>
      <c r="D25" s="549"/>
      <c r="E25" s="550"/>
      <c r="F25" s="408"/>
      <c r="G25" s="551"/>
      <c r="H25" s="552"/>
      <c r="I25" s="328"/>
    </row>
    <row r="26" spans="1:9">
      <c r="A26" s="328"/>
      <c r="B26" s="404" t="s">
        <v>790</v>
      </c>
      <c r="C26" s="405" t="s">
        <v>788</v>
      </c>
      <c r="D26" s="545">
        <v>0</v>
      </c>
      <c r="E26" s="546"/>
      <c r="F26" s="401">
        <f>F22*C27*0.01</f>
        <v>0</v>
      </c>
      <c r="G26" s="547">
        <f>D26+F26</f>
        <v>0</v>
      </c>
      <c r="H26" s="548"/>
      <c r="I26" s="328"/>
    </row>
    <row r="27" spans="1:9" ht="12" customHeight="1">
      <c r="A27" s="328"/>
      <c r="B27" s="406" t="s">
        <v>791</v>
      </c>
      <c r="C27" s="409">
        <v>6.5</v>
      </c>
      <c r="D27" s="549"/>
      <c r="E27" s="550"/>
      <c r="F27" s="408"/>
      <c r="G27" s="551"/>
      <c r="H27" s="552"/>
      <c r="I27" s="328"/>
    </row>
    <row r="28" spans="1:9">
      <c r="A28" s="328"/>
      <c r="B28" s="404" t="s">
        <v>792</v>
      </c>
      <c r="C28" s="405" t="s">
        <v>788</v>
      </c>
      <c r="D28" s="545">
        <v>0</v>
      </c>
      <c r="E28" s="546"/>
      <c r="F28" s="401">
        <f>F22*C29*0.01</f>
        <v>0</v>
      </c>
      <c r="G28" s="547">
        <f>D28+F28</f>
        <v>0</v>
      </c>
      <c r="H28" s="548"/>
      <c r="I28" s="328"/>
    </row>
    <row r="29" spans="1:9" ht="12" customHeight="1">
      <c r="A29" s="328"/>
      <c r="B29" s="406" t="s">
        <v>791</v>
      </c>
      <c r="C29" s="409">
        <v>3.5</v>
      </c>
      <c r="D29" s="549"/>
      <c r="E29" s="550"/>
      <c r="F29" s="408"/>
      <c r="G29" s="551"/>
      <c r="H29" s="552"/>
      <c r="I29" s="328"/>
    </row>
    <row r="30" spans="1:9">
      <c r="A30" s="328"/>
      <c r="B30" s="404" t="s">
        <v>793</v>
      </c>
      <c r="C30" s="405" t="s">
        <v>788</v>
      </c>
      <c r="D30" s="545">
        <f>D22*C31*0.01</f>
        <v>0</v>
      </c>
      <c r="E30" s="546"/>
      <c r="F30" s="401">
        <v>0</v>
      </c>
      <c r="G30" s="547">
        <f>D30+F30</f>
        <v>0</v>
      </c>
      <c r="H30" s="548"/>
      <c r="I30" s="328"/>
    </row>
    <row r="31" spans="1:9" ht="12" customHeight="1">
      <c r="A31" s="328"/>
      <c r="B31" s="406" t="s">
        <v>794</v>
      </c>
      <c r="C31" s="409">
        <v>0.04</v>
      </c>
      <c r="D31" s="549"/>
      <c r="E31" s="550"/>
      <c r="F31" s="408"/>
      <c r="G31" s="551"/>
      <c r="H31" s="552"/>
      <c r="I31" s="328"/>
    </row>
    <row r="32" spans="1:9">
      <c r="A32" s="328"/>
      <c r="B32" s="404" t="s">
        <v>822</v>
      </c>
      <c r="C32" s="405" t="s">
        <v>788</v>
      </c>
      <c r="D32" s="545">
        <f>D22*C33*0.01</f>
        <v>0</v>
      </c>
      <c r="E32" s="546"/>
      <c r="F32" s="401">
        <v>0</v>
      </c>
      <c r="G32" s="547">
        <f>D32+F32</f>
        <v>0</v>
      </c>
      <c r="H32" s="548"/>
      <c r="I32" s="328"/>
    </row>
    <row r="33" spans="1:9" ht="12" customHeight="1">
      <c r="A33" s="328"/>
      <c r="B33" s="406" t="s">
        <v>794</v>
      </c>
      <c r="C33" s="409">
        <v>0.08</v>
      </c>
      <c r="D33" s="549"/>
      <c r="E33" s="550"/>
      <c r="F33" s="408"/>
      <c r="G33" s="551"/>
      <c r="H33" s="552"/>
      <c r="I33" s="328"/>
    </row>
    <row r="34" spans="1:9">
      <c r="A34" s="328"/>
      <c r="B34" s="404" t="s">
        <v>796</v>
      </c>
      <c r="C34" s="405" t="s">
        <v>788</v>
      </c>
      <c r="D34" s="545">
        <v>0</v>
      </c>
      <c r="E34" s="546"/>
      <c r="F34" s="401">
        <f>F22*C35*0.01</f>
        <v>0</v>
      </c>
      <c r="G34" s="547">
        <f>D34+F34</f>
        <v>0</v>
      </c>
      <c r="H34" s="548"/>
      <c r="I34" s="328"/>
    </row>
    <row r="35" spans="1:9" ht="12" customHeight="1">
      <c r="A35" s="328"/>
      <c r="B35" s="406" t="s">
        <v>797</v>
      </c>
      <c r="C35" s="409">
        <v>5</v>
      </c>
      <c r="D35" s="549"/>
      <c r="E35" s="550"/>
      <c r="F35" s="408"/>
      <c r="G35" s="551"/>
      <c r="H35" s="552"/>
      <c r="I35" s="328"/>
    </row>
    <row r="36" spans="1:9" ht="12.75" customHeight="1">
      <c r="A36" s="328"/>
      <c r="B36" s="553" t="s">
        <v>798</v>
      </c>
      <c r="C36" s="554"/>
      <c r="D36" s="555"/>
      <c r="E36" s="555"/>
      <c r="F36" s="556"/>
      <c r="G36" s="557">
        <f>SUM(G22:H35)</f>
        <v>0</v>
      </c>
      <c r="H36" s="558"/>
      <c r="I36" s="328"/>
    </row>
    <row r="37" spans="1:9" ht="12.75" customHeight="1">
      <c r="A37" s="328"/>
      <c r="B37" s="532"/>
      <c r="C37" s="533"/>
      <c r="D37" s="533"/>
      <c r="E37" s="533"/>
      <c r="F37" s="533"/>
      <c r="G37" s="533"/>
      <c r="H37" s="533"/>
      <c r="I37" s="328"/>
    </row>
    <row r="38" spans="1:9" ht="14.1" customHeight="1">
      <c r="A38" s="328"/>
      <c r="B38" s="534" t="s">
        <v>799</v>
      </c>
      <c r="C38" s="535"/>
      <c r="D38" s="535"/>
      <c r="E38" s="535"/>
      <c r="F38" s="535"/>
      <c r="G38" s="535"/>
      <c r="H38" s="536"/>
      <c r="I38" s="328"/>
    </row>
    <row r="39" spans="1:9">
      <c r="A39" s="328"/>
      <c r="B39" s="537" t="s">
        <v>800</v>
      </c>
      <c r="C39" s="538"/>
      <c r="D39" s="410" t="s">
        <v>45</v>
      </c>
      <c r="E39" s="410" t="s">
        <v>801</v>
      </c>
      <c r="F39" s="539" t="s">
        <v>802</v>
      </c>
      <c r="G39" s="540"/>
      <c r="H39" s="411" t="s">
        <v>803</v>
      </c>
      <c r="I39" s="328"/>
    </row>
    <row r="40" spans="1:9" ht="14.1" customHeight="1">
      <c r="A40" s="328"/>
      <c r="B40" s="541">
        <f>G36</f>
        <v>0</v>
      </c>
      <c r="C40" s="542"/>
      <c r="D40" s="412">
        <f>B40*E40*0.01</f>
        <v>0</v>
      </c>
      <c r="E40" s="413">
        <v>21</v>
      </c>
      <c r="F40" s="543">
        <f>B40+D40</f>
        <v>0</v>
      </c>
      <c r="G40" s="544"/>
      <c r="H40" s="414" t="s">
        <v>692</v>
      </c>
      <c r="I40" s="328"/>
    </row>
    <row r="41" spans="1:9" ht="9" customHeight="1">
      <c r="A41" s="328"/>
      <c r="B41" s="328"/>
      <c r="C41" s="328"/>
      <c r="D41" s="328"/>
      <c r="E41" s="328"/>
      <c r="F41" s="328"/>
      <c r="G41" s="328"/>
      <c r="H41" s="328"/>
      <c r="I41" s="328"/>
    </row>
  </sheetData>
  <dataConsolidate/>
  <mergeCells count="74">
    <mergeCell ref="G9:H9"/>
    <mergeCell ref="B2:B5"/>
    <mergeCell ref="C2:F2"/>
    <mergeCell ref="G2:H2"/>
    <mergeCell ref="C3:F3"/>
    <mergeCell ref="G3:H3"/>
    <mergeCell ref="C4:F4"/>
    <mergeCell ref="G4:H4"/>
    <mergeCell ref="C5:F5"/>
    <mergeCell ref="G5:H5"/>
    <mergeCell ref="B6:H6"/>
    <mergeCell ref="G7:H7"/>
    <mergeCell ref="B8:D8"/>
    <mergeCell ref="E8:F8"/>
    <mergeCell ref="G8:H8"/>
    <mergeCell ref="B16:C16"/>
    <mergeCell ref="D16:E16"/>
    <mergeCell ref="G16:H16"/>
    <mergeCell ref="B10:D10"/>
    <mergeCell ref="E10:F11"/>
    <mergeCell ref="G10:H10"/>
    <mergeCell ref="B11:D11"/>
    <mergeCell ref="B12:D12"/>
    <mergeCell ref="G12:H12"/>
    <mergeCell ref="C13:D13"/>
    <mergeCell ref="E13:F13"/>
    <mergeCell ref="G13:H13"/>
    <mergeCell ref="B14:H14"/>
    <mergeCell ref="B15:H15"/>
    <mergeCell ref="D23:E23"/>
    <mergeCell ref="G23:H23"/>
    <mergeCell ref="B17:C17"/>
    <mergeCell ref="D17:E17"/>
    <mergeCell ref="G17:H17"/>
    <mergeCell ref="B18:F18"/>
    <mergeCell ref="G18:H18"/>
    <mergeCell ref="B19:H19"/>
    <mergeCell ref="B20:H20"/>
    <mergeCell ref="D21:E21"/>
    <mergeCell ref="G21:H21"/>
    <mergeCell ref="D22:E22"/>
    <mergeCell ref="G22:H22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B40:C40"/>
    <mergeCell ref="F40:G40"/>
    <mergeCell ref="B36:F36"/>
    <mergeCell ref="G36:H36"/>
    <mergeCell ref="B37:H37"/>
    <mergeCell ref="B38:H38"/>
    <mergeCell ref="B39:C39"/>
    <mergeCell ref="F39:G39"/>
  </mergeCells>
  <pageMargins left="0.19685039370078741" right="0.11811023622047245" top="0.59055118110236227" bottom="0.39370078740157483" header="0.19685039370078741" footer="0.19685039370078741"/>
  <pageSetup paperSize="9" orientation="portrait" r:id="rId1"/>
  <headerFooter alignWithMargins="0">
    <oddHeader>&amp;C
&amp;RR&amp;P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CBE2-8FAE-4D38-8DAB-0284D01801B9}">
  <dimension ref="A1:L637"/>
  <sheetViews>
    <sheetView zoomScale="130" zoomScaleNormal="130" workbookViewId="0">
      <pane xSplit="12" ySplit="16" topLeftCell="M17" activePane="bottomRight" state="frozen"/>
      <selection pane="topRight" activeCell="M1" sqref="M1"/>
      <selection pane="bottomLeft" activeCell="A18" sqref="A18"/>
      <selection pane="bottomRight" activeCell="M32" sqref="A1:M32"/>
    </sheetView>
  </sheetViews>
  <sheetFormatPr defaultColWidth="10.7109375" defaultRowHeight="13.2"/>
  <cols>
    <col min="1" max="1" width="2" style="327" customWidth="1"/>
    <col min="2" max="2" width="9.42578125" style="327" customWidth="1"/>
    <col min="3" max="3" width="26.7109375" style="327" customWidth="1"/>
    <col min="4" max="4" width="43.85546875" style="327" customWidth="1"/>
    <col min="5" max="6" width="5.42578125" style="327" customWidth="1"/>
    <col min="7" max="11" width="14.85546875" style="327" customWidth="1"/>
    <col min="12" max="12" width="2" style="327" customWidth="1"/>
    <col min="13" max="16384" width="10.7109375" style="327"/>
  </cols>
  <sheetData>
    <row r="1" spans="1:12" ht="9" customHeight="1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</row>
    <row r="2" spans="1:12" ht="18" customHeight="1">
      <c r="A2" s="326"/>
      <c r="B2" s="656"/>
      <c r="C2" s="606"/>
      <c r="D2" s="661"/>
      <c r="E2" s="595"/>
      <c r="F2" s="595"/>
      <c r="G2" s="595"/>
      <c r="H2" s="595"/>
      <c r="I2" s="606"/>
      <c r="J2" s="662"/>
      <c r="K2" s="597"/>
      <c r="L2" s="328"/>
    </row>
    <row r="3" spans="1:12" ht="18" customHeight="1">
      <c r="A3" s="326"/>
      <c r="B3" s="657"/>
      <c r="C3" s="658"/>
      <c r="D3" s="663" t="s">
        <v>671</v>
      </c>
      <c r="E3" s="663"/>
      <c r="F3" s="663"/>
      <c r="G3" s="663"/>
      <c r="H3" s="663"/>
      <c r="I3" s="664"/>
      <c r="J3" s="599" t="s">
        <v>672</v>
      </c>
      <c r="K3" s="597"/>
      <c r="L3" s="329"/>
    </row>
    <row r="4" spans="1:12" ht="18" customHeight="1">
      <c r="A4" s="326"/>
      <c r="B4" s="657"/>
      <c r="C4" s="658"/>
      <c r="D4" s="665" t="s">
        <v>673</v>
      </c>
      <c r="E4" s="665"/>
      <c r="F4" s="665"/>
      <c r="G4" s="665"/>
      <c r="H4" s="665"/>
      <c r="I4" s="666"/>
      <c r="J4" s="599" t="s">
        <v>674</v>
      </c>
      <c r="K4" s="597"/>
      <c r="L4" s="329"/>
    </row>
    <row r="5" spans="1:12" ht="18" customHeight="1">
      <c r="A5" s="326"/>
      <c r="B5" s="659"/>
      <c r="C5" s="660"/>
      <c r="D5" s="667"/>
      <c r="E5" s="603"/>
      <c r="F5" s="603"/>
      <c r="G5" s="603"/>
      <c r="H5" s="603"/>
      <c r="I5" s="660"/>
      <c r="J5" s="599" t="s">
        <v>675</v>
      </c>
      <c r="K5" s="597"/>
      <c r="L5" s="329"/>
    </row>
    <row r="6" spans="1:12" ht="12.75" customHeight="1">
      <c r="A6" s="326"/>
      <c r="B6" s="604" t="s">
        <v>676</v>
      </c>
      <c r="C6" s="605"/>
      <c r="D6" s="605"/>
      <c r="E6" s="605"/>
      <c r="F6" s="605"/>
      <c r="G6" s="605"/>
      <c r="H6" s="605"/>
      <c r="I6" s="605"/>
      <c r="J6" s="605"/>
      <c r="K6" s="605"/>
      <c r="L6" s="326"/>
    </row>
    <row r="7" spans="1:12" ht="9.9" customHeight="1">
      <c r="A7" s="326"/>
      <c r="B7" s="651" t="s">
        <v>677</v>
      </c>
      <c r="C7" s="642"/>
      <c r="D7" s="330"/>
      <c r="E7" s="651" t="s">
        <v>678</v>
      </c>
      <c r="F7" s="643"/>
      <c r="G7" s="331"/>
      <c r="H7" s="331"/>
      <c r="I7" s="332"/>
      <c r="J7" s="644" t="s">
        <v>679</v>
      </c>
      <c r="K7" s="645"/>
      <c r="L7" s="326"/>
    </row>
    <row r="8" spans="1:12" s="334" customFormat="1" ht="12.75" customHeight="1">
      <c r="A8" s="333"/>
      <c r="B8" s="682" t="s">
        <v>680</v>
      </c>
      <c r="C8" s="654"/>
      <c r="D8" s="655"/>
      <c r="E8" s="688" t="s">
        <v>804</v>
      </c>
      <c r="F8" s="688"/>
      <c r="G8" s="688"/>
      <c r="H8" s="688"/>
      <c r="I8" s="688"/>
      <c r="J8" s="612" t="s">
        <v>805</v>
      </c>
      <c r="K8" s="612"/>
      <c r="L8" s="333"/>
    </row>
    <row r="9" spans="1:12" ht="9.9" customHeight="1">
      <c r="A9" s="326"/>
      <c r="B9" s="651" t="s">
        <v>682</v>
      </c>
      <c r="C9" s="642"/>
      <c r="D9" s="335"/>
      <c r="E9" s="651" t="s">
        <v>683</v>
      </c>
      <c r="F9" s="643"/>
      <c r="G9" s="643"/>
      <c r="H9" s="336"/>
      <c r="I9" s="335"/>
      <c r="J9" s="644" t="s">
        <v>684</v>
      </c>
      <c r="K9" s="645"/>
      <c r="L9" s="326"/>
    </row>
    <row r="10" spans="1:12" ht="12.75" customHeight="1">
      <c r="A10" s="326"/>
      <c r="B10" s="576" t="s">
        <v>806</v>
      </c>
      <c r="C10" s="577"/>
      <c r="D10" s="578"/>
      <c r="E10" s="582" t="s">
        <v>807</v>
      </c>
      <c r="F10" s="582"/>
      <c r="G10" s="582"/>
      <c r="H10" s="582"/>
      <c r="I10" s="582"/>
      <c r="J10" s="612" t="s">
        <v>687</v>
      </c>
      <c r="K10" s="612"/>
      <c r="L10" s="326"/>
    </row>
    <row r="11" spans="1:12" ht="12.75" customHeight="1">
      <c r="A11" s="326"/>
      <c r="B11" s="582"/>
      <c r="C11" s="582"/>
      <c r="D11" s="582"/>
      <c r="E11" s="652"/>
      <c r="F11" s="652"/>
      <c r="G11" s="652"/>
      <c r="H11" s="652"/>
      <c r="I11" s="652"/>
      <c r="J11" s="337" t="s">
        <v>688</v>
      </c>
      <c r="K11" s="338" t="s">
        <v>808</v>
      </c>
      <c r="L11" s="339"/>
    </row>
    <row r="12" spans="1:12" ht="12.75" customHeight="1">
      <c r="A12" s="326"/>
      <c r="B12" s="582"/>
      <c r="C12" s="582"/>
      <c r="D12" s="582"/>
      <c r="E12" s="642" t="s">
        <v>690</v>
      </c>
      <c r="F12" s="643"/>
      <c r="G12" s="643"/>
      <c r="H12" s="340"/>
      <c r="I12" s="330"/>
      <c r="J12" s="644" t="s">
        <v>23</v>
      </c>
      <c r="K12" s="645"/>
      <c r="L12" s="326"/>
    </row>
    <row r="13" spans="1:12" ht="12.75" customHeight="1">
      <c r="A13" s="326"/>
      <c r="B13" s="646" t="s">
        <v>691</v>
      </c>
      <c r="C13" s="647"/>
      <c r="D13" s="341" t="s">
        <v>692</v>
      </c>
      <c r="E13" s="648" t="s">
        <v>692</v>
      </c>
      <c r="F13" s="648"/>
      <c r="G13" s="648"/>
      <c r="H13" s="648"/>
      <c r="I13" s="648"/>
      <c r="J13" s="649">
        <v>43862</v>
      </c>
      <c r="K13" s="650"/>
      <c r="L13" s="326"/>
    </row>
    <row r="14" spans="1:12" ht="14.1" customHeight="1">
      <c r="A14" s="326"/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</row>
    <row r="15" spans="1:12" s="346" customFormat="1" ht="12" customHeight="1">
      <c r="A15" s="342"/>
      <c r="B15" s="343" t="s">
        <v>693</v>
      </c>
      <c r="C15" s="638" t="s">
        <v>694</v>
      </c>
      <c r="D15" s="639"/>
      <c r="E15" s="344" t="s">
        <v>695</v>
      </c>
      <c r="F15" s="344" t="s">
        <v>106</v>
      </c>
      <c r="G15" s="638" t="s">
        <v>696</v>
      </c>
      <c r="H15" s="638"/>
      <c r="I15" s="638" t="s">
        <v>697</v>
      </c>
      <c r="J15" s="638"/>
      <c r="K15" s="345" t="s">
        <v>698</v>
      </c>
      <c r="L15" s="342"/>
    </row>
    <row r="16" spans="1:12" s="346" customFormat="1" ht="12" customHeight="1">
      <c r="A16" s="342"/>
      <c r="B16" s="347" t="s">
        <v>699</v>
      </c>
      <c r="C16" s="640"/>
      <c r="D16" s="641"/>
      <c r="E16" s="348"/>
      <c r="F16" s="348"/>
      <c r="G16" s="348" t="s">
        <v>700</v>
      </c>
      <c r="H16" s="348" t="s">
        <v>701</v>
      </c>
      <c r="I16" s="348" t="s">
        <v>700</v>
      </c>
      <c r="J16" s="348" t="s">
        <v>701</v>
      </c>
      <c r="K16" s="349" t="s">
        <v>701</v>
      </c>
      <c r="L16" s="342"/>
    </row>
    <row r="17" spans="1:12" s="353" customFormat="1" ht="9.9" customHeight="1">
      <c r="A17" s="363"/>
      <c r="B17" s="350" t="s">
        <v>809</v>
      </c>
      <c r="C17" s="615" t="s">
        <v>810</v>
      </c>
      <c r="D17" s="687"/>
      <c r="E17" s="351"/>
      <c r="F17" s="351"/>
      <c r="G17" s="352"/>
      <c r="H17" s="352"/>
      <c r="I17" s="352"/>
      <c r="J17" s="352"/>
      <c r="K17" s="352"/>
      <c r="L17" s="363"/>
    </row>
    <row r="18" spans="1:12" s="353" customFormat="1" ht="9.9" customHeight="1">
      <c r="A18" s="363"/>
      <c r="B18" s="354" t="s">
        <v>809</v>
      </c>
      <c r="C18" s="619" t="s">
        <v>811</v>
      </c>
      <c r="D18" s="620"/>
      <c r="E18" s="355">
        <v>115</v>
      </c>
      <c r="F18" s="355" t="s">
        <v>711</v>
      </c>
      <c r="G18" s="356">
        <v>0</v>
      </c>
      <c r="H18" s="356">
        <f>E18*G18</f>
        <v>0</v>
      </c>
      <c r="I18" s="356">
        <f>G18*0.28</f>
        <v>0</v>
      </c>
      <c r="J18" s="356">
        <f>E18*I18</f>
        <v>0</v>
      </c>
      <c r="K18" s="357">
        <f>H18+J18</f>
        <v>0</v>
      </c>
      <c r="L18" s="363"/>
    </row>
    <row r="19" spans="1:12" s="353" customFormat="1" ht="9.9" customHeight="1">
      <c r="A19" s="363"/>
      <c r="B19" s="358"/>
      <c r="C19" s="621" t="s">
        <v>812</v>
      </c>
      <c r="D19" s="622"/>
      <c r="E19" s="359"/>
      <c r="F19" s="359"/>
      <c r="G19" s="360"/>
      <c r="H19" s="361"/>
      <c r="I19" s="360"/>
      <c r="J19" s="361"/>
      <c r="K19" s="362"/>
      <c r="L19" s="363"/>
    </row>
    <row r="20" spans="1:12" s="353" customFormat="1" ht="9.9" customHeight="1">
      <c r="A20" s="363"/>
      <c r="B20" s="354" t="s">
        <v>813</v>
      </c>
      <c r="C20" s="619" t="s">
        <v>814</v>
      </c>
      <c r="D20" s="620"/>
      <c r="E20" s="355">
        <v>135</v>
      </c>
      <c r="F20" s="355" t="s">
        <v>711</v>
      </c>
      <c r="G20" s="356">
        <v>0</v>
      </c>
      <c r="H20" s="356">
        <f>E20*G20</f>
        <v>0</v>
      </c>
      <c r="I20" s="356">
        <f>G20*0.28</f>
        <v>0</v>
      </c>
      <c r="J20" s="356">
        <f>E20*I20</f>
        <v>0</v>
      </c>
      <c r="K20" s="357">
        <f>H20+J20</f>
        <v>0</v>
      </c>
      <c r="L20" s="363"/>
    </row>
    <row r="21" spans="1:12" s="353" customFormat="1" ht="9.9" customHeight="1">
      <c r="A21" s="363"/>
      <c r="B21" s="358"/>
      <c r="C21" s="621" t="s">
        <v>812</v>
      </c>
      <c r="D21" s="622"/>
      <c r="E21" s="359"/>
      <c r="F21" s="359"/>
      <c r="G21" s="360"/>
      <c r="H21" s="361"/>
      <c r="I21" s="360"/>
      <c r="J21" s="361"/>
      <c r="K21" s="362"/>
      <c r="L21" s="363"/>
    </row>
    <row r="22" spans="1:12" s="353" customFormat="1" ht="9.9" customHeight="1">
      <c r="A22" s="363"/>
      <c r="B22" s="354" t="s">
        <v>815</v>
      </c>
      <c r="C22" s="631" t="s">
        <v>816</v>
      </c>
      <c r="D22" s="628"/>
      <c r="E22" s="355">
        <v>15</v>
      </c>
      <c r="F22" s="355" t="s">
        <v>489</v>
      </c>
      <c r="G22" s="356">
        <v>0</v>
      </c>
      <c r="H22" s="356">
        <f>E22*G22</f>
        <v>0</v>
      </c>
      <c r="I22" s="356">
        <f>G22*20/100</f>
        <v>0</v>
      </c>
      <c r="J22" s="356">
        <f>E22*I22</f>
        <v>0</v>
      </c>
      <c r="K22" s="357">
        <f>H22+J22</f>
        <v>0</v>
      </c>
      <c r="L22" s="363"/>
    </row>
    <row r="23" spans="1:12" s="353" customFormat="1" ht="9.9" customHeight="1">
      <c r="A23" s="363"/>
      <c r="B23" s="358"/>
      <c r="C23" s="683"/>
      <c r="D23" s="684"/>
      <c r="E23" s="359"/>
      <c r="F23" s="359"/>
      <c r="G23" s="360"/>
      <c r="H23" s="361"/>
      <c r="I23" s="360"/>
      <c r="J23" s="361"/>
      <c r="K23" s="362"/>
      <c r="L23" s="363"/>
    </row>
    <row r="24" spans="1:12" s="353" customFormat="1" ht="9.9" customHeight="1">
      <c r="A24" s="363"/>
      <c r="B24" s="354" t="s">
        <v>817</v>
      </c>
      <c r="C24" s="619" t="s">
        <v>818</v>
      </c>
      <c r="D24" s="685"/>
      <c r="E24" s="355">
        <v>59</v>
      </c>
      <c r="F24" s="355" t="s">
        <v>705</v>
      </c>
      <c r="G24" s="356">
        <v>0</v>
      </c>
      <c r="H24" s="356">
        <f>E24*G24</f>
        <v>0</v>
      </c>
      <c r="I24" s="356">
        <f>G24*0.18</f>
        <v>0</v>
      </c>
      <c r="J24" s="356">
        <f>E24*I24</f>
        <v>0</v>
      </c>
      <c r="K24" s="357">
        <f>H24+J24</f>
        <v>0</v>
      </c>
      <c r="L24" s="363"/>
    </row>
    <row r="25" spans="1:12" s="353" customFormat="1" ht="9.9" customHeight="1">
      <c r="A25" s="363"/>
      <c r="B25" s="358"/>
      <c r="C25" s="621"/>
      <c r="D25" s="686"/>
      <c r="E25" s="359"/>
      <c r="F25" s="359"/>
      <c r="G25" s="360"/>
      <c r="H25" s="361"/>
      <c r="I25" s="360"/>
      <c r="J25" s="361"/>
      <c r="K25" s="362"/>
      <c r="L25" s="363"/>
    </row>
    <row r="26" spans="1:12" s="353" customFormat="1" ht="9.9" customHeight="1">
      <c r="A26" s="363"/>
      <c r="B26" s="375"/>
      <c r="C26" s="617" t="s">
        <v>717</v>
      </c>
      <c r="D26" s="618"/>
      <c r="E26" s="364"/>
      <c r="F26" s="364"/>
      <c r="G26" s="365"/>
      <c r="H26" s="366">
        <f>SUM(H18:H25)</f>
        <v>0</v>
      </c>
      <c r="I26" s="366"/>
      <c r="J26" s="366">
        <f>SUM(J18:J25)</f>
        <v>0</v>
      </c>
      <c r="K26" s="367">
        <f>SUM(K18:K25)</f>
        <v>0</v>
      </c>
      <c r="L26" s="363"/>
    </row>
    <row r="27" spans="1:12" s="353" customFormat="1" ht="9.9" customHeight="1">
      <c r="A27" s="363"/>
      <c r="B27" s="384"/>
      <c r="C27" s="613"/>
      <c r="D27" s="614"/>
      <c r="E27" s="385"/>
      <c r="F27" s="385"/>
      <c r="G27" s="386"/>
      <c r="H27" s="387"/>
      <c r="I27" s="387"/>
      <c r="J27" s="387"/>
      <c r="K27" s="388"/>
      <c r="L27" s="363"/>
    </row>
    <row r="28" spans="1:12" s="353" customFormat="1" ht="12" customHeight="1">
      <c r="A28" s="363"/>
      <c r="B28" s="350"/>
      <c r="C28" s="615" t="s">
        <v>771</v>
      </c>
      <c r="D28" s="616"/>
      <c r="E28" s="351"/>
      <c r="F28" s="351"/>
      <c r="G28" s="352"/>
      <c r="H28" s="352"/>
      <c r="I28" s="352"/>
      <c r="J28" s="352"/>
      <c r="K28" s="352"/>
      <c r="L28" s="374"/>
    </row>
    <row r="29" spans="1:12" s="353" customFormat="1" ht="12.6" customHeight="1">
      <c r="A29" s="374"/>
      <c r="B29" s="375"/>
      <c r="C29" s="617" t="s">
        <v>772</v>
      </c>
      <c r="D29" s="618"/>
      <c r="E29" s="364"/>
      <c r="F29" s="364"/>
      <c r="G29" s="365"/>
      <c r="H29" s="366">
        <f>H26</f>
        <v>0</v>
      </c>
      <c r="I29" s="366"/>
      <c r="J29" s="366">
        <f>J26</f>
        <v>0</v>
      </c>
      <c r="K29" s="367">
        <f>K26</f>
        <v>0</v>
      </c>
      <c r="L29" s="363"/>
    </row>
    <row r="30" spans="1:12" s="353" customFormat="1" ht="9.9" customHeight="1">
      <c r="A30" s="374"/>
      <c r="B30" s="384"/>
      <c r="C30" s="613"/>
      <c r="D30" s="614"/>
      <c r="E30" s="385"/>
      <c r="F30" s="385"/>
      <c r="G30" s="386"/>
      <c r="H30" s="387"/>
      <c r="I30" s="387"/>
      <c r="J30" s="387"/>
      <c r="K30" s="388"/>
      <c r="L30" s="374"/>
    </row>
    <row r="31" spans="1:12" s="353" customFormat="1" ht="9.9" customHeight="1">
      <c r="A31" s="374"/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374"/>
    </row>
    <row r="32" spans="1:12" s="353" customFormat="1" ht="9.9" customHeight="1"/>
    <row r="33" s="353" customFormat="1" ht="9.9" customHeight="1"/>
    <row r="34" s="353" customFormat="1" ht="9.9" customHeight="1"/>
    <row r="35" s="353" customFormat="1" ht="9.9" customHeight="1"/>
    <row r="36" s="353" customFormat="1" ht="9.9" customHeight="1"/>
    <row r="37" s="353" customFormat="1" ht="9.9" customHeight="1"/>
    <row r="38" s="353" customFormat="1" ht="9.9" customHeight="1"/>
    <row r="39" s="353" customFormat="1" ht="9.9" customHeight="1"/>
    <row r="40" s="353" customFormat="1" ht="9.9" customHeight="1"/>
    <row r="41" s="353" customFormat="1" ht="9.9" customHeight="1"/>
    <row r="42" s="353" customFormat="1" ht="9.9" customHeight="1"/>
    <row r="43" s="353" customFormat="1" ht="9.9" customHeight="1"/>
    <row r="44" s="353" customFormat="1" ht="9.9" customHeight="1"/>
    <row r="45" s="353" customFormat="1" ht="9.9" customHeight="1"/>
    <row r="46" s="353" customFormat="1" ht="9.9" customHeight="1"/>
    <row r="47" s="353" customFormat="1" ht="9.9" customHeight="1"/>
    <row r="48" s="353" customFormat="1" ht="9.9" customHeight="1"/>
    <row r="49" s="353" customFormat="1" ht="9.9" customHeight="1"/>
    <row r="50" s="353" customFormat="1" ht="9.9" customHeight="1"/>
    <row r="51" s="353" customFormat="1" ht="9.9" customHeight="1"/>
    <row r="52" s="353" customFormat="1" ht="9.9" customHeight="1"/>
    <row r="53" s="353" customFormat="1" ht="9.9" customHeight="1"/>
    <row r="54" s="353" customFormat="1" ht="9.9" customHeight="1"/>
    <row r="55" s="353" customFormat="1" ht="9.9" customHeight="1"/>
    <row r="56" s="353" customFormat="1" ht="9.9" customHeight="1"/>
    <row r="57" s="353" customFormat="1" ht="9.9" customHeight="1"/>
    <row r="58" s="353" customFormat="1" ht="9.9" customHeight="1"/>
    <row r="59" s="353" customFormat="1" ht="9.9" customHeight="1"/>
    <row r="60" s="353" customFormat="1" ht="9.9" customHeight="1"/>
    <row r="61" s="353" customFormat="1" ht="9.9" customHeight="1"/>
    <row r="62" s="353" customFormat="1" ht="9.9" customHeight="1"/>
    <row r="63" s="353" customFormat="1" ht="9.9" customHeight="1"/>
    <row r="64" s="353" customFormat="1" ht="9.9" customHeight="1"/>
    <row r="65" s="353" customFormat="1" ht="9.9" customHeight="1"/>
    <row r="66" s="353" customFormat="1" ht="9.9" customHeight="1"/>
    <row r="67" s="353" customFormat="1" ht="9.9" customHeight="1"/>
    <row r="68" s="353" customFormat="1" ht="9.9" customHeight="1"/>
    <row r="69" s="353" customFormat="1" ht="9.9" customHeight="1"/>
    <row r="70" s="353" customFormat="1" ht="9.9" customHeight="1"/>
    <row r="71" s="353" customFormat="1" ht="9.9" customHeight="1"/>
    <row r="72" s="353" customFormat="1" ht="9.9" customHeight="1"/>
    <row r="73" s="353" customFormat="1" ht="9.9" customHeight="1"/>
    <row r="74" s="353" customFormat="1" ht="9.9" customHeight="1"/>
    <row r="75" s="353" customFormat="1" ht="9.9" customHeight="1"/>
    <row r="76" s="353" customFormat="1" ht="9.9" customHeight="1"/>
    <row r="77" s="353" customFormat="1" ht="9.9" customHeight="1"/>
    <row r="78" s="353" customFormat="1" ht="9.9" customHeight="1"/>
    <row r="79" s="353" customFormat="1" ht="9.9" customHeight="1"/>
    <row r="80" s="353" customFormat="1" ht="9.9" customHeight="1"/>
    <row r="81" s="353" customFormat="1" ht="9.9" customHeight="1"/>
    <row r="82" s="353" customFormat="1" ht="9.9" customHeight="1"/>
    <row r="83" s="353" customFormat="1" ht="9.9" customHeight="1"/>
    <row r="84" s="353" customFormat="1" ht="9.9" customHeight="1"/>
    <row r="85" s="353" customFormat="1" ht="9.9" customHeight="1"/>
    <row r="86" s="353" customFormat="1" ht="9.9" customHeight="1"/>
    <row r="87" s="353" customFormat="1" ht="9.9" customHeight="1"/>
    <row r="88" s="353" customFormat="1" ht="9.9" customHeight="1"/>
    <row r="89" s="353" customFormat="1" ht="9.9" customHeight="1"/>
    <row r="90" s="353" customFormat="1" ht="9.9" customHeight="1"/>
    <row r="91" s="353" customFormat="1" ht="9.9" customHeight="1"/>
    <row r="92" s="353" customFormat="1" ht="9.9" customHeight="1"/>
    <row r="93" s="353" customFormat="1" ht="9.9" customHeight="1"/>
    <row r="94" s="353" customFormat="1" ht="9.9" customHeight="1"/>
    <row r="95" s="353" customFormat="1" ht="9.9" customHeight="1"/>
    <row r="96" s="353" customFormat="1" ht="9.9" customHeight="1"/>
    <row r="97" s="353" customFormat="1" ht="9.9" customHeight="1"/>
    <row r="98" s="353" customFormat="1" ht="9.9" customHeight="1"/>
    <row r="99" s="353" customFormat="1" ht="9.9" customHeight="1"/>
    <row r="100" s="353" customFormat="1" ht="9.9" customHeight="1"/>
    <row r="101" s="353" customFormat="1" ht="9.9" customHeight="1"/>
    <row r="102" s="353" customFormat="1" ht="9.9" customHeight="1"/>
    <row r="103" s="353" customFormat="1" ht="9.9" customHeight="1"/>
    <row r="104" s="353" customFormat="1" ht="9.9" customHeight="1"/>
    <row r="105" s="353" customFormat="1" ht="9.9" customHeight="1"/>
    <row r="106" s="353" customFormat="1" ht="9.9" customHeight="1"/>
    <row r="107" s="353" customFormat="1" ht="9.9" customHeight="1"/>
    <row r="108" s="353" customFormat="1" ht="9.9" customHeight="1"/>
    <row r="109" s="353" customFormat="1" ht="9.9" customHeight="1"/>
    <row r="110" s="353" customFormat="1" ht="9.9" customHeight="1"/>
    <row r="111" s="353" customFormat="1" ht="9.9" customHeight="1"/>
    <row r="112" s="353" customFormat="1" ht="9.9" customHeight="1"/>
    <row r="113" s="353" customFormat="1" ht="9.9" customHeight="1"/>
    <row r="114" s="353" customFormat="1" ht="9.9" customHeight="1"/>
    <row r="115" s="353" customFormat="1" ht="9.9" customHeight="1"/>
    <row r="116" s="353" customFormat="1" ht="9.9" customHeight="1"/>
    <row r="117" s="353" customFormat="1" ht="9.9" customHeight="1"/>
    <row r="118" s="353" customFormat="1" ht="9.9" customHeight="1"/>
    <row r="119" s="353" customFormat="1" ht="9.9" customHeight="1"/>
    <row r="120" s="353" customFormat="1" ht="9.9" customHeight="1"/>
    <row r="121" s="353" customFormat="1" ht="9.9" customHeight="1"/>
    <row r="122" s="353" customFormat="1" ht="9.9" customHeight="1"/>
    <row r="123" s="353" customFormat="1" ht="9.9" customHeight="1"/>
    <row r="124" s="353" customFormat="1" ht="9.9" customHeight="1"/>
    <row r="125" s="353" customFormat="1" ht="9.9" customHeight="1"/>
    <row r="126" s="353" customFormat="1" ht="9.9" customHeight="1"/>
    <row r="127" s="353" customFormat="1" ht="9.9" customHeight="1"/>
    <row r="128" s="353" customFormat="1" ht="9.9" customHeight="1"/>
    <row r="129" s="353" customFormat="1" ht="9.9" customHeight="1"/>
    <row r="130" s="353" customFormat="1" ht="9.9" customHeight="1"/>
    <row r="131" s="353" customFormat="1" ht="9.9" customHeight="1"/>
    <row r="132" s="353" customFormat="1" ht="9.9" customHeight="1"/>
    <row r="133" s="353" customFormat="1" ht="9.9" customHeight="1"/>
    <row r="134" s="353" customFormat="1" ht="9.9" customHeight="1"/>
    <row r="135" s="353" customFormat="1" ht="9.9" customHeight="1"/>
    <row r="136" s="353" customFormat="1" ht="9.9" customHeight="1"/>
    <row r="137" s="353" customFormat="1" ht="9.9" customHeight="1"/>
    <row r="138" s="353" customFormat="1" ht="9.9" customHeight="1"/>
    <row r="139" s="353" customFormat="1" ht="9.9" customHeight="1"/>
    <row r="140" s="353" customFormat="1" ht="9.9" customHeight="1"/>
    <row r="141" s="353" customFormat="1" ht="9.9" customHeight="1"/>
    <row r="142" s="353" customFormat="1" ht="9.9" customHeight="1"/>
    <row r="143" s="353" customFormat="1" ht="9.9" customHeight="1"/>
    <row r="144" s="353" customFormat="1" ht="9.9" customHeight="1"/>
    <row r="145" s="353" customFormat="1" ht="9.9" customHeight="1"/>
    <row r="146" s="353" customFormat="1" ht="9.9" customHeight="1"/>
    <row r="147" s="353" customFormat="1" ht="9.9" customHeight="1"/>
    <row r="148" s="353" customFormat="1" ht="9.9" customHeight="1"/>
    <row r="149" s="353" customFormat="1" ht="9.9" customHeight="1"/>
    <row r="150" s="353" customFormat="1" ht="9.9" customHeight="1"/>
    <row r="151" s="353" customFormat="1" ht="9.9" customHeight="1"/>
    <row r="152" s="353" customFormat="1" ht="9.9" customHeight="1"/>
    <row r="153" s="353" customFormat="1" ht="9.9" customHeight="1"/>
    <row r="154" s="353" customFormat="1" ht="9.9" customHeight="1"/>
    <row r="155" s="353" customFormat="1" ht="9.9" customHeight="1"/>
    <row r="156" s="353" customFormat="1" ht="9.9" customHeight="1"/>
    <row r="157" s="353" customFormat="1" ht="9.9" customHeight="1"/>
    <row r="158" s="353" customFormat="1" ht="9.9" customHeight="1"/>
    <row r="159" s="353" customFormat="1" ht="9.9" customHeight="1"/>
    <row r="160" s="353" customFormat="1" ht="9.9" customHeight="1"/>
    <row r="161" s="353" customFormat="1" ht="9.9" customHeight="1"/>
    <row r="162" s="353" customFormat="1" ht="9.9" customHeight="1"/>
    <row r="163" s="353" customFormat="1" ht="9.9" customHeight="1"/>
    <row r="164" s="353" customFormat="1" ht="9.9" customHeight="1"/>
    <row r="165" s="353" customFormat="1" ht="9.9" customHeight="1"/>
    <row r="166" s="353" customFormat="1" ht="9.9" customHeight="1"/>
    <row r="167" s="353" customFormat="1" ht="9.9" customHeight="1"/>
    <row r="168" s="353" customFormat="1" ht="9.9" customHeight="1"/>
    <row r="169" s="353" customFormat="1" ht="9.9" customHeight="1"/>
    <row r="170" s="353" customFormat="1" ht="9.9" customHeight="1"/>
    <row r="171" s="353" customFormat="1" ht="9.9" customHeight="1"/>
    <row r="172" s="353" customFormat="1" ht="9.9" customHeight="1"/>
    <row r="173" s="353" customFormat="1" ht="9.9" customHeight="1"/>
    <row r="174" s="353" customFormat="1" ht="9.9" customHeight="1"/>
    <row r="175" s="353" customFormat="1" ht="9.9" customHeight="1"/>
    <row r="176" s="353" customFormat="1" ht="9.9" customHeight="1"/>
    <row r="177" s="353" customFormat="1" ht="9.9" customHeight="1"/>
    <row r="178" s="353" customFormat="1" ht="9.9" customHeight="1"/>
    <row r="179" s="353" customFormat="1" ht="9.9" customHeight="1"/>
    <row r="180" s="353" customFormat="1" ht="9.9" customHeight="1"/>
    <row r="181" s="353" customFormat="1" ht="9.9" customHeight="1"/>
    <row r="182" s="353" customFormat="1" ht="9.9" customHeight="1"/>
    <row r="183" s="353" customFormat="1" ht="9.9" customHeight="1"/>
    <row r="184" s="353" customFormat="1" ht="9.9" customHeight="1"/>
    <row r="185" s="353" customFormat="1" ht="9.9" customHeight="1"/>
    <row r="186" s="353" customFormat="1" ht="9.9" customHeight="1"/>
    <row r="187" s="353" customFormat="1" ht="9.9" customHeight="1"/>
    <row r="188" s="353" customFormat="1" ht="9.9" customHeight="1"/>
    <row r="189" s="353" customFormat="1" ht="9.9" customHeight="1"/>
    <row r="190" s="353" customFormat="1" ht="9.9" customHeight="1"/>
    <row r="191" s="353" customFormat="1" ht="9.9" customHeight="1"/>
    <row r="192" s="353" customFormat="1" ht="9.9" customHeight="1"/>
    <row r="193" s="353" customFormat="1" ht="9.9" customHeight="1"/>
    <row r="194" s="353" customFormat="1" ht="9.9" customHeight="1"/>
    <row r="195" s="353" customFormat="1" ht="9.9" customHeight="1"/>
    <row r="196" s="353" customFormat="1" ht="9.9" customHeight="1"/>
    <row r="197" s="353" customFormat="1" ht="9.9" customHeight="1"/>
    <row r="198" s="353" customFormat="1" ht="9.9" customHeight="1"/>
    <row r="199" s="353" customFormat="1" ht="9.9" customHeight="1"/>
    <row r="200" s="353" customFormat="1" ht="9.9" customHeight="1"/>
    <row r="201" s="353" customFormat="1" ht="9.9" customHeight="1"/>
    <row r="202" s="353" customFormat="1" ht="9.9" customHeight="1"/>
    <row r="203" s="353" customFormat="1" ht="9.9" customHeight="1"/>
    <row r="204" s="353" customFormat="1" ht="9.9" customHeight="1"/>
    <row r="205" s="353" customFormat="1" ht="9.9" customHeight="1"/>
    <row r="206" s="353" customFormat="1" ht="9.9" customHeight="1"/>
    <row r="207" s="353" customFormat="1" ht="9.9" customHeight="1"/>
    <row r="208" s="353" customFormat="1" ht="9.9" customHeight="1"/>
    <row r="209" s="353" customFormat="1" ht="9.9" customHeight="1"/>
    <row r="210" s="353" customFormat="1" ht="9.9" customHeight="1"/>
    <row r="211" s="353" customFormat="1" ht="9.9" customHeight="1"/>
    <row r="212" s="353" customFormat="1" ht="9.9" customHeight="1"/>
    <row r="213" s="353" customFormat="1" ht="9.9" customHeight="1"/>
    <row r="214" s="353" customFormat="1" ht="9.9" customHeight="1"/>
    <row r="215" s="353" customFormat="1" ht="9.9" customHeight="1"/>
    <row r="216" s="353" customFormat="1" ht="9.9" customHeight="1"/>
    <row r="217" s="353" customFormat="1" ht="9.9" customHeight="1"/>
    <row r="218" s="353" customFormat="1" ht="9.9" customHeight="1"/>
    <row r="219" s="353" customFormat="1" ht="9.9" customHeight="1"/>
    <row r="220" s="353" customFormat="1" ht="9.9" customHeight="1"/>
    <row r="221" s="353" customFormat="1" ht="9.9" customHeight="1"/>
    <row r="222" s="353" customFormat="1" ht="9.9" customHeight="1"/>
    <row r="223" s="353" customFormat="1" ht="9.9" customHeight="1"/>
    <row r="224" s="353" customFormat="1" ht="9.9" customHeight="1"/>
    <row r="225" s="353" customFormat="1" ht="9.9" customHeight="1"/>
    <row r="226" s="353" customFormat="1" ht="9.9" customHeight="1"/>
    <row r="227" s="353" customFormat="1" ht="9.9" customHeight="1"/>
    <row r="228" s="353" customFormat="1" ht="9.9" customHeight="1"/>
    <row r="229" s="353" customFormat="1" ht="9.9" customHeight="1"/>
    <row r="230" s="353" customFormat="1" ht="9.9" customHeight="1"/>
    <row r="231" s="353" customFormat="1" ht="9.9" customHeight="1"/>
    <row r="232" s="353" customFormat="1" ht="9.9" customHeight="1"/>
    <row r="233" s="353" customFormat="1" ht="9.9" customHeight="1"/>
    <row r="234" s="353" customFormat="1" ht="9.9" customHeight="1"/>
    <row r="235" s="353" customFormat="1" ht="9.9" customHeight="1"/>
    <row r="236" s="353" customFormat="1" ht="9.9" customHeight="1"/>
    <row r="237" s="353" customFormat="1" ht="9.9" customHeight="1"/>
    <row r="238" s="353" customFormat="1" ht="9.9" customHeight="1"/>
    <row r="239" s="353" customFormat="1" ht="9.9" customHeight="1"/>
    <row r="240" s="353" customFormat="1" ht="9.9" customHeight="1"/>
    <row r="241" spans="2:11" s="353" customFormat="1" ht="9.9" customHeight="1"/>
    <row r="242" spans="2:11" s="353" customFormat="1" ht="9.9" customHeight="1"/>
    <row r="243" spans="2:11" s="353" customFormat="1" ht="9.9" customHeight="1"/>
    <row r="244" spans="2:11" s="353" customFormat="1" ht="9.9" customHeight="1"/>
    <row r="245" spans="2:11" s="353" customFormat="1" ht="9.9" customHeight="1"/>
    <row r="246" spans="2:11" s="353" customFormat="1" ht="9.9" customHeight="1"/>
    <row r="247" spans="2:11" s="353" customFormat="1" ht="9.9" customHeight="1"/>
    <row r="248" spans="2:11" s="353" customFormat="1" ht="9.9" customHeight="1"/>
    <row r="249" spans="2:11" s="353" customFormat="1" ht="9.9" customHeight="1"/>
    <row r="250" spans="2:11" s="353" customFormat="1" ht="9.9" customHeight="1"/>
    <row r="251" spans="2:11" s="353" customFormat="1" ht="9.9" customHeight="1"/>
    <row r="252" spans="2:11" s="353" customFormat="1" ht="9.9" customHeight="1"/>
    <row r="253" spans="2:11" s="353" customFormat="1" ht="9.9" customHeight="1"/>
    <row r="254" spans="2:11" s="389" customFormat="1" ht="9.9" customHeight="1">
      <c r="B254" s="353"/>
      <c r="C254" s="353"/>
      <c r="D254" s="353"/>
      <c r="E254" s="353"/>
      <c r="F254" s="353"/>
      <c r="G254" s="353"/>
      <c r="H254" s="353"/>
      <c r="I254" s="353"/>
      <c r="J254" s="353"/>
      <c r="K254" s="353"/>
    </row>
    <row r="255" spans="2:11" s="389" customFormat="1" ht="9.9" customHeight="1">
      <c r="B255" s="353"/>
      <c r="C255" s="353"/>
      <c r="D255" s="353"/>
      <c r="E255" s="353"/>
      <c r="F255" s="353"/>
      <c r="G255" s="353"/>
      <c r="H255" s="353"/>
      <c r="I255" s="353"/>
      <c r="J255" s="353"/>
      <c r="K255" s="353"/>
    </row>
    <row r="256" spans="2:11" s="389" customFormat="1" ht="9.9" customHeight="1"/>
    <row r="257" s="389" customFormat="1" ht="9.9" customHeight="1"/>
    <row r="258" s="389" customFormat="1" ht="9.9" customHeight="1"/>
    <row r="259" s="389" customFormat="1" ht="9.9" customHeight="1"/>
    <row r="260" s="389" customFormat="1" ht="9.9" customHeight="1"/>
    <row r="261" s="389" customFormat="1" ht="9.9" customHeight="1"/>
    <row r="262" s="389" customFormat="1" ht="9.9" customHeight="1"/>
    <row r="263" s="389" customFormat="1" ht="9.9" customHeight="1"/>
    <row r="264" s="389" customFormat="1" ht="9.9" customHeight="1"/>
    <row r="265" s="389" customFormat="1" ht="9.9" customHeight="1"/>
    <row r="266" s="389" customFormat="1" ht="9.9" customHeight="1"/>
    <row r="267" s="389" customFormat="1" ht="9.9" customHeight="1"/>
    <row r="268" s="389" customFormat="1" ht="9.9" customHeight="1"/>
    <row r="269" s="389" customFormat="1" ht="9.9" customHeight="1"/>
    <row r="270" s="389" customFormat="1" ht="9.9" customHeight="1"/>
    <row r="271" s="389" customFormat="1" ht="9.9" customHeight="1"/>
    <row r="272" s="389" customFormat="1" ht="9.9" customHeight="1"/>
    <row r="273" s="389" customFormat="1" ht="9.9" customHeight="1"/>
    <row r="274" s="389" customFormat="1" ht="9.9" customHeight="1"/>
    <row r="275" s="389" customFormat="1" ht="9.9" customHeight="1"/>
    <row r="276" s="389" customFormat="1" ht="9.9" customHeight="1"/>
    <row r="277" s="389" customFormat="1" ht="9.9" customHeight="1"/>
    <row r="278" s="389" customFormat="1" ht="9.9" customHeight="1"/>
    <row r="279" s="389" customFormat="1" ht="9.9" customHeight="1"/>
    <row r="280" s="389" customFormat="1" ht="9.9" customHeight="1"/>
    <row r="281" s="389" customFormat="1" ht="9.9" customHeight="1"/>
    <row r="282" s="389" customFormat="1" ht="9.9" customHeight="1"/>
    <row r="283" s="389" customFormat="1" ht="9.9" customHeight="1"/>
    <row r="284" s="389" customFormat="1" ht="9.9" customHeight="1"/>
    <row r="285" s="389" customFormat="1" ht="9.9" customHeight="1"/>
    <row r="286" s="389" customFormat="1" ht="9.9" customHeight="1"/>
    <row r="287" s="389" customFormat="1" ht="9.9" customHeight="1"/>
    <row r="288" s="389" customFormat="1" ht="9.9" customHeight="1"/>
    <row r="289" s="389" customFormat="1" ht="9.9" customHeight="1"/>
    <row r="290" s="389" customFormat="1" ht="9.9" customHeight="1"/>
    <row r="291" s="389" customFormat="1" ht="9.9" customHeight="1"/>
    <row r="292" s="389" customFormat="1" ht="9.9" customHeight="1"/>
    <row r="293" s="389" customFormat="1" ht="9.9" customHeight="1"/>
    <row r="294" s="389" customFormat="1" ht="9.9" customHeight="1"/>
    <row r="295" s="389" customFormat="1" ht="9.9" customHeight="1"/>
    <row r="296" s="389" customFormat="1" ht="9.9" customHeight="1"/>
    <row r="297" s="389" customFormat="1" ht="9.9" customHeight="1"/>
    <row r="298" s="389" customFormat="1" ht="9.9" customHeight="1"/>
    <row r="299" s="389" customFormat="1" ht="9.9" customHeight="1"/>
    <row r="300" s="389" customFormat="1" ht="9.9" customHeight="1"/>
    <row r="301" s="389" customFormat="1" ht="9.9" customHeight="1"/>
    <row r="302" s="389" customFormat="1" ht="9.9" customHeight="1"/>
    <row r="303" s="389" customFormat="1" ht="9.9" customHeight="1"/>
    <row r="304" s="389" customFormat="1" ht="9.9" customHeight="1"/>
    <row r="305" s="389" customFormat="1" ht="9.9" customHeight="1"/>
    <row r="306" s="389" customFormat="1" ht="9.9" customHeight="1"/>
    <row r="307" s="389" customFormat="1" ht="9.9" customHeight="1"/>
    <row r="308" s="389" customFormat="1" ht="9.9" customHeight="1"/>
    <row r="309" s="389" customFormat="1" ht="9.9" customHeight="1"/>
    <row r="310" s="389" customFormat="1" ht="9.9" customHeight="1"/>
    <row r="311" s="389" customFormat="1" ht="9.9" customHeight="1"/>
    <row r="312" s="389" customFormat="1" ht="9.9" customHeight="1"/>
    <row r="313" s="389" customFormat="1" ht="9.9" customHeight="1"/>
    <row r="314" s="389" customFormat="1" ht="9.9" customHeight="1"/>
    <row r="315" s="389" customFormat="1" ht="9.9" customHeight="1"/>
    <row r="316" s="389" customFormat="1" ht="9.9" customHeight="1"/>
    <row r="317" s="389" customFormat="1" ht="9.9" customHeight="1"/>
    <row r="318" s="389" customFormat="1" ht="9.9" customHeight="1"/>
    <row r="319" s="389" customFormat="1" ht="9.9" customHeight="1"/>
    <row r="320" s="389" customFormat="1" ht="9.9" customHeight="1"/>
    <row r="321" s="389" customFormat="1" ht="9.9" customHeight="1"/>
    <row r="322" s="389" customFormat="1" ht="9.9" customHeight="1"/>
    <row r="323" s="389" customFormat="1" ht="9.9" customHeight="1"/>
    <row r="324" s="389" customFormat="1" ht="9.9" customHeight="1"/>
    <row r="325" s="389" customFormat="1" ht="9.9" customHeight="1"/>
    <row r="326" s="389" customFormat="1" ht="9.9" customHeight="1"/>
    <row r="327" s="389" customFormat="1" ht="9.9" customHeight="1"/>
    <row r="328" s="389" customFormat="1" ht="9.9" customHeight="1"/>
    <row r="329" s="389" customFormat="1" ht="9.9" customHeight="1"/>
    <row r="330" s="389" customFormat="1" ht="9.9" customHeight="1"/>
    <row r="331" s="389" customFormat="1" ht="9.9" customHeight="1"/>
    <row r="332" s="389" customFormat="1" ht="9.9" customHeight="1"/>
    <row r="333" s="389" customFormat="1" ht="9.9" customHeight="1"/>
    <row r="334" s="389" customFormat="1" ht="9.9" customHeight="1"/>
    <row r="335" s="389" customFormat="1" ht="9.9" customHeight="1"/>
    <row r="336" s="389" customFormat="1" ht="9.9" customHeight="1"/>
    <row r="337" s="389" customFormat="1" ht="9.9" customHeight="1"/>
    <row r="338" s="389" customFormat="1" ht="9.9" customHeight="1"/>
    <row r="339" s="389" customFormat="1" ht="9.9" customHeight="1"/>
    <row r="340" s="389" customFormat="1" ht="9.9" customHeight="1"/>
    <row r="341" s="389" customFormat="1" ht="9.9" customHeight="1"/>
    <row r="342" s="389" customFormat="1" ht="9.9" customHeight="1"/>
    <row r="343" s="389" customFormat="1" ht="9.9" customHeight="1"/>
    <row r="344" s="389" customFormat="1" ht="9.9" customHeight="1"/>
    <row r="345" s="389" customFormat="1" ht="9.9" customHeight="1"/>
    <row r="346" s="389" customFormat="1" ht="9.9" customHeight="1"/>
    <row r="347" s="389" customFormat="1" ht="9.9" customHeight="1"/>
    <row r="348" s="389" customFormat="1" ht="9.9" customHeight="1"/>
    <row r="349" s="389" customFormat="1" ht="9.9" customHeight="1"/>
    <row r="350" s="389" customFormat="1" ht="9.9" customHeight="1"/>
    <row r="351" s="389" customFormat="1" ht="9.9" customHeight="1"/>
    <row r="352" s="389" customFormat="1" ht="9.9" customHeight="1"/>
    <row r="353" s="389" customFormat="1" ht="9.9" customHeight="1"/>
    <row r="354" s="389" customFormat="1" ht="9.9" customHeight="1"/>
    <row r="355" s="389" customFormat="1" ht="9.9" customHeight="1"/>
    <row r="356" s="389" customFormat="1" ht="9.9" customHeight="1"/>
    <row r="357" s="389" customFormat="1" ht="9.9" customHeight="1"/>
    <row r="358" s="389" customFormat="1" ht="9.9" customHeight="1"/>
    <row r="359" s="389" customFormat="1" ht="9.9" customHeight="1"/>
    <row r="360" s="389" customFormat="1" ht="9.9" customHeight="1"/>
    <row r="361" s="389" customFormat="1" ht="9.9" customHeight="1"/>
    <row r="362" s="389" customFormat="1" ht="9.9" customHeight="1"/>
    <row r="363" s="389" customFormat="1" ht="9.9" customHeight="1"/>
    <row r="364" s="389" customFormat="1" ht="9.9" customHeight="1"/>
    <row r="365" s="389" customFormat="1" ht="9.9" customHeight="1"/>
    <row r="366" s="389" customFormat="1" ht="9.9" customHeight="1"/>
    <row r="367" s="389" customFormat="1" ht="9.9" customHeight="1"/>
    <row r="368" s="389" customFormat="1" ht="9.9" customHeight="1"/>
    <row r="369" s="389" customFormat="1" ht="9.9" customHeight="1"/>
    <row r="370" s="389" customFormat="1" ht="9.9" customHeight="1"/>
    <row r="371" s="389" customFormat="1" ht="9.9" customHeight="1"/>
    <row r="372" s="389" customFormat="1" ht="9.9" customHeight="1"/>
    <row r="373" s="389" customFormat="1" ht="9.9" customHeight="1"/>
    <row r="374" s="389" customFormat="1" ht="9.9" customHeight="1"/>
    <row r="375" s="389" customFormat="1" ht="9.9" customHeight="1"/>
    <row r="376" s="389" customFormat="1" ht="9.9" customHeight="1"/>
    <row r="377" s="389" customFormat="1" ht="9.9" customHeight="1"/>
    <row r="378" s="389" customFormat="1" ht="9.9" customHeight="1"/>
    <row r="379" s="389" customFormat="1" ht="9.9" customHeight="1"/>
    <row r="380" s="389" customFormat="1" ht="9.9" customHeight="1"/>
    <row r="381" s="389" customFormat="1" ht="9.9" customHeight="1"/>
    <row r="382" s="389" customFormat="1" ht="9.9" customHeight="1"/>
    <row r="383" s="389" customFormat="1" ht="9.9" customHeight="1"/>
    <row r="384" s="389" customFormat="1" ht="9.9" customHeight="1"/>
    <row r="385" s="389" customFormat="1" ht="9.9" customHeight="1"/>
    <row r="386" s="389" customFormat="1" ht="9.9" customHeight="1"/>
    <row r="387" s="389" customFormat="1" ht="9.9" customHeight="1"/>
    <row r="388" s="389" customFormat="1" ht="9.9" customHeight="1"/>
    <row r="389" s="389" customFormat="1" ht="9.9" customHeight="1"/>
    <row r="390" s="389" customFormat="1" ht="9.9" customHeight="1"/>
    <row r="391" s="389" customFormat="1" ht="9.9" customHeight="1"/>
    <row r="392" s="389" customFormat="1" ht="9.9" customHeight="1"/>
    <row r="393" s="389" customFormat="1" ht="9.9" customHeight="1"/>
    <row r="394" s="389" customFormat="1" ht="9.9" customHeight="1"/>
    <row r="395" s="389" customFormat="1" ht="9.9" customHeight="1"/>
    <row r="396" s="389" customFormat="1" ht="9.9" customHeight="1"/>
    <row r="397" s="389" customFormat="1" ht="9.9" customHeight="1"/>
    <row r="398" s="389" customFormat="1" ht="9.9" customHeight="1"/>
    <row r="399" s="389" customFormat="1" ht="9.9" customHeight="1"/>
    <row r="400" s="389" customFormat="1" ht="9.9" customHeight="1"/>
    <row r="401" s="389" customFormat="1" ht="9.9" customHeight="1"/>
    <row r="402" s="389" customFormat="1" ht="9.9" customHeight="1"/>
    <row r="403" s="389" customFormat="1" ht="9.9" customHeight="1"/>
    <row r="404" s="389" customFormat="1" ht="9.9" customHeight="1"/>
    <row r="405" s="389" customFormat="1" ht="9.9" customHeight="1"/>
    <row r="406" s="389" customFormat="1" ht="9.9" customHeight="1"/>
    <row r="407" s="389" customFormat="1" ht="9.9" customHeight="1"/>
    <row r="408" s="389" customFormat="1" ht="9.9" customHeight="1"/>
    <row r="409" s="389" customFormat="1" ht="9.9" customHeight="1"/>
    <row r="410" s="389" customFormat="1" ht="9.9" customHeight="1"/>
    <row r="411" s="389" customFormat="1" ht="9.9" customHeight="1"/>
    <row r="412" s="389" customFormat="1" ht="9.9" customHeight="1"/>
    <row r="413" s="389" customFormat="1" ht="9.9" customHeight="1"/>
    <row r="414" s="389" customFormat="1" ht="9.9" customHeight="1"/>
    <row r="415" s="389" customFormat="1" ht="9.9" customHeight="1"/>
    <row r="416" s="389" customFormat="1" ht="9.9" customHeight="1"/>
    <row r="417" s="389" customFormat="1" ht="9.9" customHeight="1"/>
    <row r="418" s="389" customFormat="1" ht="9.9" customHeight="1"/>
    <row r="419" s="389" customFormat="1" ht="9.9" customHeight="1"/>
    <row r="420" s="389" customFormat="1" ht="9.9" customHeight="1"/>
    <row r="421" s="389" customFormat="1" ht="9.9" customHeight="1"/>
    <row r="422" s="389" customFormat="1" ht="9.9" customHeight="1"/>
    <row r="423" s="389" customFormat="1" ht="9.9" customHeight="1"/>
    <row r="424" s="389" customFormat="1" ht="9.9" customHeight="1"/>
    <row r="425" s="389" customFormat="1" ht="9.9" customHeight="1"/>
    <row r="426" s="389" customFormat="1" ht="9.9" customHeight="1"/>
    <row r="427" s="389" customFormat="1" ht="9.9" customHeight="1"/>
    <row r="428" s="389" customFormat="1" ht="9.9" customHeight="1"/>
    <row r="429" s="389" customFormat="1" ht="9.9" customHeight="1"/>
    <row r="430" s="389" customFormat="1" ht="9.9" customHeight="1"/>
    <row r="431" s="389" customFormat="1" ht="9.9" customHeight="1"/>
    <row r="432" s="389" customFormat="1" ht="9.9" customHeight="1"/>
    <row r="433" spans="2:11" s="389" customFormat="1" ht="9.9" customHeight="1"/>
    <row r="434" spans="2:11" s="389" customFormat="1" ht="9.9" customHeight="1"/>
    <row r="435" spans="2:11" s="389" customFormat="1" ht="9.9" customHeight="1"/>
    <row r="436" spans="2:11" s="389" customFormat="1" ht="9.9" customHeight="1"/>
    <row r="437" spans="2:11" s="389" customFormat="1" ht="9.9" customHeight="1"/>
    <row r="438" spans="2:11" s="389" customFormat="1" ht="9.9" customHeight="1"/>
    <row r="439" spans="2:11" s="389" customFormat="1" ht="9.9" customHeight="1"/>
    <row r="440" spans="2:11" s="389" customFormat="1" ht="9.9" customHeight="1"/>
    <row r="441" spans="2:11" s="389" customFormat="1" ht="9.9" customHeight="1"/>
    <row r="442" spans="2:11" s="389" customFormat="1" ht="9.9" customHeight="1"/>
    <row r="443" spans="2:11" s="389" customFormat="1" ht="9.9" customHeight="1"/>
    <row r="444" spans="2:11" s="389" customFormat="1" ht="9.9" customHeight="1"/>
    <row r="445" spans="2:11" ht="9.9" customHeight="1">
      <c r="B445" s="389"/>
      <c r="C445" s="389"/>
      <c r="D445" s="389"/>
      <c r="E445" s="389"/>
      <c r="F445" s="389"/>
      <c r="G445" s="389"/>
      <c r="H445" s="389"/>
      <c r="I445" s="389"/>
      <c r="J445" s="389"/>
      <c r="K445" s="389"/>
    </row>
    <row r="446" spans="2:11" ht="9.9" customHeight="1">
      <c r="B446" s="389"/>
      <c r="C446" s="389"/>
      <c r="D446" s="389"/>
      <c r="E446" s="389"/>
      <c r="F446" s="389"/>
      <c r="G446" s="389"/>
      <c r="H446" s="389"/>
      <c r="I446" s="389"/>
      <c r="J446" s="389"/>
      <c r="K446" s="389"/>
    </row>
    <row r="447" spans="2:11" ht="9.9" customHeight="1"/>
    <row r="448" spans="2:11" ht="9.9" customHeight="1"/>
    <row r="449" ht="9.9" customHeight="1"/>
    <row r="450" ht="9.9" customHeight="1"/>
    <row r="451" ht="9.9" customHeight="1"/>
    <row r="452" ht="9.9" customHeight="1"/>
    <row r="453" ht="9.9" customHeight="1"/>
    <row r="454" ht="9.9" customHeight="1"/>
    <row r="455" ht="9.9" customHeight="1"/>
    <row r="456" ht="9.9" customHeight="1"/>
    <row r="457" ht="9.9" customHeight="1"/>
    <row r="458" ht="9.9" customHeight="1"/>
    <row r="459" ht="9.9" customHeight="1"/>
    <row r="460" ht="9.9" customHeight="1"/>
    <row r="461" ht="9.9" customHeight="1"/>
    <row r="462" ht="9.9" customHeight="1"/>
    <row r="463" ht="9.9" customHeight="1"/>
    <row r="464" ht="9.9" customHeight="1"/>
    <row r="465" ht="9.9" customHeight="1"/>
    <row r="466" ht="9.9" customHeight="1"/>
    <row r="467" ht="9.9" customHeight="1"/>
    <row r="468" ht="9.9" customHeight="1"/>
    <row r="469" ht="9.9" customHeight="1"/>
    <row r="470" ht="9.9" customHeight="1"/>
    <row r="471" ht="9.9" customHeight="1"/>
    <row r="472" ht="9.9" customHeight="1"/>
    <row r="473" ht="9.9" customHeight="1"/>
    <row r="474" ht="9.9" customHeight="1"/>
    <row r="475" ht="9.9" customHeight="1"/>
    <row r="476" ht="9.9" customHeight="1"/>
    <row r="477" ht="9.9" customHeight="1"/>
    <row r="478" ht="9.9" customHeight="1"/>
    <row r="479" ht="9.9" customHeight="1"/>
    <row r="480" ht="9.9" customHeight="1"/>
    <row r="481" ht="9.9" customHeight="1"/>
    <row r="482" ht="9.9" customHeight="1"/>
    <row r="483" ht="9.9" customHeight="1"/>
    <row r="484" ht="9.9" customHeight="1"/>
    <row r="485" ht="9.9" customHeight="1"/>
    <row r="486" ht="9.9" customHeight="1"/>
    <row r="487" ht="9.9" customHeight="1"/>
    <row r="488" ht="9.9" customHeight="1"/>
    <row r="489" ht="9.9" customHeight="1"/>
    <row r="490" ht="9.9" customHeight="1"/>
    <row r="491" ht="9.9" customHeight="1"/>
    <row r="492" ht="9.9" customHeight="1"/>
    <row r="493" ht="9.9" customHeight="1"/>
    <row r="494" ht="9.9" customHeight="1"/>
    <row r="495" ht="9.9" customHeight="1"/>
    <row r="496" ht="9.9" customHeight="1"/>
    <row r="497" ht="9.9" customHeight="1"/>
    <row r="498" ht="9.9" customHeight="1"/>
    <row r="499" ht="9.9" customHeight="1"/>
    <row r="500" ht="9.9" customHeight="1"/>
    <row r="501" ht="9.9" customHeight="1"/>
    <row r="502" ht="9.9" customHeight="1"/>
    <row r="503" ht="9.9" customHeight="1"/>
    <row r="504" ht="9.9" customHeight="1"/>
    <row r="505" ht="9.9" customHeight="1"/>
    <row r="506" ht="9.9" customHeight="1"/>
    <row r="507" ht="9.9" customHeight="1"/>
    <row r="508" ht="9.9" customHeight="1"/>
    <row r="509" ht="9.9" customHeight="1"/>
    <row r="510" ht="9.9" customHeight="1"/>
    <row r="511" ht="9.9" customHeight="1"/>
    <row r="512" ht="9.9" customHeight="1"/>
    <row r="513" ht="9.9" customHeight="1"/>
    <row r="514" ht="9.9" customHeight="1"/>
    <row r="515" ht="9.9" customHeight="1"/>
    <row r="516" ht="9.9" customHeight="1"/>
    <row r="517" ht="9.9" customHeight="1"/>
    <row r="518" ht="9.9" customHeight="1"/>
    <row r="519" ht="9.9" customHeight="1"/>
    <row r="520" ht="9.9" customHeight="1"/>
    <row r="521" ht="9.9" customHeight="1"/>
    <row r="522" ht="9.9" customHeight="1"/>
    <row r="523" ht="9.9" customHeight="1"/>
    <row r="524" ht="9.9" customHeight="1"/>
    <row r="525" ht="9.9" customHeight="1"/>
    <row r="526" ht="9.9" customHeight="1"/>
    <row r="527" ht="9.9" customHeight="1"/>
    <row r="528" ht="9.9" customHeight="1"/>
    <row r="529" ht="9.9" customHeight="1"/>
    <row r="530" ht="9.9" customHeight="1"/>
    <row r="531" ht="9.9" customHeight="1"/>
    <row r="532" ht="9.9" customHeight="1"/>
    <row r="533" ht="9.9" customHeight="1"/>
    <row r="534" ht="9.9" customHeight="1"/>
    <row r="535" ht="9.9" customHeight="1"/>
    <row r="536" ht="9.9" customHeight="1"/>
    <row r="537" ht="9.9" customHeight="1"/>
    <row r="538" ht="9.9" customHeight="1"/>
    <row r="539" ht="9.9" customHeight="1"/>
    <row r="540" ht="9.9" customHeight="1"/>
    <row r="541" ht="9.9" customHeight="1"/>
    <row r="542" ht="9.9" customHeight="1"/>
    <row r="543" ht="9.9" customHeight="1"/>
    <row r="544" ht="9.9" customHeight="1"/>
    <row r="545" ht="9.9" customHeight="1"/>
    <row r="546" ht="9.9" customHeight="1"/>
    <row r="547" ht="9.9" customHeight="1"/>
    <row r="548" ht="9.9" customHeight="1"/>
    <row r="549" ht="9.9" customHeight="1"/>
    <row r="550" ht="9.9" customHeight="1"/>
    <row r="551" ht="9.9" customHeight="1"/>
    <row r="552" ht="9.9" customHeight="1"/>
    <row r="553" ht="9.9" customHeight="1"/>
    <row r="554" ht="9.9" customHeight="1"/>
    <row r="555" ht="9.9" customHeight="1"/>
    <row r="556" ht="9.9" customHeight="1"/>
    <row r="557" ht="9.9" customHeight="1"/>
    <row r="558" ht="9.9" customHeight="1"/>
    <row r="559" ht="9.9" customHeight="1"/>
    <row r="560" ht="9.9" customHeight="1"/>
    <row r="561" ht="9.9" customHeight="1"/>
    <row r="562" ht="9.9" customHeight="1"/>
    <row r="563" ht="9.9" customHeight="1"/>
    <row r="564" ht="9.9" customHeight="1"/>
    <row r="565" ht="9.9" customHeight="1"/>
    <row r="566" ht="9.9" customHeight="1"/>
    <row r="567" ht="9.9" customHeight="1"/>
    <row r="568" ht="9.9" customHeight="1"/>
    <row r="569" ht="9.9" customHeight="1"/>
    <row r="570" ht="9.9" customHeight="1"/>
    <row r="571" ht="9.9" customHeight="1"/>
    <row r="572" ht="9.9" customHeight="1"/>
    <row r="573" ht="9.9" customHeight="1"/>
    <row r="574" ht="9.9" customHeight="1"/>
    <row r="575" ht="9.9" customHeight="1"/>
    <row r="576" ht="9.9" customHeight="1"/>
    <row r="577" ht="9.9" customHeight="1"/>
    <row r="578" ht="9.9" customHeight="1"/>
    <row r="579" ht="9.9" customHeight="1"/>
    <row r="580" ht="9.9" customHeight="1"/>
    <row r="581" ht="9.9" customHeight="1"/>
    <row r="582" ht="9.9" customHeight="1"/>
    <row r="583" ht="9.9" customHeight="1"/>
    <row r="584" ht="9.9" customHeight="1"/>
    <row r="585" ht="9.9" customHeight="1"/>
    <row r="586" ht="9.9" customHeight="1"/>
    <row r="587" ht="9.9" customHeight="1"/>
    <row r="588" ht="9.9" customHeight="1"/>
    <row r="589" ht="9.9" customHeight="1"/>
    <row r="590" ht="9.9" customHeight="1"/>
    <row r="591" ht="9.9" customHeight="1"/>
    <row r="592" ht="9.9" customHeight="1"/>
    <row r="593" ht="9.9" customHeight="1"/>
    <row r="594" ht="9.9" customHeight="1"/>
    <row r="595" ht="9.9" customHeight="1"/>
    <row r="596" ht="9.9" customHeight="1"/>
    <row r="597" ht="9.9" customHeight="1"/>
    <row r="598" ht="9.9" customHeight="1"/>
    <row r="599" ht="9.9" customHeight="1"/>
    <row r="600" ht="9.9" customHeight="1"/>
    <row r="601" ht="9.9" customHeight="1"/>
    <row r="602" ht="9.9" customHeight="1"/>
    <row r="603" ht="9.9" customHeight="1"/>
    <row r="604" ht="9.9" customHeight="1"/>
    <row r="605" ht="9.9" customHeight="1"/>
    <row r="606" ht="9.9" customHeight="1"/>
    <row r="607" ht="9.9" customHeight="1"/>
    <row r="608" ht="9.9" customHeight="1"/>
    <row r="609" ht="9.9" customHeight="1"/>
    <row r="610" ht="9.9" customHeight="1"/>
    <row r="611" ht="9.9" customHeight="1"/>
    <row r="612" ht="9.9" customHeight="1"/>
    <row r="613" ht="9.9" customHeight="1"/>
    <row r="614" ht="9.9" customHeight="1"/>
    <row r="615" ht="9.9" customHeight="1"/>
    <row r="616" ht="9.9" customHeight="1"/>
    <row r="617" ht="9.9" customHeight="1"/>
    <row r="618" ht="9.9" customHeight="1"/>
    <row r="619" ht="9.9" customHeight="1"/>
    <row r="620" ht="9.9" customHeight="1"/>
    <row r="621" ht="9.9" customHeight="1"/>
    <row r="622" ht="9.9" customHeight="1"/>
    <row r="623" ht="9.9" customHeight="1"/>
    <row r="624" ht="9.9" customHeight="1"/>
    <row r="625" ht="9.9" customHeight="1"/>
    <row r="626" ht="9.9" customHeight="1"/>
    <row r="627" ht="9.9" customHeight="1"/>
    <row r="628" ht="9.9" customHeight="1"/>
    <row r="629" ht="9.9" customHeight="1"/>
    <row r="630" ht="9.9" customHeight="1"/>
    <row r="631" ht="9.9" customHeight="1"/>
    <row r="632" ht="9.9" customHeight="1"/>
    <row r="633" ht="9.9" customHeight="1"/>
    <row r="634" ht="9.9" customHeight="1"/>
    <row r="635" ht="9.9" customHeight="1"/>
    <row r="636" ht="9.9" customHeight="1"/>
    <row r="637" ht="9.9" customHeight="1"/>
  </sheetData>
  <mergeCells count="47">
    <mergeCell ref="B2:C5"/>
    <mergeCell ref="D2:I2"/>
    <mergeCell ref="J2:K2"/>
    <mergeCell ref="D3:I3"/>
    <mergeCell ref="J3:K3"/>
    <mergeCell ref="D4:I4"/>
    <mergeCell ref="J4:K4"/>
    <mergeCell ref="D5:I5"/>
    <mergeCell ref="J5:K5"/>
    <mergeCell ref="B6:K6"/>
    <mergeCell ref="B7:C7"/>
    <mergeCell ref="E7:F7"/>
    <mergeCell ref="J7:K7"/>
    <mergeCell ref="B8:D8"/>
    <mergeCell ref="E8:I8"/>
    <mergeCell ref="J8:K8"/>
    <mergeCell ref="B9:C9"/>
    <mergeCell ref="E9:G9"/>
    <mergeCell ref="J9:K9"/>
    <mergeCell ref="B10:D10"/>
    <mergeCell ref="E10:I11"/>
    <mergeCell ref="J10:K10"/>
    <mergeCell ref="B11:D11"/>
    <mergeCell ref="C18:D18"/>
    <mergeCell ref="B12:D12"/>
    <mergeCell ref="E12:G12"/>
    <mergeCell ref="J12:K12"/>
    <mergeCell ref="B13:C13"/>
    <mergeCell ref="E13:I13"/>
    <mergeCell ref="J13:K13"/>
    <mergeCell ref="C15:D15"/>
    <mergeCell ref="G15:H15"/>
    <mergeCell ref="I15:J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ageMargins left="0.25" right="0.25" top="0.75" bottom="0.75" header="0.3" footer="0.3"/>
  <pageSetup paperSize="9" orientation="landscape" useFirstPageNumber="1" horizontalDpi="300" verticalDpi="300" r:id="rId1"/>
  <headerFooter alignWithMargins="0">
    <oddHeader>&amp;L&amp;"Tahoma,Kurzíva"&amp;G&amp;C&amp;"Arial,Tučné"&amp;9ROZPOČET&amp;"Arial CE,Obyčejné"&amp;10
&amp;"Arial,Kurzíva"&amp;7Budget&amp;R&amp;"Arial,Obyčejné"&amp;9&amp;P/&amp;N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zoomScale="110" zoomScaleNormal="110" workbookViewId="0">
      <selection activeCell="C7" sqref="C7:J7"/>
    </sheetView>
  </sheetViews>
  <sheetFormatPr defaultRowHeight="10.199999999999999"/>
  <cols>
    <col min="1" max="1" width="8.28515625" style="199" customWidth="1"/>
    <col min="2" max="2" width="1.7109375" style="199" customWidth="1"/>
    <col min="3" max="4" width="5" style="199" customWidth="1"/>
    <col min="5" max="5" width="11.7109375" style="199" customWidth="1"/>
    <col min="6" max="6" width="9.140625" style="199" customWidth="1"/>
    <col min="7" max="7" width="5" style="199" customWidth="1"/>
    <col min="8" max="8" width="77.85546875" style="199" customWidth="1"/>
    <col min="9" max="10" width="20" style="199" customWidth="1"/>
    <col min="11" max="11" width="1.7109375" style="199" customWidth="1"/>
  </cols>
  <sheetData>
    <row r="1" spans="2:11" s="1" customFormat="1" ht="37.5" customHeight="1"/>
    <row r="2" spans="2:11" s="1" customFormat="1" ht="7.5" customHeight="1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3" customFormat="1" ht="45" customHeight="1">
      <c r="B3" s="203"/>
      <c r="C3" s="690" t="s">
        <v>134</v>
      </c>
      <c r="D3" s="690"/>
      <c r="E3" s="690"/>
      <c r="F3" s="690"/>
      <c r="G3" s="690"/>
      <c r="H3" s="690"/>
      <c r="I3" s="690"/>
      <c r="J3" s="690"/>
      <c r="K3" s="204"/>
    </row>
    <row r="4" spans="2:11" s="1" customFormat="1" ht="25.5" customHeight="1">
      <c r="B4" s="205"/>
      <c r="C4" s="691" t="s">
        <v>135</v>
      </c>
      <c r="D4" s="691"/>
      <c r="E4" s="691"/>
      <c r="F4" s="691"/>
      <c r="G4" s="691"/>
      <c r="H4" s="691"/>
      <c r="I4" s="691"/>
      <c r="J4" s="691"/>
      <c r="K4" s="206"/>
    </row>
    <row r="5" spans="2:11" s="1" customFormat="1" ht="5.25" customHeight="1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s="1" customFormat="1" ht="27.6" customHeight="1">
      <c r="B6" s="205"/>
      <c r="C6" s="689" t="s">
        <v>136</v>
      </c>
      <c r="D6" s="689"/>
      <c r="E6" s="689"/>
      <c r="F6" s="689"/>
      <c r="G6" s="689"/>
      <c r="H6" s="689"/>
      <c r="I6" s="689"/>
      <c r="J6" s="689"/>
      <c r="K6" s="206"/>
    </row>
    <row r="7" spans="2:11" s="1" customFormat="1" ht="15" customHeight="1">
      <c r="B7" s="209"/>
      <c r="C7" s="689" t="s">
        <v>137</v>
      </c>
      <c r="D7" s="689"/>
      <c r="E7" s="689"/>
      <c r="F7" s="689"/>
      <c r="G7" s="689"/>
      <c r="H7" s="689"/>
      <c r="I7" s="689"/>
      <c r="J7" s="689"/>
      <c r="K7" s="206"/>
    </row>
    <row r="8" spans="2:11" s="1" customFormat="1" ht="12.75" customHeight="1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s="1" customFormat="1" ht="22.8" customHeight="1">
      <c r="B9" s="209"/>
      <c r="C9" s="689" t="s">
        <v>138</v>
      </c>
      <c r="D9" s="689"/>
      <c r="E9" s="689"/>
      <c r="F9" s="689"/>
      <c r="G9" s="689"/>
      <c r="H9" s="689"/>
      <c r="I9" s="689"/>
      <c r="J9" s="689"/>
      <c r="K9" s="206"/>
    </row>
    <row r="10" spans="2:11" s="1" customFormat="1" ht="32.4" customHeight="1">
      <c r="B10" s="209"/>
      <c r="C10" s="208"/>
      <c r="D10" s="689" t="s">
        <v>139</v>
      </c>
      <c r="E10" s="689"/>
      <c r="F10" s="689"/>
      <c r="G10" s="689"/>
      <c r="H10" s="689"/>
      <c r="I10" s="689"/>
      <c r="J10" s="689"/>
      <c r="K10" s="206"/>
    </row>
    <row r="11" spans="2:11" s="1" customFormat="1" ht="15" customHeight="1">
      <c r="B11" s="209"/>
      <c r="C11" s="210"/>
      <c r="D11" s="689" t="s">
        <v>140</v>
      </c>
      <c r="E11" s="689"/>
      <c r="F11" s="689"/>
      <c r="G11" s="689"/>
      <c r="H11" s="689"/>
      <c r="I11" s="689"/>
      <c r="J11" s="689"/>
      <c r="K11" s="206"/>
    </row>
    <row r="12" spans="2:11" s="1" customFormat="1" ht="15" customHeight="1">
      <c r="B12" s="209"/>
      <c r="C12" s="210"/>
      <c r="D12" s="208"/>
      <c r="E12" s="208"/>
      <c r="F12" s="208"/>
      <c r="G12" s="208"/>
      <c r="H12" s="208"/>
      <c r="I12" s="208"/>
      <c r="J12" s="208"/>
      <c r="K12" s="206"/>
    </row>
    <row r="13" spans="2:11" s="1" customFormat="1" ht="15" customHeight="1">
      <c r="B13" s="209"/>
      <c r="C13" s="210"/>
      <c r="D13" s="211" t="s">
        <v>141</v>
      </c>
      <c r="E13" s="208"/>
      <c r="F13" s="208"/>
      <c r="G13" s="208"/>
      <c r="H13" s="208"/>
      <c r="I13" s="208"/>
      <c r="J13" s="208"/>
      <c r="K13" s="206"/>
    </row>
    <row r="14" spans="2:11" s="1" customFormat="1" ht="12.75" customHeight="1">
      <c r="B14" s="209"/>
      <c r="C14" s="210"/>
      <c r="D14" s="210"/>
      <c r="E14" s="210"/>
      <c r="F14" s="210"/>
      <c r="G14" s="210"/>
      <c r="H14" s="210"/>
      <c r="I14" s="210"/>
      <c r="J14" s="210"/>
      <c r="K14" s="206"/>
    </row>
    <row r="15" spans="2:11" s="1" customFormat="1" ht="15" customHeight="1">
      <c r="B15" s="209"/>
      <c r="C15" s="210"/>
      <c r="D15" s="689" t="s">
        <v>142</v>
      </c>
      <c r="E15" s="689"/>
      <c r="F15" s="689"/>
      <c r="G15" s="689"/>
      <c r="H15" s="689"/>
      <c r="I15" s="689"/>
      <c r="J15" s="689"/>
      <c r="K15" s="206"/>
    </row>
    <row r="16" spans="2:11" s="1" customFormat="1" ht="15" customHeight="1">
      <c r="B16" s="209"/>
      <c r="C16" s="210"/>
      <c r="D16" s="689" t="s">
        <v>143</v>
      </c>
      <c r="E16" s="689"/>
      <c r="F16" s="689"/>
      <c r="G16" s="689"/>
      <c r="H16" s="689"/>
      <c r="I16" s="689"/>
      <c r="J16" s="689"/>
      <c r="K16" s="206"/>
    </row>
    <row r="17" spans="2:11" s="1" customFormat="1" ht="15" customHeight="1">
      <c r="B17" s="209"/>
      <c r="C17" s="210"/>
      <c r="D17" s="689" t="s">
        <v>144</v>
      </c>
      <c r="E17" s="689"/>
      <c r="F17" s="689"/>
      <c r="G17" s="689"/>
      <c r="H17" s="689"/>
      <c r="I17" s="689"/>
      <c r="J17" s="689"/>
      <c r="K17" s="206"/>
    </row>
    <row r="18" spans="2:11" s="1" customFormat="1" ht="15" customHeight="1">
      <c r="B18" s="209"/>
      <c r="C18" s="210"/>
      <c r="D18" s="210"/>
      <c r="E18" s="212" t="s">
        <v>82</v>
      </c>
      <c r="F18" s="689" t="s">
        <v>145</v>
      </c>
      <c r="G18" s="689"/>
      <c r="H18" s="689"/>
      <c r="I18" s="689"/>
      <c r="J18" s="689"/>
      <c r="K18" s="206"/>
    </row>
    <row r="19" spans="2:11" s="1" customFormat="1" ht="15" customHeight="1">
      <c r="B19" s="209"/>
      <c r="C19" s="210"/>
      <c r="D19" s="210"/>
      <c r="E19" s="212" t="s">
        <v>146</v>
      </c>
      <c r="F19" s="689" t="s">
        <v>147</v>
      </c>
      <c r="G19" s="689"/>
      <c r="H19" s="689"/>
      <c r="I19" s="689"/>
      <c r="J19" s="689"/>
      <c r="K19" s="206"/>
    </row>
    <row r="20" spans="2:11" s="1" customFormat="1" ht="15" customHeight="1">
      <c r="B20" s="209"/>
      <c r="C20" s="210"/>
      <c r="D20" s="210"/>
      <c r="E20" s="212" t="s">
        <v>148</v>
      </c>
      <c r="F20" s="689" t="s">
        <v>149</v>
      </c>
      <c r="G20" s="689"/>
      <c r="H20" s="689"/>
      <c r="I20" s="689"/>
      <c r="J20" s="689"/>
      <c r="K20" s="206"/>
    </row>
    <row r="21" spans="2:11" s="1" customFormat="1" ht="15" customHeight="1">
      <c r="B21" s="209"/>
      <c r="C21" s="210"/>
      <c r="D21" s="210"/>
      <c r="E21" s="212" t="s">
        <v>150</v>
      </c>
      <c r="F21" s="689" t="s">
        <v>151</v>
      </c>
      <c r="G21" s="689"/>
      <c r="H21" s="689"/>
      <c r="I21" s="689"/>
      <c r="J21" s="689"/>
      <c r="K21" s="206"/>
    </row>
    <row r="22" spans="2:11" s="1" customFormat="1" ht="15" customHeight="1">
      <c r="B22" s="209"/>
      <c r="C22" s="210"/>
      <c r="D22" s="210"/>
      <c r="E22" s="212" t="s">
        <v>152</v>
      </c>
      <c r="F22" s="689" t="s">
        <v>153</v>
      </c>
      <c r="G22" s="689"/>
      <c r="H22" s="689"/>
      <c r="I22" s="689"/>
      <c r="J22" s="689"/>
      <c r="K22" s="206"/>
    </row>
    <row r="23" spans="2:11" s="1" customFormat="1" ht="15" customHeight="1">
      <c r="B23" s="209"/>
      <c r="C23" s="210"/>
      <c r="D23" s="210"/>
      <c r="E23" s="212" t="s">
        <v>154</v>
      </c>
      <c r="F23" s="689" t="s">
        <v>155</v>
      </c>
      <c r="G23" s="689"/>
      <c r="H23" s="689"/>
      <c r="I23" s="689"/>
      <c r="J23" s="689"/>
      <c r="K23" s="206"/>
    </row>
    <row r="24" spans="2:11" s="1" customFormat="1" ht="12.75" customHeight="1">
      <c r="B24" s="209"/>
      <c r="C24" s="210"/>
      <c r="D24" s="210"/>
      <c r="E24" s="210"/>
      <c r="F24" s="210"/>
      <c r="G24" s="210"/>
      <c r="H24" s="210"/>
      <c r="I24" s="210"/>
      <c r="J24" s="210"/>
      <c r="K24" s="206"/>
    </row>
    <row r="25" spans="2:11" s="1" customFormat="1" ht="29.4" customHeight="1">
      <c r="B25" s="209"/>
      <c r="C25" s="689" t="s">
        <v>156</v>
      </c>
      <c r="D25" s="689"/>
      <c r="E25" s="689"/>
      <c r="F25" s="689"/>
      <c r="G25" s="689"/>
      <c r="H25" s="689"/>
      <c r="I25" s="689"/>
      <c r="J25" s="689"/>
      <c r="K25" s="206"/>
    </row>
    <row r="26" spans="2:11" s="1" customFormat="1" ht="15" customHeight="1">
      <c r="B26" s="209"/>
      <c r="C26" s="689" t="s">
        <v>157</v>
      </c>
      <c r="D26" s="689"/>
      <c r="E26" s="689"/>
      <c r="F26" s="689"/>
      <c r="G26" s="689"/>
      <c r="H26" s="689"/>
      <c r="I26" s="689"/>
      <c r="J26" s="689"/>
      <c r="K26" s="206"/>
    </row>
    <row r="27" spans="2:11" s="1" customFormat="1" ht="15" customHeight="1">
      <c r="B27" s="209"/>
      <c r="C27" s="208"/>
      <c r="D27" s="689" t="s">
        <v>158</v>
      </c>
      <c r="E27" s="689"/>
      <c r="F27" s="689"/>
      <c r="G27" s="689"/>
      <c r="H27" s="689"/>
      <c r="I27" s="689"/>
      <c r="J27" s="689"/>
      <c r="K27" s="206"/>
    </row>
    <row r="28" spans="2:11" s="1" customFormat="1" ht="15" customHeight="1">
      <c r="B28" s="209"/>
      <c r="C28" s="210"/>
      <c r="D28" s="689" t="s">
        <v>159</v>
      </c>
      <c r="E28" s="689"/>
      <c r="F28" s="689"/>
      <c r="G28" s="689"/>
      <c r="H28" s="689"/>
      <c r="I28" s="689"/>
      <c r="J28" s="689"/>
      <c r="K28" s="206"/>
    </row>
    <row r="29" spans="2:11" s="1" customFormat="1" ht="12.75" customHeight="1">
      <c r="B29" s="209"/>
      <c r="C29" s="210"/>
      <c r="D29" s="210"/>
      <c r="E29" s="210"/>
      <c r="F29" s="210"/>
      <c r="G29" s="210"/>
      <c r="H29" s="210"/>
      <c r="I29" s="210"/>
      <c r="J29" s="210"/>
      <c r="K29" s="206"/>
    </row>
    <row r="30" spans="2:11" s="1" customFormat="1" ht="15" customHeight="1">
      <c r="B30" s="209"/>
      <c r="C30" s="210"/>
      <c r="D30" s="689" t="s">
        <v>160</v>
      </c>
      <c r="E30" s="689"/>
      <c r="F30" s="689"/>
      <c r="G30" s="689"/>
      <c r="H30" s="689"/>
      <c r="I30" s="689"/>
      <c r="J30" s="689"/>
      <c r="K30" s="206"/>
    </row>
    <row r="31" spans="2:11" s="1" customFormat="1" ht="15" customHeight="1">
      <c r="B31" s="209"/>
      <c r="C31" s="210"/>
      <c r="D31" s="689" t="s">
        <v>161</v>
      </c>
      <c r="E31" s="689"/>
      <c r="F31" s="689"/>
      <c r="G31" s="689"/>
      <c r="H31" s="689"/>
      <c r="I31" s="689"/>
      <c r="J31" s="689"/>
      <c r="K31" s="206"/>
    </row>
    <row r="32" spans="2:11" s="1" customFormat="1" ht="12.75" customHeight="1">
      <c r="B32" s="209"/>
      <c r="C32" s="210"/>
      <c r="D32" s="210"/>
      <c r="E32" s="210"/>
      <c r="F32" s="210"/>
      <c r="G32" s="210"/>
      <c r="H32" s="210"/>
      <c r="I32" s="210"/>
      <c r="J32" s="210"/>
      <c r="K32" s="206"/>
    </row>
    <row r="33" spans="2:11" s="1" customFormat="1" ht="25.2" customHeight="1">
      <c r="B33" s="209"/>
      <c r="C33" s="210"/>
      <c r="D33" s="689" t="s">
        <v>162</v>
      </c>
      <c r="E33" s="689"/>
      <c r="F33" s="689"/>
      <c r="G33" s="689"/>
      <c r="H33" s="689"/>
      <c r="I33" s="689"/>
      <c r="J33" s="689"/>
      <c r="K33" s="206"/>
    </row>
    <row r="34" spans="2:11" s="1" customFormat="1" ht="15" customHeight="1">
      <c r="B34" s="209"/>
      <c r="C34" s="210"/>
      <c r="D34" s="689" t="s">
        <v>163</v>
      </c>
      <c r="E34" s="689"/>
      <c r="F34" s="689"/>
      <c r="G34" s="689"/>
      <c r="H34" s="689"/>
      <c r="I34" s="689"/>
      <c r="J34" s="689"/>
      <c r="K34" s="206"/>
    </row>
    <row r="35" spans="2:11" s="1" customFormat="1" ht="15" customHeight="1">
      <c r="B35" s="209"/>
      <c r="C35" s="210"/>
      <c r="D35" s="689" t="s">
        <v>164</v>
      </c>
      <c r="E35" s="689"/>
      <c r="F35" s="689"/>
      <c r="G35" s="689"/>
      <c r="H35" s="689"/>
      <c r="I35" s="689"/>
      <c r="J35" s="689"/>
      <c r="K35" s="206"/>
    </row>
    <row r="36" spans="2:11" s="1" customFormat="1" ht="15" customHeight="1">
      <c r="B36" s="209"/>
      <c r="C36" s="210"/>
      <c r="D36" s="208"/>
      <c r="E36" s="211" t="s">
        <v>105</v>
      </c>
      <c r="F36" s="208"/>
      <c r="G36" s="689" t="s">
        <v>165</v>
      </c>
      <c r="H36" s="689"/>
      <c r="I36" s="689"/>
      <c r="J36" s="689"/>
      <c r="K36" s="206"/>
    </row>
    <row r="37" spans="2:11" s="1" customFormat="1" ht="30.75" customHeight="1">
      <c r="B37" s="209"/>
      <c r="C37" s="210"/>
      <c r="D37" s="208"/>
      <c r="E37" s="211" t="s">
        <v>166</v>
      </c>
      <c r="F37" s="208"/>
      <c r="G37" s="689" t="s">
        <v>167</v>
      </c>
      <c r="H37" s="689"/>
      <c r="I37" s="689"/>
      <c r="J37" s="689"/>
      <c r="K37" s="206"/>
    </row>
    <row r="38" spans="2:11" s="1" customFormat="1" ht="15" customHeight="1">
      <c r="B38" s="209"/>
      <c r="C38" s="210"/>
      <c r="D38" s="208"/>
      <c r="E38" s="211" t="s">
        <v>56</v>
      </c>
      <c r="F38" s="208"/>
      <c r="G38" s="689" t="s">
        <v>168</v>
      </c>
      <c r="H38" s="689"/>
      <c r="I38" s="689"/>
      <c r="J38" s="689"/>
      <c r="K38" s="206"/>
    </row>
    <row r="39" spans="2:11" s="1" customFormat="1" ht="15" customHeight="1">
      <c r="B39" s="209"/>
      <c r="C39" s="210"/>
      <c r="D39" s="208"/>
      <c r="E39" s="211" t="s">
        <v>57</v>
      </c>
      <c r="F39" s="208"/>
      <c r="G39" s="689" t="s">
        <v>169</v>
      </c>
      <c r="H39" s="689"/>
      <c r="I39" s="689"/>
      <c r="J39" s="689"/>
      <c r="K39" s="206"/>
    </row>
    <row r="40" spans="2:11" s="1" customFormat="1" ht="15" customHeight="1">
      <c r="B40" s="209"/>
      <c r="C40" s="210"/>
      <c r="D40" s="208"/>
      <c r="E40" s="211" t="s">
        <v>106</v>
      </c>
      <c r="F40" s="208"/>
      <c r="G40" s="689" t="s">
        <v>170</v>
      </c>
      <c r="H40" s="689"/>
      <c r="I40" s="689"/>
      <c r="J40" s="689"/>
      <c r="K40" s="206"/>
    </row>
    <row r="41" spans="2:11" s="1" customFormat="1" ht="15" customHeight="1">
      <c r="B41" s="209"/>
      <c r="C41" s="210"/>
      <c r="D41" s="208"/>
      <c r="E41" s="211" t="s">
        <v>107</v>
      </c>
      <c r="F41" s="208"/>
      <c r="G41" s="689" t="s">
        <v>171</v>
      </c>
      <c r="H41" s="689"/>
      <c r="I41" s="689"/>
      <c r="J41" s="689"/>
      <c r="K41" s="206"/>
    </row>
    <row r="42" spans="2:11" s="1" customFormat="1" ht="15" customHeight="1">
      <c r="B42" s="209"/>
      <c r="C42" s="210"/>
      <c r="D42" s="208"/>
      <c r="E42" s="211" t="s">
        <v>172</v>
      </c>
      <c r="F42" s="208"/>
      <c r="G42" s="689" t="s">
        <v>173</v>
      </c>
      <c r="H42" s="689"/>
      <c r="I42" s="689"/>
      <c r="J42" s="689"/>
      <c r="K42" s="206"/>
    </row>
    <row r="43" spans="2:11" s="1" customFormat="1" ht="15" customHeight="1">
      <c r="B43" s="209"/>
      <c r="C43" s="210"/>
      <c r="D43" s="208"/>
      <c r="E43" s="211"/>
      <c r="F43" s="208"/>
      <c r="G43" s="689" t="s">
        <v>174</v>
      </c>
      <c r="H43" s="689"/>
      <c r="I43" s="689"/>
      <c r="J43" s="689"/>
      <c r="K43" s="206"/>
    </row>
    <row r="44" spans="2:11" s="1" customFormat="1" ht="15" customHeight="1">
      <c r="B44" s="209"/>
      <c r="C44" s="210"/>
      <c r="D44" s="208"/>
      <c r="E44" s="211" t="s">
        <v>175</v>
      </c>
      <c r="F44" s="208"/>
      <c r="G44" s="689" t="s">
        <v>176</v>
      </c>
      <c r="H44" s="689"/>
      <c r="I44" s="689"/>
      <c r="J44" s="689"/>
      <c r="K44" s="206"/>
    </row>
    <row r="45" spans="2:11" s="1" customFormat="1" ht="15" customHeight="1">
      <c r="B45" s="209"/>
      <c r="C45" s="210"/>
      <c r="D45" s="208"/>
      <c r="E45" s="211" t="s">
        <v>109</v>
      </c>
      <c r="F45" s="208"/>
      <c r="G45" s="689" t="s">
        <v>177</v>
      </c>
      <c r="H45" s="689"/>
      <c r="I45" s="689"/>
      <c r="J45" s="689"/>
      <c r="K45" s="206"/>
    </row>
    <row r="46" spans="2:11" s="1" customFormat="1" ht="12.75" customHeight="1">
      <c r="B46" s="209"/>
      <c r="C46" s="210"/>
      <c r="D46" s="208"/>
      <c r="E46" s="208"/>
      <c r="F46" s="208"/>
      <c r="G46" s="208"/>
      <c r="H46" s="208"/>
      <c r="I46" s="208"/>
      <c r="J46" s="208"/>
      <c r="K46" s="206"/>
    </row>
    <row r="47" spans="2:11" s="1" customFormat="1" ht="15" customHeight="1">
      <c r="B47" s="209"/>
      <c r="C47" s="210"/>
      <c r="D47" s="689" t="s">
        <v>178</v>
      </c>
      <c r="E47" s="689"/>
      <c r="F47" s="689"/>
      <c r="G47" s="689"/>
      <c r="H47" s="689"/>
      <c r="I47" s="689"/>
      <c r="J47" s="689"/>
      <c r="K47" s="206"/>
    </row>
    <row r="48" spans="2:11" s="1" customFormat="1" ht="15" customHeight="1">
      <c r="B48" s="209"/>
      <c r="C48" s="210"/>
      <c r="D48" s="210"/>
      <c r="E48" s="689" t="s">
        <v>179</v>
      </c>
      <c r="F48" s="689"/>
      <c r="G48" s="689"/>
      <c r="H48" s="689"/>
      <c r="I48" s="689"/>
      <c r="J48" s="689"/>
      <c r="K48" s="206"/>
    </row>
    <row r="49" spans="2:11" s="1" customFormat="1" ht="15" customHeight="1">
      <c r="B49" s="209"/>
      <c r="C49" s="210"/>
      <c r="D49" s="210"/>
      <c r="E49" s="689" t="s">
        <v>180</v>
      </c>
      <c r="F49" s="689"/>
      <c r="G49" s="689"/>
      <c r="H49" s="689"/>
      <c r="I49" s="689"/>
      <c r="J49" s="689"/>
      <c r="K49" s="206"/>
    </row>
    <row r="50" spans="2:11" s="1" customFormat="1" ht="15" customHeight="1">
      <c r="B50" s="209"/>
      <c r="C50" s="210"/>
      <c r="D50" s="210"/>
      <c r="E50" s="689" t="s">
        <v>181</v>
      </c>
      <c r="F50" s="689"/>
      <c r="G50" s="689"/>
      <c r="H50" s="689"/>
      <c r="I50" s="689"/>
      <c r="J50" s="689"/>
      <c r="K50" s="206"/>
    </row>
    <row r="51" spans="2:11" s="1" customFormat="1" ht="15" customHeight="1">
      <c r="B51" s="209"/>
      <c r="C51" s="210"/>
      <c r="D51" s="689" t="s">
        <v>182</v>
      </c>
      <c r="E51" s="689"/>
      <c r="F51" s="689"/>
      <c r="G51" s="689"/>
      <c r="H51" s="689"/>
      <c r="I51" s="689"/>
      <c r="J51" s="689"/>
      <c r="K51" s="206"/>
    </row>
    <row r="52" spans="2:11" s="1" customFormat="1" ht="25.5" customHeight="1">
      <c r="B52" s="205"/>
      <c r="C52" s="691" t="s">
        <v>183</v>
      </c>
      <c r="D52" s="691"/>
      <c r="E52" s="691"/>
      <c r="F52" s="691"/>
      <c r="G52" s="691"/>
      <c r="H52" s="691"/>
      <c r="I52" s="691"/>
      <c r="J52" s="691"/>
      <c r="K52" s="206"/>
    </row>
    <row r="53" spans="2:11" s="1" customFormat="1" ht="5.25" customHeight="1">
      <c r="B53" s="205"/>
      <c r="C53" s="207"/>
      <c r="D53" s="207"/>
      <c r="E53" s="207"/>
      <c r="F53" s="207"/>
      <c r="G53" s="207"/>
      <c r="H53" s="207"/>
      <c r="I53" s="207"/>
      <c r="J53" s="207"/>
      <c r="K53" s="206"/>
    </row>
    <row r="54" spans="2:11" s="1" customFormat="1" ht="15" customHeight="1">
      <c r="B54" s="205"/>
      <c r="C54" s="689" t="s">
        <v>184</v>
      </c>
      <c r="D54" s="689"/>
      <c r="E54" s="689"/>
      <c r="F54" s="689"/>
      <c r="G54" s="689"/>
      <c r="H54" s="689"/>
      <c r="I54" s="689"/>
      <c r="J54" s="689"/>
      <c r="K54" s="206"/>
    </row>
    <row r="55" spans="2:11" s="1" customFormat="1" ht="15" customHeight="1">
      <c r="B55" s="205"/>
      <c r="C55" s="689" t="s">
        <v>185</v>
      </c>
      <c r="D55" s="689"/>
      <c r="E55" s="689"/>
      <c r="F55" s="689"/>
      <c r="G55" s="689"/>
      <c r="H55" s="689"/>
      <c r="I55" s="689"/>
      <c r="J55" s="689"/>
      <c r="K55" s="206"/>
    </row>
    <row r="56" spans="2:11" s="1" customFormat="1" ht="12.75" customHeight="1">
      <c r="B56" s="205"/>
      <c r="C56" s="208"/>
      <c r="D56" s="208"/>
      <c r="E56" s="208"/>
      <c r="F56" s="208"/>
      <c r="G56" s="208"/>
      <c r="H56" s="208"/>
      <c r="I56" s="208"/>
      <c r="J56" s="208"/>
      <c r="K56" s="206"/>
    </row>
    <row r="57" spans="2:11" s="1" customFormat="1" ht="15" customHeight="1">
      <c r="B57" s="205"/>
      <c r="C57" s="689" t="s">
        <v>186</v>
      </c>
      <c r="D57" s="689"/>
      <c r="E57" s="689"/>
      <c r="F57" s="689"/>
      <c r="G57" s="689"/>
      <c r="H57" s="689"/>
      <c r="I57" s="689"/>
      <c r="J57" s="689"/>
      <c r="K57" s="206"/>
    </row>
    <row r="58" spans="2:11" s="1" customFormat="1" ht="15" customHeight="1">
      <c r="B58" s="205"/>
      <c r="C58" s="210"/>
      <c r="D58" s="689" t="s">
        <v>187</v>
      </c>
      <c r="E58" s="689"/>
      <c r="F58" s="689"/>
      <c r="G58" s="689"/>
      <c r="H58" s="689"/>
      <c r="I58" s="689"/>
      <c r="J58" s="689"/>
      <c r="K58" s="206"/>
    </row>
    <row r="59" spans="2:11" s="1" customFormat="1" ht="15" customHeight="1">
      <c r="B59" s="205"/>
      <c r="C59" s="210"/>
      <c r="D59" s="689" t="s">
        <v>188</v>
      </c>
      <c r="E59" s="689"/>
      <c r="F59" s="689"/>
      <c r="G59" s="689"/>
      <c r="H59" s="689"/>
      <c r="I59" s="689"/>
      <c r="J59" s="689"/>
      <c r="K59" s="206"/>
    </row>
    <row r="60" spans="2:11" s="1" customFormat="1" ht="15" customHeight="1">
      <c r="B60" s="205"/>
      <c r="C60" s="210"/>
      <c r="D60" s="689" t="s">
        <v>189</v>
      </c>
      <c r="E60" s="689"/>
      <c r="F60" s="689"/>
      <c r="G60" s="689"/>
      <c r="H60" s="689"/>
      <c r="I60" s="689"/>
      <c r="J60" s="689"/>
      <c r="K60" s="206"/>
    </row>
    <row r="61" spans="2:11" s="1" customFormat="1" ht="15" customHeight="1">
      <c r="B61" s="205"/>
      <c r="C61" s="210"/>
      <c r="D61" s="689" t="s">
        <v>190</v>
      </c>
      <c r="E61" s="689"/>
      <c r="F61" s="689"/>
      <c r="G61" s="689"/>
      <c r="H61" s="689"/>
      <c r="I61" s="689"/>
      <c r="J61" s="689"/>
      <c r="K61" s="206"/>
    </row>
    <row r="62" spans="2:11" s="1" customFormat="1" ht="15" customHeight="1">
      <c r="B62" s="205"/>
      <c r="C62" s="210"/>
      <c r="D62" s="693" t="s">
        <v>191</v>
      </c>
      <c r="E62" s="693"/>
      <c r="F62" s="693"/>
      <c r="G62" s="693"/>
      <c r="H62" s="693"/>
      <c r="I62" s="693"/>
      <c r="J62" s="693"/>
      <c r="K62" s="206"/>
    </row>
    <row r="63" spans="2:11" s="1" customFormat="1" ht="15" customHeight="1">
      <c r="B63" s="205"/>
      <c r="C63" s="210"/>
      <c r="D63" s="689" t="s">
        <v>192</v>
      </c>
      <c r="E63" s="689"/>
      <c r="F63" s="689"/>
      <c r="G63" s="689"/>
      <c r="H63" s="689"/>
      <c r="I63" s="689"/>
      <c r="J63" s="689"/>
      <c r="K63" s="206"/>
    </row>
    <row r="64" spans="2:11" s="1" customFormat="1" ht="12.75" customHeight="1">
      <c r="B64" s="205"/>
      <c r="C64" s="210"/>
      <c r="D64" s="210"/>
      <c r="E64" s="213"/>
      <c r="F64" s="210"/>
      <c r="G64" s="210"/>
      <c r="H64" s="210"/>
      <c r="I64" s="210"/>
      <c r="J64" s="210"/>
      <c r="K64" s="206"/>
    </row>
    <row r="65" spans="2:11" s="1" customFormat="1" ht="15" customHeight="1">
      <c r="B65" s="205"/>
      <c r="C65" s="210"/>
      <c r="D65" s="689" t="s">
        <v>193</v>
      </c>
      <c r="E65" s="689"/>
      <c r="F65" s="689"/>
      <c r="G65" s="689"/>
      <c r="H65" s="689"/>
      <c r="I65" s="689"/>
      <c r="J65" s="689"/>
      <c r="K65" s="206"/>
    </row>
    <row r="66" spans="2:11" s="1" customFormat="1" ht="15" customHeight="1">
      <c r="B66" s="205"/>
      <c r="C66" s="210"/>
      <c r="D66" s="693" t="s">
        <v>194</v>
      </c>
      <c r="E66" s="693"/>
      <c r="F66" s="693"/>
      <c r="G66" s="693"/>
      <c r="H66" s="693"/>
      <c r="I66" s="693"/>
      <c r="J66" s="693"/>
      <c r="K66" s="206"/>
    </row>
    <row r="67" spans="2:11" s="1" customFormat="1" ht="15" customHeight="1">
      <c r="B67" s="205"/>
      <c r="C67" s="210"/>
      <c r="D67" s="689" t="s">
        <v>195</v>
      </c>
      <c r="E67" s="689"/>
      <c r="F67" s="689"/>
      <c r="G67" s="689"/>
      <c r="H67" s="689"/>
      <c r="I67" s="689"/>
      <c r="J67" s="689"/>
      <c r="K67" s="206"/>
    </row>
    <row r="68" spans="2:11" s="1" customFormat="1" ht="15" customHeight="1">
      <c r="B68" s="205"/>
      <c r="C68" s="210"/>
      <c r="D68" s="689" t="s">
        <v>196</v>
      </c>
      <c r="E68" s="689"/>
      <c r="F68" s="689"/>
      <c r="G68" s="689"/>
      <c r="H68" s="689"/>
      <c r="I68" s="689"/>
      <c r="J68" s="689"/>
      <c r="K68" s="206"/>
    </row>
    <row r="69" spans="2:11" s="1" customFormat="1" ht="15" customHeight="1">
      <c r="B69" s="205"/>
      <c r="C69" s="210"/>
      <c r="D69" s="689" t="s">
        <v>197</v>
      </c>
      <c r="E69" s="689"/>
      <c r="F69" s="689"/>
      <c r="G69" s="689"/>
      <c r="H69" s="689"/>
      <c r="I69" s="689"/>
      <c r="J69" s="689"/>
      <c r="K69" s="206"/>
    </row>
    <row r="70" spans="2:11" s="1" customFormat="1" ht="15" customHeight="1">
      <c r="B70" s="205"/>
      <c r="C70" s="210"/>
      <c r="D70" s="689" t="s">
        <v>198</v>
      </c>
      <c r="E70" s="689"/>
      <c r="F70" s="689"/>
      <c r="G70" s="689"/>
      <c r="H70" s="689"/>
      <c r="I70" s="689"/>
      <c r="J70" s="689"/>
      <c r="K70" s="206"/>
    </row>
    <row r="71" spans="2:11" s="1" customFormat="1" ht="12.75" customHeight="1">
      <c r="B71" s="214"/>
      <c r="C71" s="215"/>
      <c r="D71" s="215"/>
      <c r="E71" s="215"/>
      <c r="F71" s="215"/>
      <c r="G71" s="215"/>
      <c r="H71" s="215"/>
      <c r="I71" s="215"/>
      <c r="J71" s="215"/>
      <c r="K71" s="216"/>
    </row>
    <row r="72" spans="2:11" s="1" customFormat="1" ht="18.75" customHeight="1">
      <c r="B72" s="217"/>
      <c r="C72" s="217"/>
      <c r="D72" s="217"/>
      <c r="E72" s="217"/>
      <c r="F72" s="217"/>
      <c r="G72" s="217"/>
      <c r="H72" s="217"/>
      <c r="I72" s="217"/>
      <c r="J72" s="217"/>
      <c r="K72" s="218"/>
    </row>
    <row r="73" spans="2:11" s="1" customFormat="1" ht="18.75" customHeight="1">
      <c r="B73" s="218"/>
      <c r="C73" s="218"/>
      <c r="D73" s="218"/>
      <c r="E73" s="218"/>
      <c r="F73" s="218"/>
      <c r="G73" s="218"/>
      <c r="H73" s="218"/>
      <c r="I73" s="218"/>
      <c r="J73" s="218"/>
      <c r="K73" s="218"/>
    </row>
    <row r="74" spans="2:11" s="1" customFormat="1" ht="7.5" customHeight="1">
      <c r="B74" s="219"/>
      <c r="C74" s="220"/>
      <c r="D74" s="220"/>
      <c r="E74" s="220"/>
      <c r="F74" s="220"/>
      <c r="G74" s="220"/>
      <c r="H74" s="220"/>
      <c r="I74" s="220"/>
      <c r="J74" s="220"/>
      <c r="K74" s="221"/>
    </row>
    <row r="75" spans="2:11" s="1" customFormat="1" ht="45" customHeight="1">
      <c r="B75" s="222"/>
      <c r="C75" s="692" t="s">
        <v>199</v>
      </c>
      <c r="D75" s="692"/>
      <c r="E75" s="692"/>
      <c r="F75" s="692"/>
      <c r="G75" s="692"/>
      <c r="H75" s="692"/>
      <c r="I75" s="692"/>
      <c r="J75" s="692"/>
      <c r="K75" s="223"/>
    </row>
    <row r="76" spans="2:11" s="1" customFormat="1" ht="17.25" customHeight="1">
      <c r="B76" s="222"/>
      <c r="C76" s="224" t="s">
        <v>200</v>
      </c>
      <c r="D76" s="224"/>
      <c r="E76" s="224"/>
      <c r="F76" s="224" t="s">
        <v>201</v>
      </c>
      <c r="G76" s="225"/>
      <c r="H76" s="224" t="s">
        <v>57</v>
      </c>
      <c r="I76" s="224" t="s">
        <v>60</v>
      </c>
      <c r="J76" s="224" t="s">
        <v>202</v>
      </c>
      <c r="K76" s="223"/>
    </row>
    <row r="77" spans="2:11" s="1" customFormat="1" ht="17.25" customHeight="1">
      <c r="B77" s="222"/>
      <c r="C77" s="226" t="s">
        <v>203</v>
      </c>
      <c r="D77" s="226"/>
      <c r="E77" s="226"/>
      <c r="F77" s="227" t="s">
        <v>204</v>
      </c>
      <c r="G77" s="228"/>
      <c r="H77" s="226"/>
      <c r="I77" s="226"/>
      <c r="J77" s="226" t="s">
        <v>205</v>
      </c>
      <c r="K77" s="223"/>
    </row>
    <row r="78" spans="2:11" s="1" customFormat="1" ht="5.25" customHeight="1">
      <c r="B78" s="222"/>
      <c r="C78" s="229"/>
      <c r="D78" s="229"/>
      <c r="E78" s="229"/>
      <c r="F78" s="229"/>
      <c r="G78" s="230"/>
      <c r="H78" s="229"/>
      <c r="I78" s="229"/>
      <c r="J78" s="229"/>
      <c r="K78" s="223"/>
    </row>
    <row r="79" spans="2:11" s="1" customFormat="1" ht="15" customHeight="1">
      <c r="B79" s="222"/>
      <c r="C79" s="211" t="s">
        <v>56</v>
      </c>
      <c r="D79" s="229"/>
      <c r="E79" s="229"/>
      <c r="F79" s="231" t="s">
        <v>206</v>
      </c>
      <c r="G79" s="230"/>
      <c r="H79" s="211" t="s">
        <v>207</v>
      </c>
      <c r="I79" s="211" t="s">
        <v>208</v>
      </c>
      <c r="J79" s="211">
        <v>20</v>
      </c>
      <c r="K79" s="223"/>
    </row>
    <row r="80" spans="2:11" s="1" customFormat="1" ht="15" customHeight="1">
      <c r="B80" s="222"/>
      <c r="C80" s="211" t="s">
        <v>209</v>
      </c>
      <c r="D80" s="211"/>
      <c r="E80" s="211"/>
      <c r="F80" s="231" t="s">
        <v>206</v>
      </c>
      <c r="G80" s="230"/>
      <c r="H80" s="211" t="s">
        <v>210</v>
      </c>
      <c r="I80" s="211" t="s">
        <v>208</v>
      </c>
      <c r="J80" s="211">
        <v>120</v>
      </c>
      <c r="K80" s="223"/>
    </row>
    <row r="81" spans="2:11" s="1" customFormat="1" ht="15" customHeight="1">
      <c r="B81" s="232"/>
      <c r="C81" s="211" t="s">
        <v>211</v>
      </c>
      <c r="D81" s="211"/>
      <c r="E81" s="211"/>
      <c r="F81" s="231" t="s">
        <v>212</v>
      </c>
      <c r="G81" s="230"/>
      <c r="H81" s="211" t="s">
        <v>213</v>
      </c>
      <c r="I81" s="211" t="s">
        <v>208</v>
      </c>
      <c r="J81" s="211">
        <v>50</v>
      </c>
      <c r="K81" s="223"/>
    </row>
    <row r="82" spans="2:11" s="1" customFormat="1" ht="15" customHeight="1">
      <c r="B82" s="232"/>
      <c r="C82" s="211" t="s">
        <v>214</v>
      </c>
      <c r="D82" s="211"/>
      <c r="E82" s="211"/>
      <c r="F82" s="231" t="s">
        <v>206</v>
      </c>
      <c r="G82" s="230"/>
      <c r="H82" s="211" t="s">
        <v>215</v>
      </c>
      <c r="I82" s="211" t="s">
        <v>216</v>
      </c>
      <c r="J82" s="211"/>
      <c r="K82" s="223"/>
    </row>
    <row r="83" spans="2:11" s="1" customFormat="1" ht="15" customHeight="1">
      <c r="B83" s="232"/>
      <c r="C83" s="233" t="s">
        <v>217</v>
      </c>
      <c r="D83" s="233"/>
      <c r="E83" s="233"/>
      <c r="F83" s="234" t="s">
        <v>212</v>
      </c>
      <c r="G83" s="233"/>
      <c r="H83" s="233" t="s">
        <v>218</v>
      </c>
      <c r="I83" s="233" t="s">
        <v>208</v>
      </c>
      <c r="J83" s="233">
        <v>15</v>
      </c>
      <c r="K83" s="223"/>
    </row>
    <row r="84" spans="2:11" s="1" customFormat="1" ht="15" customHeight="1">
      <c r="B84" s="232"/>
      <c r="C84" s="233" t="s">
        <v>219</v>
      </c>
      <c r="D84" s="233"/>
      <c r="E84" s="233"/>
      <c r="F84" s="234" t="s">
        <v>212</v>
      </c>
      <c r="G84" s="233"/>
      <c r="H84" s="233" t="s">
        <v>220</v>
      </c>
      <c r="I84" s="233" t="s">
        <v>208</v>
      </c>
      <c r="J84" s="233">
        <v>15</v>
      </c>
      <c r="K84" s="223"/>
    </row>
    <row r="85" spans="2:11" s="1" customFormat="1" ht="15" customHeight="1">
      <c r="B85" s="232"/>
      <c r="C85" s="233" t="s">
        <v>221</v>
      </c>
      <c r="D85" s="233"/>
      <c r="E85" s="233"/>
      <c r="F85" s="234" t="s">
        <v>212</v>
      </c>
      <c r="G85" s="233"/>
      <c r="H85" s="233" t="s">
        <v>222</v>
      </c>
      <c r="I85" s="233" t="s">
        <v>208</v>
      </c>
      <c r="J85" s="233">
        <v>20</v>
      </c>
      <c r="K85" s="223"/>
    </row>
    <row r="86" spans="2:11" s="1" customFormat="1" ht="15" customHeight="1">
      <c r="B86" s="232"/>
      <c r="C86" s="233" t="s">
        <v>223</v>
      </c>
      <c r="D86" s="233"/>
      <c r="E86" s="233"/>
      <c r="F86" s="234" t="s">
        <v>212</v>
      </c>
      <c r="G86" s="233"/>
      <c r="H86" s="233" t="s">
        <v>224</v>
      </c>
      <c r="I86" s="233" t="s">
        <v>208</v>
      </c>
      <c r="J86" s="233">
        <v>20</v>
      </c>
      <c r="K86" s="223"/>
    </row>
    <row r="87" spans="2:11" s="1" customFormat="1" ht="15" customHeight="1">
      <c r="B87" s="232"/>
      <c r="C87" s="211" t="s">
        <v>225</v>
      </c>
      <c r="D87" s="211"/>
      <c r="E87" s="211"/>
      <c r="F87" s="231" t="s">
        <v>212</v>
      </c>
      <c r="G87" s="230"/>
      <c r="H87" s="211" t="s">
        <v>226</v>
      </c>
      <c r="I87" s="211" t="s">
        <v>208</v>
      </c>
      <c r="J87" s="211">
        <v>50</v>
      </c>
      <c r="K87" s="223"/>
    </row>
    <row r="88" spans="2:11" s="1" customFormat="1" ht="15" customHeight="1">
      <c r="B88" s="232"/>
      <c r="C88" s="211" t="s">
        <v>227</v>
      </c>
      <c r="D88" s="211"/>
      <c r="E88" s="211"/>
      <c r="F88" s="231" t="s">
        <v>212</v>
      </c>
      <c r="G88" s="230"/>
      <c r="H88" s="211" t="s">
        <v>228</v>
      </c>
      <c r="I88" s="211" t="s">
        <v>208</v>
      </c>
      <c r="J88" s="211">
        <v>20</v>
      </c>
      <c r="K88" s="223"/>
    </row>
    <row r="89" spans="2:11" s="1" customFormat="1" ht="15" customHeight="1">
      <c r="B89" s="232"/>
      <c r="C89" s="211" t="s">
        <v>229</v>
      </c>
      <c r="D89" s="211"/>
      <c r="E89" s="211"/>
      <c r="F89" s="231" t="s">
        <v>212</v>
      </c>
      <c r="G89" s="230"/>
      <c r="H89" s="211" t="s">
        <v>230</v>
      </c>
      <c r="I89" s="211" t="s">
        <v>208</v>
      </c>
      <c r="J89" s="211">
        <v>20</v>
      </c>
      <c r="K89" s="223"/>
    </row>
    <row r="90" spans="2:11" s="1" customFormat="1" ht="15" customHeight="1">
      <c r="B90" s="232"/>
      <c r="C90" s="211" t="s">
        <v>231</v>
      </c>
      <c r="D90" s="211"/>
      <c r="E90" s="211"/>
      <c r="F90" s="231" t="s">
        <v>212</v>
      </c>
      <c r="G90" s="230"/>
      <c r="H90" s="211" t="s">
        <v>232</v>
      </c>
      <c r="I90" s="211" t="s">
        <v>208</v>
      </c>
      <c r="J90" s="211">
        <v>50</v>
      </c>
      <c r="K90" s="223"/>
    </row>
    <row r="91" spans="2:11" s="1" customFormat="1" ht="15" customHeight="1">
      <c r="B91" s="232"/>
      <c r="C91" s="211" t="s">
        <v>233</v>
      </c>
      <c r="D91" s="211"/>
      <c r="E91" s="211"/>
      <c r="F91" s="231" t="s">
        <v>212</v>
      </c>
      <c r="G91" s="230"/>
      <c r="H91" s="211" t="s">
        <v>233</v>
      </c>
      <c r="I91" s="211" t="s">
        <v>208</v>
      </c>
      <c r="J91" s="211">
        <v>50</v>
      </c>
      <c r="K91" s="223"/>
    </row>
    <row r="92" spans="2:11" s="1" customFormat="1" ht="15" customHeight="1">
      <c r="B92" s="232"/>
      <c r="C92" s="211" t="s">
        <v>234</v>
      </c>
      <c r="D92" s="211"/>
      <c r="E92" s="211"/>
      <c r="F92" s="231" t="s">
        <v>212</v>
      </c>
      <c r="G92" s="230"/>
      <c r="H92" s="211" t="s">
        <v>235</v>
      </c>
      <c r="I92" s="211" t="s">
        <v>208</v>
      </c>
      <c r="J92" s="211">
        <v>255</v>
      </c>
      <c r="K92" s="223"/>
    </row>
    <row r="93" spans="2:11" s="1" customFormat="1" ht="15" customHeight="1">
      <c r="B93" s="232"/>
      <c r="C93" s="211" t="s">
        <v>236</v>
      </c>
      <c r="D93" s="211"/>
      <c r="E93" s="211"/>
      <c r="F93" s="231" t="s">
        <v>206</v>
      </c>
      <c r="G93" s="230"/>
      <c r="H93" s="211" t="s">
        <v>237</v>
      </c>
      <c r="I93" s="211" t="s">
        <v>238</v>
      </c>
      <c r="J93" s="211"/>
      <c r="K93" s="223"/>
    </row>
    <row r="94" spans="2:11" s="1" customFormat="1" ht="15" customHeight="1">
      <c r="B94" s="232"/>
      <c r="C94" s="211" t="s">
        <v>239</v>
      </c>
      <c r="D94" s="211"/>
      <c r="E94" s="211"/>
      <c r="F94" s="231" t="s">
        <v>206</v>
      </c>
      <c r="G94" s="230"/>
      <c r="H94" s="211" t="s">
        <v>240</v>
      </c>
      <c r="I94" s="211" t="s">
        <v>241</v>
      </c>
      <c r="J94" s="211"/>
      <c r="K94" s="223"/>
    </row>
    <row r="95" spans="2:11" s="1" customFormat="1" ht="15" customHeight="1">
      <c r="B95" s="232"/>
      <c r="C95" s="211" t="s">
        <v>242</v>
      </c>
      <c r="D95" s="211"/>
      <c r="E95" s="211"/>
      <c r="F95" s="231" t="s">
        <v>206</v>
      </c>
      <c r="G95" s="230"/>
      <c r="H95" s="211" t="s">
        <v>242</v>
      </c>
      <c r="I95" s="211" t="s">
        <v>241</v>
      </c>
      <c r="J95" s="211"/>
      <c r="K95" s="223"/>
    </row>
    <row r="96" spans="2:11" s="1" customFormat="1" ht="15" customHeight="1">
      <c r="B96" s="232"/>
      <c r="C96" s="211" t="s">
        <v>41</v>
      </c>
      <c r="D96" s="211"/>
      <c r="E96" s="211"/>
      <c r="F96" s="231" t="s">
        <v>206</v>
      </c>
      <c r="G96" s="230"/>
      <c r="H96" s="211" t="s">
        <v>243</v>
      </c>
      <c r="I96" s="211" t="s">
        <v>241</v>
      </c>
      <c r="J96" s="211"/>
      <c r="K96" s="223"/>
    </row>
    <row r="97" spans="2:11" s="1" customFormat="1" ht="15" customHeight="1">
      <c r="B97" s="232"/>
      <c r="C97" s="211" t="s">
        <v>51</v>
      </c>
      <c r="D97" s="211"/>
      <c r="E97" s="211"/>
      <c r="F97" s="231" t="s">
        <v>206</v>
      </c>
      <c r="G97" s="230"/>
      <c r="H97" s="211" t="s">
        <v>244</v>
      </c>
      <c r="I97" s="211" t="s">
        <v>241</v>
      </c>
      <c r="J97" s="211"/>
      <c r="K97" s="223"/>
    </row>
    <row r="98" spans="2:11" s="1" customFormat="1" ht="15" customHeight="1">
      <c r="B98" s="235"/>
      <c r="C98" s="236"/>
      <c r="D98" s="236"/>
      <c r="E98" s="236"/>
      <c r="F98" s="236"/>
      <c r="G98" s="236"/>
      <c r="H98" s="236"/>
      <c r="I98" s="236"/>
      <c r="J98" s="236"/>
      <c r="K98" s="237"/>
    </row>
    <row r="99" spans="2:11" s="1" customFormat="1" ht="18.75" customHeight="1">
      <c r="B99" s="238"/>
      <c r="C99" s="239"/>
      <c r="D99" s="239"/>
      <c r="E99" s="239"/>
      <c r="F99" s="239"/>
      <c r="G99" s="239"/>
      <c r="H99" s="239"/>
      <c r="I99" s="239"/>
      <c r="J99" s="239"/>
      <c r="K99" s="238"/>
    </row>
    <row r="100" spans="2:11" s="1" customFormat="1" ht="18.75" customHeight="1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</row>
    <row r="101" spans="2:11" s="1" customFormat="1" ht="7.5" customHeight="1">
      <c r="B101" s="219"/>
      <c r="C101" s="220"/>
      <c r="D101" s="220"/>
      <c r="E101" s="220"/>
      <c r="F101" s="220"/>
      <c r="G101" s="220"/>
      <c r="H101" s="220"/>
      <c r="I101" s="220"/>
      <c r="J101" s="220"/>
      <c r="K101" s="221"/>
    </row>
    <row r="102" spans="2:11" s="1" customFormat="1" ht="45" customHeight="1">
      <c r="B102" s="222"/>
      <c r="C102" s="692" t="s">
        <v>245</v>
      </c>
      <c r="D102" s="692"/>
      <c r="E102" s="692"/>
      <c r="F102" s="692"/>
      <c r="G102" s="692"/>
      <c r="H102" s="692"/>
      <c r="I102" s="692"/>
      <c r="J102" s="692"/>
      <c r="K102" s="223"/>
    </row>
    <row r="103" spans="2:11" s="1" customFormat="1" ht="17.25" customHeight="1">
      <c r="B103" s="222"/>
      <c r="C103" s="224" t="s">
        <v>200</v>
      </c>
      <c r="D103" s="224"/>
      <c r="E103" s="224"/>
      <c r="F103" s="224" t="s">
        <v>201</v>
      </c>
      <c r="G103" s="225"/>
      <c r="H103" s="224" t="s">
        <v>57</v>
      </c>
      <c r="I103" s="224" t="s">
        <v>60</v>
      </c>
      <c r="J103" s="224" t="s">
        <v>202</v>
      </c>
      <c r="K103" s="223"/>
    </row>
    <row r="104" spans="2:11" s="1" customFormat="1" ht="17.25" customHeight="1">
      <c r="B104" s="222"/>
      <c r="C104" s="226" t="s">
        <v>203</v>
      </c>
      <c r="D104" s="226"/>
      <c r="E104" s="226"/>
      <c r="F104" s="227" t="s">
        <v>204</v>
      </c>
      <c r="G104" s="228"/>
      <c r="H104" s="226"/>
      <c r="I104" s="226"/>
      <c r="J104" s="226" t="s">
        <v>205</v>
      </c>
      <c r="K104" s="223"/>
    </row>
    <row r="105" spans="2:11" s="1" customFormat="1" ht="5.25" customHeight="1">
      <c r="B105" s="222"/>
      <c r="C105" s="224"/>
      <c r="D105" s="224"/>
      <c r="E105" s="224"/>
      <c r="F105" s="224"/>
      <c r="G105" s="240"/>
      <c r="H105" s="224"/>
      <c r="I105" s="224"/>
      <c r="J105" s="224"/>
      <c r="K105" s="223"/>
    </row>
    <row r="106" spans="2:11" s="1" customFormat="1" ht="15" customHeight="1">
      <c r="B106" s="222"/>
      <c r="C106" s="211" t="s">
        <v>56</v>
      </c>
      <c r="D106" s="229"/>
      <c r="E106" s="229"/>
      <c r="F106" s="231" t="s">
        <v>206</v>
      </c>
      <c r="G106" s="240"/>
      <c r="H106" s="211" t="s">
        <v>246</v>
      </c>
      <c r="I106" s="211" t="s">
        <v>208</v>
      </c>
      <c r="J106" s="211">
        <v>20</v>
      </c>
      <c r="K106" s="223"/>
    </row>
    <row r="107" spans="2:11" s="1" customFormat="1" ht="15" customHeight="1">
      <c r="B107" s="222"/>
      <c r="C107" s="211" t="s">
        <v>209</v>
      </c>
      <c r="D107" s="211"/>
      <c r="E107" s="211"/>
      <c r="F107" s="231" t="s">
        <v>206</v>
      </c>
      <c r="G107" s="211"/>
      <c r="H107" s="211" t="s">
        <v>246</v>
      </c>
      <c r="I107" s="211" t="s">
        <v>208</v>
      </c>
      <c r="J107" s="211">
        <v>120</v>
      </c>
      <c r="K107" s="223"/>
    </row>
    <row r="108" spans="2:11" s="1" customFormat="1" ht="15" customHeight="1">
      <c r="B108" s="232"/>
      <c r="C108" s="211" t="s">
        <v>211</v>
      </c>
      <c r="D108" s="211"/>
      <c r="E108" s="211"/>
      <c r="F108" s="231" t="s">
        <v>212</v>
      </c>
      <c r="G108" s="211"/>
      <c r="H108" s="211" t="s">
        <v>246</v>
      </c>
      <c r="I108" s="211" t="s">
        <v>208</v>
      </c>
      <c r="J108" s="211">
        <v>50</v>
      </c>
      <c r="K108" s="223"/>
    </row>
    <row r="109" spans="2:11" s="1" customFormat="1" ht="15" customHeight="1">
      <c r="B109" s="232"/>
      <c r="C109" s="211" t="s">
        <v>214</v>
      </c>
      <c r="D109" s="211"/>
      <c r="E109" s="211"/>
      <c r="F109" s="231" t="s">
        <v>206</v>
      </c>
      <c r="G109" s="211"/>
      <c r="H109" s="211" t="s">
        <v>246</v>
      </c>
      <c r="I109" s="211" t="s">
        <v>216</v>
      </c>
      <c r="J109" s="211"/>
      <c r="K109" s="223"/>
    </row>
    <row r="110" spans="2:11" s="1" customFormat="1" ht="15" customHeight="1">
      <c r="B110" s="232"/>
      <c r="C110" s="211" t="s">
        <v>225</v>
      </c>
      <c r="D110" s="211"/>
      <c r="E110" s="211"/>
      <c r="F110" s="231" t="s">
        <v>212</v>
      </c>
      <c r="G110" s="211"/>
      <c r="H110" s="211" t="s">
        <v>246</v>
      </c>
      <c r="I110" s="211" t="s">
        <v>208</v>
      </c>
      <c r="J110" s="211">
        <v>50</v>
      </c>
      <c r="K110" s="223"/>
    </row>
    <row r="111" spans="2:11" s="1" customFormat="1" ht="15" customHeight="1">
      <c r="B111" s="232"/>
      <c r="C111" s="211" t="s">
        <v>233</v>
      </c>
      <c r="D111" s="211"/>
      <c r="E111" s="211"/>
      <c r="F111" s="231" t="s">
        <v>212</v>
      </c>
      <c r="G111" s="211"/>
      <c r="H111" s="211" t="s">
        <v>246</v>
      </c>
      <c r="I111" s="211" t="s">
        <v>208</v>
      </c>
      <c r="J111" s="211">
        <v>50</v>
      </c>
      <c r="K111" s="223"/>
    </row>
    <row r="112" spans="2:11" s="1" customFormat="1" ht="15" customHeight="1">
      <c r="B112" s="232"/>
      <c r="C112" s="211" t="s">
        <v>231</v>
      </c>
      <c r="D112" s="211"/>
      <c r="E112" s="211"/>
      <c r="F112" s="231" t="s">
        <v>212</v>
      </c>
      <c r="G112" s="211"/>
      <c r="H112" s="211" t="s">
        <v>246</v>
      </c>
      <c r="I112" s="211" t="s">
        <v>208</v>
      </c>
      <c r="J112" s="211">
        <v>50</v>
      </c>
      <c r="K112" s="223"/>
    </row>
    <row r="113" spans="2:11" s="1" customFormat="1" ht="15" customHeight="1">
      <c r="B113" s="232"/>
      <c r="C113" s="211" t="s">
        <v>56</v>
      </c>
      <c r="D113" s="211"/>
      <c r="E113" s="211"/>
      <c r="F113" s="231" t="s">
        <v>206</v>
      </c>
      <c r="G113" s="211"/>
      <c r="H113" s="211" t="s">
        <v>247</v>
      </c>
      <c r="I113" s="211" t="s">
        <v>208</v>
      </c>
      <c r="J113" s="211">
        <v>20</v>
      </c>
      <c r="K113" s="223"/>
    </row>
    <row r="114" spans="2:11" s="1" customFormat="1" ht="15" customHeight="1">
      <c r="B114" s="232"/>
      <c r="C114" s="211" t="s">
        <v>248</v>
      </c>
      <c r="D114" s="211"/>
      <c r="E114" s="211"/>
      <c r="F114" s="231" t="s">
        <v>206</v>
      </c>
      <c r="G114" s="211"/>
      <c r="H114" s="211" t="s">
        <v>249</v>
      </c>
      <c r="I114" s="211" t="s">
        <v>208</v>
      </c>
      <c r="J114" s="211">
        <v>120</v>
      </c>
      <c r="K114" s="223"/>
    </row>
    <row r="115" spans="2:11" s="1" customFormat="1" ht="15" customHeight="1">
      <c r="B115" s="232"/>
      <c r="C115" s="211" t="s">
        <v>41</v>
      </c>
      <c r="D115" s="211"/>
      <c r="E115" s="211"/>
      <c r="F115" s="231" t="s">
        <v>206</v>
      </c>
      <c r="G115" s="211"/>
      <c r="H115" s="211" t="s">
        <v>250</v>
      </c>
      <c r="I115" s="211" t="s">
        <v>241</v>
      </c>
      <c r="J115" s="211"/>
      <c r="K115" s="223"/>
    </row>
    <row r="116" spans="2:11" s="1" customFormat="1" ht="15" customHeight="1">
      <c r="B116" s="232"/>
      <c r="C116" s="211" t="s">
        <v>51</v>
      </c>
      <c r="D116" s="211"/>
      <c r="E116" s="211"/>
      <c r="F116" s="231" t="s">
        <v>206</v>
      </c>
      <c r="G116" s="211"/>
      <c r="H116" s="211" t="s">
        <v>251</v>
      </c>
      <c r="I116" s="211" t="s">
        <v>241</v>
      </c>
      <c r="J116" s="211"/>
      <c r="K116" s="223"/>
    </row>
    <row r="117" spans="2:11" s="1" customFormat="1" ht="15" customHeight="1">
      <c r="B117" s="232"/>
      <c r="C117" s="211" t="s">
        <v>60</v>
      </c>
      <c r="D117" s="211"/>
      <c r="E117" s="211"/>
      <c r="F117" s="231" t="s">
        <v>206</v>
      </c>
      <c r="G117" s="211"/>
      <c r="H117" s="211" t="s">
        <v>252</v>
      </c>
      <c r="I117" s="211" t="s">
        <v>253</v>
      </c>
      <c r="J117" s="211"/>
      <c r="K117" s="223"/>
    </row>
    <row r="118" spans="2:11" s="1" customFormat="1" ht="15" customHeight="1">
      <c r="B118" s="235"/>
      <c r="C118" s="241"/>
      <c r="D118" s="241"/>
      <c r="E118" s="241"/>
      <c r="F118" s="241"/>
      <c r="G118" s="241"/>
      <c r="H118" s="241"/>
      <c r="I118" s="241"/>
      <c r="J118" s="241"/>
      <c r="K118" s="237"/>
    </row>
    <row r="119" spans="2:11" s="1" customFormat="1" ht="18.75" customHeight="1">
      <c r="B119" s="242"/>
      <c r="C119" s="208"/>
      <c r="D119" s="208"/>
      <c r="E119" s="208"/>
      <c r="F119" s="243"/>
      <c r="G119" s="208"/>
      <c r="H119" s="208"/>
      <c r="I119" s="208"/>
      <c r="J119" s="208"/>
      <c r="K119" s="242"/>
    </row>
    <row r="120" spans="2:11" s="1" customFormat="1" ht="18.75" customHeight="1"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</row>
    <row r="121" spans="2:11" s="1" customFormat="1" ht="7.5" customHeight="1">
      <c r="B121" s="244"/>
      <c r="C121" s="245"/>
      <c r="D121" s="245"/>
      <c r="E121" s="245"/>
      <c r="F121" s="245"/>
      <c r="G121" s="245"/>
      <c r="H121" s="245"/>
      <c r="I121" s="245"/>
      <c r="J121" s="245"/>
      <c r="K121" s="246"/>
    </row>
    <row r="122" spans="2:11" s="1" customFormat="1" ht="45" customHeight="1">
      <c r="B122" s="247"/>
      <c r="C122" s="690" t="s">
        <v>254</v>
      </c>
      <c r="D122" s="690"/>
      <c r="E122" s="690"/>
      <c r="F122" s="690"/>
      <c r="G122" s="690"/>
      <c r="H122" s="690"/>
      <c r="I122" s="690"/>
      <c r="J122" s="690"/>
      <c r="K122" s="248"/>
    </row>
    <row r="123" spans="2:11" s="1" customFormat="1" ht="17.25" customHeight="1">
      <c r="B123" s="249"/>
      <c r="C123" s="224" t="s">
        <v>200</v>
      </c>
      <c r="D123" s="224"/>
      <c r="E123" s="224"/>
      <c r="F123" s="224" t="s">
        <v>201</v>
      </c>
      <c r="G123" s="225"/>
      <c r="H123" s="224" t="s">
        <v>57</v>
      </c>
      <c r="I123" s="224" t="s">
        <v>60</v>
      </c>
      <c r="J123" s="224" t="s">
        <v>202</v>
      </c>
      <c r="K123" s="250"/>
    </row>
    <row r="124" spans="2:11" s="1" customFormat="1" ht="17.25" customHeight="1">
      <c r="B124" s="249"/>
      <c r="C124" s="226" t="s">
        <v>203</v>
      </c>
      <c r="D124" s="226"/>
      <c r="E124" s="226"/>
      <c r="F124" s="227" t="s">
        <v>204</v>
      </c>
      <c r="G124" s="228"/>
      <c r="H124" s="226"/>
      <c r="I124" s="226"/>
      <c r="J124" s="226" t="s">
        <v>205</v>
      </c>
      <c r="K124" s="250"/>
    </row>
    <row r="125" spans="2:11" s="1" customFormat="1" ht="5.25" customHeight="1">
      <c r="B125" s="251"/>
      <c r="C125" s="229"/>
      <c r="D125" s="229"/>
      <c r="E125" s="229"/>
      <c r="F125" s="229"/>
      <c r="G125" s="211"/>
      <c r="H125" s="229"/>
      <c r="I125" s="229"/>
      <c r="J125" s="229"/>
      <c r="K125" s="252"/>
    </row>
    <row r="126" spans="2:11" s="1" customFormat="1" ht="15" customHeight="1">
      <c r="B126" s="251"/>
      <c r="C126" s="211" t="s">
        <v>209</v>
      </c>
      <c r="D126" s="229"/>
      <c r="E126" s="229"/>
      <c r="F126" s="231" t="s">
        <v>206</v>
      </c>
      <c r="G126" s="211"/>
      <c r="H126" s="211" t="s">
        <v>246</v>
      </c>
      <c r="I126" s="211" t="s">
        <v>208</v>
      </c>
      <c r="J126" s="211">
        <v>120</v>
      </c>
      <c r="K126" s="253"/>
    </row>
    <row r="127" spans="2:11" s="1" customFormat="1" ht="15" customHeight="1">
      <c r="B127" s="251"/>
      <c r="C127" s="211" t="s">
        <v>255</v>
      </c>
      <c r="D127" s="211"/>
      <c r="E127" s="211"/>
      <c r="F127" s="231" t="s">
        <v>206</v>
      </c>
      <c r="G127" s="211"/>
      <c r="H127" s="211" t="s">
        <v>256</v>
      </c>
      <c r="I127" s="211" t="s">
        <v>208</v>
      </c>
      <c r="J127" s="211" t="s">
        <v>257</v>
      </c>
      <c r="K127" s="253"/>
    </row>
    <row r="128" spans="2:11" s="1" customFormat="1" ht="15" customHeight="1">
      <c r="B128" s="251"/>
      <c r="C128" s="211" t="s">
        <v>154</v>
      </c>
      <c r="D128" s="211"/>
      <c r="E128" s="211"/>
      <c r="F128" s="231" t="s">
        <v>206</v>
      </c>
      <c r="G128" s="211"/>
      <c r="H128" s="211" t="s">
        <v>258</v>
      </c>
      <c r="I128" s="211" t="s">
        <v>208</v>
      </c>
      <c r="J128" s="211" t="s">
        <v>257</v>
      </c>
      <c r="K128" s="253"/>
    </row>
    <row r="129" spans="2:11" s="1" customFormat="1" ht="15" customHeight="1">
      <c r="B129" s="251"/>
      <c r="C129" s="211" t="s">
        <v>217</v>
      </c>
      <c r="D129" s="211"/>
      <c r="E129" s="211"/>
      <c r="F129" s="231" t="s">
        <v>212</v>
      </c>
      <c r="G129" s="211"/>
      <c r="H129" s="211" t="s">
        <v>218</v>
      </c>
      <c r="I129" s="211" t="s">
        <v>208</v>
      </c>
      <c r="J129" s="211">
        <v>15</v>
      </c>
      <c r="K129" s="253"/>
    </row>
    <row r="130" spans="2:11" s="1" customFormat="1" ht="15" customHeight="1">
      <c r="B130" s="251"/>
      <c r="C130" s="233" t="s">
        <v>219</v>
      </c>
      <c r="D130" s="233"/>
      <c r="E130" s="233"/>
      <c r="F130" s="234" t="s">
        <v>212</v>
      </c>
      <c r="G130" s="233"/>
      <c r="H130" s="233" t="s">
        <v>220</v>
      </c>
      <c r="I130" s="233" t="s">
        <v>208</v>
      </c>
      <c r="J130" s="233">
        <v>15</v>
      </c>
      <c r="K130" s="253"/>
    </row>
    <row r="131" spans="2:11" s="1" customFormat="1" ht="15" customHeight="1">
      <c r="B131" s="251"/>
      <c r="C131" s="233" t="s">
        <v>221</v>
      </c>
      <c r="D131" s="233"/>
      <c r="E131" s="233"/>
      <c r="F131" s="234" t="s">
        <v>212</v>
      </c>
      <c r="G131" s="233"/>
      <c r="H131" s="233" t="s">
        <v>222</v>
      </c>
      <c r="I131" s="233" t="s">
        <v>208</v>
      </c>
      <c r="J131" s="233">
        <v>20</v>
      </c>
      <c r="K131" s="253"/>
    </row>
    <row r="132" spans="2:11" s="1" customFormat="1" ht="15" customHeight="1">
      <c r="B132" s="251"/>
      <c r="C132" s="233" t="s">
        <v>223</v>
      </c>
      <c r="D132" s="233"/>
      <c r="E132" s="233"/>
      <c r="F132" s="234" t="s">
        <v>212</v>
      </c>
      <c r="G132" s="233"/>
      <c r="H132" s="233" t="s">
        <v>224</v>
      </c>
      <c r="I132" s="233" t="s">
        <v>208</v>
      </c>
      <c r="J132" s="233">
        <v>20</v>
      </c>
      <c r="K132" s="253"/>
    </row>
    <row r="133" spans="2:11" s="1" customFormat="1" ht="15" customHeight="1">
      <c r="B133" s="251"/>
      <c r="C133" s="211" t="s">
        <v>211</v>
      </c>
      <c r="D133" s="211"/>
      <c r="E133" s="211"/>
      <c r="F133" s="231" t="s">
        <v>212</v>
      </c>
      <c r="G133" s="211"/>
      <c r="H133" s="211" t="s">
        <v>246</v>
      </c>
      <c r="I133" s="211" t="s">
        <v>208</v>
      </c>
      <c r="J133" s="211">
        <v>50</v>
      </c>
      <c r="K133" s="253"/>
    </row>
    <row r="134" spans="2:11" s="1" customFormat="1" ht="15" customHeight="1">
      <c r="B134" s="251"/>
      <c r="C134" s="211" t="s">
        <v>225</v>
      </c>
      <c r="D134" s="211"/>
      <c r="E134" s="211"/>
      <c r="F134" s="231" t="s">
        <v>212</v>
      </c>
      <c r="G134" s="211"/>
      <c r="H134" s="211" t="s">
        <v>246</v>
      </c>
      <c r="I134" s="211" t="s">
        <v>208</v>
      </c>
      <c r="J134" s="211">
        <v>50</v>
      </c>
      <c r="K134" s="253"/>
    </row>
    <row r="135" spans="2:11" s="1" customFormat="1" ht="15" customHeight="1">
      <c r="B135" s="251"/>
      <c r="C135" s="211" t="s">
        <v>231</v>
      </c>
      <c r="D135" s="211"/>
      <c r="E135" s="211"/>
      <c r="F135" s="231" t="s">
        <v>212</v>
      </c>
      <c r="G135" s="211"/>
      <c r="H135" s="211" t="s">
        <v>246</v>
      </c>
      <c r="I135" s="211" t="s">
        <v>208</v>
      </c>
      <c r="J135" s="211">
        <v>50</v>
      </c>
      <c r="K135" s="253"/>
    </row>
    <row r="136" spans="2:11" s="1" customFormat="1" ht="15" customHeight="1">
      <c r="B136" s="251"/>
      <c r="C136" s="211" t="s">
        <v>233</v>
      </c>
      <c r="D136" s="211"/>
      <c r="E136" s="211"/>
      <c r="F136" s="231" t="s">
        <v>212</v>
      </c>
      <c r="G136" s="211"/>
      <c r="H136" s="211" t="s">
        <v>246</v>
      </c>
      <c r="I136" s="211" t="s">
        <v>208</v>
      </c>
      <c r="J136" s="211">
        <v>50</v>
      </c>
      <c r="K136" s="253"/>
    </row>
    <row r="137" spans="2:11" s="1" customFormat="1" ht="15" customHeight="1">
      <c r="B137" s="251"/>
      <c r="C137" s="211" t="s">
        <v>234</v>
      </c>
      <c r="D137" s="211"/>
      <c r="E137" s="211"/>
      <c r="F137" s="231" t="s">
        <v>212</v>
      </c>
      <c r="G137" s="211"/>
      <c r="H137" s="211" t="s">
        <v>259</v>
      </c>
      <c r="I137" s="211" t="s">
        <v>208</v>
      </c>
      <c r="J137" s="211">
        <v>255</v>
      </c>
      <c r="K137" s="253"/>
    </row>
    <row r="138" spans="2:11" s="1" customFormat="1" ht="15" customHeight="1">
      <c r="B138" s="251"/>
      <c r="C138" s="211" t="s">
        <v>236</v>
      </c>
      <c r="D138" s="211"/>
      <c r="E138" s="211"/>
      <c r="F138" s="231" t="s">
        <v>206</v>
      </c>
      <c r="G138" s="211"/>
      <c r="H138" s="211" t="s">
        <v>260</v>
      </c>
      <c r="I138" s="211" t="s">
        <v>238</v>
      </c>
      <c r="J138" s="211"/>
      <c r="K138" s="253"/>
    </row>
    <row r="139" spans="2:11" s="1" customFormat="1" ht="15" customHeight="1">
      <c r="B139" s="251"/>
      <c r="C139" s="211" t="s">
        <v>239</v>
      </c>
      <c r="D139" s="211"/>
      <c r="E139" s="211"/>
      <c r="F139" s="231" t="s">
        <v>206</v>
      </c>
      <c r="G139" s="211"/>
      <c r="H139" s="211" t="s">
        <v>261</v>
      </c>
      <c r="I139" s="211" t="s">
        <v>241</v>
      </c>
      <c r="J139" s="211"/>
      <c r="K139" s="253"/>
    </row>
    <row r="140" spans="2:11" s="1" customFormat="1" ht="15" customHeight="1">
      <c r="B140" s="251"/>
      <c r="C140" s="211" t="s">
        <v>242</v>
      </c>
      <c r="D140" s="211"/>
      <c r="E140" s="211"/>
      <c r="F140" s="231" t="s">
        <v>206</v>
      </c>
      <c r="G140" s="211"/>
      <c r="H140" s="211" t="s">
        <v>242</v>
      </c>
      <c r="I140" s="211" t="s">
        <v>241</v>
      </c>
      <c r="J140" s="211"/>
      <c r="K140" s="253"/>
    </row>
    <row r="141" spans="2:11" s="1" customFormat="1" ht="15" customHeight="1">
      <c r="B141" s="251"/>
      <c r="C141" s="211" t="s">
        <v>41</v>
      </c>
      <c r="D141" s="211"/>
      <c r="E141" s="211"/>
      <c r="F141" s="231" t="s">
        <v>206</v>
      </c>
      <c r="G141" s="211"/>
      <c r="H141" s="211" t="s">
        <v>262</v>
      </c>
      <c r="I141" s="211" t="s">
        <v>241</v>
      </c>
      <c r="J141" s="211"/>
      <c r="K141" s="253"/>
    </row>
    <row r="142" spans="2:11" s="1" customFormat="1" ht="15" customHeight="1">
      <c r="B142" s="251"/>
      <c r="C142" s="211" t="s">
        <v>263</v>
      </c>
      <c r="D142" s="211"/>
      <c r="E142" s="211"/>
      <c r="F142" s="231" t="s">
        <v>206</v>
      </c>
      <c r="G142" s="211"/>
      <c r="H142" s="211" t="s">
        <v>264</v>
      </c>
      <c r="I142" s="211" t="s">
        <v>241</v>
      </c>
      <c r="J142" s="211"/>
      <c r="K142" s="253"/>
    </row>
    <row r="143" spans="2:11" s="1" customFormat="1" ht="15" customHeight="1">
      <c r="B143" s="254"/>
      <c r="C143" s="255"/>
      <c r="D143" s="255"/>
      <c r="E143" s="255"/>
      <c r="F143" s="255"/>
      <c r="G143" s="255"/>
      <c r="H143" s="255"/>
      <c r="I143" s="255"/>
      <c r="J143" s="255"/>
      <c r="K143" s="256"/>
    </row>
    <row r="144" spans="2:11" s="1" customFormat="1" ht="18.75" customHeight="1">
      <c r="B144" s="208"/>
      <c r="C144" s="208"/>
      <c r="D144" s="208"/>
      <c r="E144" s="208"/>
      <c r="F144" s="243"/>
      <c r="G144" s="208"/>
      <c r="H144" s="208"/>
      <c r="I144" s="208"/>
      <c r="J144" s="208"/>
      <c r="K144" s="208"/>
    </row>
    <row r="145" spans="2:11" s="1" customFormat="1" ht="18.75" customHeight="1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</row>
    <row r="146" spans="2:11" s="1" customFormat="1" ht="7.5" customHeight="1">
      <c r="B146" s="219"/>
      <c r="C146" s="220"/>
      <c r="D146" s="220"/>
      <c r="E146" s="220"/>
      <c r="F146" s="220"/>
      <c r="G146" s="220"/>
      <c r="H146" s="220"/>
      <c r="I146" s="220"/>
      <c r="J146" s="220"/>
      <c r="K146" s="221"/>
    </row>
    <row r="147" spans="2:11" s="1" customFormat="1" ht="45" customHeight="1">
      <c r="B147" s="222"/>
      <c r="C147" s="692" t="s">
        <v>265</v>
      </c>
      <c r="D147" s="692"/>
      <c r="E147" s="692"/>
      <c r="F147" s="692"/>
      <c r="G147" s="692"/>
      <c r="H147" s="692"/>
      <c r="I147" s="692"/>
      <c r="J147" s="692"/>
      <c r="K147" s="223"/>
    </row>
    <row r="148" spans="2:11" s="1" customFormat="1" ht="17.25" customHeight="1">
      <c r="B148" s="222"/>
      <c r="C148" s="224" t="s">
        <v>200</v>
      </c>
      <c r="D148" s="224"/>
      <c r="E148" s="224"/>
      <c r="F148" s="224" t="s">
        <v>201</v>
      </c>
      <c r="G148" s="225"/>
      <c r="H148" s="224" t="s">
        <v>57</v>
      </c>
      <c r="I148" s="224" t="s">
        <v>60</v>
      </c>
      <c r="J148" s="224" t="s">
        <v>202</v>
      </c>
      <c r="K148" s="223"/>
    </row>
    <row r="149" spans="2:11" s="1" customFormat="1" ht="17.25" customHeight="1">
      <c r="B149" s="222"/>
      <c r="C149" s="226" t="s">
        <v>203</v>
      </c>
      <c r="D149" s="226"/>
      <c r="E149" s="226"/>
      <c r="F149" s="227" t="s">
        <v>204</v>
      </c>
      <c r="G149" s="228"/>
      <c r="H149" s="226"/>
      <c r="I149" s="226"/>
      <c r="J149" s="226" t="s">
        <v>205</v>
      </c>
      <c r="K149" s="223"/>
    </row>
    <row r="150" spans="2:11" s="1" customFormat="1" ht="5.25" customHeight="1">
      <c r="B150" s="232"/>
      <c r="C150" s="229"/>
      <c r="D150" s="229"/>
      <c r="E150" s="229"/>
      <c r="F150" s="229"/>
      <c r="G150" s="230"/>
      <c r="H150" s="229"/>
      <c r="I150" s="229"/>
      <c r="J150" s="229"/>
      <c r="K150" s="253"/>
    </row>
    <row r="151" spans="2:11" s="1" customFormat="1" ht="15" customHeight="1">
      <c r="B151" s="232"/>
      <c r="C151" s="257" t="s">
        <v>209</v>
      </c>
      <c r="D151" s="211"/>
      <c r="E151" s="211"/>
      <c r="F151" s="258" t="s">
        <v>206</v>
      </c>
      <c r="G151" s="211"/>
      <c r="H151" s="257" t="s">
        <v>246</v>
      </c>
      <c r="I151" s="257" t="s">
        <v>208</v>
      </c>
      <c r="J151" s="257">
        <v>120</v>
      </c>
      <c r="K151" s="253"/>
    </row>
    <row r="152" spans="2:11" s="1" customFormat="1" ht="15" customHeight="1">
      <c r="B152" s="232"/>
      <c r="C152" s="257" t="s">
        <v>255</v>
      </c>
      <c r="D152" s="211"/>
      <c r="E152" s="211"/>
      <c r="F152" s="258" t="s">
        <v>206</v>
      </c>
      <c r="G152" s="211"/>
      <c r="H152" s="257" t="s">
        <v>266</v>
      </c>
      <c r="I152" s="257" t="s">
        <v>208</v>
      </c>
      <c r="J152" s="257" t="s">
        <v>257</v>
      </c>
      <c r="K152" s="253"/>
    </row>
    <row r="153" spans="2:11" s="1" customFormat="1" ht="15" customHeight="1">
      <c r="B153" s="232"/>
      <c r="C153" s="257" t="s">
        <v>154</v>
      </c>
      <c r="D153" s="211"/>
      <c r="E153" s="211"/>
      <c r="F153" s="258" t="s">
        <v>206</v>
      </c>
      <c r="G153" s="211"/>
      <c r="H153" s="257" t="s">
        <v>267</v>
      </c>
      <c r="I153" s="257" t="s">
        <v>208</v>
      </c>
      <c r="J153" s="257" t="s">
        <v>257</v>
      </c>
      <c r="K153" s="253"/>
    </row>
    <row r="154" spans="2:11" s="1" customFormat="1" ht="15" customHeight="1">
      <c r="B154" s="232"/>
      <c r="C154" s="257" t="s">
        <v>211</v>
      </c>
      <c r="D154" s="211"/>
      <c r="E154" s="211"/>
      <c r="F154" s="258" t="s">
        <v>212</v>
      </c>
      <c r="G154" s="211"/>
      <c r="H154" s="257" t="s">
        <v>246</v>
      </c>
      <c r="I154" s="257" t="s">
        <v>208</v>
      </c>
      <c r="J154" s="257">
        <v>50</v>
      </c>
      <c r="K154" s="253"/>
    </row>
    <row r="155" spans="2:11" s="1" customFormat="1" ht="15" customHeight="1">
      <c r="B155" s="232"/>
      <c r="C155" s="257" t="s">
        <v>214</v>
      </c>
      <c r="D155" s="211"/>
      <c r="E155" s="211"/>
      <c r="F155" s="258" t="s">
        <v>206</v>
      </c>
      <c r="G155" s="211"/>
      <c r="H155" s="257" t="s">
        <v>246</v>
      </c>
      <c r="I155" s="257" t="s">
        <v>216</v>
      </c>
      <c r="J155" s="257"/>
      <c r="K155" s="253"/>
    </row>
    <row r="156" spans="2:11" s="1" customFormat="1" ht="15" customHeight="1">
      <c r="B156" s="232"/>
      <c r="C156" s="257" t="s">
        <v>225</v>
      </c>
      <c r="D156" s="211"/>
      <c r="E156" s="211"/>
      <c r="F156" s="258" t="s">
        <v>212</v>
      </c>
      <c r="G156" s="211"/>
      <c r="H156" s="257" t="s">
        <v>246</v>
      </c>
      <c r="I156" s="257" t="s">
        <v>208</v>
      </c>
      <c r="J156" s="257">
        <v>50</v>
      </c>
      <c r="K156" s="253"/>
    </row>
    <row r="157" spans="2:11" s="1" customFormat="1" ht="15" customHeight="1">
      <c r="B157" s="232"/>
      <c r="C157" s="257" t="s">
        <v>233</v>
      </c>
      <c r="D157" s="211"/>
      <c r="E157" s="211"/>
      <c r="F157" s="258" t="s">
        <v>212</v>
      </c>
      <c r="G157" s="211"/>
      <c r="H157" s="257" t="s">
        <v>246</v>
      </c>
      <c r="I157" s="257" t="s">
        <v>208</v>
      </c>
      <c r="J157" s="257">
        <v>50</v>
      </c>
      <c r="K157" s="253"/>
    </row>
    <row r="158" spans="2:11" s="1" customFormat="1" ht="15" customHeight="1">
      <c r="B158" s="232"/>
      <c r="C158" s="257" t="s">
        <v>231</v>
      </c>
      <c r="D158" s="211"/>
      <c r="E158" s="211"/>
      <c r="F158" s="258" t="s">
        <v>212</v>
      </c>
      <c r="G158" s="211"/>
      <c r="H158" s="257" t="s">
        <v>246</v>
      </c>
      <c r="I158" s="257" t="s">
        <v>208</v>
      </c>
      <c r="J158" s="257">
        <v>50</v>
      </c>
      <c r="K158" s="253"/>
    </row>
    <row r="159" spans="2:11" s="1" customFormat="1" ht="15" customHeight="1">
      <c r="B159" s="232"/>
      <c r="C159" s="257" t="s">
        <v>99</v>
      </c>
      <c r="D159" s="211"/>
      <c r="E159" s="211"/>
      <c r="F159" s="258" t="s">
        <v>206</v>
      </c>
      <c r="G159" s="211"/>
      <c r="H159" s="257" t="s">
        <v>268</v>
      </c>
      <c r="I159" s="257" t="s">
        <v>208</v>
      </c>
      <c r="J159" s="257" t="s">
        <v>269</v>
      </c>
      <c r="K159" s="253"/>
    </row>
    <row r="160" spans="2:11" s="1" customFormat="1" ht="15" customHeight="1">
      <c r="B160" s="232"/>
      <c r="C160" s="257" t="s">
        <v>270</v>
      </c>
      <c r="D160" s="211"/>
      <c r="E160" s="211"/>
      <c r="F160" s="258" t="s">
        <v>206</v>
      </c>
      <c r="G160" s="211"/>
      <c r="H160" s="257" t="s">
        <v>271</v>
      </c>
      <c r="I160" s="257" t="s">
        <v>241</v>
      </c>
      <c r="J160" s="257"/>
      <c r="K160" s="253"/>
    </row>
    <row r="161" spans="2:11" s="1" customFormat="1" ht="15" customHeight="1">
      <c r="B161" s="259"/>
      <c r="C161" s="241"/>
      <c r="D161" s="241"/>
      <c r="E161" s="241"/>
      <c r="F161" s="241"/>
      <c r="G161" s="241"/>
      <c r="H161" s="241"/>
      <c r="I161" s="241"/>
      <c r="J161" s="241"/>
      <c r="K161" s="260"/>
    </row>
    <row r="162" spans="2:11" s="1" customFormat="1" ht="18.75" customHeight="1">
      <c r="B162" s="208"/>
      <c r="C162" s="211"/>
      <c r="D162" s="211"/>
      <c r="E162" s="211"/>
      <c r="F162" s="231"/>
      <c r="G162" s="211"/>
      <c r="H162" s="211"/>
      <c r="I162" s="211"/>
      <c r="J162" s="211"/>
      <c r="K162" s="208"/>
    </row>
    <row r="163" spans="2:11" s="1" customFormat="1" ht="18.75" customHeight="1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</row>
    <row r="164" spans="2:11" s="1" customFormat="1" ht="7.5" customHeight="1">
      <c r="B164" s="200"/>
      <c r="C164" s="201"/>
      <c r="D164" s="201"/>
      <c r="E164" s="201"/>
      <c r="F164" s="201"/>
      <c r="G164" s="201"/>
      <c r="H164" s="201"/>
      <c r="I164" s="201"/>
      <c r="J164" s="201"/>
      <c r="K164" s="202"/>
    </row>
    <row r="165" spans="2:11" s="1" customFormat="1" ht="45" customHeight="1">
      <c r="B165" s="203"/>
      <c r="C165" s="690" t="s">
        <v>272</v>
      </c>
      <c r="D165" s="690"/>
      <c r="E165" s="690"/>
      <c r="F165" s="690"/>
      <c r="G165" s="690"/>
      <c r="H165" s="690"/>
      <c r="I165" s="690"/>
      <c r="J165" s="690"/>
      <c r="K165" s="204"/>
    </row>
    <row r="166" spans="2:11" s="1" customFormat="1" ht="17.25" customHeight="1">
      <c r="B166" s="203"/>
      <c r="C166" s="224" t="s">
        <v>200</v>
      </c>
      <c r="D166" s="224"/>
      <c r="E166" s="224"/>
      <c r="F166" s="224" t="s">
        <v>201</v>
      </c>
      <c r="G166" s="261"/>
      <c r="H166" s="262" t="s">
        <v>57</v>
      </c>
      <c r="I166" s="262" t="s">
        <v>60</v>
      </c>
      <c r="J166" s="224" t="s">
        <v>202</v>
      </c>
      <c r="K166" s="204"/>
    </row>
    <row r="167" spans="2:11" s="1" customFormat="1" ht="17.25" customHeight="1">
      <c r="B167" s="205"/>
      <c r="C167" s="226" t="s">
        <v>203</v>
      </c>
      <c r="D167" s="226"/>
      <c r="E167" s="226"/>
      <c r="F167" s="227" t="s">
        <v>204</v>
      </c>
      <c r="G167" s="263"/>
      <c r="H167" s="264"/>
      <c r="I167" s="264"/>
      <c r="J167" s="226" t="s">
        <v>205</v>
      </c>
      <c r="K167" s="206"/>
    </row>
    <row r="168" spans="2:11" s="1" customFormat="1" ht="5.25" customHeight="1">
      <c r="B168" s="232"/>
      <c r="C168" s="229"/>
      <c r="D168" s="229"/>
      <c r="E168" s="229"/>
      <c r="F168" s="229"/>
      <c r="G168" s="230"/>
      <c r="H168" s="229"/>
      <c r="I168" s="229"/>
      <c r="J168" s="229"/>
      <c r="K168" s="253"/>
    </row>
    <row r="169" spans="2:11" s="1" customFormat="1" ht="15" customHeight="1">
      <c r="B169" s="232"/>
      <c r="C169" s="211" t="s">
        <v>209</v>
      </c>
      <c r="D169" s="211"/>
      <c r="E169" s="211"/>
      <c r="F169" s="231" t="s">
        <v>206</v>
      </c>
      <c r="G169" s="211"/>
      <c r="H169" s="211" t="s">
        <v>246</v>
      </c>
      <c r="I169" s="211" t="s">
        <v>208</v>
      </c>
      <c r="J169" s="211">
        <v>120</v>
      </c>
      <c r="K169" s="253"/>
    </row>
    <row r="170" spans="2:11" s="1" customFormat="1" ht="15" customHeight="1">
      <c r="B170" s="232"/>
      <c r="C170" s="211" t="s">
        <v>255</v>
      </c>
      <c r="D170" s="211"/>
      <c r="E170" s="211"/>
      <c r="F170" s="231" t="s">
        <v>206</v>
      </c>
      <c r="G170" s="211"/>
      <c r="H170" s="211" t="s">
        <v>256</v>
      </c>
      <c r="I170" s="211" t="s">
        <v>208</v>
      </c>
      <c r="J170" s="211" t="s">
        <v>257</v>
      </c>
      <c r="K170" s="253"/>
    </row>
    <row r="171" spans="2:11" s="1" customFormat="1" ht="15" customHeight="1">
      <c r="B171" s="232"/>
      <c r="C171" s="211" t="s">
        <v>154</v>
      </c>
      <c r="D171" s="211"/>
      <c r="E171" s="211"/>
      <c r="F171" s="231" t="s">
        <v>206</v>
      </c>
      <c r="G171" s="211"/>
      <c r="H171" s="211" t="s">
        <v>273</v>
      </c>
      <c r="I171" s="211" t="s">
        <v>208</v>
      </c>
      <c r="J171" s="211" t="s">
        <v>257</v>
      </c>
      <c r="K171" s="253"/>
    </row>
    <row r="172" spans="2:11" s="1" customFormat="1" ht="15" customHeight="1">
      <c r="B172" s="232"/>
      <c r="C172" s="211" t="s">
        <v>211</v>
      </c>
      <c r="D172" s="211"/>
      <c r="E172" s="211"/>
      <c r="F172" s="231" t="s">
        <v>212</v>
      </c>
      <c r="G172" s="211"/>
      <c r="H172" s="211" t="s">
        <v>273</v>
      </c>
      <c r="I172" s="211" t="s">
        <v>208</v>
      </c>
      <c r="J172" s="211">
        <v>50</v>
      </c>
      <c r="K172" s="253"/>
    </row>
    <row r="173" spans="2:11" s="1" customFormat="1" ht="15" customHeight="1">
      <c r="B173" s="232"/>
      <c r="C173" s="211" t="s">
        <v>214</v>
      </c>
      <c r="D173" s="211"/>
      <c r="E173" s="211"/>
      <c r="F173" s="231" t="s">
        <v>206</v>
      </c>
      <c r="G173" s="211"/>
      <c r="H173" s="211" t="s">
        <v>273</v>
      </c>
      <c r="I173" s="211" t="s">
        <v>216</v>
      </c>
      <c r="J173" s="211"/>
      <c r="K173" s="253"/>
    </row>
    <row r="174" spans="2:11" s="1" customFormat="1" ht="15" customHeight="1">
      <c r="B174" s="232"/>
      <c r="C174" s="211" t="s">
        <v>225</v>
      </c>
      <c r="D174" s="211"/>
      <c r="E174" s="211"/>
      <c r="F174" s="231" t="s">
        <v>212</v>
      </c>
      <c r="G174" s="211"/>
      <c r="H174" s="211" t="s">
        <v>273</v>
      </c>
      <c r="I174" s="211" t="s">
        <v>208</v>
      </c>
      <c r="J174" s="211">
        <v>50</v>
      </c>
      <c r="K174" s="253"/>
    </row>
    <row r="175" spans="2:11" s="1" customFormat="1" ht="15" customHeight="1">
      <c r="B175" s="232"/>
      <c r="C175" s="211" t="s">
        <v>233</v>
      </c>
      <c r="D175" s="211"/>
      <c r="E175" s="211"/>
      <c r="F175" s="231" t="s">
        <v>212</v>
      </c>
      <c r="G175" s="211"/>
      <c r="H175" s="211" t="s">
        <v>273</v>
      </c>
      <c r="I175" s="211" t="s">
        <v>208</v>
      </c>
      <c r="J175" s="211">
        <v>50</v>
      </c>
      <c r="K175" s="253"/>
    </row>
    <row r="176" spans="2:11" s="1" customFormat="1" ht="15" customHeight="1">
      <c r="B176" s="232"/>
      <c r="C176" s="211" t="s">
        <v>231</v>
      </c>
      <c r="D176" s="211"/>
      <c r="E176" s="211"/>
      <c r="F176" s="231" t="s">
        <v>212</v>
      </c>
      <c r="G176" s="211"/>
      <c r="H176" s="211" t="s">
        <v>273</v>
      </c>
      <c r="I176" s="211" t="s">
        <v>208</v>
      </c>
      <c r="J176" s="211">
        <v>50</v>
      </c>
      <c r="K176" s="253"/>
    </row>
    <row r="177" spans="2:11" s="1" customFormat="1" ht="15" customHeight="1">
      <c r="B177" s="232"/>
      <c r="C177" s="211" t="s">
        <v>105</v>
      </c>
      <c r="D177" s="211"/>
      <c r="E177" s="211"/>
      <c r="F177" s="231" t="s">
        <v>206</v>
      </c>
      <c r="G177" s="211"/>
      <c r="H177" s="211" t="s">
        <v>274</v>
      </c>
      <c r="I177" s="211" t="s">
        <v>275</v>
      </c>
      <c r="J177" s="211"/>
      <c r="K177" s="253"/>
    </row>
    <row r="178" spans="2:11" s="1" customFormat="1" ht="15" customHeight="1">
      <c r="B178" s="232"/>
      <c r="C178" s="211" t="s">
        <v>60</v>
      </c>
      <c r="D178" s="211"/>
      <c r="E178" s="211"/>
      <c r="F178" s="231" t="s">
        <v>206</v>
      </c>
      <c r="G178" s="211"/>
      <c r="H178" s="211" t="s">
        <v>276</v>
      </c>
      <c r="I178" s="211" t="s">
        <v>277</v>
      </c>
      <c r="J178" s="211">
        <v>1</v>
      </c>
      <c r="K178" s="253"/>
    </row>
    <row r="179" spans="2:11" s="1" customFormat="1" ht="15" customHeight="1">
      <c r="B179" s="232"/>
      <c r="C179" s="211" t="s">
        <v>56</v>
      </c>
      <c r="D179" s="211"/>
      <c r="E179" s="211"/>
      <c r="F179" s="231" t="s">
        <v>206</v>
      </c>
      <c r="G179" s="211"/>
      <c r="H179" s="211" t="s">
        <v>278</v>
      </c>
      <c r="I179" s="211" t="s">
        <v>208</v>
      </c>
      <c r="J179" s="211">
        <v>20</v>
      </c>
      <c r="K179" s="253"/>
    </row>
    <row r="180" spans="2:11" s="1" customFormat="1" ht="15" customHeight="1">
      <c r="B180" s="232"/>
      <c r="C180" s="211" t="s">
        <v>57</v>
      </c>
      <c r="D180" s="211"/>
      <c r="E180" s="211"/>
      <c r="F180" s="231" t="s">
        <v>206</v>
      </c>
      <c r="G180" s="211"/>
      <c r="H180" s="211" t="s">
        <v>279</v>
      </c>
      <c r="I180" s="211" t="s">
        <v>208</v>
      </c>
      <c r="J180" s="211">
        <v>255</v>
      </c>
      <c r="K180" s="253"/>
    </row>
    <row r="181" spans="2:11" s="1" customFormat="1" ht="15" customHeight="1">
      <c r="B181" s="232"/>
      <c r="C181" s="211" t="s">
        <v>106</v>
      </c>
      <c r="D181" s="211"/>
      <c r="E181" s="211"/>
      <c r="F181" s="231" t="s">
        <v>206</v>
      </c>
      <c r="G181" s="211"/>
      <c r="H181" s="211" t="s">
        <v>170</v>
      </c>
      <c r="I181" s="211" t="s">
        <v>208</v>
      </c>
      <c r="J181" s="211">
        <v>10</v>
      </c>
      <c r="K181" s="253"/>
    </row>
    <row r="182" spans="2:11" s="1" customFormat="1" ht="15" customHeight="1">
      <c r="B182" s="232"/>
      <c r="C182" s="211" t="s">
        <v>107</v>
      </c>
      <c r="D182" s="211"/>
      <c r="E182" s="211"/>
      <c r="F182" s="231" t="s">
        <v>206</v>
      </c>
      <c r="G182" s="211"/>
      <c r="H182" s="211" t="s">
        <v>280</v>
      </c>
      <c r="I182" s="211" t="s">
        <v>241</v>
      </c>
      <c r="J182" s="211"/>
      <c r="K182" s="253"/>
    </row>
    <row r="183" spans="2:11" s="1" customFormat="1" ht="15" customHeight="1">
      <c r="B183" s="232"/>
      <c r="C183" s="211" t="s">
        <v>281</v>
      </c>
      <c r="D183" s="211"/>
      <c r="E183" s="211"/>
      <c r="F183" s="231" t="s">
        <v>206</v>
      </c>
      <c r="G183" s="211"/>
      <c r="H183" s="211" t="s">
        <v>282</v>
      </c>
      <c r="I183" s="211" t="s">
        <v>241</v>
      </c>
      <c r="J183" s="211"/>
      <c r="K183" s="253"/>
    </row>
    <row r="184" spans="2:11" s="1" customFormat="1" ht="15" customHeight="1">
      <c r="B184" s="232"/>
      <c r="C184" s="211" t="s">
        <v>270</v>
      </c>
      <c r="D184" s="211"/>
      <c r="E184" s="211"/>
      <c r="F184" s="231" t="s">
        <v>206</v>
      </c>
      <c r="G184" s="211"/>
      <c r="H184" s="211" t="s">
        <v>283</v>
      </c>
      <c r="I184" s="211" t="s">
        <v>241</v>
      </c>
      <c r="J184" s="211"/>
      <c r="K184" s="253"/>
    </row>
    <row r="185" spans="2:11" s="1" customFormat="1" ht="15" customHeight="1">
      <c r="B185" s="232"/>
      <c r="C185" s="211" t="s">
        <v>109</v>
      </c>
      <c r="D185" s="211"/>
      <c r="E185" s="211"/>
      <c r="F185" s="231" t="s">
        <v>212</v>
      </c>
      <c r="G185" s="211"/>
      <c r="H185" s="211" t="s">
        <v>284</v>
      </c>
      <c r="I185" s="211" t="s">
        <v>208</v>
      </c>
      <c r="J185" s="211">
        <v>50</v>
      </c>
      <c r="K185" s="253"/>
    </row>
    <row r="186" spans="2:11" s="1" customFormat="1" ht="15" customHeight="1">
      <c r="B186" s="232"/>
      <c r="C186" s="211" t="s">
        <v>285</v>
      </c>
      <c r="D186" s="211"/>
      <c r="E186" s="211"/>
      <c r="F186" s="231" t="s">
        <v>212</v>
      </c>
      <c r="G186" s="211"/>
      <c r="H186" s="211" t="s">
        <v>286</v>
      </c>
      <c r="I186" s="211" t="s">
        <v>287</v>
      </c>
      <c r="J186" s="211"/>
      <c r="K186" s="253"/>
    </row>
    <row r="187" spans="2:11" s="1" customFormat="1" ht="15" customHeight="1">
      <c r="B187" s="232"/>
      <c r="C187" s="211" t="s">
        <v>288</v>
      </c>
      <c r="D187" s="211"/>
      <c r="E187" s="211"/>
      <c r="F187" s="231" t="s">
        <v>212</v>
      </c>
      <c r="G187" s="211"/>
      <c r="H187" s="211" t="s">
        <v>289</v>
      </c>
      <c r="I187" s="211" t="s">
        <v>287</v>
      </c>
      <c r="J187" s="211"/>
      <c r="K187" s="253"/>
    </row>
    <row r="188" spans="2:11" s="1" customFormat="1" ht="15" customHeight="1">
      <c r="B188" s="232"/>
      <c r="C188" s="211" t="s">
        <v>290</v>
      </c>
      <c r="D188" s="211"/>
      <c r="E188" s="211"/>
      <c r="F188" s="231" t="s">
        <v>212</v>
      </c>
      <c r="G188" s="211"/>
      <c r="H188" s="211" t="s">
        <v>291</v>
      </c>
      <c r="I188" s="211" t="s">
        <v>287</v>
      </c>
      <c r="J188" s="211"/>
      <c r="K188" s="253"/>
    </row>
    <row r="189" spans="2:11" s="1" customFormat="1" ht="15" customHeight="1">
      <c r="B189" s="232"/>
      <c r="C189" s="265" t="s">
        <v>292</v>
      </c>
      <c r="D189" s="211"/>
      <c r="E189" s="211"/>
      <c r="F189" s="231" t="s">
        <v>212</v>
      </c>
      <c r="G189" s="211"/>
      <c r="H189" s="211" t="s">
        <v>293</v>
      </c>
      <c r="I189" s="211" t="s">
        <v>294</v>
      </c>
      <c r="J189" s="266" t="s">
        <v>295</v>
      </c>
      <c r="K189" s="253"/>
    </row>
    <row r="190" spans="2:11" s="1" customFormat="1" ht="15" customHeight="1">
      <c r="B190" s="232"/>
      <c r="C190" s="217" t="s">
        <v>45</v>
      </c>
      <c r="D190" s="211"/>
      <c r="E190" s="211"/>
      <c r="F190" s="231" t="s">
        <v>206</v>
      </c>
      <c r="G190" s="211"/>
      <c r="H190" s="208" t="s">
        <v>296</v>
      </c>
      <c r="I190" s="211" t="s">
        <v>297</v>
      </c>
      <c r="J190" s="211"/>
      <c r="K190" s="253"/>
    </row>
    <row r="191" spans="2:11" s="1" customFormat="1" ht="15" customHeight="1">
      <c r="B191" s="232"/>
      <c r="C191" s="217" t="s">
        <v>298</v>
      </c>
      <c r="D191" s="211"/>
      <c r="E191" s="211"/>
      <c r="F191" s="231" t="s">
        <v>206</v>
      </c>
      <c r="G191" s="211"/>
      <c r="H191" s="211" t="s">
        <v>299</v>
      </c>
      <c r="I191" s="211" t="s">
        <v>241</v>
      </c>
      <c r="J191" s="211"/>
      <c r="K191" s="253"/>
    </row>
    <row r="192" spans="2:11" s="1" customFormat="1" ht="15" customHeight="1">
      <c r="B192" s="232"/>
      <c r="C192" s="217" t="s">
        <v>300</v>
      </c>
      <c r="D192" s="211"/>
      <c r="E192" s="211"/>
      <c r="F192" s="231" t="s">
        <v>206</v>
      </c>
      <c r="G192" s="211"/>
      <c r="H192" s="211" t="s">
        <v>301</v>
      </c>
      <c r="I192" s="211" t="s">
        <v>241</v>
      </c>
      <c r="J192" s="211"/>
      <c r="K192" s="253"/>
    </row>
    <row r="193" spans="2:11" s="1" customFormat="1" ht="15" customHeight="1">
      <c r="B193" s="232"/>
      <c r="C193" s="217" t="s">
        <v>302</v>
      </c>
      <c r="D193" s="211"/>
      <c r="E193" s="211"/>
      <c r="F193" s="231" t="s">
        <v>212</v>
      </c>
      <c r="G193" s="211"/>
      <c r="H193" s="211" t="s">
        <v>303</v>
      </c>
      <c r="I193" s="211" t="s">
        <v>241</v>
      </c>
      <c r="J193" s="211"/>
      <c r="K193" s="253"/>
    </row>
    <row r="194" spans="2:11" s="1" customFormat="1" ht="15" customHeight="1">
      <c r="B194" s="259"/>
      <c r="C194" s="267"/>
      <c r="D194" s="241"/>
      <c r="E194" s="241"/>
      <c r="F194" s="241"/>
      <c r="G194" s="241"/>
      <c r="H194" s="241"/>
      <c r="I194" s="241"/>
      <c r="J194" s="241"/>
      <c r="K194" s="260"/>
    </row>
    <row r="195" spans="2:11" s="1" customFormat="1" ht="18.75" customHeight="1">
      <c r="B195" s="208"/>
      <c r="C195" s="211"/>
      <c r="D195" s="211"/>
      <c r="E195" s="211"/>
      <c r="F195" s="231"/>
      <c r="G195" s="211"/>
      <c r="H195" s="211"/>
      <c r="I195" s="211"/>
      <c r="J195" s="211"/>
      <c r="K195" s="208"/>
    </row>
    <row r="196" spans="2:11" s="1" customFormat="1" ht="18.75" customHeight="1">
      <c r="B196" s="208"/>
      <c r="C196" s="211"/>
      <c r="D196" s="211"/>
      <c r="E196" s="211"/>
      <c r="F196" s="231"/>
      <c r="G196" s="211"/>
      <c r="H196" s="211"/>
      <c r="I196" s="211"/>
      <c r="J196" s="211"/>
      <c r="K196" s="208"/>
    </row>
    <row r="197" spans="2:11" s="1" customFormat="1" ht="18.75" customHeight="1">
      <c r="B197" s="218"/>
      <c r="C197" s="218"/>
      <c r="D197" s="218"/>
      <c r="E197" s="218"/>
      <c r="F197" s="218"/>
      <c r="G197" s="218"/>
      <c r="H197" s="218"/>
      <c r="I197" s="218"/>
      <c r="J197" s="218"/>
      <c r="K197" s="218"/>
    </row>
    <row r="198" spans="2:11" s="1" customFormat="1" ht="12">
      <c r="B198" s="200"/>
      <c r="C198" s="201"/>
      <c r="D198" s="201"/>
      <c r="E198" s="201"/>
      <c r="F198" s="201"/>
      <c r="G198" s="201"/>
      <c r="H198" s="201"/>
      <c r="I198" s="201"/>
      <c r="J198" s="201"/>
      <c r="K198" s="202"/>
    </row>
    <row r="199" spans="2:11" s="1" customFormat="1" ht="22.2">
      <c r="B199" s="203"/>
      <c r="C199" s="690" t="s">
        <v>304</v>
      </c>
      <c r="D199" s="690"/>
      <c r="E199" s="690"/>
      <c r="F199" s="690"/>
      <c r="G199" s="690"/>
      <c r="H199" s="690"/>
      <c r="I199" s="690"/>
      <c r="J199" s="690"/>
      <c r="K199" s="204"/>
    </row>
    <row r="200" spans="2:11" s="1" customFormat="1" ht="25.5" customHeight="1">
      <c r="B200" s="203"/>
      <c r="C200" s="268" t="s">
        <v>305</v>
      </c>
      <c r="D200" s="268"/>
      <c r="E200" s="268"/>
      <c r="F200" s="268" t="s">
        <v>306</v>
      </c>
      <c r="G200" s="269"/>
      <c r="H200" s="696" t="s">
        <v>307</v>
      </c>
      <c r="I200" s="696"/>
      <c r="J200" s="696"/>
      <c r="K200" s="204"/>
    </row>
    <row r="201" spans="2:11" s="1" customFormat="1" ht="5.25" customHeight="1">
      <c r="B201" s="232"/>
      <c r="C201" s="229"/>
      <c r="D201" s="229"/>
      <c r="E201" s="229"/>
      <c r="F201" s="229"/>
      <c r="G201" s="211"/>
      <c r="H201" s="229"/>
      <c r="I201" s="229"/>
      <c r="J201" s="229"/>
      <c r="K201" s="253"/>
    </row>
    <row r="202" spans="2:11" s="1" customFormat="1" ht="15" customHeight="1">
      <c r="B202" s="232"/>
      <c r="C202" s="211" t="s">
        <v>297</v>
      </c>
      <c r="D202" s="211"/>
      <c r="E202" s="211"/>
      <c r="F202" s="231" t="s">
        <v>46</v>
      </c>
      <c r="G202" s="211"/>
      <c r="H202" s="695" t="s">
        <v>308</v>
      </c>
      <c r="I202" s="695"/>
      <c r="J202" s="695"/>
      <c r="K202" s="253"/>
    </row>
    <row r="203" spans="2:11" s="1" customFormat="1" ht="15" customHeight="1">
      <c r="B203" s="232"/>
      <c r="C203" s="238"/>
      <c r="D203" s="211"/>
      <c r="E203" s="211"/>
      <c r="F203" s="231" t="s">
        <v>47</v>
      </c>
      <c r="G203" s="211"/>
      <c r="H203" s="695" t="s">
        <v>309</v>
      </c>
      <c r="I203" s="695"/>
      <c r="J203" s="695"/>
      <c r="K203" s="253"/>
    </row>
    <row r="204" spans="2:11" s="1" customFormat="1" ht="15" customHeight="1">
      <c r="B204" s="232"/>
      <c r="C204" s="238"/>
      <c r="D204" s="211"/>
      <c r="E204" s="211"/>
      <c r="F204" s="231" t="s">
        <v>50</v>
      </c>
      <c r="G204" s="211"/>
      <c r="H204" s="695" t="s">
        <v>310</v>
      </c>
      <c r="I204" s="695"/>
      <c r="J204" s="695"/>
      <c r="K204" s="253"/>
    </row>
    <row r="205" spans="2:11" s="1" customFormat="1" ht="15" customHeight="1">
      <c r="B205" s="232"/>
      <c r="C205" s="211"/>
      <c r="D205" s="211"/>
      <c r="E205" s="211"/>
      <c r="F205" s="231" t="s">
        <v>48</v>
      </c>
      <c r="G205" s="211"/>
      <c r="H205" s="695" t="s">
        <v>311</v>
      </c>
      <c r="I205" s="695"/>
      <c r="J205" s="695"/>
      <c r="K205" s="253"/>
    </row>
    <row r="206" spans="2:11" s="1" customFormat="1" ht="15" customHeight="1">
      <c r="B206" s="232"/>
      <c r="C206" s="211"/>
      <c r="D206" s="211"/>
      <c r="E206" s="211"/>
      <c r="F206" s="231" t="s">
        <v>49</v>
      </c>
      <c r="G206" s="211"/>
      <c r="H206" s="695" t="s">
        <v>312</v>
      </c>
      <c r="I206" s="695"/>
      <c r="J206" s="695"/>
      <c r="K206" s="253"/>
    </row>
    <row r="207" spans="2:11" s="1" customFormat="1" ht="15" customHeight="1">
      <c r="B207" s="232"/>
      <c r="C207" s="211"/>
      <c r="D207" s="211"/>
      <c r="E207" s="211"/>
      <c r="F207" s="231"/>
      <c r="G207" s="211"/>
      <c r="H207" s="211"/>
      <c r="I207" s="211"/>
      <c r="J207" s="211"/>
      <c r="K207" s="253"/>
    </row>
    <row r="208" spans="2:11" s="1" customFormat="1" ht="15" customHeight="1">
      <c r="B208" s="232"/>
      <c r="C208" s="211" t="s">
        <v>253</v>
      </c>
      <c r="D208" s="211"/>
      <c r="E208" s="211"/>
      <c r="F208" s="231" t="s">
        <v>82</v>
      </c>
      <c r="G208" s="211"/>
      <c r="H208" s="695" t="s">
        <v>313</v>
      </c>
      <c r="I208" s="695"/>
      <c r="J208" s="695"/>
      <c r="K208" s="253"/>
    </row>
    <row r="209" spans="2:11" s="1" customFormat="1" ht="15" customHeight="1">
      <c r="B209" s="232"/>
      <c r="C209" s="238"/>
      <c r="D209" s="211"/>
      <c r="E209" s="211"/>
      <c r="F209" s="231" t="s">
        <v>148</v>
      </c>
      <c r="G209" s="211"/>
      <c r="H209" s="695" t="s">
        <v>149</v>
      </c>
      <c r="I209" s="695"/>
      <c r="J209" s="695"/>
      <c r="K209" s="253"/>
    </row>
    <row r="210" spans="2:11" s="1" customFormat="1" ht="15" customHeight="1">
      <c r="B210" s="232"/>
      <c r="C210" s="211"/>
      <c r="D210" s="211"/>
      <c r="E210" s="211"/>
      <c r="F210" s="231" t="s">
        <v>146</v>
      </c>
      <c r="G210" s="211"/>
      <c r="H210" s="695" t="s">
        <v>314</v>
      </c>
      <c r="I210" s="695"/>
      <c r="J210" s="695"/>
      <c r="K210" s="253"/>
    </row>
    <row r="211" spans="2:11" s="1" customFormat="1" ht="15" customHeight="1">
      <c r="B211" s="270"/>
      <c r="C211" s="238"/>
      <c r="D211" s="238"/>
      <c r="E211" s="238"/>
      <c r="F211" s="231" t="s">
        <v>150</v>
      </c>
      <c r="G211" s="217"/>
      <c r="H211" s="694" t="s">
        <v>151</v>
      </c>
      <c r="I211" s="694"/>
      <c r="J211" s="694"/>
      <c r="K211" s="271"/>
    </row>
    <row r="212" spans="2:11" s="1" customFormat="1" ht="15" customHeight="1">
      <c r="B212" s="270"/>
      <c r="C212" s="238"/>
      <c r="D212" s="238"/>
      <c r="E212" s="238"/>
      <c r="F212" s="231" t="s">
        <v>152</v>
      </c>
      <c r="G212" s="217"/>
      <c r="H212" s="694" t="s">
        <v>315</v>
      </c>
      <c r="I212" s="694"/>
      <c r="J212" s="694"/>
      <c r="K212" s="271"/>
    </row>
    <row r="213" spans="2:11" s="1" customFormat="1" ht="15" customHeight="1">
      <c r="B213" s="270"/>
      <c r="C213" s="238"/>
      <c r="D213" s="238"/>
      <c r="E213" s="238"/>
      <c r="F213" s="272"/>
      <c r="G213" s="217"/>
      <c r="H213" s="273"/>
      <c r="I213" s="273"/>
      <c r="J213" s="273"/>
      <c r="K213" s="271"/>
    </row>
    <row r="214" spans="2:11" s="1" customFormat="1" ht="15" customHeight="1">
      <c r="B214" s="270"/>
      <c r="C214" s="211" t="s">
        <v>277</v>
      </c>
      <c r="D214" s="238"/>
      <c r="E214" s="238"/>
      <c r="F214" s="231">
        <v>1</v>
      </c>
      <c r="G214" s="217"/>
      <c r="H214" s="694" t="s">
        <v>316</v>
      </c>
      <c r="I214" s="694"/>
      <c r="J214" s="694"/>
      <c r="K214" s="271"/>
    </row>
    <row r="215" spans="2:11" s="1" customFormat="1" ht="15" customHeight="1">
      <c r="B215" s="270"/>
      <c r="C215" s="238"/>
      <c r="D215" s="238"/>
      <c r="E215" s="238"/>
      <c r="F215" s="231">
        <v>2</v>
      </c>
      <c r="G215" s="217"/>
      <c r="H215" s="694" t="s">
        <v>317</v>
      </c>
      <c r="I215" s="694"/>
      <c r="J215" s="694"/>
      <c r="K215" s="271"/>
    </row>
    <row r="216" spans="2:11" s="1" customFormat="1" ht="15" customHeight="1">
      <c r="B216" s="270"/>
      <c r="C216" s="238"/>
      <c r="D216" s="238"/>
      <c r="E216" s="238"/>
      <c r="F216" s="231">
        <v>3</v>
      </c>
      <c r="G216" s="217"/>
      <c r="H216" s="694" t="s">
        <v>318</v>
      </c>
      <c r="I216" s="694"/>
      <c r="J216" s="694"/>
      <c r="K216" s="271"/>
    </row>
    <row r="217" spans="2:11" s="1" customFormat="1" ht="15" customHeight="1">
      <c r="B217" s="270"/>
      <c r="C217" s="238"/>
      <c r="D217" s="238"/>
      <c r="E217" s="238"/>
      <c r="F217" s="231">
        <v>4</v>
      </c>
      <c r="G217" s="217"/>
      <c r="H217" s="694" t="s">
        <v>319</v>
      </c>
      <c r="I217" s="694"/>
      <c r="J217" s="694"/>
      <c r="K217" s="271"/>
    </row>
    <row r="218" spans="2:11" s="1" customFormat="1" ht="12.75" customHeight="1">
      <c r="B218" s="274"/>
      <c r="C218" s="275"/>
      <c r="D218" s="275"/>
      <c r="E218" s="275"/>
      <c r="F218" s="275"/>
      <c r="G218" s="275"/>
      <c r="H218" s="275"/>
      <c r="I218" s="275"/>
      <c r="J218" s="275"/>
      <c r="K218" s="276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16</vt:i4>
      </vt:variant>
    </vt:vector>
  </HeadingPairs>
  <TitlesOfParts>
    <vt:vector size="31" baseType="lpstr">
      <vt:lpstr>Rekapitulace stavby</vt:lpstr>
      <vt:lpstr>D.1.1 - Architektonicko s...</vt:lpstr>
      <vt:lpstr>Krycí_list_rozpočtu</vt:lpstr>
      <vt:lpstr>Stavební_rozpočet</vt:lpstr>
      <vt:lpstr>D.1.4.1 - Klimatizace</vt:lpstr>
      <vt:lpstr>Rekapitulace klima</vt:lpstr>
      <vt:lpstr>Rozpočet klima</vt:lpstr>
      <vt:lpstr>D.1.4.2 - Zařízení silnop...</vt:lpstr>
      <vt:lpstr>Rekapitulace el</vt:lpstr>
      <vt:lpstr>Rozpočet el</vt:lpstr>
      <vt:lpstr>Parametry</vt:lpstr>
      <vt:lpstr>D.1.4.3 - Zdravotnětechni...</vt:lpstr>
      <vt:lpstr>Rekapitulace zti</vt:lpstr>
      <vt:lpstr>Rozpočet zti</vt:lpstr>
      <vt:lpstr>Pokyny pro vyplnění</vt:lpstr>
      <vt:lpstr>'D.1.1 - Architektonicko s...'!Názvy_tisku</vt:lpstr>
      <vt:lpstr>'D.1.4.1 - Klimatizace'!Názvy_tisku</vt:lpstr>
      <vt:lpstr>'D.1.4.2 - Zařízení silnop...'!Názvy_tisku</vt:lpstr>
      <vt:lpstr>'D.1.4.3 - Zdravotnětechni...'!Názvy_tisku</vt:lpstr>
      <vt:lpstr>'Rekapitulace stavby'!Názvy_tisku</vt:lpstr>
      <vt:lpstr>'D.1.1 - Architektonicko s...'!Oblast_tisku</vt:lpstr>
      <vt:lpstr>'D.1.4.1 - Klimatizace'!Oblast_tisku</vt:lpstr>
      <vt:lpstr>'D.1.4.2 - Zařízení silnop...'!Oblast_tisku</vt:lpstr>
      <vt:lpstr>'D.1.4.3 - Zdravotnětechni...'!Oblast_tisku</vt:lpstr>
      <vt:lpstr>Parametry!Oblast_tisku</vt:lpstr>
      <vt:lpstr>'Pokyny pro vyplnění'!Oblast_tisku</vt:lpstr>
      <vt:lpstr>'Rekapitulace stavby'!Oblast_tisku</vt:lpstr>
      <vt:lpstr>'Rozpočet el'!Oblast_tisku</vt:lpstr>
      <vt:lpstr>'Rozpočet klima'!Oblast_tisku</vt:lpstr>
      <vt:lpstr>'Rozpočet zti'!Oblast_tisku</vt:lpstr>
      <vt:lpstr>Stavební_rozpočet!Oblast_tisku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habova</dc:creator>
  <cp:lastModifiedBy>schuhova</cp:lastModifiedBy>
  <cp:lastPrinted>2020-03-11T06:56:28Z</cp:lastPrinted>
  <dcterms:created xsi:type="dcterms:W3CDTF">2020-03-04T12:35:23Z</dcterms:created>
  <dcterms:modified xsi:type="dcterms:W3CDTF">2020-03-11T10:58:54Z</dcterms:modified>
</cp:coreProperties>
</file>