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Z KPU 072_78 RTS" sheetId="1" r:id="rId1"/>
    <sheet name="KPU 072_78 RTS_SO_021" sheetId="2" r:id="rId2"/>
    <sheet name="KPU 072_78 RTS_SO_021_čás_1-HSV" sheetId="3" r:id="rId3"/>
    <sheet name="KPU 072_78 RTS_SO_021_čás_2-HSV" sheetId="4" r:id="rId4"/>
    <sheet name="KPU 072_78 RTS_SO_021_čás_2-PSV" sheetId="5" r:id="rId5"/>
    <sheet name="KPU 072_78 RTS_SO_021_čás_3-HSV" sheetId="6" r:id="rId6"/>
    <sheet name="KPU 072_78 RTS_SO_021_čás_3-PSV" sheetId="7" r:id="rId7"/>
    <sheet name="KPU 072_78 RTS_SO_022" sheetId="8" r:id="rId8"/>
    <sheet name="KPU 072_78 RTS_SO_022_čás_4-HSV" sheetId="9" r:id="rId9"/>
    <sheet name="KPU 072_78 RTS_SO_022_čás_5-HSV" sheetId="10" r:id="rId10"/>
    <sheet name="KPU 072_78 RTS_SO_022_čás_5-PSV" sheetId="11" r:id="rId11"/>
    <sheet name="KPU 072_78 RTS_SO_023" sheetId="12" r:id="rId12"/>
    <sheet name="KPU 072_78 RTS_SO_023_čás_6-HSV" sheetId="13" r:id="rId13"/>
    <sheet name="KPU 072_78 RTS_SO_023_čás_7-HSV" sheetId="14" r:id="rId14"/>
    <sheet name="KPU 072_78 RTS_SO_023_čás_7-PSV" sheetId="15" r:id="rId15"/>
  </sheets>
  <definedNames>
    <definedName name="_xlnm.Print_Area" localSheetId="1">'KPU 072_78 RTS_SO_021'!$A:$L</definedName>
    <definedName name="_xlnm.Print_Area" localSheetId="2">'KPU 072_78 RTS_SO_021_čás_1-HSV'!$A:$G</definedName>
    <definedName name="_xlnm.Print_Area" localSheetId="3">'KPU 072_78 RTS_SO_021_čás_2-HSV'!$A:$G</definedName>
    <definedName name="_xlnm.Print_Area" localSheetId="4">'KPU 072_78 RTS_SO_021_čás_2-PSV'!$A:$G</definedName>
    <definedName name="_xlnm.Print_Area" localSheetId="5">'KPU 072_78 RTS_SO_021_čás_3-HSV'!$A:$G</definedName>
    <definedName name="_xlnm.Print_Area" localSheetId="6">'KPU 072_78 RTS_SO_021_čás_3-PSV'!$A:$G</definedName>
    <definedName name="_xlnm.Print_Area" localSheetId="7">'KPU 072_78 RTS_SO_022'!$A:$L</definedName>
    <definedName name="_xlnm.Print_Area" localSheetId="8">'KPU 072_78 RTS_SO_022_čás_4-HSV'!$A:$G</definedName>
    <definedName name="_xlnm.Print_Area" localSheetId="9">'KPU 072_78 RTS_SO_022_čás_5-HSV'!$A:$G</definedName>
    <definedName name="_xlnm.Print_Area" localSheetId="10">'KPU 072_78 RTS_SO_022_čás_5-PSV'!$A:$G</definedName>
    <definedName name="_xlnm.Print_Area" localSheetId="11">'KPU 072_78 RTS_SO_023'!$A:$L</definedName>
    <definedName name="_xlnm.Print_Area" localSheetId="12">'KPU 072_78 RTS_SO_023_čás_6-HSV'!$A:$G</definedName>
    <definedName name="_xlnm.Print_Area" localSheetId="13">'KPU 072_78 RTS_SO_023_čás_7-HSV'!$A:$G</definedName>
    <definedName name="_xlnm.Print_Area" localSheetId="14">'KPU 072_78 RTS_SO_023_čás_7-PSV'!$A:$G</definedName>
    <definedName name="_xlnm.Print_Area" localSheetId="0">'Z KPU 072_78 RTS'!$A:$N</definedName>
  </definedNames>
  <calcPr calcId="125725"/>
</workbook>
</file>

<file path=xl/calcChain.xml><?xml version="1.0" encoding="utf-8"?>
<calcChain xmlns="http://schemas.openxmlformats.org/spreadsheetml/2006/main">
  <c r="A17" i="1"/>
  <c r="A14"/>
  <c r="A11"/>
  <c r="N13" i="15"/>
  <c r="O13" s="1"/>
  <c r="M13"/>
  <c r="K13"/>
  <c r="I13"/>
  <c r="G13"/>
  <c r="N12"/>
  <c r="O12" s="1"/>
  <c r="O14" s="1"/>
  <c r="O16" s="1"/>
  <c r="M12"/>
  <c r="M14" s="1"/>
  <c r="M16" s="1"/>
  <c r="K12"/>
  <c r="K14" s="1"/>
  <c r="K16" s="1"/>
  <c r="I12"/>
  <c r="I14" s="1"/>
  <c r="I16" s="1"/>
  <c r="G12"/>
  <c r="G14" s="1"/>
  <c r="Z1"/>
  <c r="Z3" s="1"/>
  <c r="Y1"/>
  <c r="Y3" s="1"/>
  <c r="X1"/>
  <c r="X3" s="1"/>
  <c r="W1"/>
  <c r="W3" s="1"/>
  <c r="U1"/>
  <c r="F21" i="12" s="1"/>
  <c r="T1" i="15"/>
  <c r="F20" i="12" s="1"/>
  <c r="S1" i="15"/>
  <c r="F19" i="12" s="1"/>
  <c r="R1" i="15"/>
  <c r="F18" i="12" s="1"/>
  <c r="Q1" i="15"/>
  <c r="F17" i="12" s="1"/>
  <c r="N77" i="14"/>
  <c r="N73"/>
  <c r="O73" s="1"/>
  <c r="M73"/>
  <c r="K73"/>
  <c r="I73"/>
  <c r="G73"/>
  <c r="N72"/>
  <c r="O72" s="1"/>
  <c r="M72"/>
  <c r="K72"/>
  <c r="I72"/>
  <c r="G72"/>
  <c r="N71"/>
  <c r="O71" s="1"/>
  <c r="O74" s="1"/>
  <c r="M71"/>
  <c r="M74" s="1"/>
  <c r="K71"/>
  <c r="K74" s="1"/>
  <c r="I71"/>
  <c r="I74" s="1"/>
  <c r="G71"/>
  <c r="G74" s="1"/>
  <c r="E94" s="1"/>
  <c r="N67"/>
  <c r="O67" s="1"/>
  <c r="O68" s="1"/>
  <c r="M67"/>
  <c r="M68" s="1"/>
  <c r="K67"/>
  <c r="K68" s="1"/>
  <c r="I67"/>
  <c r="I68" s="1"/>
  <c r="G67"/>
  <c r="G68" s="1"/>
  <c r="E93" s="1"/>
  <c r="N63"/>
  <c r="O63" s="1"/>
  <c r="O64" s="1"/>
  <c r="M63"/>
  <c r="M64" s="1"/>
  <c r="K63"/>
  <c r="K64" s="1"/>
  <c r="I63"/>
  <c r="I64" s="1"/>
  <c r="G63"/>
  <c r="G64" s="1"/>
  <c r="E92" s="1"/>
  <c r="N59"/>
  <c r="O59" s="1"/>
  <c r="M59"/>
  <c r="K59"/>
  <c r="I59"/>
  <c r="G59"/>
  <c r="N58"/>
  <c r="O58" s="1"/>
  <c r="M58"/>
  <c r="K58"/>
  <c r="I58"/>
  <c r="G58"/>
  <c r="N57"/>
  <c r="O57" s="1"/>
  <c r="O60" s="1"/>
  <c r="M57"/>
  <c r="M60" s="1"/>
  <c r="K57"/>
  <c r="K60" s="1"/>
  <c r="I57"/>
  <c r="I60" s="1"/>
  <c r="G57"/>
  <c r="G60" s="1"/>
  <c r="E91" s="1"/>
  <c r="N53"/>
  <c r="O53" s="1"/>
  <c r="M53"/>
  <c r="K53"/>
  <c r="I53"/>
  <c r="G53"/>
  <c r="N52"/>
  <c r="O52" s="1"/>
  <c r="M52"/>
  <c r="K52"/>
  <c r="I52"/>
  <c r="G52"/>
  <c r="N51"/>
  <c r="O51" s="1"/>
  <c r="M51"/>
  <c r="K51"/>
  <c r="I51"/>
  <c r="G51"/>
  <c r="N50"/>
  <c r="O50" s="1"/>
  <c r="M50"/>
  <c r="K50"/>
  <c r="I50"/>
  <c r="G50"/>
  <c r="N49"/>
  <c r="O49" s="1"/>
  <c r="O54" s="1"/>
  <c r="M49"/>
  <c r="M54" s="1"/>
  <c r="K49"/>
  <c r="K54" s="1"/>
  <c r="I49"/>
  <c r="I54" s="1"/>
  <c r="G49"/>
  <c r="G54" s="1"/>
  <c r="E90" s="1"/>
  <c r="N45"/>
  <c r="O45" s="1"/>
  <c r="O46" s="1"/>
  <c r="M45"/>
  <c r="M46" s="1"/>
  <c r="K45"/>
  <c r="K46" s="1"/>
  <c r="I45"/>
  <c r="I46" s="1"/>
  <c r="G45"/>
  <c r="G46" s="1"/>
  <c r="E89" s="1"/>
  <c r="N41"/>
  <c r="O41" s="1"/>
  <c r="M41"/>
  <c r="K41"/>
  <c r="I41"/>
  <c r="G41"/>
  <c r="N40"/>
  <c r="O40" s="1"/>
  <c r="M40"/>
  <c r="K40"/>
  <c r="I40"/>
  <c r="G40"/>
  <c r="N39"/>
  <c r="O39" s="1"/>
  <c r="M39"/>
  <c r="K39"/>
  <c r="I39"/>
  <c r="G39"/>
  <c r="N38"/>
  <c r="O38" s="1"/>
  <c r="M38"/>
  <c r="K38"/>
  <c r="I38"/>
  <c r="G38"/>
  <c r="N37"/>
  <c r="O37" s="1"/>
  <c r="M37"/>
  <c r="K37"/>
  <c r="I37"/>
  <c r="G37"/>
  <c r="N36"/>
  <c r="O36" s="1"/>
  <c r="M36"/>
  <c r="K36"/>
  <c r="I36"/>
  <c r="G36"/>
  <c r="N35"/>
  <c r="O35" s="1"/>
  <c r="O42" s="1"/>
  <c r="M35"/>
  <c r="M42" s="1"/>
  <c r="K35"/>
  <c r="K42" s="1"/>
  <c r="I35"/>
  <c r="I42" s="1"/>
  <c r="G35"/>
  <c r="G42" s="1"/>
  <c r="E88" s="1"/>
  <c r="N31"/>
  <c r="O31" s="1"/>
  <c r="M31"/>
  <c r="K31"/>
  <c r="I31"/>
  <c r="G31"/>
  <c r="N30"/>
  <c r="O30" s="1"/>
  <c r="M30"/>
  <c r="K30"/>
  <c r="I30"/>
  <c r="G30"/>
  <c r="N29"/>
  <c r="O29" s="1"/>
  <c r="O32" s="1"/>
  <c r="M29"/>
  <c r="M32" s="1"/>
  <c r="K29"/>
  <c r="K32" s="1"/>
  <c r="I29"/>
  <c r="I32" s="1"/>
  <c r="G29"/>
  <c r="G32" s="1"/>
  <c r="E87" s="1"/>
  <c r="N25"/>
  <c r="O25" s="1"/>
  <c r="M25"/>
  <c r="K25"/>
  <c r="I25"/>
  <c r="G25"/>
  <c r="N24"/>
  <c r="O24" s="1"/>
  <c r="M24"/>
  <c r="K24"/>
  <c r="I24"/>
  <c r="G24"/>
  <c r="N23"/>
  <c r="O23" s="1"/>
  <c r="M23"/>
  <c r="K23"/>
  <c r="I23"/>
  <c r="G23"/>
  <c r="N22"/>
  <c r="O22" s="1"/>
  <c r="O26" s="1"/>
  <c r="M22"/>
  <c r="M26" s="1"/>
  <c r="K22"/>
  <c r="K26" s="1"/>
  <c r="I22"/>
  <c r="I26" s="1"/>
  <c r="G22"/>
  <c r="G26" s="1"/>
  <c r="E86" s="1"/>
  <c r="N18"/>
  <c r="O18" s="1"/>
  <c r="O19" s="1"/>
  <c r="M18"/>
  <c r="M19" s="1"/>
  <c r="K18"/>
  <c r="K19" s="1"/>
  <c r="I18"/>
  <c r="I19" s="1"/>
  <c r="G18"/>
  <c r="G19" s="1"/>
  <c r="E85" s="1"/>
  <c r="N14"/>
  <c r="O14" s="1"/>
  <c r="M14"/>
  <c r="K14"/>
  <c r="I14"/>
  <c r="G14"/>
  <c r="N13"/>
  <c r="O13" s="1"/>
  <c r="M13"/>
  <c r="K13"/>
  <c r="I13"/>
  <c r="G13"/>
  <c r="N12"/>
  <c r="O12" s="1"/>
  <c r="O15" s="1"/>
  <c r="M12"/>
  <c r="M15" s="1"/>
  <c r="K12"/>
  <c r="K15" s="1"/>
  <c r="I12"/>
  <c r="I15" s="1"/>
  <c r="G12"/>
  <c r="G15" s="1"/>
  <c r="Z1"/>
  <c r="Z2" s="1"/>
  <c r="Y1"/>
  <c r="Y2" s="1"/>
  <c r="X1"/>
  <c r="X2" s="1"/>
  <c r="U1"/>
  <c r="U2" s="1"/>
  <c r="T1"/>
  <c r="T2" s="1"/>
  <c r="S1"/>
  <c r="S2" s="1"/>
  <c r="R1"/>
  <c r="N55" i="13"/>
  <c r="N51"/>
  <c r="O51" s="1"/>
  <c r="O52" s="1"/>
  <c r="M51"/>
  <c r="M52" s="1"/>
  <c r="K51"/>
  <c r="K52" s="1"/>
  <c r="I51"/>
  <c r="I52" s="1"/>
  <c r="G51"/>
  <c r="G52" s="1"/>
  <c r="E69" s="1"/>
  <c r="N47"/>
  <c r="O47" s="1"/>
  <c r="M47"/>
  <c r="K47"/>
  <c r="I47"/>
  <c r="G47"/>
  <c r="N46"/>
  <c r="O46" s="1"/>
  <c r="O48" s="1"/>
  <c r="M46"/>
  <c r="M48" s="1"/>
  <c r="K46"/>
  <c r="K48" s="1"/>
  <c r="I46"/>
  <c r="I48" s="1"/>
  <c r="G46"/>
  <c r="G48" s="1"/>
  <c r="E68" s="1"/>
  <c r="N42"/>
  <c r="O42" s="1"/>
  <c r="M42"/>
  <c r="K42"/>
  <c r="I42"/>
  <c r="G42"/>
  <c r="N41"/>
  <c r="O41" s="1"/>
  <c r="M41"/>
  <c r="K41"/>
  <c r="I41"/>
  <c r="G41"/>
  <c r="N40"/>
  <c r="O40" s="1"/>
  <c r="M40"/>
  <c r="K40"/>
  <c r="I40"/>
  <c r="G40"/>
  <c r="N39"/>
  <c r="O39" s="1"/>
  <c r="O43" s="1"/>
  <c r="M39"/>
  <c r="M43" s="1"/>
  <c r="K39"/>
  <c r="K43" s="1"/>
  <c r="I39"/>
  <c r="I43" s="1"/>
  <c r="G39"/>
  <c r="G43" s="1"/>
  <c r="E67" s="1"/>
  <c r="N35"/>
  <c r="O35" s="1"/>
  <c r="M35"/>
  <c r="K35"/>
  <c r="I35"/>
  <c r="G35"/>
  <c r="N34"/>
  <c r="O34" s="1"/>
  <c r="M34"/>
  <c r="K34"/>
  <c r="I34"/>
  <c r="G34"/>
  <c r="N33"/>
  <c r="O33" s="1"/>
  <c r="O36" s="1"/>
  <c r="M33"/>
  <c r="M36" s="1"/>
  <c r="K33"/>
  <c r="K36" s="1"/>
  <c r="I33"/>
  <c r="I36" s="1"/>
  <c r="G33"/>
  <c r="G36" s="1"/>
  <c r="E66" s="1"/>
  <c r="N29"/>
  <c r="O29" s="1"/>
  <c r="M29"/>
  <c r="K29"/>
  <c r="I29"/>
  <c r="G29"/>
  <c r="N28"/>
  <c r="O28" s="1"/>
  <c r="M28"/>
  <c r="K28"/>
  <c r="I28"/>
  <c r="G28"/>
  <c r="N27"/>
  <c r="O27" s="1"/>
  <c r="M27"/>
  <c r="K27"/>
  <c r="I27"/>
  <c r="G27"/>
  <c r="N26"/>
  <c r="O26" s="1"/>
  <c r="O30" s="1"/>
  <c r="M26"/>
  <c r="M30" s="1"/>
  <c r="K26"/>
  <c r="K30" s="1"/>
  <c r="I26"/>
  <c r="I30" s="1"/>
  <c r="G26"/>
  <c r="G30" s="1"/>
  <c r="E65" s="1"/>
  <c r="N22"/>
  <c r="O22" s="1"/>
  <c r="O23" s="1"/>
  <c r="M22"/>
  <c r="M23" s="1"/>
  <c r="K22"/>
  <c r="K23" s="1"/>
  <c r="I22"/>
  <c r="I23" s="1"/>
  <c r="G22"/>
  <c r="G23" s="1"/>
  <c r="E64" s="1"/>
  <c r="N18"/>
  <c r="O18" s="1"/>
  <c r="O19" s="1"/>
  <c r="M18"/>
  <c r="M19" s="1"/>
  <c r="K18"/>
  <c r="K19" s="1"/>
  <c r="I18"/>
  <c r="I19" s="1"/>
  <c r="G18"/>
  <c r="G19" s="1"/>
  <c r="E63" s="1"/>
  <c r="N14"/>
  <c r="O14" s="1"/>
  <c r="M14"/>
  <c r="K14"/>
  <c r="I14"/>
  <c r="G14"/>
  <c r="N13"/>
  <c r="O13" s="1"/>
  <c r="M13"/>
  <c r="K13"/>
  <c r="I13"/>
  <c r="G13"/>
  <c r="N12"/>
  <c r="O12" s="1"/>
  <c r="O15" s="1"/>
  <c r="M12"/>
  <c r="M15" s="1"/>
  <c r="K12"/>
  <c r="K15" s="1"/>
  <c r="I12"/>
  <c r="I15" s="1"/>
  <c r="G12"/>
  <c r="G15" s="1"/>
  <c r="Z1"/>
  <c r="Z2" s="1"/>
  <c r="Y1"/>
  <c r="Y2" s="1"/>
  <c r="X1"/>
  <c r="X2" s="1"/>
  <c r="U1"/>
  <c r="D21" i="12" s="1"/>
  <c r="T1" i="13"/>
  <c r="S1"/>
  <c r="D19" i="12" s="1"/>
  <c r="R1" i="13"/>
  <c r="D18" i="12" s="1"/>
  <c r="F22"/>
  <c r="I21"/>
  <c r="K21" s="1"/>
  <c r="I20"/>
  <c r="I19"/>
  <c r="K19" s="1"/>
  <c r="I18"/>
  <c r="K18" s="1"/>
  <c r="I17"/>
  <c r="I22" s="1"/>
  <c r="N14" i="11"/>
  <c r="O14" s="1"/>
  <c r="M14"/>
  <c r="K14"/>
  <c r="I14"/>
  <c r="G14"/>
  <c r="N13"/>
  <c r="O13" s="1"/>
  <c r="M13"/>
  <c r="K13"/>
  <c r="I13"/>
  <c r="G13"/>
  <c r="N12"/>
  <c r="O12" s="1"/>
  <c r="O15" s="1"/>
  <c r="O17" s="1"/>
  <c r="M12"/>
  <c r="M15" s="1"/>
  <c r="M17" s="1"/>
  <c r="K12"/>
  <c r="K15" s="1"/>
  <c r="K17" s="1"/>
  <c r="I12"/>
  <c r="I15" s="1"/>
  <c r="I17" s="1"/>
  <c r="G12"/>
  <c r="G15" s="1"/>
  <c r="Z1"/>
  <c r="Z3" s="1"/>
  <c r="Y1"/>
  <c r="Y3" s="1"/>
  <c r="X1"/>
  <c r="X3" s="1"/>
  <c r="W1"/>
  <c r="W3" s="1"/>
  <c r="U1"/>
  <c r="F21" i="8" s="1"/>
  <c r="T1" i="11"/>
  <c r="F20" i="8" s="1"/>
  <c r="S1" i="11"/>
  <c r="F19" i="8" s="1"/>
  <c r="R1" i="11"/>
  <c r="F18" i="8" s="1"/>
  <c r="Q1" i="11"/>
  <c r="F17" i="8" s="1"/>
  <c r="N65" i="10"/>
  <c r="N61"/>
  <c r="O61" s="1"/>
  <c r="M61"/>
  <c r="K61"/>
  <c r="I61"/>
  <c r="G61"/>
  <c r="N60"/>
  <c r="O60" s="1"/>
  <c r="M60"/>
  <c r="K60"/>
  <c r="I60"/>
  <c r="G60"/>
  <c r="N59"/>
  <c r="O59" s="1"/>
  <c r="M59"/>
  <c r="K59"/>
  <c r="I59"/>
  <c r="G59"/>
  <c r="N58"/>
  <c r="O58" s="1"/>
  <c r="O62" s="1"/>
  <c r="M58"/>
  <c r="M62" s="1"/>
  <c r="K58"/>
  <c r="K62" s="1"/>
  <c r="I58"/>
  <c r="I62" s="1"/>
  <c r="G58"/>
  <c r="G62" s="1"/>
  <c r="E80" s="1"/>
  <c r="N54"/>
  <c r="O54" s="1"/>
  <c r="O55" s="1"/>
  <c r="M54"/>
  <c r="M55" s="1"/>
  <c r="K54"/>
  <c r="K55" s="1"/>
  <c r="I54"/>
  <c r="I55" s="1"/>
  <c r="G54"/>
  <c r="G55" s="1"/>
  <c r="E79" s="1"/>
  <c r="N50"/>
  <c r="O50" s="1"/>
  <c r="O51" s="1"/>
  <c r="M50"/>
  <c r="M51" s="1"/>
  <c r="K50"/>
  <c r="K51" s="1"/>
  <c r="I50"/>
  <c r="I51" s="1"/>
  <c r="G50"/>
  <c r="G51" s="1"/>
  <c r="E78" s="1"/>
  <c r="N46"/>
  <c r="O46" s="1"/>
  <c r="M46"/>
  <c r="K46"/>
  <c r="I46"/>
  <c r="G46"/>
  <c r="N45"/>
  <c r="O45" s="1"/>
  <c r="M45"/>
  <c r="K45"/>
  <c r="I45"/>
  <c r="G45"/>
  <c r="N44"/>
  <c r="O44" s="1"/>
  <c r="M44"/>
  <c r="K44"/>
  <c r="I44"/>
  <c r="G44"/>
  <c r="N43"/>
  <c r="O43" s="1"/>
  <c r="M43"/>
  <c r="K43"/>
  <c r="I43"/>
  <c r="G43"/>
  <c r="N42"/>
  <c r="O42" s="1"/>
  <c r="O47" s="1"/>
  <c r="M42"/>
  <c r="M47" s="1"/>
  <c r="K42"/>
  <c r="K47" s="1"/>
  <c r="I42"/>
  <c r="I47" s="1"/>
  <c r="G42"/>
  <c r="G47" s="1"/>
  <c r="E77" s="1"/>
  <c r="N38"/>
  <c r="O38" s="1"/>
  <c r="M38"/>
  <c r="K38"/>
  <c r="I38"/>
  <c r="G38"/>
  <c r="N37"/>
  <c r="O37" s="1"/>
  <c r="O39" s="1"/>
  <c r="M37"/>
  <c r="M39" s="1"/>
  <c r="K37"/>
  <c r="K39" s="1"/>
  <c r="I37"/>
  <c r="I39" s="1"/>
  <c r="G37"/>
  <c r="G39" s="1"/>
  <c r="E76" s="1"/>
  <c r="N33"/>
  <c r="O33" s="1"/>
  <c r="M33"/>
  <c r="K33"/>
  <c r="I33"/>
  <c r="G33"/>
  <c r="N32"/>
  <c r="O32" s="1"/>
  <c r="M32"/>
  <c r="K32"/>
  <c r="I32"/>
  <c r="G32"/>
  <c r="N31"/>
  <c r="O31" s="1"/>
  <c r="M31"/>
  <c r="K31"/>
  <c r="I31"/>
  <c r="G31"/>
  <c r="N30"/>
  <c r="O30" s="1"/>
  <c r="O34" s="1"/>
  <c r="M30"/>
  <c r="M34" s="1"/>
  <c r="K30"/>
  <c r="K34" s="1"/>
  <c r="I30"/>
  <c r="I34" s="1"/>
  <c r="G30"/>
  <c r="G34" s="1"/>
  <c r="E75" s="1"/>
  <c r="N26"/>
  <c r="O26" s="1"/>
  <c r="M26"/>
  <c r="K26"/>
  <c r="I26"/>
  <c r="G26"/>
  <c r="N25"/>
  <c r="O25" s="1"/>
  <c r="M25"/>
  <c r="K25"/>
  <c r="I25"/>
  <c r="G25"/>
  <c r="N24"/>
  <c r="O24" s="1"/>
  <c r="O27" s="1"/>
  <c r="M24"/>
  <c r="M27" s="1"/>
  <c r="K24"/>
  <c r="K27" s="1"/>
  <c r="I24"/>
  <c r="I27" s="1"/>
  <c r="G24"/>
  <c r="G27" s="1"/>
  <c r="E74" s="1"/>
  <c r="N20"/>
  <c r="O20" s="1"/>
  <c r="M20"/>
  <c r="K20"/>
  <c r="I20"/>
  <c r="G20"/>
  <c r="N19"/>
  <c r="O19" s="1"/>
  <c r="M19"/>
  <c r="K19"/>
  <c r="I19"/>
  <c r="G19"/>
  <c r="N18"/>
  <c r="O18" s="1"/>
  <c r="O21" s="1"/>
  <c r="M18"/>
  <c r="M21" s="1"/>
  <c r="K18"/>
  <c r="K21" s="1"/>
  <c r="I18"/>
  <c r="I21" s="1"/>
  <c r="G18"/>
  <c r="G21" s="1"/>
  <c r="E73" s="1"/>
  <c r="N14"/>
  <c r="O14" s="1"/>
  <c r="M14"/>
  <c r="K14"/>
  <c r="I14"/>
  <c r="G14"/>
  <c r="N13"/>
  <c r="O13" s="1"/>
  <c r="M13"/>
  <c r="K13"/>
  <c r="I13"/>
  <c r="G13"/>
  <c r="N12"/>
  <c r="O12" s="1"/>
  <c r="O15" s="1"/>
  <c r="M12"/>
  <c r="M15" s="1"/>
  <c r="K12"/>
  <c r="K15" s="1"/>
  <c r="I12"/>
  <c r="I15" s="1"/>
  <c r="G12"/>
  <c r="G15" s="1"/>
  <c r="Z1"/>
  <c r="Z2" s="1"/>
  <c r="Y1"/>
  <c r="Y2" s="1"/>
  <c r="X1"/>
  <c r="X2" s="1"/>
  <c r="U1"/>
  <c r="U2" s="1"/>
  <c r="T1"/>
  <c r="T2" s="1"/>
  <c r="S1"/>
  <c r="S2" s="1"/>
  <c r="R1"/>
  <c r="N38" i="9"/>
  <c r="N34"/>
  <c r="O34" s="1"/>
  <c r="O35" s="1"/>
  <c r="M34"/>
  <c r="M35" s="1"/>
  <c r="K34"/>
  <c r="K35" s="1"/>
  <c r="I34"/>
  <c r="I35" s="1"/>
  <c r="G34"/>
  <c r="G35" s="1"/>
  <c r="E50" s="1"/>
  <c r="N30"/>
  <c r="O30" s="1"/>
  <c r="M30"/>
  <c r="K30"/>
  <c r="I30"/>
  <c r="G30"/>
  <c r="N29"/>
  <c r="O29" s="1"/>
  <c r="M29"/>
  <c r="K29"/>
  <c r="I29"/>
  <c r="G29"/>
  <c r="N28"/>
  <c r="O28" s="1"/>
  <c r="O31" s="1"/>
  <c r="M28"/>
  <c r="M31" s="1"/>
  <c r="K28"/>
  <c r="K31" s="1"/>
  <c r="I28"/>
  <c r="I31" s="1"/>
  <c r="G28"/>
  <c r="G31" s="1"/>
  <c r="E49" s="1"/>
  <c r="N24"/>
  <c r="O24" s="1"/>
  <c r="O25" s="1"/>
  <c r="M24"/>
  <c r="M25" s="1"/>
  <c r="K24"/>
  <c r="K25" s="1"/>
  <c r="I24"/>
  <c r="I25" s="1"/>
  <c r="G24"/>
  <c r="G25" s="1"/>
  <c r="E48" s="1"/>
  <c r="N20"/>
  <c r="O20" s="1"/>
  <c r="O21" s="1"/>
  <c r="M20"/>
  <c r="M21" s="1"/>
  <c r="K20"/>
  <c r="K21" s="1"/>
  <c r="I20"/>
  <c r="I21" s="1"/>
  <c r="G20"/>
  <c r="G21" s="1"/>
  <c r="E47" s="1"/>
  <c r="N16"/>
  <c r="O16" s="1"/>
  <c r="O17" s="1"/>
  <c r="M16"/>
  <c r="M17" s="1"/>
  <c r="K16"/>
  <c r="K17" s="1"/>
  <c r="I16"/>
  <c r="I17" s="1"/>
  <c r="G16"/>
  <c r="G17" s="1"/>
  <c r="E46" s="1"/>
  <c r="N12"/>
  <c r="O12" s="1"/>
  <c r="O13" s="1"/>
  <c r="M12"/>
  <c r="M13" s="1"/>
  <c r="K12"/>
  <c r="K13" s="1"/>
  <c r="I12"/>
  <c r="I13" s="1"/>
  <c r="G12"/>
  <c r="G13" s="1"/>
  <c r="Z1"/>
  <c r="Z2" s="1"/>
  <c r="Y1"/>
  <c r="Y2" s="1"/>
  <c r="X1"/>
  <c r="X2" s="1"/>
  <c r="U1"/>
  <c r="D21" i="8" s="1"/>
  <c r="T1" i="9"/>
  <c r="D20" i="8" s="1"/>
  <c r="S1" i="9"/>
  <c r="D19" i="8" s="1"/>
  <c r="R1" i="9"/>
  <c r="D18" i="8" s="1"/>
  <c r="F22"/>
  <c r="I21"/>
  <c r="K21" s="1"/>
  <c r="I20"/>
  <c r="K20" s="1"/>
  <c r="I19"/>
  <c r="K19" s="1"/>
  <c r="I18"/>
  <c r="K18" s="1"/>
  <c r="I17"/>
  <c r="I22" s="1"/>
  <c r="N13" i="7"/>
  <c r="O13" s="1"/>
  <c r="M13"/>
  <c r="K13"/>
  <c r="I13"/>
  <c r="G13"/>
  <c r="N12"/>
  <c r="O12" s="1"/>
  <c r="O14" s="1"/>
  <c r="O16" s="1"/>
  <c r="M12"/>
  <c r="M14" s="1"/>
  <c r="M16" s="1"/>
  <c r="K12"/>
  <c r="K14" s="1"/>
  <c r="K16" s="1"/>
  <c r="I12"/>
  <c r="I14" s="1"/>
  <c r="I16" s="1"/>
  <c r="G12"/>
  <c r="G14" s="1"/>
  <c r="Z1"/>
  <c r="Z3" s="1"/>
  <c r="Y1"/>
  <c r="Y3" s="1"/>
  <c r="X1"/>
  <c r="X3" s="1"/>
  <c r="W1"/>
  <c r="W3" s="1"/>
  <c r="U1"/>
  <c r="U3" s="1"/>
  <c r="T1"/>
  <c r="T3" s="1"/>
  <c r="S1"/>
  <c r="S3" s="1"/>
  <c r="R1"/>
  <c r="R3" s="1"/>
  <c r="Q1"/>
  <c r="Q3" s="1"/>
  <c r="N54" i="6"/>
  <c r="N50"/>
  <c r="O50" s="1"/>
  <c r="M50"/>
  <c r="K50"/>
  <c r="I50"/>
  <c r="G50"/>
  <c r="N49"/>
  <c r="O49" s="1"/>
  <c r="M49"/>
  <c r="K49"/>
  <c r="I49"/>
  <c r="G49"/>
  <c r="N48"/>
  <c r="O48" s="1"/>
  <c r="O51" s="1"/>
  <c r="M48"/>
  <c r="M51" s="1"/>
  <c r="K48"/>
  <c r="K51" s="1"/>
  <c r="I48"/>
  <c r="I51" s="1"/>
  <c r="G48"/>
  <c r="G51" s="1"/>
  <c r="E67" s="1"/>
  <c r="N44"/>
  <c r="O44" s="1"/>
  <c r="M44"/>
  <c r="K44"/>
  <c r="I44"/>
  <c r="G44"/>
  <c r="N43"/>
  <c r="O43" s="1"/>
  <c r="M43"/>
  <c r="K43"/>
  <c r="I43"/>
  <c r="G43"/>
  <c r="N42"/>
  <c r="O42" s="1"/>
  <c r="M42"/>
  <c r="K42"/>
  <c r="I42"/>
  <c r="G42"/>
  <c r="N41"/>
  <c r="O41" s="1"/>
  <c r="M41"/>
  <c r="K41"/>
  <c r="I41"/>
  <c r="G41"/>
  <c r="N40"/>
  <c r="O40" s="1"/>
  <c r="O45" s="1"/>
  <c r="M40"/>
  <c r="M45" s="1"/>
  <c r="K40"/>
  <c r="K45" s="1"/>
  <c r="I40"/>
  <c r="I45" s="1"/>
  <c r="G40"/>
  <c r="G45" s="1"/>
  <c r="E66" s="1"/>
  <c r="N36"/>
  <c r="O36" s="1"/>
  <c r="M36"/>
  <c r="K36"/>
  <c r="I36"/>
  <c r="G36"/>
  <c r="N35"/>
  <c r="O35" s="1"/>
  <c r="M35"/>
  <c r="K35"/>
  <c r="I35"/>
  <c r="G35"/>
  <c r="N34"/>
  <c r="O34" s="1"/>
  <c r="O37" s="1"/>
  <c r="M34"/>
  <c r="M37" s="1"/>
  <c r="K34"/>
  <c r="K37" s="1"/>
  <c r="I34"/>
  <c r="I37" s="1"/>
  <c r="G34"/>
  <c r="G37" s="1"/>
  <c r="E65" s="1"/>
  <c r="N30"/>
  <c r="O30" s="1"/>
  <c r="M30"/>
  <c r="K30"/>
  <c r="I30"/>
  <c r="G30"/>
  <c r="N29"/>
  <c r="O29" s="1"/>
  <c r="M29"/>
  <c r="K29"/>
  <c r="I29"/>
  <c r="G29"/>
  <c r="N28"/>
  <c r="O28" s="1"/>
  <c r="M28"/>
  <c r="K28"/>
  <c r="I28"/>
  <c r="G28"/>
  <c r="N27"/>
  <c r="O27" s="1"/>
  <c r="M27"/>
  <c r="K27"/>
  <c r="I27"/>
  <c r="G27"/>
  <c r="N26"/>
  <c r="O26" s="1"/>
  <c r="O31" s="1"/>
  <c r="M26"/>
  <c r="M31" s="1"/>
  <c r="K26"/>
  <c r="K31" s="1"/>
  <c r="I26"/>
  <c r="I31" s="1"/>
  <c r="G26"/>
  <c r="G31" s="1"/>
  <c r="E64" s="1"/>
  <c r="N22"/>
  <c r="O22" s="1"/>
  <c r="M22"/>
  <c r="K22"/>
  <c r="I22"/>
  <c r="G22"/>
  <c r="N21"/>
  <c r="O21" s="1"/>
  <c r="M21"/>
  <c r="K21"/>
  <c r="I21"/>
  <c r="G21"/>
  <c r="N20"/>
  <c r="O20" s="1"/>
  <c r="O23" s="1"/>
  <c r="M20"/>
  <c r="M23" s="1"/>
  <c r="K20"/>
  <c r="K23" s="1"/>
  <c r="I20"/>
  <c r="I23" s="1"/>
  <c r="G20"/>
  <c r="G23" s="1"/>
  <c r="E63" s="1"/>
  <c r="N16"/>
  <c r="O16" s="1"/>
  <c r="O17" s="1"/>
  <c r="M16"/>
  <c r="M17" s="1"/>
  <c r="K16"/>
  <c r="K17" s="1"/>
  <c r="I16"/>
  <c r="I17" s="1"/>
  <c r="G16"/>
  <c r="G17" s="1"/>
  <c r="E62" s="1"/>
  <c r="N12"/>
  <c r="O12" s="1"/>
  <c r="O13" s="1"/>
  <c r="M12"/>
  <c r="M13" s="1"/>
  <c r="K12"/>
  <c r="K13" s="1"/>
  <c r="I12"/>
  <c r="I13" s="1"/>
  <c r="G12"/>
  <c r="G13" s="1"/>
  <c r="Z1"/>
  <c r="Z2" s="1"/>
  <c r="Y1"/>
  <c r="Y2" s="1"/>
  <c r="X1"/>
  <c r="X2" s="1"/>
  <c r="U1"/>
  <c r="U2" s="1"/>
  <c r="T1"/>
  <c r="T2" s="1"/>
  <c r="S1"/>
  <c r="S2" s="1"/>
  <c r="R1"/>
  <c r="N14" i="5"/>
  <c r="O14" s="1"/>
  <c r="M14"/>
  <c r="K14"/>
  <c r="I14"/>
  <c r="G14"/>
  <c r="N13"/>
  <c r="O13" s="1"/>
  <c r="M13"/>
  <c r="K13"/>
  <c r="I13"/>
  <c r="G13"/>
  <c r="N12"/>
  <c r="O12" s="1"/>
  <c r="O15" s="1"/>
  <c r="O17" s="1"/>
  <c r="M12"/>
  <c r="M15" s="1"/>
  <c r="M17" s="1"/>
  <c r="K12"/>
  <c r="K15" s="1"/>
  <c r="K17" s="1"/>
  <c r="I12"/>
  <c r="I15" s="1"/>
  <c r="I17" s="1"/>
  <c r="G12"/>
  <c r="G15" s="1"/>
  <c r="Z1"/>
  <c r="Z3" s="1"/>
  <c r="Y1"/>
  <c r="Y3" s="1"/>
  <c r="X1"/>
  <c r="X3" s="1"/>
  <c r="W1"/>
  <c r="W3" s="1"/>
  <c r="U1"/>
  <c r="F21" i="2" s="1"/>
  <c r="T1" i="5"/>
  <c r="F20" i="2" s="1"/>
  <c r="S1" i="5"/>
  <c r="F19" i="2" s="1"/>
  <c r="R1" i="5"/>
  <c r="F18" i="2" s="1"/>
  <c r="Q1" i="5"/>
  <c r="F17" i="2" s="1"/>
  <c r="N76" i="4"/>
  <c r="N72"/>
  <c r="O72" s="1"/>
  <c r="M72"/>
  <c r="K72"/>
  <c r="I72"/>
  <c r="G72"/>
  <c r="N71"/>
  <c r="O71" s="1"/>
  <c r="O73" s="1"/>
  <c r="M71"/>
  <c r="M73" s="1"/>
  <c r="K71"/>
  <c r="K73" s="1"/>
  <c r="I71"/>
  <c r="I73" s="1"/>
  <c r="G71"/>
  <c r="G73" s="1"/>
  <c r="E92" s="1"/>
  <c r="N67"/>
  <c r="O67" s="1"/>
  <c r="M67"/>
  <c r="K67"/>
  <c r="I67"/>
  <c r="G67"/>
  <c r="N66"/>
  <c r="O66" s="1"/>
  <c r="M66"/>
  <c r="K66"/>
  <c r="I66"/>
  <c r="G66"/>
  <c r="N65"/>
  <c r="O65" s="1"/>
  <c r="O68" s="1"/>
  <c r="M65"/>
  <c r="M68" s="1"/>
  <c r="K65"/>
  <c r="K68" s="1"/>
  <c r="I65"/>
  <c r="I68" s="1"/>
  <c r="G65"/>
  <c r="G68" s="1"/>
  <c r="E91" s="1"/>
  <c r="N61"/>
  <c r="O61" s="1"/>
  <c r="O62" s="1"/>
  <c r="M61"/>
  <c r="M62" s="1"/>
  <c r="K61"/>
  <c r="K62" s="1"/>
  <c r="I61"/>
  <c r="I62" s="1"/>
  <c r="G61"/>
  <c r="G62" s="1"/>
  <c r="E90" s="1"/>
  <c r="N57"/>
  <c r="O57" s="1"/>
  <c r="M57"/>
  <c r="K57"/>
  <c r="I57"/>
  <c r="G57"/>
  <c r="N56"/>
  <c r="O56" s="1"/>
  <c r="M56"/>
  <c r="K56"/>
  <c r="I56"/>
  <c r="G56"/>
  <c r="N55"/>
  <c r="O55" s="1"/>
  <c r="M55"/>
  <c r="K55"/>
  <c r="I55"/>
  <c r="G55"/>
  <c r="N54"/>
  <c r="O54" s="1"/>
  <c r="M54"/>
  <c r="K54"/>
  <c r="I54"/>
  <c r="G54"/>
  <c r="N53"/>
  <c r="O53" s="1"/>
  <c r="M53"/>
  <c r="K53"/>
  <c r="I53"/>
  <c r="G53"/>
  <c r="N52"/>
  <c r="O52" s="1"/>
  <c r="M52"/>
  <c r="K52"/>
  <c r="I52"/>
  <c r="G52"/>
  <c r="N51"/>
  <c r="O51" s="1"/>
  <c r="O58" s="1"/>
  <c r="M51"/>
  <c r="M58" s="1"/>
  <c r="K51"/>
  <c r="K58" s="1"/>
  <c r="I51"/>
  <c r="I58" s="1"/>
  <c r="G51"/>
  <c r="G58" s="1"/>
  <c r="E89" s="1"/>
  <c r="N47"/>
  <c r="O47" s="1"/>
  <c r="M47"/>
  <c r="K47"/>
  <c r="I47"/>
  <c r="G47"/>
  <c r="N46"/>
  <c r="O46" s="1"/>
  <c r="M46"/>
  <c r="K46"/>
  <c r="I46"/>
  <c r="G46"/>
  <c r="N45"/>
  <c r="O45" s="1"/>
  <c r="M45"/>
  <c r="K45"/>
  <c r="I45"/>
  <c r="G45"/>
  <c r="N44"/>
  <c r="O44" s="1"/>
  <c r="O48" s="1"/>
  <c r="M44"/>
  <c r="M48" s="1"/>
  <c r="K44"/>
  <c r="K48" s="1"/>
  <c r="I44"/>
  <c r="I48" s="1"/>
  <c r="G44"/>
  <c r="G48" s="1"/>
  <c r="E88" s="1"/>
  <c r="N40"/>
  <c r="O40" s="1"/>
  <c r="M40"/>
  <c r="K40"/>
  <c r="I40"/>
  <c r="G40"/>
  <c r="N39"/>
  <c r="O39" s="1"/>
  <c r="M39"/>
  <c r="K39"/>
  <c r="I39"/>
  <c r="G39"/>
  <c r="N38"/>
  <c r="O38" s="1"/>
  <c r="M38"/>
  <c r="K38"/>
  <c r="I38"/>
  <c r="G38"/>
  <c r="N37"/>
  <c r="O37" s="1"/>
  <c r="M37"/>
  <c r="K37"/>
  <c r="I37"/>
  <c r="G37"/>
  <c r="N36"/>
  <c r="O36" s="1"/>
  <c r="O41" s="1"/>
  <c r="M36"/>
  <c r="M41" s="1"/>
  <c r="K36"/>
  <c r="K41" s="1"/>
  <c r="I36"/>
  <c r="I41" s="1"/>
  <c r="G36"/>
  <c r="G41" s="1"/>
  <c r="E87" s="1"/>
  <c r="N32"/>
  <c r="O32" s="1"/>
  <c r="M32"/>
  <c r="K32"/>
  <c r="I32"/>
  <c r="G32"/>
  <c r="N31"/>
  <c r="O31" s="1"/>
  <c r="M31"/>
  <c r="K31"/>
  <c r="I31"/>
  <c r="G31"/>
  <c r="N30"/>
  <c r="O30" s="1"/>
  <c r="M30"/>
  <c r="K30"/>
  <c r="I30"/>
  <c r="G30"/>
  <c r="N29"/>
  <c r="O29" s="1"/>
  <c r="O33" s="1"/>
  <c r="M29"/>
  <c r="M33" s="1"/>
  <c r="K29"/>
  <c r="K33" s="1"/>
  <c r="I29"/>
  <c r="I33" s="1"/>
  <c r="G29"/>
  <c r="G33" s="1"/>
  <c r="E86" s="1"/>
  <c r="N25"/>
  <c r="O25" s="1"/>
  <c r="M25"/>
  <c r="K25"/>
  <c r="I25"/>
  <c r="G25"/>
  <c r="N24"/>
  <c r="O24" s="1"/>
  <c r="O26" s="1"/>
  <c r="M24"/>
  <c r="M26" s="1"/>
  <c r="K24"/>
  <c r="K26" s="1"/>
  <c r="I24"/>
  <c r="I26" s="1"/>
  <c r="G24"/>
  <c r="G26" s="1"/>
  <c r="E85" s="1"/>
  <c r="N20"/>
  <c r="O20" s="1"/>
  <c r="M20"/>
  <c r="K20"/>
  <c r="I20"/>
  <c r="G20"/>
  <c r="N19"/>
  <c r="O19" s="1"/>
  <c r="M19"/>
  <c r="K19"/>
  <c r="I19"/>
  <c r="G19"/>
  <c r="N18"/>
  <c r="O18" s="1"/>
  <c r="O21" s="1"/>
  <c r="M18"/>
  <c r="M21" s="1"/>
  <c r="K18"/>
  <c r="K21" s="1"/>
  <c r="I18"/>
  <c r="I21" s="1"/>
  <c r="G18"/>
  <c r="G21" s="1"/>
  <c r="E84" s="1"/>
  <c r="N14"/>
  <c r="O14" s="1"/>
  <c r="M14"/>
  <c r="K14"/>
  <c r="I14"/>
  <c r="G14"/>
  <c r="N13"/>
  <c r="O13" s="1"/>
  <c r="M13"/>
  <c r="K13"/>
  <c r="I13"/>
  <c r="G13"/>
  <c r="N12"/>
  <c r="O12" s="1"/>
  <c r="O15" s="1"/>
  <c r="M12"/>
  <c r="M15" s="1"/>
  <c r="K12"/>
  <c r="K15" s="1"/>
  <c r="I12"/>
  <c r="I15" s="1"/>
  <c r="G12"/>
  <c r="G15" s="1"/>
  <c r="Z1"/>
  <c r="Z2" s="1"/>
  <c r="Y1"/>
  <c r="Y2" s="1"/>
  <c r="X1"/>
  <c r="X2" s="1"/>
  <c r="U1"/>
  <c r="U2" s="1"/>
  <c r="T1"/>
  <c r="T2" s="1"/>
  <c r="S1"/>
  <c r="S2" s="1"/>
  <c r="R1"/>
  <c r="N66" i="3"/>
  <c r="N62"/>
  <c r="O62" s="1"/>
  <c r="M62"/>
  <c r="K62"/>
  <c r="I62"/>
  <c r="G62"/>
  <c r="N61"/>
  <c r="O61" s="1"/>
  <c r="O63" s="1"/>
  <c r="M61"/>
  <c r="M63" s="1"/>
  <c r="K61"/>
  <c r="K63" s="1"/>
  <c r="I61"/>
  <c r="I63" s="1"/>
  <c r="G61"/>
  <c r="G63" s="1"/>
  <c r="E80" s="1"/>
  <c r="N57"/>
  <c r="O57" s="1"/>
  <c r="M57"/>
  <c r="K57"/>
  <c r="I57"/>
  <c r="G57"/>
  <c r="N56"/>
  <c r="O56" s="1"/>
  <c r="M56"/>
  <c r="K56"/>
  <c r="I56"/>
  <c r="G56"/>
  <c r="N55"/>
  <c r="O55" s="1"/>
  <c r="M55"/>
  <c r="K55"/>
  <c r="I55"/>
  <c r="G55"/>
  <c r="N54"/>
  <c r="O54" s="1"/>
  <c r="O58" s="1"/>
  <c r="M54"/>
  <c r="M58" s="1"/>
  <c r="K54"/>
  <c r="K58" s="1"/>
  <c r="I54"/>
  <c r="I58" s="1"/>
  <c r="G54"/>
  <c r="G58" s="1"/>
  <c r="E79" s="1"/>
  <c r="N50"/>
  <c r="O50" s="1"/>
  <c r="M50"/>
  <c r="K50"/>
  <c r="I50"/>
  <c r="G50"/>
  <c r="N49"/>
  <c r="O49" s="1"/>
  <c r="M49"/>
  <c r="K49"/>
  <c r="I49"/>
  <c r="G49"/>
  <c r="N48"/>
  <c r="O48" s="1"/>
  <c r="M48"/>
  <c r="K48"/>
  <c r="I48"/>
  <c r="G48"/>
  <c r="N47"/>
  <c r="O47" s="1"/>
  <c r="O51" s="1"/>
  <c r="M47"/>
  <c r="M51" s="1"/>
  <c r="K47"/>
  <c r="K51" s="1"/>
  <c r="I47"/>
  <c r="I51" s="1"/>
  <c r="G47"/>
  <c r="G51" s="1"/>
  <c r="E78" s="1"/>
  <c r="N43"/>
  <c r="O43" s="1"/>
  <c r="M43"/>
  <c r="K43"/>
  <c r="I43"/>
  <c r="G43"/>
  <c r="N42"/>
  <c r="O42" s="1"/>
  <c r="M42"/>
  <c r="K42"/>
  <c r="I42"/>
  <c r="G42"/>
  <c r="N41"/>
  <c r="O41" s="1"/>
  <c r="M41"/>
  <c r="K41"/>
  <c r="I41"/>
  <c r="G41"/>
  <c r="N40"/>
  <c r="O40" s="1"/>
  <c r="O44" s="1"/>
  <c r="M40"/>
  <c r="M44" s="1"/>
  <c r="K40"/>
  <c r="K44" s="1"/>
  <c r="I40"/>
  <c r="I44" s="1"/>
  <c r="G40"/>
  <c r="G44" s="1"/>
  <c r="E77" s="1"/>
  <c r="N36"/>
  <c r="O36" s="1"/>
  <c r="M36"/>
  <c r="K36"/>
  <c r="I36"/>
  <c r="G36"/>
  <c r="N35"/>
  <c r="O35" s="1"/>
  <c r="M35"/>
  <c r="K35"/>
  <c r="I35"/>
  <c r="G35"/>
  <c r="N34"/>
  <c r="O34" s="1"/>
  <c r="M34"/>
  <c r="K34"/>
  <c r="I34"/>
  <c r="G34"/>
  <c r="N33"/>
  <c r="O33" s="1"/>
  <c r="M33"/>
  <c r="K33"/>
  <c r="I33"/>
  <c r="G33"/>
  <c r="N32"/>
  <c r="O32" s="1"/>
  <c r="M32"/>
  <c r="K32"/>
  <c r="I32"/>
  <c r="G32"/>
  <c r="N31"/>
  <c r="O31" s="1"/>
  <c r="M31"/>
  <c r="K31"/>
  <c r="I31"/>
  <c r="G31"/>
  <c r="N30"/>
  <c r="O30" s="1"/>
  <c r="O37" s="1"/>
  <c r="M30"/>
  <c r="M37" s="1"/>
  <c r="K30"/>
  <c r="K37" s="1"/>
  <c r="I30"/>
  <c r="I37" s="1"/>
  <c r="G30"/>
  <c r="G37" s="1"/>
  <c r="E76" s="1"/>
  <c r="N26"/>
  <c r="O26" s="1"/>
  <c r="O27" s="1"/>
  <c r="M26"/>
  <c r="M27" s="1"/>
  <c r="K26"/>
  <c r="K27" s="1"/>
  <c r="I26"/>
  <c r="I27" s="1"/>
  <c r="G26"/>
  <c r="G27" s="1"/>
  <c r="E75" s="1"/>
  <c r="N22"/>
  <c r="O22" s="1"/>
  <c r="M22"/>
  <c r="K22"/>
  <c r="I22"/>
  <c r="G22"/>
  <c r="N21"/>
  <c r="O21" s="1"/>
  <c r="M21"/>
  <c r="K21"/>
  <c r="I21"/>
  <c r="G21"/>
  <c r="N20"/>
  <c r="O20" s="1"/>
  <c r="O23" s="1"/>
  <c r="M20"/>
  <c r="M23" s="1"/>
  <c r="K20"/>
  <c r="K23" s="1"/>
  <c r="I20"/>
  <c r="I23" s="1"/>
  <c r="G20"/>
  <c r="G23" s="1"/>
  <c r="E74" s="1"/>
  <c r="N16"/>
  <c r="O16" s="1"/>
  <c r="M16"/>
  <c r="K16"/>
  <c r="I16"/>
  <c r="G16"/>
  <c r="N15"/>
  <c r="O15" s="1"/>
  <c r="M15"/>
  <c r="K15"/>
  <c r="I15"/>
  <c r="G15"/>
  <c r="N14"/>
  <c r="O14" s="1"/>
  <c r="M14"/>
  <c r="K14"/>
  <c r="I14"/>
  <c r="G14"/>
  <c r="N13"/>
  <c r="O13" s="1"/>
  <c r="M13"/>
  <c r="K13"/>
  <c r="I13"/>
  <c r="G13"/>
  <c r="N12"/>
  <c r="O12" s="1"/>
  <c r="O17" s="1"/>
  <c r="M12"/>
  <c r="M17" s="1"/>
  <c r="K12"/>
  <c r="K17" s="1"/>
  <c r="I12"/>
  <c r="I17" s="1"/>
  <c r="G12"/>
  <c r="G17" s="1"/>
  <c r="Z1"/>
  <c r="Z2" s="1"/>
  <c r="Y1"/>
  <c r="Y2" s="1"/>
  <c r="X1"/>
  <c r="X2" s="1"/>
  <c r="U1"/>
  <c r="D21" i="2" s="1"/>
  <c r="T1" i="3"/>
  <c r="D20" i="2" s="1"/>
  <c r="S1" i="3"/>
  <c r="D19" i="2" s="1"/>
  <c r="R1" i="3"/>
  <c r="D18" i="2" s="1"/>
  <c r="F22"/>
  <c r="I21"/>
  <c r="K21" s="1"/>
  <c r="I20"/>
  <c r="K20" s="1"/>
  <c r="I19"/>
  <c r="K19" s="1"/>
  <c r="I18"/>
  <c r="K18" s="1"/>
  <c r="I17"/>
  <c r="I22" s="1"/>
  <c r="I18" i="1"/>
  <c r="D18"/>
  <c r="I15"/>
  <c r="D15"/>
  <c r="I12"/>
  <c r="I20" s="1"/>
  <c r="D12"/>
  <c r="D20" s="1"/>
  <c r="E73" i="3" l="1"/>
  <c r="E83" i="4"/>
  <c r="E21" i="5"/>
  <c r="E22" s="1"/>
  <c r="G17"/>
  <c r="E61" i="6"/>
  <c r="E20" i="7"/>
  <c r="E21" s="1"/>
  <c r="G16"/>
  <c r="E45" i="9"/>
  <c r="E72" i="10"/>
  <c r="E21" i="11"/>
  <c r="E22" s="1"/>
  <c r="G17"/>
  <c r="E62" i="13"/>
  <c r="R2" i="3"/>
  <c r="S2"/>
  <c r="T2"/>
  <c r="U2"/>
  <c r="E66"/>
  <c r="R2" i="4"/>
  <c r="E76" s="1"/>
  <c r="D20" i="12"/>
  <c r="K20" s="1"/>
  <c r="E84" i="14"/>
  <c r="E20" i="15"/>
  <c r="E21" s="1"/>
  <c r="G16"/>
  <c r="Q3" i="5"/>
  <c r="R3"/>
  <c r="S3"/>
  <c r="T3"/>
  <c r="U3"/>
  <c r="R2" i="6"/>
  <c r="E54" s="1"/>
  <c r="R2" i="9"/>
  <c r="S2"/>
  <c r="T2"/>
  <c r="U2"/>
  <c r="E38"/>
  <c r="R2" i="10"/>
  <c r="E65" s="1"/>
  <c r="Q3" i="11"/>
  <c r="R3"/>
  <c r="S3"/>
  <c r="T3"/>
  <c r="U3"/>
  <c r="R2" i="13"/>
  <c r="S2"/>
  <c r="T2"/>
  <c r="E55" s="1"/>
  <c r="U2"/>
  <c r="R2" i="14"/>
  <c r="E77" s="1"/>
  <c r="Q3" i="15"/>
  <c r="R3"/>
  <c r="S3"/>
  <c r="T3"/>
  <c r="U3"/>
  <c r="O77" i="14" l="1"/>
  <c r="O78" s="1"/>
  <c r="O80" s="1"/>
  <c r="M77"/>
  <c r="M78" s="1"/>
  <c r="M80" s="1"/>
  <c r="K77"/>
  <c r="K78" s="1"/>
  <c r="K80" s="1"/>
  <c r="I77"/>
  <c r="I78" s="1"/>
  <c r="I80" s="1"/>
  <c r="G77"/>
  <c r="O55" i="13"/>
  <c r="O56" s="1"/>
  <c r="O58" s="1"/>
  <c r="M55"/>
  <c r="M56" s="1"/>
  <c r="M58" s="1"/>
  <c r="K55"/>
  <c r="K56" s="1"/>
  <c r="K58" s="1"/>
  <c r="I55"/>
  <c r="I56" s="1"/>
  <c r="I58" s="1"/>
  <c r="G55"/>
  <c r="O65" i="10"/>
  <c r="O66" s="1"/>
  <c r="O68" s="1"/>
  <c r="M65"/>
  <c r="M66" s="1"/>
  <c r="M68" s="1"/>
  <c r="K65"/>
  <c r="K66" s="1"/>
  <c r="K68" s="1"/>
  <c r="I65"/>
  <c r="I66" s="1"/>
  <c r="I68" s="1"/>
  <c r="G65"/>
  <c r="O54" i="6"/>
  <c r="O55" s="1"/>
  <c r="O57" s="1"/>
  <c r="M54"/>
  <c r="M55" s="1"/>
  <c r="M57" s="1"/>
  <c r="K54"/>
  <c r="K55" s="1"/>
  <c r="K57" s="1"/>
  <c r="I54"/>
  <c r="I55" s="1"/>
  <c r="I57" s="1"/>
  <c r="G54"/>
  <c r="O76" i="4"/>
  <c r="O77" s="1"/>
  <c r="O79" s="1"/>
  <c r="M76"/>
  <c r="M77" s="1"/>
  <c r="M79" s="1"/>
  <c r="K76"/>
  <c r="K77" s="1"/>
  <c r="K79" s="1"/>
  <c r="I76"/>
  <c r="I77" s="1"/>
  <c r="I79" s="1"/>
  <c r="G76"/>
  <c r="O38" i="9"/>
  <c r="O39" s="1"/>
  <c r="O41" s="1"/>
  <c r="M38"/>
  <c r="M39" s="1"/>
  <c r="M41" s="1"/>
  <c r="K38"/>
  <c r="K39" s="1"/>
  <c r="K41" s="1"/>
  <c r="I38"/>
  <c r="I39" s="1"/>
  <c r="I41" s="1"/>
  <c r="G38"/>
  <c r="O66" i="3"/>
  <c r="O67" s="1"/>
  <c r="O69" s="1"/>
  <c r="M66"/>
  <c r="M67" s="1"/>
  <c r="M69" s="1"/>
  <c r="K66"/>
  <c r="K67" s="1"/>
  <c r="K69" s="1"/>
  <c r="I66"/>
  <c r="I67" s="1"/>
  <c r="I69" s="1"/>
  <c r="G66"/>
  <c r="G67" l="1"/>
  <c r="W1"/>
  <c r="W2" s="1"/>
  <c r="Q1"/>
  <c r="G39" i="9"/>
  <c r="W1"/>
  <c r="W2" s="1"/>
  <c r="Q1"/>
  <c r="G77" i="4"/>
  <c r="W1"/>
  <c r="W2" s="1"/>
  <c r="Q1"/>
  <c r="Q2" s="1"/>
  <c r="G55" i="6"/>
  <c r="W1"/>
  <c r="W2" s="1"/>
  <c r="Q1"/>
  <c r="Q2" s="1"/>
  <c r="G66" i="10"/>
  <c r="W1"/>
  <c r="W2" s="1"/>
  <c r="Q1"/>
  <c r="Q2" s="1"/>
  <c r="G56" i="13"/>
  <c r="W1"/>
  <c r="W2" s="1"/>
  <c r="Q1"/>
  <c r="G78" i="14"/>
  <c r="W1"/>
  <c r="W2" s="1"/>
  <c r="Q1"/>
  <c r="Q2" s="1"/>
  <c r="E95" l="1"/>
  <c r="E96" s="1"/>
  <c r="G80"/>
  <c r="D17" i="12"/>
  <c r="Q2" i="13"/>
  <c r="E70"/>
  <c r="E71" s="1"/>
  <c r="G58"/>
  <c r="E81" i="10"/>
  <c r="E82" s="1"/>
  <c r="G68"/>
  <c r="E68" i="6"/>
  <c r="E69" s="1"/>
  <c r="G57"/>
  <c r="E93" i="4"/>
  <c r="E94" s="1"/>
  <c r="G79"/>
  <c r="D17" i="8"/>
  <c r="Q2" i="9"/>
  <c r="E51"/>
  <c r="E52" s="1"/>
  <c r="G41"/>
  <c r="D17" i="2"/>
  <c r="Q2" i="3"/>
  <c r="E81"/>
  <c r="E82" s="1"/>
  <c r="G69"/>
  <c r="D22" i="2" l="1"/>
  <c r="K17"/>
  <c r="K22" s="1"/>
  <c r="D22" i="8"/>
  <c r="K17"/>
  <c r="K22" s="1"/>
  <c r="D22" i="12"/>
  <c r="K17"/>
  <c r="K22" s="1"/>
  <c r="B18" i="1" l="1"/>
  <c r="K25" i="12"/>
  <c r="B15" i="1"/>
  <c r="K25" i="8"/>
  <c r="B12" i="1"/>
  <c r="B20" s="1"/>
  <c r="K25" i="2"/>
  <c r="F29" l="1"/>
  <c r="K29" s="1"/>
  <c r="F12" i="1"/>
  <c r="F29" i="8"/>
  <c r="K29" s="1"/>
  <c r="F15" i="1"/>
  <c r="F29" i="12"/>
  <c r="K29" s="1"/>
  <c r="F18" i="1"/>
  <c r="K28" i="2"/>
  <c r="I13" i="1" s="1"/>
  <c r="K28" i="8"/>
  <c r="I16" i="1" s="1"/>
  <c r="K28" i="12"/>
  <c r="I19" i="1" s="1"/>
  <c r="K19" l="1"/>
  <c r="K30" i="12"/>
  <c r="M19" i="1" s="1"/>
  <c r="K16"/>
  <c r="K30" i="8"/>
  <c r="M16" i="1" s="1"/>
  <c r="K13"/>
  <c r="K21" s="1"/>
  <c r="K30" i="2"/>
  <c r="M13" i="1" s="1"/>
  <c r="M21" s="1"/>
  <c r="I21"/>
  <c r="F20"/>
</calcChain>
</file>

<file path=xl/sharedStrings.xml><?xml version="1.0" encoding="utf-8"?>
<sst xmlns="http://schemas.openxmlformats.org/spreadsheetml/2006/main" count="2678" uniqueCount="361">
  <si>
    <t>ZAKÁZKA</t>
  </si>
  <si>
    <t>Označení</t>
  </si>
  <si>
    <t>KPU 072/78 RTS</t>
  </si>
  <si>
    <t>Popis</t>
  </si>
  <si>
    <t>PEO a PPO po KPÚ Blatnička, trať Závaliska</t>
  </si>
  <si>
    <t>STAVBA</t>
  </si>
  <si>
    <t>Stavba</t>
  </si>
  <si>
    <t>PEO a PPO po KPÚ Blatnička</t>
  </si>
  <si>
    <t>OBJEKTY</t>
  </si>
  <si>
    <t>ZRN</t>
  </si>
  <si>
    <t>IČ</t>
  </si>
  <si>
    <t>VRN</t>
  </si>
  <si>
    <t>Přirážky</t>
  </si>
  <si>
    <t>S</t>
  </si>
  <si>
    <t>DPH</t>
  </si>
  <si>
    <t>STAVBA, OBJEKT</t>
  </si>
  <si>
    <t>Objekt</t>
  </si>
  <si>
    <t>SO.021 (Příkop B1)</t>
  </si>
  <si>
    <t>JMÉNA</t>
  </si>
  <si>
    <t>investor</t>
  </si>
  <si>
    <t>MZe - Zemědělská agentura a pozemkový úřad v Hodoníně</t>
  </si>
  <si>
    <t>generální projektant</t>
  </si>
  <si>
    <t>Ing.Vaštík Karel</t>
  </si>
  <si>
    <t>vypracoval</t>
  </si>
  <si>
    <t>projekt zpracoval</t>
  </si>
  <si>
    <t>ZÁKLADNÍ ROZPOČTOVÉ NÁKLADY</t>
  </si>
  <si>
    <t>HSV</t>
  </si>
  <si>
    <t>PSV</t>
  </si>
  <si>
    <t>Montáže</t>
  </si>
  <si>
    <t>stavební práce</t>
  </si>
  <si>
    <t>specifikace</t>
  </si>
  <si>
    <t>stroje</t>
  </si>
  <si>
    <t>HZS</t>
  </si>
  <si>
    <t>ostatní</t>
  </si>
  <si>
    <t>VEDLEJŠÍ ROZPOČTOVÉ NÁKLADY</t>
  </si>
  <si>
    <t>GZS</t>
  </si>
  <si>
    <t>CENA OBJEKTU</t>
  </si>
  <si>
    <t>cena bez DPH</t>
  </si>
  <si>
    <t>ze základu</t>
  </si>
  <si>
    <t>POLOŽKOVÝ ROZPIS</t>
  </si>
  <si>
    <t>Rek. složek</t>
  </si>
  <si>
    <t>Rek. DPH</t>
  </si>
  <si>
    <t>zakázka</t>
  </si>
  <si>
    <t>KPU 072/78 RTS (PEO a PPO po KPÚ Blatnička, trať Závaliska)</t>
  </si>
  <si>
    <t>stavba</t>
  </si>
  <si>
    <t>objekt</t>
  </si>
  <si>
    <t>část</t>
  </si>
  <si>
    <t>část 021.1 (Příkop B1)</t>
  </si>
  <si>
    <t>typ činností</t>
  </si>
  <si>
    <t>pořadí</t>
  </si>
  <si>
    <t>číslo</t>
  </si>
  <si>
    <t>popis</t>
  </si>
  <si>
    <t>m.j.</t>
  </si>
  <si>
    <t>množství</t>
  </si>
  <si>
    <t>cena</t>
  </si>
  <si>
    <t>hmotnost</t>
  </si>
  <si>
    <t>suť</t>
  </si>
  <si>
    <t>cena hmot (dodávka)</t>
  </si>
  <si>
    <t>cena ostatních složek (montáž)</t>
  </si>
  <si>
    <t>pomocná definiční oblast pro výpočty</t>
  </si>
  <si>
    <t>jednotka</t>
  </si>
  <si>
    <t>celkem</t>
  </si>
  <si>
    <t>_stavebi_dil</t>
  </si>
  <si>
    <t>_stavebni_dil_sum</t>
  </si>
  <si>
    <t>_hpm</t>
  </si>
  <si>
    <t>_cenik</t>
  </si>
  <si>
    <t>_cenik_cast</t>
  </si>
  <si>
    <t>_typ_zaklad</t>
  </si>
  <si>
    <t>_typ_def</t>
  </si>
  <si>
    <t>_typ_def_hpm</t>
  </si>
  <si>
    <t>_typ_def_cenik</t>
  </si>
  <si>
    <t>_typ_def_cenik_cast</t>
  </si>
  <si>
    <t>_nasobek</t>
  </si>
  <si>
    <t>_dph</t>
  </si>
  <si>
    <t>_typ_slozky</t>
  </si>
  <si>
    <t>11 (Přípravné a přidružené práce)</t>
  </si>
  <si>
    <t>111 20 1101 R00</t>
  </si>
  <si>
    <t>Odstranění křovin i s kořeny na ploše do 1000 m2</t>
  </si>
  <si>
    <t>m2</t>
  </si>
  <si>
    <t>díl 11</t>
  </si>
  <si>
    <t>H</t>
  </si>
  <si>
    <t>RTS HSV</t>
  </si>
  <si>
    <t>RTS HSV,1 SP</t>
  </si>
  <si>
    <t>sp</t>
  </si>
  <si>
    <t>111 25 1111 R00</t>
  </si>
  <si>
    <t>Drcení ořezaných větví průměru do 10 cm</t>
  </si>
  <si>
    <t>m3</t>
  </si>
  <si>
    <t>112 10 1101 R00</t>
  </si>
  <si>
    <t>Kácení stromů listnatých o průměru kmene 10-30 cm</t>
  </si>
  <si>
    <t>kus</t>
  </si>
  <si>
    <t>112 10 1121 R00</t>
  </si>
  <si>
    <t>Kácení stromů jehličnatých o průměru kmene 10-30cm</t>
  </si>
  <si>
    <t>112 20 1101 R00</t>
  </si>
  <si>
    <t>Odstranění pařezů pod úrovní, o průměru 10 - 30 cm</t>
  </si>
  <si>
    <t>díl 11 (Přípravné a přidružené práce)</t>
  </si>
  <si>
    <t>12 (Odkopávky a prokopávky)</t>
  </si>
  <si>
    <t>120 90 1121 R00</t>
  </si>
  <si>
    <t>Bourání konstrukcí z prostého betonu</t>
  </si>
  <si>
    <t>díl 12</t>
  </si>
  <si>
    <t>122 10 1101 R00</t>
  </si>
  <si>
    <t>Odkopávky nezapažené v hor. 2 do 100 m3</t>
  </si>
  <si>
    <t>125 20 3101 R00</t>
  </si>
  <si>
    <t>Vykopávky kanálů pro zemědělské meliorace v hor. 3</t>
  </si>
  <si>
    <t>díl 12 (Odkopávky a prokopávky)</t>
  </si>
  <si>
    <t>13 (Hloubené vykopávky)</t>
  </si>
  <si>
    <t>132 20 1201 R00</t>
  </si>
  <si>
    <t>Hloubení rýh šířky do 200 cm v hor.3 do 100 m3</t>
  </si>
  <si>
    <t>díl 13</t>
  </si>
  <si>
    <t>díl 13 (Hloubené vykopávky)</t>
  </si>
  <si>
    <t>16 (Přemístění výkopku)</t>
  </si>
  <si>
    <t>162 20 1102 R00</t>
  </si>
  <si>
    <t>Vodorovné přemístění výkopku z hor.1-4 do 50 m</t>
  </si>
  <si>
    <t>díl 16</t>
  </si>
  <si>
    <t>162 30 1411 R00</t>
  </si>
  <si>
    <t>Vod.přemístění kmenů listnatých, D 30cm  do 5000 m</t>
  </si>
  <si>
    <t>162 30 1415 R00</t>
  </si>
  <si>
    <t>Vod.přemístění kmenů jehlič., D 30cm  do 5000 m</t>
  </si>
  <si>
    <t>162 30 1421 R00</t>
  </si>
  <si>
    <t>Vodorovné přemístění pařezů  D 30 cm do 5000 m</t>
  </si>
  <si>
    <t>162 60 1101 R00</t>
  </si>
  <si>
    <t>Vodorovné přemístění výkopku z hor.1-4 do 4000 m</t>
  </si>
  <si>
    <t>162 70 1109 R00</t>
  </si>
  <si>
    <t>Příplatek k vod. přemístění hor.1-4 za další 1 km</t>
  </si>
  <si>
    <t>162 70 1155 R00</t>
  </si>
  <si>
    <t>Vodorovné přemístění výkopku z hor.5-7 do 10000 m</t>
  </si>
  <si>
    <t>díl 16 (Přemístění výkopku)</t>
  </si>
  <si>
    <t>17 (Konstrukce ze zemin)</t>
  </si>
  <si>
    <t>171 10 1101 R00</t>
  </si>
  <si>
    <t>Uložení sypaniny do násypů zhutněných na 95% PS</t>
  </si>
  <si>
    <t>díl 17</t>
  </si>
  <si>
    <t>171 20 1201 R00</t>
  </si>
  <si>
    <t>Uložení sypaniny na skládku</t>
  </si>
  <si>
    <t>171 20 1201_/00</t>
  </si>
  <si>
    <t>800-1</t>
  </si>
  <si>
    <t>800-1,A01</t>
  </si>
  <si>
    <t>R1</t>
  </si>
  <si>
    <t>Poplatek za uložení na skládku</t>
  </si>
  <si>
    <t>t</t>
  </si>
  <si>
    <t>díl 17 (Konstrukce ze zemin)</t>
  </si>
  <si>
    <t>18 (Povrchové úpravy terénu)</t>
  </si>
  <si>
    <t>180 40 1213 R00</t>
  </si>
  <si>
    <t>Založení trávníku lučního výsevem ve svahu do 1:1</t>
  </si>
  <si>
    <t>díl 18</t>
  </si>
  <si>
    <t>182 10 1101 R00</t>
  </si>
  <si>
    <t>Svahování v zářezech v hor. 1 - 4</t>
  </si>
  <si>
    <t>182 30 1121 R00</t>
  </si>
  <si>
    <t>Rozprostření ornice, svah, tl. do 10 cm, do 500 m2</t>
  </si>
  <si>
    <t>R3</t>
  </si>
  <si>
    <t>Směs travní krajinná malokarpatská</t>
  </si>
  <si>
    <t>kg</t>
  </si>
  <si>
    <t>823-1</t>
  </si>
  <si>
    <t>823-1,A02</t>
  </si>
  <si>
    <t>spec</t>
  </si>
  <si>
    <t>díl 18 (Povrchové úpravy terénu)</t>
  </si>
  <si>
    <t>45 (Podkladní a vedlejší konstrukce)</t>
  </si>
  <si>
    <t>451 31 3511 R00</t>
  </si>
  <si>
    <t>Podklad betonový pod dlažbu tl. do 100 mm</t>
  </si>
  <si>
    <t>díl 45</t>
  </si>
  <si>
    <t>451 50 4111 R00</t>
  </si>
  <si>
    <t>Zřízení lože z kameniva pod dlažbu tl. do 100 mm</t>
  </si>
  <si>
    <t>452 21 8142 R00</t>
  </si>
  <si>
    <t>Zajišťovací práh z upraveného lom. kamene, na MC</t>
  </si>
  <si>
    <t>452 31 8510 R00</t>
  </si>
  <si>
    <t>Zajišťovací práh z betonu s patkami i bez patek</t>
  </si>
  <si>
    <t>díl 45 (Podkladní a vedlejší konstrukce)</t>
  </si>
  <si>
    <t>46 (Zpevněné plochy, rigoly)</t>
  </si>
  <si>
    <t>465 51 1228 R00</t>
  </si>
  <si>
    <t>Dlažba z kamene na sucho, s vyklínov. tl.do 25 cm</t>
  </si>
  <si>
    <t>díl 46</t>
  </si>
  <si>
    <t>465 51 2228 R00</t>
  </si>
  <si>
    <t>Dlažba z kamene na sucho,s vylitím MC, tl.do 25 cm</t>
  </si>
  <si>
    <t>díl 46 (Zpevněné plochy, rigoly)</t>
  </si>
  <si>
    <t>99 (Přesun hmot, dočasné jeřábové dráhy)</t>
  </si>
  <si>
    <t>998 31 2011 R00</t>
  </si>
  <si>
    <t>Přesun hmot pro hrazení a úpravu bystřin</t>
  </si>
  <si>
    <t>díl 99</t>
  </si>
  <si>
    <t>hmoty</t>
  </si>
  <si>
    <t>cenik_cast</t>
  </si>
  <si>
    <t>díl 99 (Přesun hmot, dočasné jeřábové dráhy)</t>
  </si>
  <si>
    <t>rekapitulace</t>
  </si>
  <si>
    <t>11</t>
  </si>
  <si>
    <t>Přípravné a přidružené práce</t>
  </si>
  <si>
    <t>12</t>
  </si>
  <si>
    <t>Odkopávky a prokopávky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</si>
  <si>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</si>
  <si>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</si>
  <si>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</si>
  <si>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</si>
  <si>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</si>
  <si>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</si>
  <si>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</si>
  <si>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</si>
  <si>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45</t>
  </si>
  <si>
    <t>Podkladní a vedlejší konstrukce</t>
  </si>
  <si>
    <t>46</t>
  </si>
  <si>
    <t>Zpevněné plochy, rigoly</t>
  </si>
  <si>
    <t>99</t>
  </si>
  <si>
    <t>Přesun hmot, dočasné jeřábové dráhy</t>
  </si>
  <si>
    <t>část 021.2 (Trubní odpad)</t>
  </si>
  <si>
    <t>121 10 1101 R00</t>
  </si>
  <si>
    <t>Sejmutí ornice s přemístěním do 50 m</t>
  </si>
  <si>
    <t>125 10 3101 R00</t>
  </si>
  <si>
    <t>Vykopávky kanálů pro zemědělské meliorace v hor. 2</t>
  </si>
  <si>
    <t>125 70 3301 R00</t>
  </si>
  <si>
    <t>Čištění kanálů s nezpevněným.dnem, tl.vrstvy 25 cm</t>
  </si>
  <si>
    <t>130 90 1121 R00</t>
  </si>
  <si>
    <t>Bourání konstrukcí z betonu prostého</t>
  </si>
  <si>
    <t>132 20 1101 R00</t>
  </si>
  <si>
    <t>Hloubení rýh šířky do 60 cm v hor.3 do 100 m3</t>
  </si>
  <si>
    <t>15 (Roubení)</t>
  </si>
  <si>
    <t>151 10 1102 R00</t>
  </si>
  <si>
    <t>Pažení a rozepření stěn rýh - příložné - hl. do 4m</t>
  </si>
  <si>
    <t>díl 15</t>
  </si>
  <si>
    <t>151 10 1112 R00</t>
  </si>
  <si>
    <t>Odstranění paženi stěn rýh - příložné - hl. do 4 m</t>
  </si>
  <si>
    <t>díl 15 (Roubení)</t>
  </si>
  <si>
    <t>161 10 1101 R00</t>
  </si>
  <si>
    <t>Svislé přemístění výkopku z hor.1-4 do 2,5 m</t>
  </si>
  <si>
    <t>162 50 7111 R00</t>
  </si>
  <si>
    <t>Vodorov prem vykop horn 1-4 4000m</t>
  </si>
  <si>
    <t>162 70 1159 R00</t>
  </si>
  <si>
    <t>Příplatek k vod. přemístění hor.5-7 za další 1 km</t>
  </si>
  <si>
    <t>171 20 1101 R00</t>
  </si>
  <si>
    <t>Uložení sypaniny do násypů nezhutněných</t>
  </si>
  <si>
    <t>174 10 1101 R00</t>
  </si>
  <si>
    <t>Zásyp jam, rýh, šachet se zhutněním</t>
  </si>
  <si>
    <t>175 10 1101 R00</t>
  </si>
  <si>
    <t>Obsyp potrubí bez prohození sypaniny</t>
  </si>
  <si>
    <t>175 10 1201 R00</t>
  </si>
  <si>
    <t>Obsyp objektu bez prohození sypaniny</t>
  </si>
  <si>
    <t>452 11 1111 R00</t>
  </si>
  <si>
    <t>Osazení betonových pražců plochy do 250 cm2</t>
  </si>
  <si>
    <t>452 31 1131 R00</t>
  </si>
  <si>
    <t>Desky podkladní pod potrubí z betonu B 12,5</t>
  </si>
  <si>
    <t>452 31 2131 R00</t>
  </si>
  <si>
    <t>Sedlové lože pod potrubí z betonu B 12,5</t>
  </si>
  <si>
    <t>452 35 1101 R00</t>
  </si>
  <si>
    <t>Bednění desek nebo sedlových loží pod potrubí</t>
  </si>
  <si>
    <t>59217460</t>
  </si>
  <si>
    <t>Obrubník silniční dvouvrstvý ABO 2-15  100x15x25cm</t>
  </si>
  <si>
    <t>ks</t>
  </si>
  <si>
    <t>827-1</t>
  </si>
  <si>
    <t>827-1,A01</t>
  </si>
  <si>
    <t>82 (Potrubí z trub železobetonových)</t>
  </si>
  <si>
    <t>822 42 2111 R00</t>
  </si>
  <si>
    <t>Montáž trub ŽB těs. pryžovými kroužky DN 500</t>
  </si>
  <si>
    <t>m</t>
  </si>
  <si>
    <t>díl 82</t>
  </si>
  <si>
    <t>59222534</t>
  </si>
  <si>
    <t>Trouba betonová přímá hrdlová TZH-Q 50x250</t>
  </si>
  <si>
    <t>827-1,A03</t>
  </si>
  <si>
    <t>59222549</t>
  </si>
  <si>
    <t>Trouba betonová přímá hrdlová TZH-Q 50x200 PR</t>
  </si>
  <si>
    <t>díl 82 (Potrubí z trub železobetonových)</t>
  </si>
  <si>
    <t>91 (Doplňující konstrukce a práce pozemních komunikací)</t>
  </si>
  <si>
    <t>919 31 1112_/00</t>
  </si>
  <si>
    <t>Čela propustku z prostého betonu C8/10(B10)</t>
  </si>
  <si>
    <t>díl 91</t>
  </si>
  <si>
    <t>831-1</t>
  </si>
  <si>
    <t>831-1,A01</t>
  </si>
  <si>
    <t>919 41 3111 R00</t>
  </si>
  <si>
    <t>Vtoková jímka z B 10 propustku z trub DN do 80 cm</t>
  </si>
  <si>
    <t>díl 91 (Doplňující konstrukce a práce pozemních komunikací)</t>
  </si>
  <si>
    <t>hpm</t>
  </si>
  <si>
    <t>15</t>
  </si>
  <si>
    <t>Roubení</t>
  </si>
  <si>
    <t>82</t>
  </si>
  <si>
    <t>Potrubí z trub železobetonových</t>
  </si>
  <si>
    <t>91</t>
  </si>
  <si>
    <t>Doplňující konstrukce a práce pozemních komunikací</t>
  </si>
  <si>
    <t>767 (Kovové doplňkové konstrukce)</t>
  </si>
  <si>
    <t>767 99 5103 R00</t>
  </si>
  <si>
    <t>Montáž kovových atypických konstrukcí do 20 kg</t>
  </si>
  <si>
    <t>díl 767</t>
  </si>
  <si>
    <t>P</t>
  </si>
  <si>
    <t>RTS PSV</t>
  </si>
  <si>
    <t>RTS PSV,1 SP</t>
  </si>
  <si>
    <t>informativní cena</t>
  </si>
  <si>
    <t>Ochranný rám pro osazení poloroštu (4 kg), pozinkovaný</t>
  </si>
  <si>
    <t>800-767</t>
  </si>
  <si>
    <t>800-767,A01</t>
  </si>
  <si>
    <t>Polorošt z kompozitů 1,1x1,1 m</t>
  </si>
  <si>
    <t>díl 767 (Kovové doplňkové konstrukce)</t>
  </si>
  <si>
    <t>767</t>
  </si>
  <si>
    <t>Kovové doplňkové konstrukce</t>
  </si>
  <si>
    <t>část 021.3 (Propustek DN600)</t>
  </si>
  <si>
    <t>180 40 1212 R00</t>
  </si>
  <si>
    <t>Založení trávníku lučního výsevem ve svahu do 1:2</t>
  </si>
  <si>
    <t>181 30 1101 R00</t>
  </si>
  <si>
    <t>Rozprostření ornice, rovina, tl. do 10 cm do 500m2</t>
  </si>
  <si>
    <t>32 (Zdi přehradní, ohradní a opěrné)</t>
  </si>
  <si>
    <t>329 22 2111 R00</t>
  </si>
  <si>
    <t>Zdění obkl. zdiva ostatního řádkového tl. do 45 cm</t>
  </si>
  <si>
    <t>díl 32</t>
  </si>
  <si>
    <t>329 32 1112 R00</t>
  </si>
  <si>
    <t>Konstrukce ostatní z betonu železového V4 T50 B 20</t>
  </si>
  <si>
    <t>329 35 1010 R00</t>
  </si>
  <si>
    <t>Obednění konstrukcí ostatních ploch rovinných</t>
  </si>
  <si>
    <t>329 35 2010 R00</t>
  </si>
  <si>
    <t>Odbednění konstrukcí ostatních ploch rovinných</t>
  </si>
  <si>
    <t>329 36 6112_/00</t>
  </si>
  <si>
    <t>Výztuž železobetonových konstrukcí ostatních vod.kcí. z oceli 10505 průměru 32mm</t>
  </si>
  <si>
    <t>832-1</t>
  </si>
  <si>
    <t>832-1,A01</t>
  </si>
  <si>
    <t>díl 32 (Zdi přehradní, ohradní a opěrné)</t>
  </si>
  <si>
    <t>919 31 1112 R00</t>
  </si>
  <si>
    <t>Čelo propustku z betonu prostého B 10 (C8/10)</t>
  </si>
  <si>
    <t>919 51 1211 R00</t>
  </si>
  <si>
    <t>Zřízení potrubního propustku z beton. trub DN 600</t>
  </si>
  <si>
    <t>59222536</t>
  </si>
  <si>
    <t>Trouba železobet hrdlová TZH-Q 60/250</t>
  </si>
  <si>
    <t>32</t>
  </si>
  <si>
    <t>Zdi přehradní, ohradní a opěrné</t>
  </si>
  <si>
    <t>767 16 1140 R00</t>
  </si>
  <si>
    <t>Montáž zábradlí rovného z trubek do zdiva nad 45kg</t>
  </si>
  <si>
    <t>R2</t>
  </si>
  <si>
    <t>Zábradlí z ocelových trubek průměru 50 mm o rozměrech podle výkresu D.13, pozinkované žárově</t>
  </si>
  <si>
    <t>kompl.</t>
  </si>
  <si>
    <t>SO.022 (Příkop B2)</t>
  </si>
  <si>
    <t>část 022.1 (Příkop B2)</t>
  </si>
  <si>
    <t>část 022.2 (Propustek DN400)</t>
  </si>
  <si>
    <t>122 20 1101 R00</t>
  </si>
  <si>
    <t>Odkopávky nezapažené v hor. 3 do 100 m3</t>
  </si>
  <si>
    <t>56 (Podkladní vrstvy pozemních komunikací, letišť a ploch)</t>
  </si>
  <si>
    <t>564 76 2113 R00</t>
  </si>
  <si>
    <t>Podklad z kam.drceného 32-63 s výplň.kamen. 22 cm</t>
  </si>
  <si>
    <t>díl 56</t>
  </si>
  <si>
    <t>díl 56 (Podkladní vrstvy pozemních komunikací, letišť a ploch)</t>
  </si>
  <si>
    <t>919 51 1011 R00</t>
  </si>
  <si>
    <t>Zřízení potrubního propustku z beton. trub DN 400</t>
  </si>
  <si>
    <t>orientační cena</t>
  </si>
  <si>
    <t>Seříznutí železobetonové trouby DN 400 - jeden řez</t>
  </si>
  <si>
    <t>822-1</t>
  </si>
  <si>
    <t>822-1,A01</t>
  </si>
  <si>
    <t>59222532</t>
  </si>
  <si>
    <t>Trouba železobet hrdlová TZH-Q 40/250</t>
  </si>
  <si>
    <t>56</t>
  </si>
  <si>
    <t>Podkladní vrstvy pozemních komunikací, letišť a ploch</t>
  </si>
  <si>
    <t>SO.023 (Příkop B3)</t>
  </si>
  <si>
    <t>část 023.1 (Příkop B3)</t>
  </si>
  <si>
    <t>111 20 1501 R00</t>
  </si>
  <si>
    <t>Spálení větví stromů o průměru nad 100 mm</t>
  </si>
  <si>
    <t>část 023.2 (Propustek DN800)</t>
  </si>
  <si>
    <t>151 10 1201 R00</t>
  </si>
  <si>
    <t>Pažení stěn výkopu - příložné - hloubky do 4 m</t>
  </si>
  <si>
    <t>151 10 1211 R00</t>
  </si>
  <si>
    <t>Odstranění pažení stěn - příložné - hl. do 4 m</t>
  </si>
  <si>
    <t>151 10 1301 R00</t>
  </si>
  <si>
    <t>Rozepření stěn pažení - příložné -  hl. do 4 m</t>
  </si>
  <si>
    <t>151 10 1311 R00</t>
  </si>
  <si>
    <t>Odstranění rozepření stěn - příložné - hl. do 4 m</t>
  </si>
  <si>
    <t>171 10 1141 R00</t>
  </si>
  <si>
    <t>Násyp pro silnice a železnice v množství 0,75 m3/m</t>
  </si>
  <si>
    <t>451 31 3521 R00</t>
  </si>
  <si>
    <t>Podklad betonový pod dlažbu tl. od 100 do 150 mm</t>
  </si>
  <si>
    <t>465 51 3228 R00</t>
  </si>
  <si>
    <t>Dlažba z kamene na MC,s vyspár.MCs, tl.do 25 cm</t>
  </si>
  <si>
    <t>919 51 1311 R00</t>
  </si>
  <si>
    <t>Zřízení potrubního propustku z beton. trub DN 800</t>
  </si>
  <si>
    <t>59222536.A</t>
  </si>
  <si>
    <t>Trouba železobet hrdlová TZH-Q 80/250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</si>
</sst>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8" formatCode="0.00000"/>
    <numFmt numFmtId="169" formatCode="0.000"/>
  </numFmts>
  <fonts count="27">
    <font>
      <sz val="10"/>
      <name val="Arial"/>
      <charset val="238"/>
    </font>
    <font>
      <sz val="12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9C0006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Symbol"/>
      <family val="1"/>
      <charset val="2"/>
    </font>
    <font>
      <b/>
      <sz val="12"/>
      <name val="Arial"/>
      <family val="2"/>
      <charset val="238"/>
    </font>
    <font>
      <b/>
      <sz val="12"/>
      <name val="Symbol"/>
      <family val="1"/>
      <charset val="2"/>
    </font>
    <font>
      <b/>
      <sz val="10"/>
      <name val="Symbol"/>
      <family val="1"/>
      <charset val="2"/>
    </font>
    <font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8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>
      <alignment vertical="top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0" fontId="19" fillId="0" borderId="11" xfId="0" applyFont="1" applyBorder="1">
      <alignment vertical="top"/>
    </xf>
    <xf numFmtId="0" fontId="18" fillId="0" borderId="12" xfId="0" applyFont="1" applyBorder="1">
      <alignment vertical="top"/>
    </xf>
    <xf numFmtId="0" fontId="18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18" fillId="0" borderId="0" xfId="0" applyFont="1" applyBorder="1">
      <alignment vertical="top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44" fontId="18" fillId="0" borderId="15" xfId="0" applyNumberFormat="1" applyFont="1" applyBorder="1">
      <alignment vertical="top"/>
    </xf>
    <xf numFmtId="44" fontId="18" fillId="0" borderId="10" xfId="0" applyNumberFormat="1" applyFont="1" applyBorder="1">
      <alignment vertical="top"/>
    </xf>
    <xf numFmtId="0" fontId="0" fillId="0" borderId="10" xfId="0" applyBorder="1">
      <alignment vertical="top"/>
    </xf>
    <xf numFmtId="0" fontId="0" fillId="0" borderId="16" xfId="0" applyBorder="1">
      <alignment vertical="top"/>
    </xf>
    <xf numFmtId="0" fontId="0" fillId="0" borderId="16" xfId="0" applyBorder="1">
      <alignment vertical="top"/>
    </xf>
    <xf numFmtId="44" fontId="18" fillId="0" borderId="17" xfId="0" applyNumberFormat="1" applyFont="1" applyBorder="1">
      <alignment vertical="top"/>
    </xf>
    <xf numFmtId="44" fontId="18" fillId="0" borderId="16" xfId="0" applyNumberFormat="1" applyFont="1" applyBorder="1">
      <alignment vertical="top"/>
    </xf>
    <xf numFmtId="0" fontId="18" fillId="0" borderId="18" xfId="0" applyFont="1" applyBorder="1">
      <alignment vertical="top"/>
    </xf>
    <xf numFmtId="0" fontId="23" fillId="0" borderId="11" xfId="0" applyFont="1" applyBorder="1">
      <alignment vertical="top"/>
    </xf>
    <xf numFmtId="44" fontId="18" fillId="34" borderId="15" xfId="0" applyNumberFormat="1" applyFont="1" applyFill="1" applyBorder="1">
      <alignment vertical="top"/>
    </xf>
    <xf numFmtId="44" fontId="18" fillId="34" borderId="10" xfId="0" applyNumberFormat="1" applyFont="1" applyFill="1" applyBorder="1">
      <alignment vertical="top"/>
    </xf>
    <xf numFmtId="0" fontId="0" fillId="34" borderId="10" xfId="0" applyFill="1" applyBorder="1">
      <alignment vertical="top"/>
    </xf>
    <xf numFmtId="0" fontId="0" fillId="34" borderId="12" xfId="0" applyFill="1" applyBorder="1">
      <alignment vertical="top"/>
    </xf>
    <xf numFmtId="0" fontId="0" fillId="34" borderId="13" xfId="0" applyFill="1" applyBorder="1">
      <alignment vertical="top"/>
    </xf>
    <xf numFmtId="44" fontId="18" fillId="34" borderId="11" xfId="0" applyNumberFormat="1" applyFont="1" applyFill="1" applyBorder="1">
      <alignment vertical="top"/>
    </xf>
    <xf numFmtId="44" fontId="18" fillId="34" borderId="13" xfId="0" applyNumberFormat="1" applyFont="1" applyFill="1" applyBorder="1">
      <alignment vertical="top"/>
    </xf>
    <xf numFmtId="44" fontId="18" fillId="34" borderId="0" xfId="0" applyNumberFormat="1" applyFont="1" applyFill="1" applyBorder="1">
      <alignment vertical="top"/>
    </xf>
    <xf numFmtId="44" fontId="18" fillId="34" borderId="12" xfId="0" applyNumberFormat="1" applyFont="1" applyFill="1" applyBorder="1">
      <alignment vertical="top"/>
    </xf>
    <xf numFmtId="0" fontId="18" fillId="34" borderId="12" xfId="0" applyFont="1" applyFill="1" applyBorder="1">
      <alignment vertical="top"/>
    </xf>
    <xf numFmtId="0" fontId="18" fillId="34" borderId="13" xfId="0" applyFont="1" applyFill="1" applyBorder="1">
      <alignment vertical="top"/>
    </xf>
    <xf numFmtId="0" fontId="18" fillId="34" borderId="14" xfId="0" applyFont="1" applyFill="1" applyBorder="1">
      <alignment vertical="top"/>
    </xf>
    <xf numFmtId="0" fontId="18" fillId="34" borderId="0" xfId="0" applyFont="1" applyFill="1" applyBorder="1">
      <alignment vertical="top"/>
    </xf>
    <xf numFmtId="0" fontId="19" fillId="0" borderId="11" xfId="0" applyFont="1" applyBorder="1">
      <alignment vertical="top"/>
    </xf>
    <xf numFmtId="0" fontId="19" fillId="0" borderId="0" xfId="0" applyFont="1" applyBorder="1">
      <alignment vertical="top"/>
    </xf>
    <xf numFmtId="0" fontId="19" fillId="0" borderId="15" xfId="0" applyFont="1" applyBorder="1">
      <alignment vertical="top"/>
    </xf>
    <xf numFmtId="0" fontId="19" fillId="0" borderId="10" xfId="0" applyFont="1" applyBorder="1">
      <alignment vertical="top"/>
    </xf>
    <xf numFmtId="0" fontId="19" fillId="0" borderId="1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4" fontId="18" fillId="34" borderId="14" xfId="0" applyNumberFormat="1" applyFont="1" applyFill="1" applyBorder="1">
      <alignment vertical="top"/>
    </xf>
    <xf numFmtId="0" fontId="20" fillId="0" borderId="11" xfId="0" applyFont="1" applyBorder="1">
      <alignment vertical="top"/>
    </xf>
    <xf numFmtId="0" fontId="20" fillId="0" borderId="0" xfId="0" applyFont="1" applyBorder="1">
      <alignment vertical="top"/>
    </xf>
    <xf numFmtId="0" fontId="19" fillId="34" borderId="15" xfId="0" applyFont="1" applyFill="1" applyBorder="1">
      <alignment vertical="top"/>
    </xf>
    <xf numFmtId="0" fontId="19" fillId="34" borderId="10" xfId="0" applyFont="1" applyFill="1" applyBorder="1">
      <alignment vertical="top"/>
    </xf>
    <xf numFmtId="0" fontId="19" fillId="0" borderId="0" xfId="0" applyFont="1">
      <alignment vertical="top"/>
    </xf>
    <xf numFmtId="9" fontId="0" fillId="0" borderId="0" xfId="0" applyNumberFormat="1">
      <alignment vertical="top"/>
    </xf>
    <xf numFmtId="44" fontId="0" fillId="0" borderId="13" xfId="0" applyNumberFormat="1" applyBorder="1">
      <alignment vertical="top"/>
    </xf>
    <xf numFmtId="44" fontId="0" fillId="0" borderId="12" xfId="0" applyNumberFormat="1" applyBorder="1">
      <alignment vertical="top"/>
    </xf>
    <xf numFmtId="0" fontId="20" fillId="34" borderId="19" xfId="0" applyFont="1" applyFill="1" applyBorder="1">
      <alignment vertical="top"/>
    </xf>
    <xf numFmtId="0" fontId="20" fillId="34" borderId="13" xfId="0" applyFont="1" applyFill="1" applyBorder="1">
      <alignment vertical="top"/>
    </xf>
    <xf numFmtId="49" fontId="24" fillId="35" borderId="0" xfId="0" applyNumberFormat="1" applyFont="1" applyFill="1">
      <alignment vertical="top"/>
    </xf>
    <xf numFmtId="168" fontId="24" fillId="35" borderId="0" xfId="0" applyNumberFormat="1" applyFont="1" applyFill="1" applyAlignment="1">
      <alignment vertical="top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0" xfId="0" applyFont="1" applyFill="1" applyBorder="1" applyAlignment="1">
      <alignment horizontal="center" vertical="center" wrapText="1"/>
    </xf>
    <xf numFmtId="49" fontId="26" fillId="35" borderId="0" xfId="0" applyNumberFormat="1" applyFont="1" applyFill="1" applyBorder="1" applyAlignment="1">
      <alignment horizontal="center" vertical="center" wrapText="1"/>
    </xf>
    <xf numFmtId="49" fontId="26" fillId="35" borderId="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vertical="center"/>
    </xf>
    <xf numFmtId="49" fontId="18" fillId="0" borderId="0" xfId="0" applyNumberFormat="1" applyFont="1" applyFill="1" applyAlignment="1">
      <alignment vertical="top"/>
    </xf>
    <xf numFmtId="49" fontId="18" fillId="0" borderId="0" xfId="0" applyNumberFormat="1" applyFont="1" applyFill="1" applyAlignment="1">
      <alignment vertical="top" wrapText="1"/>
    </xf>
    <xf numFmtId="169" fontId="18" fillId="0" borderId="0" xfId="0" applyNumberFormat="1" applyFont="1" applyFill="1" applyAlignment="1">
      <alignment vertical="top"/>
    </xf>
    <xf numFmtId="44" fontId="18" fillId="0" borderId="0" xfId="0" applyNumberFormat="1" applyFont="1">
      <alignment vertical="top"/>
    </xf>
    <xf numFmtId="168" fontId="0" fillId="0" borderId="0" xfId="0" applyNumberFormat="1" applyFill="1" applyAlignment="1">
      <alignment vertical="top"/>
    </xf>
    <xf numFmtId="44" fontId="0" fillId="0" borderId="0" xfId="0" applyNumberFormat="1">
      <alignment vertical="top"/>
    </xf>
    <xf numFmtId="0" fontId="24" fillId="35" borderId="0" xfId="0" applyNumberFormat="1" applyFont="1" applyFill="1" applyAlignment="1">
      <alignment vertical="top"/>
    </xf>
    <xf numFmtId="0" fontId="22" fillId="34" borderId="0" xfId="0" applyFont="1" applyFill="1" applyAlignment="1">
      <alignment horizontal="right" vertical="center"/>
    </xf>
    <xf numFmtId="44" fontId="18" fillId="34" borderId="0" xfId="0" applyNumberFormat="1" applyFont="1" applyFill="1" applyAlignment="1">
      <alignment vertical="center"/>
    </xf>
    <xf numFmtId="168" fontId="0" fillId="34" borderId="0" xfId="0" applyNumberFormat="1" applyFill="1" applyAlignment="1">
      <alignment vertical="center"/>
    </xf>
    <xf numFmtId="44" fontId="0" fillId="34" borderId="0" xfId="0" applyNumberFormat="1" applyFill="1" applyAlignment="1">
      <alignment vertical="center"/>
    </xf>
    <xf numFmtId="0" fontId="22" fillId="33" borderId="18" xfId="0" applyFont="1" applyFill="1" applyBorder="1" applyAlignment="1">
      <alignment horizontal="right" vertical="center"/>
    </xf>
    <xf numFmtId="0" fontId="21" fillId="33" borderId="18" xfId="0" applyFont="1" applyFill="1" applyBorder="1" applyAlignment="1">
      <alignment vertical="center"/>
    </xf>
    <xf numFmtId="44" fontId="18" fillId="33" borderId="18" xfId="0" applyNumberFormat="1" applyFont="1" applyFill="1" applyBorder="1" applyAlignment="1">
      <alignment vertical="center"/>
    </xf>
    <xf numFmtId="168" fontId="0" fillId="33" borderId="18" xfId="0" applyNumberFormat="1" applyFill="1" applyBorder="1" applyAlignment="1">
      <alignment vertical="center"/>
    </xf>
    <xf numFmtId="44" fontId="0" fillId="33" borderId="18" xfId="0" applyNumberFormat="1" applyFill="1" applyBorder="1" applyAlignment="1">
      <alignment vertical="center"/>
    </xf>
    <xf numFmtId="0" fontId="21" fillId="33" borderId="16" xfId="0" applyFont="1" applyFill="1" applyBorder="1" applyAlignment="1">
      <alignment horizontal="left" vertical="center"/>
    </xf>
    <xf numFmtId="49" fontId="18" fillId="0" borderId="18" xfId="0" applyNumberFormat="1" applyFont="1" applyFill="1" applyBorder="1" applyAlignment="1">
      <alignment vertical="top" wrapText="1"/>
    </xf>
    <xf numFmtId="49" fontId="18" fillId="0" borderId="0" xfId="0" applyNumberFormat="1" applyFont="1" applyFill="1" applyAlignment="1">
      <alignment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view="pageBreakPreview" zoomScaleNormal="100" zoomScaleSheetLayoutView="100" workbookViewId="0">
      <selection sqref="A1:N1"/>
    </sheetView>
  </sheetViews>
  <sheetFormatPr defaultRowHeight="12.75"/>
  <cols>
    <col min="1" max="1" width="4.5703125" customWidth="1"/>
    <col min="7" max="8" width="4.5703125" customWidth="1"/>
  </cols>
  <sheetData>
    <row r="1" spans="1:14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customHeight="1"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2.75" customHeight="1">
      <c r="B3" s="3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4" ht="18.75" customHeight="1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2.75" customHeight="1">
      <c r="B6" s="3" t="s">
        <v>6</v>
      </c>
      <c r="C6" s="4" t="s">
        <v>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8" spans="1:14" ht="18.75" customHeight="1">
      <c r="A8" s="9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8.75" customHeight="1">
      <c r="A9" s="8"/>
      <c r="B9" s="10" t="s">
        <v>9</v>
      </c>
      <c r="C9" s="10"/>
      <c r="D9" s="10" t="s">
        <v>10</v>
      </c>
      <c r="E9" s="10"/>
      <c r="F9" s="10" t="s">
        <v>11</v>
      </c>
      <c r="G9" s="10"/>
      <c r="H9" s="10"/>
      <c r="I9" s="11" t="s">
        <v>12</v>
      </c>
      <c r="J9" s="11"/>
      <c r="K9" s="2"/>
      <c r="L9" s="2"/>
      <c r="M9" s="2"/>
      <c r="N9" s="2"/>
    </row>
    <row r="10" spans="1:14" ht="18.75" customHeight="1">
      <c r="A10" s="1"/>
      <c r="B10" s="2"/>
      <c r="C10" s="2"/>
      <c r="D10" s="2"/>
      <c r="E10" s="2"/>
      <c r="F10" s="2"/>
      <c r="G10" s="2"/>
      <c r="H10" s="2"/>
      <c r="I10" s="12" t="s">
        <v>13</v>
      </c>
      <c r="J10" s="12"/>
      <c r="K10" s="11" t="s">
        <v>14</v>
      </c>
      <c r="L10" s="11"/>
      <c r="M10" s="12" t="s">
        <v>13</v>
      </c>
      <c r="N10" s="12"/>
    </row>
    <row r="11" spans="1:14" ht="12.75" customHeight="1">
      <c r="A11" s="5" t="str">
        <f>'KPU 072_78 RTS_SO_021'!$C$7</f>
        <v>SO.021 (Příkop B1)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2.75" customHeight="1">
      <c r="B12" s="14">
        <f>'KPU 072_78 RTS_SO_021'!$K$22</f>
        <v>0</v>
      </c>
      <c r="C12" s="13"/>
      <c r="D12" s="14">
        <f>0</f>
        <v>0</v>
      </c>
      <c r="E12" s="13"/>
      <c r="F12" s="14">
        <f>'KPU 072_78 RTS_SO_021'!$K$25</f>
        <v>0</v>
      </c>
      <c r="G12" s="14"/>
      <c r="H12" s="13"/>
      <c r="I12" s="14">
        <f>0</f>
        <v>0</v>
      </c>
      <c r="J12" s="14"/>
      <c r="K12" s="15"/>
      <c r="L12" s="15"/>
      <c r="M12" s="15"/>
      <c r="N12" s="15"/>
    </row>
    <row r="13" spans="1:14" ht="12.75" customHeight="1" thickBot="1">
      <c r="A13" s="16"/>
      <c r="B13" s="17"/>
      <c r="C13" s="17"/>
      <c r="D13" s="17"/>
      <c r="E13" s="17"/>
      <c r="F13" s="17"/>
      <c r="G13" s="17"/>
      <c r="H13" s="17"/>
      <c r="I13" s="19">
        <f>'KPU 072_78 RTS_SO_021'!$K$28</f>
        <v>0</v>
      </c>
      <c r="J13" s="18"/>
      <c r="K13" s="19">
        <f>SUM('KPU 072_78 RTS_SO_021'!$K$29:'KPU 072_78 RTS_SO_021'!$K$29)</f>
        <v>0</v>
      </c>
      <c r="L13" s="18"/>
      <c r="M13" s="19">
        <f>'KPU 072_78 RTS_SO_021'!$K$30</f>
        <v>0</v>
      </c>
      <c r="N13" s="19"/>
    </row>
    <row r="14" spans="1:14" ht="12.75" customHeight="1">
      <c r="A14" s="20" t="str">
        <f>'KPU 072_78 RTS_SO_022'!$C$7</f>
        <v>SO.022 (Příkop B2)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customHeight="1">
      <c r="B15" s="14">
        <f>'KPU 072_78 RTS_SO_022'!$K$22</f>
        <v>0</v>
      </c>
      <c r="C15" s="13"/>
      <c r="D15" s="14">
        <f>0</f>
        <v>0</v>
      </c>
      <c r="E15" s="13"/>
      <c r="F15" s="14">
        <f>'KPU 072_78 RTS_SO_022'!$K$25</f>
        <v>0</v>
      </c>
      <c r="G15" s="14"/>
      <c r="H15" s="13"/>
      <c r="I15" s="14">
        <f>0</f>
        <v>0</v>
      </c>
      <c r="J15" s="14"/>
      <c r="K15" s="15"/>
      <c r="L15" s="15"/>
      <c r="M15" s="15"/>
      <c r="N15" s="15"/>
    </row>
    <row r="16" spans="1:14" ht="12.75" customHeight="1" thickBot="1">
      <c r="A16" s="16"/>
      <c r="B16" s="17"/>
      <c r="C16" s="17"/>
      <c r="D16" s="17"/>
      <c r="E16" s="17"/>
      <c r="F16" s="17"/>
      <c r="G16" s="17"/>
      <c r="H16" s="17"/>
      <c r="I16" s="19">
        <f>'KPU 072_78 RTS_SO_022'!$K$28</f>
        <v>0</v>
      </c>
      <c r="J16" s="18"/>
      <c r="K16" s="19">
        <f>SUM('KPU 072_78 RTS_SO_022'!$K$29:'KPU 072_78 RTS_SO_022'!$K$29)</f>
        <v>0</v>
      </c>
      <c r="L16" s="18"/>
      <c r="M16" s="19">
        <f>'KPU 072_78 RTS_SO_022'!$K$30</f>
        <v>0</v>
      </c>
      <c r="N16" s="19"/>
    </row>
    <row r="17" spans="1:14" ht="12.75" customHeight="1">
      <c r="A17" s="20" t="str">
        <f>'KPU 072_78 RTS_SO_023'!$C$7</f>
        <v>SO.023 (Příkop B3)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2.75" customHeight="1">
      <c r="B18" s="14">
        <f>'KPU 072_78 RTS_SO_023'!$K$22</f>
        <v>0</v>
      </c>
      <c r="C18" s="13"/>
      <c r="D18" s="14">
        <f>0</f>
        <v>0</v>
      </c>
      <c r="E18" s="13"/>
      <c r="F18" s="14">
        <f>'KPU 072_78 RTS_SO_023'!$K$25</f>
        <v>0</v>
      </c>
      <c r="G18" s="14"/>
      <c r="H18" s="13"/>
      <c r="I18" s="14">
        <f>0</f>
        <v>0</v>
      </c>
      <c r="J18" s="14"/>
      <c r="K18" s="15"/>
      <c r="L18" s="15"/>
      <c r="M18" s="15"/>
      <c r="N18" s="15"/>
    </row>
    <row r="19" spans="1:14" ht="12.75" customHeight="1" thickBot="1">
      <c r="A19" s="16"/>
      <c r="B19" s="17"/>
      <c r="C19" s="17"/>
      <c r="D19" s="17"/>
      <c r="E19" s="17"/>
      <c r="F19" s="17"/>
      <c r="G19" s="17"/>
      <c r="H19" s="17"/>
      <c r="I19" s="19">
        <f>'KPU 072_78 RTS_SO_023'!$K$28</f>
        <v>0</v>
      </c>
      <c r="J19" s="18"/>
      <c r="K19" s="19">
        <f>SUM('KPU 072_78 RTS_SO_023'!$K$29:'KPU 072_78 RTS_SO_023'!$K$29)</f>
        <v>0</v>
      </c>
      <c r="L19" s="18"/>
      <c r="M19" s="19">
        <f>'KPU 072_78 RTS_SO_023'!$K$30</f>
        <v>0</v>
      </c>
      <c r="N19" s="19"/>
    </row>
    <row r="20" spans="1:14" ht="12.75" customHeight="1">
      <c r="A20" s="21" t="s">
        <v>13</v>
      </c>
      <c r="B20" s="23">
        <f>$B$12+$B$15+$B$18</f>
        <v>0</v>
      </c>
      <c r="C20" s="22"/>
      <c r="D20" s="23">
        <f>$D$12+$D$15+$D$18</f>
        <v>0</v>
      </c>
      <c r="E20" s="22"/>
      <c r="F20" s="23">
        <f>$F$12+$F$15+$F$18</f>
        <v>0</v>
      </c>
      <c r="G20" s="23"/>
      <c r="H20" s="22"/>
      <c r="I20" s="23">
        <f>$I$12+$I$15+$I$18</f>
        <v>0</v>
      </c>
      <c r="J20" s="22"/>
      <c r="K20" s="24"/>
      <c r="L20" s="24"/>
      <c r="M20" s="24"/>
      <c r="N20" s="24"/>
    </row>
    <row r="21" spans="1:14" ht="12.75" customHeight="1">
      <c r="A21" s="3"/>
      <c r="B21" s="25"/>
      <c r="C21" s="26"/>
      <c r="D21" s="26"/>
      <c r="E21" s="26"/>
      <c r="F21" s="26"/>
      <c r="G21" s="26"/>
      <c r="H21" s="26"/>
      <c r="I21" s="29">
        <f>$I$13+$I$16+$I$19</f>
        <v>0</v>
      </c>
      <c r="J21" s="27"/>
      <c r="K21" s="29">
        <f>$K$13+$K$16+$K$19</f>
        <v>0</v>
      </c>
      <c r="L21" s="27"/>
      <c r="M21" s="30">
        <f>$M$13+$M$16+$M$19</f>
        <v>0</v>
      </c>
      <c r="N21" s="28"/>
    </row>
  </sheetData>
  <mergeCells count="69">
    <mergeCell ref="B21:C21"/>
    <mergeCell ref="D21:E21"/>
    <mergeCell ref="F21:H21"/>
    <mergeCell ref="I21:J21"/>
    <mergeCell ref="K21:L21"/>
    <mergeCell ref="M21:N21"/>
    <mergeCell ref="B20:C20"/>
    <mergeCell ref="D20:E20"/>
    <mergeCell ref="F20:H20"/>
    <mergeCell ref="I20:J20"/>
    <mergeCell ref="K20:L20"/>
    <mergeCell ref="M20:N20"/>
    <mergeCell ref="B19:C19"/>
    <mergeCell ref="D19:E19"/>
    <mergeCell ref="F19:H19"/>
    <mergeCell ref="I19:J19"/>
    <mergeCell ref="K19:L19"/>
    <mergeCell ref="M19:N19"/>
    <mergeCell ref="A17:N17"/>
    <mergeCell ref="B18:C18"/>
    <mergeCell ref="D18:E18"/>
    <mergeCell ref="F18:H18"/>
    <mergeCell ref="I18:J18"/>
    <mergeCell ref="K18:L18"/>
    <mergeCell ref="M18:N18"/>
    <mergeCell ref="B16:C16"/>
    <mergeCell ref="D16:E16"/>
    <mergeCell ref="F16:H16"/>
    <mergeCell ref="I16:J16"/>
    <mergeCell ref="K16:L16"/>
    <mergeCell ref="M16:N16"/>
    <mergeCell ref="A14:N14"/>
    <mergeCell ref="B15:C15"/>
    <mergeCell ref="D15:E15"/>
    <mergeCell ref="F15:H15"/>
    <mergeCell ref="I15:J15"/>
    <mergeCell ref="K15:L15"/>
    <mergeCell ref="M15:N15"/>
    <mergeCell ref="B13:C13"/>
    <mergeCell ref="D13:E13"/>
    <mergeCell ref="F13:H13"/>
    <mergeCell ref="I13:J13"/>
    <mergeCell ref="K13:L13"/>
    <mergeCell ref="M13:N13"/>
    <mergeCell ref="A11:N11"/>
    <mergeCell ref="B12:C12"/>
    <mergeCell ref="D12:E12"/>
    <mergeCell ref="F12:H12"/>
    <mergeCell ref="I12:J12"/>
    <mergeCell ref="K12:L12"/>
    <mergeCell ref="M12:N12"/>
    <mergeCell ref="B10:C10"/>
    <mergeCell ref="D10:E10"/>
    <mergeCell ref="F10:H10"/>
    <mergeCell ref="I10:J10"/>
    <mergeCell ref="K10:L10"/>
    <mergeCell ref="M10:N10"/>
    <mergeCell ref="B9:C9"/>
    <mergeCell ref="D9:E9"/>
    <mergeCell ref="F9:H9"/>
    <mergeCell ref="I9:J9"/>
    <mergeCell ref="K9:L9"/>
    <mergeCell ref="M9:N9"/>
    <mergeCell ref="A1:N1"/>
    <mergeCell ref="C2:N2"/>
    <mergeCell ref="C3:N3"/>
    <mergeCell ref="A5:N5"/>
    <mergeCell ref="C6:N6"/>
    <mergeCell ref="A8:N8"/>
  </mergeCells>
  <pageMargins left="0.78740157499999996" right="0.59" top="0.984251969" bottom="0.984251969" header="0.4921259845" footer="0.4921259845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view="pageBreakPreview" zoomScaleNormal="100" zoomScaleSheetLayoutView="100" workbookViewId="0">
      <selection sqref="A1:L1"/>
    </sheetView>
  </sheetViews>
  <sheetFormatPr defaultRowHeight="12.75"/>
  <cols>
    <col min="1" max="1" width="5.28515625" customWidth="1"/>
    <col min="2" max="5" width="10.7109375" customWidth="1"/>
    <col min="6" max="7" width="5.28515625" customWidth="1"/>
    <col min="8" max="11" width="10.7109375" customWidth="1"/>
  </cols>
  <sheetData>
    <row r="1" spans="1:12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.75" customHeight="1"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pans="1:12" ht="12.75" customHeight="1">
      <c r="B3" s="3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</row>
    <row r="5" spans="1:12" ht="18.75" customHeight="1">
      <c r="A5" s="2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 customHeight="1">
      <c r="B6" s="3" t="s">
        <v>6</v>
      </c>
      <c r="C6" s="31" t="s">
        <v>7</v>
      </c>
      <c r="D6" s="32"/>
      <c r="E6" s="32"/>
      <c r="F6" s="32"/>
      <c r="G6" s="32"/>
      <c r="H6" s="32"/>
      <c r="I6" s="32"/>
      <c r="J6" s="32"/>
      <c r="K6" s="32"/>
      <c r="L6" s="32"/>
    </row>
    <row r="7" spans="1:12" ht="12.75" customHeight="1">
      <c r="B7" s="3" t="s">
        <v>16</v>
      </c>
      <c r="C7" s="33" t="s">
        <v>17</v>
      </c>
      <c r="D7" s="34"/>
      <c r="E7" s="34"/>
      <c r="F7" s="34"/>
      <c r="G7" s="34"/>
      <c r="H7" s="34"/>
      <c r="I7" s="34"/>
      <c r="J7" s="34"/>
      <c r="K7" s="34"/>
      <c r="L7" s="34"/>
    </row>
    <row r="9" spans="1:12" ht="18.75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 customHeight="1">
      <c r="B10" s="36" t="s">
        <v>19</v>
      </c>
      <c r="C10" s="35"/>
      <c r="D10" s="4" t="s">
        <v>20</v>
      </c>
      <c r="E10" s="5"/>
      <c r="F10" s="5"/>
      <c r="G10" s="5"/>
      <c r="H10" s="5"/>
      <c r="I10" s="5"/>
      <c r="J10" s="5"/>
      <c r="K10" s="5"/>
      <c r="L10" s="5"/>
    </row>
    <row r="11" spans="1:12" ht="12.75" customHeight="1">
      <c r="B11" s="35" t="s">
        <v>21</v>
      </c>
      <c r="C11" s="35"/>
      <c r="D11" s="6" t="s">
        <v>22</v>
      </c>
      <c r="E11" s="7"/>
      <c r="F11" s="7"/>
      <c r="G11" s="7"/>
      <c r="H11" s="7"/>
      <c r="I11" s="7"/>
      <c r="J11" s="7"/>
      <c r="K11" s="7"/>
      <c r="L11" s="7"/>
    </row>
    <row r="12" spans="1:12" ht="12.75" customHeight="1">
      <c r="B12" s="35" t="s">
        <v>23</v>
      </c>
      <c r="C12" s="35"/>
      <c r="D12" s="6" t="s">
        <v>22</v>
      </c>
      <c r="E12" s="7"/>
      <c r="F12" s="7"/>
      <c r="G12" s="7"/>
      <c r="H12" s="7"/>
      <c r="I12" s="7"/>
      <c r="J12" s="7"/>
      <c r="K12" s="7"/>
      <c r="L12" s="7"/>
    </row>
    <row r="13" spans="1:12" ht="12.75" customHeight="1">
      <c r="B13" s="35" t="s">
        <v>24</v>
      </c>
      <c r="C13" s="35"/>
      <c r="D13" s="6" t="s">
        <v>22</v>
      </c>
      <c r="E13" s="7"/>
      <c r="F13" s="7"/>
      <c r="G13" s="7"/>
      <c r="H13" s="7"/>
      <c r="I13" s="7"/>
      <c r="J13" s="7"/>
      <c r="K13" s="7"/>
      <c r="L13" s="7"/>
    </row>
    <row r="15" spans="1:12" ht="18.75" customHeight="1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2.75" customHeight="1">
      <c r="B16" s="38"/>
      <c r="C16" s="37"/>
      <c r="D16" s="40" t="s">
        <v>26</v>
      </c>
      <c r="E16" s="39"/>
      <c r="F16" s="40" t="s">
        <v>27</v>
      </c>
      <c r="G16" s="40"/>
      <c r="H16" s="39"/>
      <c r="I16" s="40" t="s">
        <v>28</v>
      </c>
      <c r="J16" s="39"/>
      <c r="K16" s="41" t="s">
        <v>13</v>
      </c>
      <c r="L16" s="41"/>
    </row>
    <row r="17" spans="1:12" ht="12.75" customHeight="1">
      <c r="B17" s="36" t="s">
        <v>29</v>
      </c>
      <c r="C17" s="35"/>
      <c r="D17" s="29">
        <f>'KPU 072_78 RTS_SO_021_čás_1-HSV'!$Q$1+'KPU 072_78 RTS_SO_021_čás_2-HSV'!$Q$1+'KPU 072_78 RTS_SO_021_čás_3-HSV'!$Q$1</f>
        <v>0</v>
      </c>
      <c r="E17" s="27"/>
      <c r="F17" s="29">
        <f>'KPU 072_78 RTS_SO_021_čás_2-PSV'!$Q$1+'KPU 072_78 RTS_SO_021_čás_3-PSV'!$Q$1</f>
        <v>0</v>
      </c>
      <c r="G17" s="29"/>
      <c r="H17" s="27"/>
      <c r="I17" s="29">
        <f>0</f>
        <v>0</v>
      </c>
      <c r="J17" s="27"/>
      <c r="K17" s="30">
        <f>SUM(D17:J17)</f>
        <v>0</v>
      </c>
      <c r="L17" s="28"/>
    </row>
    <row r="18" spans="1:12" ht="12.75" customHeight="1">
      <c r="B18" s="35" t="s">
        <v>30</v>
      </c>
      <c r="C18" s="35"/>
      <c r="D18" s="29">
        <f>'KPU 072_78 RTS_SO_021_čás_1-HSV'!$R$1+'KPU 072_78 RTS_SO_021_čás_2-HSV'!$R$1+'KPU 072_78 RTS_SO_021_čás_3-HSV'!$R$1</f>
        <v>0</v>
      </c>
      <c r="E18" s="27"/>
      <c r="F18" s="29">
        <f>'KPU 072_78 RTS_SO_021_čás_2-PSV'!$R$1+'KPU 072_78 RTS_SO_021_čás_3-PSV'!$R$1</f>
        <v>0</v>
      </c>
      <c r="G18" s="29"/>
      <c r="H18" s="27"/>
      <c r="I18" s="29">
        <f>0</f>
        <v>0</v>
      </c>
      <c r="J18" s="27"/>
      <c r="K18" s="42">
        <f>SUM(D18:J18)</f>
        <v>0</v>
      </c>
      <c r="L18" s="29"/>
    </row>
    <row r="19" spans="1:12" ht="12.75" customHeight="1">
      <c r="B19" s="35" t="s">
        <v>31</v>
      </c>
      <c r="C19" s="35"/>
      <c r="D19" s="29">
        <f>'KPU 072_78 RTS_SO_021_čás_1-HSV'!$S$1+'KPU 072_78 RTS_SO_021_čás_2-HSV'!$S$1+'KPU 072_78 RTS_SO_021_čás_3-HSV'!$S$1</f>
        <v>0</v>
      </c>
      <c r="E19" s="27"/>
      <c r="F19" s="29">
        <f>'KPU 072_78 RTS_SO_021_čás_2-PSV'!$S$1+'KPU 072_78 RTS_SO_021_čás_3-PSV'!$S$1</f>
        <v>0</v>
      </c>
      <c r="G19" s="29"/>
      <c r="H19" s="27"/>
      <c r="I19" s="29">
        <f>0</f>
        <v>0</v>
      </c>
      <c r="J19" s="27"/>
      <c r="K19" s="42">
        <f>SUM(D19:J19)</f>
        <v>0</v>
      </c>
      <c r="L19" s="29"/>
    </row>
    <row r="20" spans="1:12" ht="12.75" customHeight="1">
      <c r="B20" s="35" t="s">
        <v>32</v>
      </c>
      <c r="C20" s="35"/>
      <c r="D20" s="29">
        <f>'KPU 072_78 RTS_SO_021_čás_1-HSV'!$T$1+'KPU 072_78 RTS_SO_021_čás_2-HSV'!$T$1+'KPU 072_78 RTS_SO_021_čás_3-HSV'!$T$1</f>
        <v>0</v>
      </c>
      <c r="E20" s="27"/>
      <c r="F20" s="29">
        <f>'KPU 072_78 RTS_SO_021_čás_2-PSV'!$T$1+'KPU 072_78 RTS_SO_021_čás_3-PSV'!$T$1</f>
        <v>0</v>
      </c>
      <c r="G20" s="29"/>
      <c r="H20" s="27"/>
      <c r="I20" s="29">
        <f>0</f>
        <v>0</v>
      </c>
      <c r="J20" s="27"/>
      <c r="K20" s="42">
        <f>SUM(D20:J20)</f>
        <v>0</v>
      </c>
      <c r="L20" s="29"/>
    </row>
    <row r="21" spans="1:12" ht="12.75" customHeight="1">
      <c r="B21" s="38" t="s">
        <v>33</v>
      </c>
      <c r="C21" s="37"/>
      <c r="D21" s="23">
        <f>'KPU 072_78 RTS_SO_021_čás_1-HSV'!$U$1+'KPU 072_78 RTS_SO_021_čás_2-HSV'!$U$1+'KPU 072_78 RTS_SO_021_čás_3-HSV'!$U$1</f>
        <v>0</v>
      </c>
      <c r="E21" s="22"/>
      <c r="F21" s="23">
        <f>'KPU 072_78 RTS_SO_021_čás_2-PSV'!$U$1+'KPU 072_78 RTS_SO_021_čás_3-PSV'!$U$1</f>
        <v>0</v>
      </c>
      <c r="G21" s="23"/>
      <c r="H21" s="22"/>
      <c r="I21" s="23">
        <f>0</f>
        <v>0</v>
      </c>
      <c r="J21" s="22"/>
      <c r="K21" s="23">
        <f>SUM(D21:J21)</f>
        <v>0</v>
      </c>
      <c r="L21" s="23"/>
    </row>
    <row r="22" spans="1:12" ht="12.75" customHeight="1">
      <c r="B22" s="44" t="s">
        <v>13</v>
      </c>
      <c r="C22" s="43"/>
      <c r="D22" s="29">
        <f>SUM(D17:E21)</f>
        <v>0</v>
      </c>
      <c r="E22" s="27"/>
      <c r="F22" s="29">
        <f>SUM(F17:H21)</f>
        <v>0</v>
      </c>
      <c r="G22" s="29"/>
      <c r="H22" s="27"/>
      <c r="I22" s="29">
        <f>SUM(I17:J21)</f>
        <v>0</v>
      </c>
      <c r="J22" s="27"/>
      <c r="K22" s="30">
        <f>SUM(K17:L21)</f>
        <v>0</v>
      </c>
      <c r="L22" s="28"/>
    </row>
    <row r="24" spans="1:12" ht="18.75" customHeight="1">
      <c r="A24" s="2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2.75" customHeight="1">
      <c r="B25" s="36" t="s">
        <v>35</v>
      </c>
      <c r="C25" s="36"/>
      <c r="D25" s="36"/>
      <c r="E25" s="36"/>
      <c r="F25" s="36"/>
      <c r="G25" s="36"/>
      <c r="H25" s="36"/>
      <c r="I25" s="36"/>
      <c r="J25" s="35"/>
      <c r="K25" s="30">
        <f>($K$22)*3.25/100+0</f>
        <v>0</v>
      </c>
      <c r="L25" s="28"/>
    </row>
    <row r="27" spans="1:12" ht="18.75" customHeight="1">
      <c r="A27" s="2" t="s">
        <v>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2.75" customHeight="1">
      <c r="B28" s="46" t="s">
        <v>37</v>
      </c>
      <c r="C28" s="46"/>
      <c r="D28" s="46"/>
      <c r="E28" s="46"/>
      <c r="F28" s="46"/>
      <c r="G28" s="46"/>
      <c r="H28" s="46"/>
      <c r="I28" s="46"/>
      <c r="J28" s="45"/>
      <c r="K28" s="23">
        <f>$K$22+$K$25</f>
        <v>0</v>
      </c>
      <c r="L28" s="23"/>
    </row>
    <row r="29" spans="1:12" ht="12.75" customHeight="1">
      <c r="C29" s="47" t="s">
        <v>14</v>
      </c>
      <c r="D29" s="48">
        <v>0.19</v>
      </c>
      <c r="E29" s="47" t="s">
        <v>38</v>
      </c>
      <c r="F29" s="49">
        <f>$K$25+'KPU 072_78 RTS_SO_021_čás_1-HSV'!$W$1+'KPU 072_78 RTS_SO_021_čás_2-HSV'!$W$1+'KPU 072_78 RTS_SO_021_čás_2-PSV'!$W$1+'KPU 072_78 RTS_SO_021_čás_3-HSV'!$W$1+'KPU 072_78 RTS_SO_021_čás_3-PSV'!$W$1</f>
        <v>0</v>
      </c>
      <c r="G29" s="49"/>
      <c r="H29" s="49"/>
      <c r="I29" s="36"/>
      <c r="J29" s="35"/>
      <c r="K29" s="50">
        <f>F29*D29</f>
        <v>0</v>
      </c>
      <c r="L29" s="49"/>
    </row>
    <row r="30" spans="1:12" ht="12.75" customHeight="1">
      <c r="B30" s="52" t="s">
        <v>13</v>
      </c>
      <c r="C30" s="52"/>
      <c r="D30" s="52"/>
      <c r="E30" s="52"/>
      <c r="F30" s="52"/>
      <c r="G30" s="52"/>
      <c r="H30" s="52"/>
      <c r="I30" s="52"/>
      <c r="J30" s="51"/>
      <c r="K30" s="28">
        <f>SUM($K$29:$K$29)+$K$22+$K$25</f>
        <v>0</v>
      </c>
      <c r="L30" s="28"/>
    </row>
  </sheetData>
  <mergeCells count="62">
    <mergeCell ref="F29:H29"/>
    <mergeCell ref="I29:J29"/>
    <mergeCell ref="K29:L29"/>
    <mergeCell ref="B30:J30"/>
    <mergeCell ref="K30:L30"/>
    <mergeCell ref="A24:L24"/>
    <mergeCell ref="B25:J25"/>
    <mergeCell ref="K25:L25"/>
    <mergeCell ref="A27:L27"/>
    <mergeCell ref="B28:J28"/>
    <mergeCell ref="K28:L28"/>
    <mergeCell ref="B21:C21"/>
    <mergeCell ref="D21:E21"/>
    <mergeCell ref="F21:H21"/>
    <mergeCell ref="I21:J21"/>
    <mergeCell ref="K21:L21"/>
    <mergeCell ref="B22:C22"/>
    <mergeCell ref="D22:E22"/>
    <mergeCell ref="F22:H22"/>
    <mergeCell ref="I22:J22"/>
    <mergeCell ref="K22:L22"/>
    <mergeCell ref="B19:C19"/>
    <mergeCell ref="D19:E19"/>
    <mergeCell ref="F19:H19"/>
    <mergeCell ref="I19:J19"/>
    <mergeCell ref="K19:L19"/>
    <mergeCell ref="B20:C20"/>
    <mergeCell ref="D20:E20"/>
    <mergeCell ref="F20:H20"/>
    <mergeCell ref="I20:J20"/>
    <mergeCell ref="K20:L20"/>
    <mergeCell ref="B17:C17"/>
    <mergeCell ref="D17:E17"/>
    <mergeCell ref="F17:H17"/>
    <mergeCell ref="I17:J17"/>
    <mergeCell ref="K17:L17"/>
    <mergeCell ref="B18:C18"/>
    <mergeCell ref="D18:E18"/>
    <mergeCell ref="F18:H18"/>
    <mergeCell ref="I18:J18"/>
    <mergeCell ref="K18:L18"/>
    <mergeCell ref="B13:C13"/>
    <mergeCell ref="D13:L13"/>
    <mergeCell ref="A15:L15"/>
    <mergeCell ref="B16:C16"/>
    <mergeCell ref="D16:E16"/>
    <mergeCell ref="F16:H16"/>
    <mergeCell ref="I16:J16"/>
    <mergeCell ref="K16:L16"/>
    <mergeCell ref="A9:L9"/>
    <mergeCell ref="B10:C10"/>
    <mergeCell ref="D10:L10"/>
    <mergeCell ref="B11:C11"/>
    <mergeCell ref="D11:L11"/>
    <mergeCell ref="B12:C12"/>
    <mergeCell ref="D12:L12"/>
    <mergeCell ref="A1:L1"/>
    <mergeCell ref="C2:L2"/>
    <mergeCell ref="C3:L3"/>
    <mergeCell ref="A5:L5"/>
    <mergeCell ref="C6:L6"/>
    <mergeCell ref="C7:L7"/>
  </mergeCells>
  <pageMargins left="0.78740157499999996" right="0.59" top="0.984251969" bottom="0.984251969" header="0.4921259845" footer="0.4921259845"/>
  <pageSetup paperSize="9"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82"/>
  <sheetViews>
    <sheetView view="pageBreakPreview" zoomScaleNormal="100" zoomScaleSheetLayoutView="100" workbookViewId="0">
      <selection activeCell="C12" sqref="C12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17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47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75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76</v>
      </c>
      <c r="C12" s="62" t="s">
        <v>77</v>
      </c>
      <c r="D12" s="61" t="s">
        <v>78</v>
      </c>
      <c r="E12" s="63">
        <v>250</v>
      </c>
      <c r="F12" s="64"/>
      <c r="G12" s="64">
        <f>E12*F12</f>
        <v>0</v>
      </c>
      <c r="H12" s="65">
        <v>0</v>
      </c>
      <c r="I12" s="65">
        <f>E12*H12</f>
        <v>0</v>
      </c>
      <c r="J12" s="65">
        <v>0</v>
      </c>
      <c r="K12" s="65">
        <f>E12*J12</f>
        <v>0</v>
      </c>
      <c r="L12" s="66">
        <v>0</v>
      </c>
      <c r="M12" s="66">
        <f>E12*L12</f>
        <v>0</v>
      </c>
      <c r="N12" s="66">
        <f>36.67</f>
        <v>36.67</v>
      </c>
      <c r="O12" s="66">
        <f>E12*N12</f>
        <v>9167.5</v>
      </c>
      <c r="P12" s="53" t="s">
        <v>79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84</v>
      </c>
      <c r="C13" s="62" t="s">
        <v>85</v>
      </c>
      <c r="D13" s="61" t="s">
        <v>86</v>
      </c>
      <c r="E13" s="63">
        <v>3.75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0</v>
      </c>
      <c r="M13" s="66">
        <f>E13*L13</f>
        <v>0</v>
      </c>
      <c r="N13" s="66">
        <f>4569.13</f>
        <v>4569.13</v>
      </c>
      <c r="O13" s="66">
        <f>E13*N13</f>
        <v>17134.237499999999</v>
      </c>
      <c r="P13" s="53" t="s">
        <v>79</v>
      </c>
      <c r="Q13" s="53"/>
      <c r="R13" s="53" t="s">
        <v>80</v>
      </c>
      <c r="S13" s="53" t="s">
        <v>81</v>
      </c>
      <c r="T13" s="53" t="s">
        <v>82</v>
      </c>
      <c r="U13" s="53"/>
      <c r="V13" s="53"/>
      <c r="W13" s="53"/>
      <c r="X13" s="53"/>
      <c r="Y13" s="53"/>
      <c r="Z13" s="53"/>
      <c r="AA13" s="67">
        <v>19</v>
      </c>
      <c r="AB13" s="53" t="s">
        <v>83</v>
      </c>
    </row>
    <row r="14" spans="1:28">
      <c r="A14">
        <v>3</v>
      </c>
      <c r="B14" s="61" t="s">
        <v>87</v>
      </c>
      <c r="C14" s="62" t="s">
        <v>88</v>
      </c>
      <c r="D14" s="61" t="s">
        <v>89</v>
      </c>
      <c r="E14" s="63">
        <v>15</v>
      </c>
      <c r="F14" s="64"/>
      <c r="G14" s="64">
        <f>E14*F14</f>
        <v>0</v>
      </c>
      <c r="H14" s="65">
        <v>0</v>
      </c>
      <c r="I14" s="65">
        <f>E14*H14</f>
        <v>0</v>
      </c>
      <c r="J14" s="65">
        <v>0</v>
      </c>
      <c r="K14" s="65">
        <f>E14*J14</f>
        <v>0</v>
      </c>
      <c r="L14" s="66">
        <v>0</v>
      </c>
      <c r="M14" s="66">
        <f>E14*L14</f>
        <v>0</v>
      </c>
      <c r="N14" s="66">
        <f>168.93</f>
        <v>168.93</v>
      </c>
      <c r="O14" s="66">
        <f>E14*N14</f>
        <v>2533.9500000000003</v>
      </c>
      <c r="P14" s="53" t="s">
        <v>79</v>
      </c>
      <c r="Q14" s="53"/>
      <c r="R14" s="53" t="s">
        <v>80</v>
      </c>
      <c r="S14" s="53" t="s">
        <v>81</v>
      </c>
      <c r="T14" s="53" t="s">
        <v>82</v>
      </c>
      <c r="U14" s="53"/>
      <c r="V14" s="53"/>
      <c r="W14" s="53"/>
      <c r="X14" s="53"/>
      <c r="Y14" s="53"/>
      <c r="Z14" s="53"/>
      <c r="AA14" s="67">
        <v>19</v>
      </c>
      <c r="AB14" s="53" t="s">
        <v>83</v>
      </c>
    </row>
    <row r="15" spans="1:28">
      <c r="A15">
        <v>4</v>
      </c>
      <c r="B15" s="61" t="s">
        <v>90</v>
      </c>
      <c r="C15" s="62" t="s">
        <v>91</v>
      </c>
      <c r="D15" s="61" t="s">
        <v>89</v>
      </c>
      <c r="E15" s="63">
        <v>5</v>
      </c>
      <c r="F15" s="64"/>
      <c r="G15" s="64">
        <f>E15*F15</f>
        <v>0</v>
      </c>
      <c r="H15" s="65">
        <v>0</v>
      </c>
      <c r="I15" s="65">
        <f>E15*H15</f>
        <v>0</v>
      </c>
      <c r="J15" s="65">
        <v>0</v>
      </c>
      <c r="K15" s="65">
        <f>E15*J15</f>
        <v>0</v>
      </c>
      <c r="L15" s="66">
        <v>0</v>
      </c>
      <c r="M15" s="66">
        <f>E15*L15</f>
        <v>0</v>
      </c>
      <c r="N15" s="66">
        <f>96.52</f>
        <v>96.52</v>
      </c>
      <c r="O15" s="66">
        <f>E15*N15</f>
        <v>482.59999999999997</v>
      </c>
      <c r="P15" s="53" t="s">
        <v>79</v>
      </c>
      <c r="Q15" s="53"/>
      <c r="R15" s="53" t="s">
        <v>80</v>
      </c>
      <c r="S15" s="53" t="s">
        <v>81</v>
      </c>
      <c r="T15" s="53" t="s">
        <v>82</v>
      </c>
      <c r="U15" s="53"/>
      <c r="V15" s="53"/>
      <c r="W15" s="53"/>
      <c r="X15" s="53"/>
      <c r="Y15" s="53"/>
      <c r="Z15" s="53"/>
      <c r="AA15" s="67">
        <v>19</v>
      </c>
      <c r="AB15" s="53" t="s">
        <v>83</v>
      </c>
    </row>
    <row r="16" spans="1:28">
      <c r="A16">
        <v>5</v>
      </c>
      <c r="B16" s="61" t="s">
        <v>92</v>
      </c>
      <c r="C16" s="62" t="s">
        <v>93</v>
      </c>
      <c r="D16" s="61" t="s">
        <v>89</v>
      </c>
      <c r="E16" s="63">
        <v>20</v>
      </c>
      <c r="F16" s="64"/>
      <c r="G16" s="64">
        <f>E16*F16</f>
        <v>0</v>
      </c>
      <c r="H16" s="65">
        <v>0</v>
      </c>
      <c r="I16" s="65">
        <f>E16*H16</f>
        <v>0</v>
      </c>
      <c r="J16" s="65">
        <v>0</v>
      </c>
      <c r="K16" s="65">
        <f>E16*J16</f>
        <v>0</v>
      </c>
      <c r="L16" s="66">
        <v>1.85</v>
      </c>
      <c r="M16" s="66">
        <f>E16*L16</f>
        <v>37</v>
      </c>
      <c r="N16" s="66">
        <f>189.62</f>
        <v>189.62</v>
      </c>
      <c r="O16" s="66">
        <f>E16*N16</f>
        <v>3792.4</v>
      </c>
      <c r="P16" s="53" t="s">
        <v>79</v>
      </c>
      <c r="Q16" s="53"/>
      <c r="R16" s="53" t="s">
        <v>80</v>
      </c>
      <c r="S16" s="53" t="s">
        <v>81</v>
      </c>
      <c r="T16" s="53" t="s">
        <v>82</v>
      </c>
      <c r="U16" s="53"/>
      <c r="V16" s="53"/>
      <c r="W16" s="53"/>
      <c r="X16" s="53"/>
      <c r="Y16" s="53"/>
      <c r="Z16" s="53"/>
      <c r="AA16" s="67">
        <v>19</v>
      </c>
      <c r="AB16" s="53" t="s">
        <v>83</v>
      </c>
    </row>
    <row r="17" spans="1:28" ht="18.75" customHeight="1">
      <c r="A17" s="68" t="s">
        <v>13</v>
      </c>
      <c r="B17" s="60" t="s">
        <v>94</v>
      </c>
      <c r="C17" s="60"/>
      <c r="D17" s="60"/>
      <c r="E17" s="60"/>
      <c r="F17" s="60"/>
      <c r="G17" s="69">
        <f>SUMIF($P:$P,$Q17,G:G)</f>
        <v>0</v>
      </c>
      <c r="H17" s="60"/>
      <c r="I17" s="70">
        <f>SUMIF($P:$P,$Q17,I:I)</f>
        <v>0</v>
      </c>
      <c r="J17" s="60"/>
      <c r="K17" s="70">
        <f>SUMIF($P:$P,$Q17,K:K)</f>
        <v>0</v>
      </c>
      <c r="L17" s="60"/>
      <c r="M17" s="71">
        <f>SUMIF($P:$P,$Q17,M:M)</f>
        <v>37</v>
      </c>
      <c r="N17" s="60"/>
      <c r="O17" s="71">
        <f>SUMIF($P:$P,$Q17,O:O)</f>
        <v>33110.6875</v>
      </c>
      <c r="P17" s="53" t="s">
        <v>13</v>
      </c>
      <c r="Q17" s="53" t="s">
        <v>79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12.75" customHeight="1"/>
    <row r="19" spans="1:28" ht="18.75" customHeight="1">
      <c r="A19" s="60"/>
      <c r="B19" s="60" t="s">
        <v>95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>
      <c r="A20">
        <v>6</v>
      </c>
      <c r="B20" s="61" t="s">
        <v>96</v>
      </c>
      <c r="C20" s="62" t="s">
        <v>97</v>
      </c>
      <c r="D20" s="61" t="s">
        <v>86</v>
      </c>
      <c r="E20" s="63">
        <v>7.6950000000000003</v>
      </c>
      <c r="F20" s="64"/>
      <c r="G20" s="64">
        <f>E20*F20</f>
        <v>0</v>
      </c>
      <c r="H20" s="65">
        <v>0</v>
      </c>
      <c r="I20" s="65">
        <f>E20*H20</f>
        <v>0</v>
      </c>
      <c r="J20" s="65">
        <v>0</v>
      </c>
      <c r="K20" s="65">
        <f>E20*J20</f>
        <v>0</v>
      </c>
      <c r="L20" s="66">
        <v>0</v>
      </c>
      <c r="M20" s="66">
        <f>E20*L20</f>
        <v>0</v>
      </c>
      <c r="N20" s="66">
        <f>4101.75</f>
        <v>4101.75</v>
      </c>
      <c r="O20" s="66">
        <f>E20*N20</f>
        <v>31562.966250000001</v>
      </c>
      <c r="P20" s="53" t="s">
        <v>98</v>
      </c>
      <c r="Q20" s="53"/>
      <c r="R20" s="53" t="s">
        <v>80</v>
      </c>
      <c r="S20" s="53" t="s">
        <v>81</v>
      </c>
      <c r="T20" s="53" t="s">
        <v>82</v>
      </c>
      <c r="U20" s="53"/>
      <c r="V20" s="53"/>
      <c r="W20" s="53"/>
      <c r="X20" s="53"/>
      <c r="Y20" s="53"/>
      <c r="Z20" s="53"/>
      <c r="AA20" s="67">
        <v>19</v>
      </c>
      <c r="AB20" s="53" t="s">
        <v>83</v>
      </c>
    </row>
    <row r="21" spans="1:28">
      <c r="A21">
        <v>7</v>
      </c>
      <c r="B21" s="61" t="s">
        <v>99</v>
      </c>
      <c r="C21" s="62" t="s">
        <v>100</v>
      </c>
      <c r="D21" s="61" t="s">
        <v>86</v>
      </c>
      <c r="E21" s="63">
        <v>32</v>
      </c>
      <c r="F21" s="64"/>
      <c r="G21" s="64">
        <f>E21*F21</f>
        <v>0</v>
      </c>
      <c r="H21" s="65">
        <v>0</v>
      </c>
      <c r="I21" s="65">
        <f>E21*H21</f>
        <v>0</v>
      </c>
      <c r="J21" s="65">
        <v>0</v>
      </c>
      <c r="K21" s="65">
        <f>E21*J21</f>
        <v>0</v>
      </c>
      <c r="L21" s="66">
        <v>0</v>
      </c>
      <c r="M21" s="66">
        <f>E21*L21</f>
        <v>0</v>
      </c>
      <c r="N21" s="66">
        <f>93.52</f>
        <v>93.52</v>
      </c>
      <c r="O21" s="66">
        <f>E21*N21</f>
        <v>2992.64</v>
      </c>
      <c r="P21" s="53" t="s">
        <v>98</v>
      </c>
      <c r="Q21" s="53"/>
      <c r="R21" s="53" t="s">
        <v>80</v>
      </c>
      <c r="S21" s="53" t="s">
        <v>81</v>
      </c>
      <c r="T21" s="53" t="s">
        <v>82</v>
      </c>
      <c r="U21" s="53"/>
      <c r="V21" s="53"/>
      <c r="W21" s="53"/>
      <c r="X21" s="53"/>
      <c r="Y21" s="53"/>
      <c r="Z21" s="53"/>
      <c r="AA21" s="67">
        <v>19</v>
      </c>
      <c r="AB21" s="53" t="s">
        <v>83</v>
      </c>
    </row>
    <row r="22" spans="1:28">
      <c r="A22">
        <v>8</v>
      </c>
      <c r="B22" s="61" t="s">
        <v>101</v>
      </c>
      <c r="C22" s="62" t="s">
        <v>102</v>
      </c>
      <c r="D22" s="61" t="s">
        <v>86</v>
      </c>
      <c r="E22" s="63">
        <v>281.61</v>
      </c>
      <c r="F22" s="64"/>
      <c r="G22" s="64">
        <f>E22*F22</f>
        <v>0</v>
      </c>
      <c r="H22" s="65">
        <v>0</v>
      </c>
      <c r="I22" s="65">
        <f>E22*H22</f>
        <v>0</v>
      </c>
      <c r="J22" s="65">
        <v>0</v>
      </c>
      <c r="K22" s="65">
        <f>E22*J22</f>
        <v>0</v>
      </c>
      <c r="L22" s="66">
        <v>0</v>
      </c>
      <c r="M22" s="66">
        <f>E22*L22</f>
        <v>0</v>
      </c>
      <c r="N22" s="66">
        <f>123.62</f>
        <v>123.62</v>
      </c>
      <c r="O22" s="66">
        <f>E22*N22</f>
        <v>34812.628200000006</v>
      </c>
      <c r="P22" s="53" t="s">
        <v>98</v>
      </c>
      <c r="Q22" s="53"/>
      <c r="R22" s="53" t="s">
        <v>80</v>
      </c>
      <c r="S22" s="53" t="s">
        <v>81</v>
      </c>
      <c r="T22" s="53" t="s">
        <v>82</v>
      </c>
      <c r="U22" s="53"/>
      <c r="V22" s="53"/>
      <c r="W22" s="53"/>
      <c r="X22" s="53"/>
      <c r="Y22" s="53"/>
      <c r="Z22" s="53"/>
      <c r="AA22" s="67">
        <v>19</v>
      </c>
      <c r="AB22" s="53" t="s">
        <v>83</v>
      </c>
    </row>
    <row r="23" spans="1:28" ht="18.75" customHeight="1">
      <c r="A23" s="68" t="s">
        <v>13</v>
      </c>
      <c r="B23" s="60" t="s">
        <v>103</v>
      </c>
      <c r="C23" s="60"/>
      <c r="D23" s="60"/>
      <c r="E23" s="60"/>
      <c r="F23" s="60"/>
      <c r="G23" s="69">
        <f>SUMIF($P:$P,$Q23,G:G)</f>
        <v>0</v>
      </c>
      <c r="H23" s="60"/>
      <c r="I23" s="70">
        <f>SUMIF($P:$P,$Q23,I:I)</f>
        <v>0</v>
      </c>
      <c r="J23" s="60"/>
      <c r="K23" s="70">
        <f>SUMIF($P:$P,$Q23,K:K)</f>
        <v>0</v>
      </c>
      <c r="L23" s="60"/>
      <c r="M23" s="71">
        <f>SUMIF($P:$P,$Q23,M:M)</f>
        <v>0</v>
      </c>
      <c r="N23" s="60"/>
      <c r="O23" s="71">
        <f>SUMIF($P:$P,$Q23,O:O)</f>
        <v>69368.234450000018</v>
      </c>
      <c r="P23" s="53" t="s">
        <v>13</v>
      </c>
      <c r="Q23" s="53" t="s">
        <v>98</v>
      </c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 ht="12.75" customHeight="1"/>
    <row r="25" spans="1:28" ht="18.75" customHeight="1">
      <c r="A25" s="60"/>
      <c r="B25" s="60" t="s">
        <v>104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>
      <c r="A26">
        <v>9</v>
      </c>
      <c r="B26" s="61" t="s">
        <v>105</v>
      </c>
      <c r="C26" s="62" t="s">
        <v>106</v>
      </c>
      <c r="D26" s="61" t="s">
        <v>86</v>
      </c>
      <c r="E26" s="63">
        <v>19.602</v>
      </c>
      <c r="F26" s="64"/>
      <c r="G26" s="64">
        <f>E26*F26</f>
        <v>0</v>
      </c>
      <c r="H26" s="65">
        <v>0</v>
      </c>
      <c r="I26" s="65">
        <f>E26*H26</f>
        <v>0</v>
      </c>
      <c r="J26" s="65">
        <v>0</v>
      </c>
      <c r="K26" s="65">
        <f>E26*J26</f>
        <v>0</v>
      </c>
      <c r="L26" s="66">
        <v>0</v>
      </c>
      <c r="M26" s="66">
        <f>E26*L26</f>
        <v>0</v>
      </c>
      <c r="N26" s="66">
        <f>374.85</f>
        <v>374.85</v>
      </c>
      <c r="O26" s="66">
        <f>E26*N26</f>
        <v>7347.8097000000007</v>
      </c>
      <c r="P26" s="53" t="s">
        <v>107</v>
      </c>
      <c r="Q26" s="53"/>
      <c r="R26" s="53" t="s">
        <v>80</v>
      </c>
      <c r="S26" s="53" t="s">
        <v>81</v>
      </c>
      <c r="T26" s="53" t="s">
        <v>82</v>
      </c>
      <c r="U26" s="53"/>
      <c r="V26" s="53"/>
      <c r="W26" s="53"/>
      <c r="X26" s="53"/>
      <c r="Y26" s="53"/>
      <c r="Z26" s="53"/>
      <c r="AA26" s="67">
        <v>19</v>
      </c>
      <c r="AB26" s="53" t="s">
        <v>83</v>
      </c>
    </row>
    <row r="27" spans="1:28" ht="18.75" customHeight="1">
      <c r="A27" s="68" t="s">
        <v>13</v>
      </c>
      <c r="B27" s="60" t="s">
        <v>108</v>
      </c>
      <c r="C27" s="60"/>
      <c r="D27" s="60"/>
      <c r="E27" s="60"/>
      <c r="F27" s="60"/>
      <c r="G27" s="69">
        <f>SUMIF($P:$P,$Q27,G:G)</f>
        <v>0</v>
      </c>
      <c r="H27" s="60"/>
      <c r="I27" s="70">
        <f>SUMIF($P:$P,$Q27,I:I)</f>
        <v>0</v>
      </c>
      <c r="J27" s="60"/>
      <c r="K27" s="70">
        <f>SUMIF($P:$P,$Q27,K:K)</f>
        <v>0</v>
      </c>
      <c r="L27" s="60"/>
      <c r="M27" s="71">
        <f>SUMIF($P:$P,$Q27,M:M)</f>
        <v>0</v>
      </c>
      <c r="N27" s="60"/>
      <c r="O27" s="71">
        <f>SUMIF($P:$P,$Q27,O:O)</f>
        <v>7347.8097000000007</v>
      </c>
      <c r="P27" s="53" t="s">
        <v>13</v>
      </c>
      <c r="Q27" s="53" t="s">
        <v>107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ht="12.75" customHeight="1"/>
    <row r="29" spans="1:28" ht="18.75" customHeight="1">
      <c r="A29" s="60"/>
      <c r="B29" s="60" t="s">
        <v>109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>
      <c r="A30">
        <v>10</v>
      </c>
      <c r="B30" s="61" t="s">
        <v>110</v>
      </c>
      <c r="C30" s="62" t="s">
        <v>111</v>
      </c>
      <c r="D30" s="61" t="s">
        <v>86</v>
      </c>
      <c r="E30" s="63">
        <v>138.32</v>
      </c>
      <c r="F30" s="64"/>
      <c r="G30" s="64">
        <f t="shared" ref="G30:G36" si="0">E30*F30</f>
        <v>0</v>
      </c>
      <c r="H30" s="65">
        <v>0</v>
      </c>
      <c r="I30" s="65">
        <f t="shared" ref="I30:I36" si="1">E30*H30</f>
        <v>0</v>
      </c>
      <c r="J30" s="65">
        <v>0</v>
      </c>
      <c r="K30" s="65">
        <f t="shared" ref="K30:K36" si="2">E30*J30</f>
        <v>0</v>
      </c>
      <c r="L30" s="66">
        <v>0</v>
      </c>
      <c r="M30" s="66">
        <f t="shared" ref="M30:M36" si="3">E30*L30</f>
        <v>0</v>
      </c>
      <c r="N30" s="66">
        <f>34.67</f>
        <v>34.67</v>
      </c>
      <c r="O30" s="66">
        <f t="shared" ref="O30:O36" si="4">E30*N30</f>
        <v>4795.5544</v>
      </c>
      <c r="P30" s="53" t="s">
        <v>112</v>
      </c>
      <c r="Q30" s="53"/>
      <c r="R30" s="53" t="s">
        <v>80</v>
      </c>
      <c r="S30" s="53" t="s">
        <v>81</v>
      </c>
      <c r="T30" s="53" t="s">
        <v>82</v>
      </c>
      <c r="U30" s="53"/>
      <c r="V30" s="53"/>
      <c r="W30" s="53"/>
      <c r="X30" s="53"/>
      <c r="Y30" s="53"/>
      <c r="Z30" s="53"/>
      <c r="AA30" s="67">
        <v>19</v>
      </c>
      <c r="AB30" s="53" t="s">
        <v>83</v>
      </c>
    </row>
    <row r="31" spans="1:28">
      <c r="A31">
        <v>11</v>
      </c>
      <c r="B31" s="61" t="s">
        <v>113</v>
      </c>
      <c r="C31" s="62" t="s">
        <v>114</v>
      </c>
      <c r="D31" s="61" t="s">
        <v>89</v>
      </c>
      <c r="E31" s="63">
        <v>15</v>
      </c>
      <c r="F31" s="64"/>
      <c r="G31" s="64">
        <f t="shared" si="0"/>
        <v>0</v>
      </c>
      <c r="H31" s="65">
        <v>0</v>
      </c>
      <c r="I31" s="65">
        <f t="shared" si="1"/>
        <v>0</v>
      </c>
      <c r="J31" s="65">
        <v>0</v>
      </c>
      <c r="K31" s="65">
        <f t="shared" si="2"/>
        <v>0</v>
      </c>
      <c r="L31" s="66">
        <v>0</v>
      </c>
      <c r="M31" s="66">
        <f t="shared" si="3"/>
        <v>0</v>
      </c>
      <c r="N31" s="66">
        <f>410.74</f>
        <v>410.74</v>
      </c>
      <c r="O31" s="66">
        <f t="shared" si="4"/>
        <v>6161.1</v>
      </c>
      <c r="P31" s="53" t="s">
        <v>112</v>
      </c>
      <c r="Q31" s="53"/>
      <c r="R31" s="53" t="s">
        <v>80</v>
      </c>
      <c r="S31" s="53" t="s">
        <v>81</v>
      </c>
      <c r="T31" s="53" t="s">
        <v>82</v>
      </c>
      <c r="U31" s="53"/>
      <c r="V31" s="53"/>
      <c r="W31" s="53"/>
      <c r="X31" s="53"/>
      <c r="Y31" s="53"/>
      <c r="Z31" s="53"/>
      <c r="AA31" s="67">
        <v>19</v>
      </c>
      <c r="AB31" s="53" t="s">
        <v>83</v>
      </c>
    </row>
    <row r="32" spans="1:28">
      <c r="A32">
        <v>12</v>
      </c>
      <c r="B32" s="61" t="s">
        <v>115</v>
      </c>
      <c r="C32" s="62" t="s">
        <v>116</v>
      </c>
      <c r="D32" s="61" t="s">
        <v>89</v>
      </c>
      <c r="E32" s="63">
        <v>5</v>
      </c>
      <c r="F32" s="64"/>
      <c r="G32" s="64">
        <f t="shared" si="0"/>
        <v>0</v>
      </c>
      <c r="H32" s="65">
        <v>0</v>
      </c>
      <c r="I32" s="65">
        <f t="shared" si="1"/>
        <v>0</v>
      </c>
      <c r="J32" s="65">
        <v>0</v>
      </c>
      <c r="K32" s="65">
        <f t="shared" si="2"/>
        <v>0</v>
      </c>
      <c r="L32" s="66">
        <v>0</v>
      </c>
      <c r="M32" s="66">
        <f t="shared" si="3"/>
        <v>0</v>
      </c>
      <c r="N32" s="66">
        <f>392.96</f>
        <v>392.96</v>
      </c>
      <c r="O32" s="66">
        <f t="shared" si="4"/>
        <v>1964.8</v>
      </c>
      <c r="P32" s="53" t="s">
        <v>112</v>
      </c>
      <c r="Q32" s="53"/>
      <c r="R32" s="53" t="s">
        <v>80</v>
      </c>
      <c r="S32" s="53" t="s">
        <v>81</v>
      </c>
      <c r="T32" s="53" t="s">
        <v>82</v>
      </c>
      <c r="U32" s="53"/>
      <c r="V32" s="53"/>
      <c r="W32" s="53"/>
      <c r="X32" s="53"/>
      <c r="Y32" s="53"/>
      <c r="Z32" s="53"/>
      <c r="AA32" s="67">
        <v>19</v>
      </c>
      <c r="AB32" s="53" t="s">
        <v>83</v>
      </c>
    </row>
    <row r="33" spans="1:28">
      <c r="A33">
        <v>13</v>
      </c>
      <c r="B33" s="61" t="s">
        <v>117</v>
      </c>
      <c r="C33" s="62" t="s">
        <v>118</v>
      </c>
      <c r="D33" s="61" t="s">
        <v>89</v>
      </c>
      <c r="E33" s="63">
        <v>20</v>
      </c>
      <c r="F33" s="64"/>
      <c r="G33" s="64">
        <f t="shared" si="0"/>
        <v>0</v>
      </c>
      <c r="H33" s="65">
        <v>0</v>
      </c>
      <c r="I33" s="65">
        <f t="shared" si="1"/>
        <v>0</v>
      </c>
      <c r="J33" s="65">
        <v>0</v>
      </c>
      <c r="K33" s="65">
        <f t="shared" si="2"/>
        <v>0</v>
      </c>
      <c r="L33" s="66">
        <v>0</v>
      </c>
      <c r="M33" s="66">
        <f t="shared" si="3"/>
        <v>0</v>
      </c>
      <c r="N33" s="66">
        <f>105.49</f>
        <v>105.49</v>
      </c>
      <c r="O33" s="66">
        <f t="shared" si="4"/>
        <v>2109.7999999999997</v>
      </c>
      <c r="P33" s="53" t="s">
        <v>112</v>
      </c>
      <c r="Q33" s="53"/>
      <c r="R33" s="53" t="s">
        <v>80</v>
      </c>
      <c r="S33" s="53" t="s">
        <v>81</v>
      </c>
      <c r="T33" s="53" t="s">
        <v>82</v>
      </c>
      <c r="U33" s="53"/>
      <c r="V33" s="53"/>
      <c r="W33" s="53"/>
      <c r="X33" s="53"/>
      <c r="Y33" s="53"/>
      <c r="Z33" s="53"/>
      <c r="AA33" s="67">
        <v>19</v>
      </c>
      <c r="AB33" s="53" t="s">
        <v>83</v>
      </c>
    </row>
    <row r="34" spans="1:28">
      <c r="A34">
        <v>14</v>
      </c>
      <c r="B34" s="61" t="s">
        <v>119</v>
      </c>
      <c r="C34" s="62" t="s">
        <v>120</v>
      </c>
      <c r="D34" s="61" t="s">
        <v>86</v>
      </c>
      <c r="E34" s="63">
        <v>143.29</v>
      </c>
      <c r="F34" s="64"/>
      <c r="G34" s="64">
        <f t="shared" si="0"/>
        <v>0</v>
      </c>
      <c r="H34" s="65">
        <v>0</v>
      </c>
      <c r="I34" s="65">
        <f t="shared" si="1"/>
        <v>0</v>
      </c>
      <c r="J34" s="65">
        <v>0</v>
      </c>
      <c r="K34" s="65">
        <f t="shared" si="2"/>
        <v>0</v>
      </c>
      <c r="L34" s="66">
        <v>0</v>
      </c>
      <c r="M34" s="66">
        <f t="shared" si="3"/>
        <v>0</v>
      </c>
      <c r="N34" s="66">
        <f>154</f>
        <v>154</v>
      </c>
      <c r="O34" s="66">
        <f t="shared" si="4"/>
        <v>22066.66</v>
      </c>
      <c r="P34" s="53" t="s">
        <v>112</v>
      </c>
      <c r="Q34" s="53"/>
      <c r="R34" s="53" t="s">
        <v>80</v>
      </c>
      <c r="S34" s="53" t="s">
        <v>81</v>
      </c>
      <c r="T34" s="53" t="s">
        <v>82</v>
      </c>
      <c r="U34" s="53"/>
      <c r="V34" s="53"/>
      <c r="W34" s="53"/>
      <c r="X34" s="53"/>
      <c r="Y34" s="53"/>
      <c r="Z34" s="53"/>
      <c r="AA34" s="67">
        <v>19</v>
      </c>
      <c r="AB34" s="53" t="s">
        <v>83</v>
      </c>
    </row>
    <row r="35" spans="1:28">
      <c r="A35">
        <v>15</v>
      </c>
      <c r="B35" s="61" t="s">
        <v>121</v>
      </c>
      <c r="C35" s="62" t="s">
        <v>122</v>
      </c>
      <c r="D35" s="61" t="s">
        <v>86</v>
      </c>
      <c r="E35" s="63">
        <v>608</v>
      </c>
      <c r="F35" s="64"/>
      <c r="G35" s="64">
        <f t="shared" si="0"/>
        <v>0</v>
      </c>
      <c r="H35" s="65">
        <v>0</v>
      </c>
      <c r="I35" s="65">
        <f t="shared" si="1"/>
        <v>0</v>
      </c>
      <c r="J35" s="65">
        <v>0</v>
      </c>
      <c r="K35" s="65">
        <f t="shared" si="2"/>
        <v>0</v>
      </c>
      <c r="L35" s="66">
        <v>0</v>
      </c>
      <c r="M35" s="66">
        <f t="shared" si="3"/>
        <v>0</v>
      </c>
      <c r="N35" s="66">
        <f>20.68</f>
        <v>20.68</v>
      </c>
      <c r="O35" s="66">
        <f t="shared" si="4"/>
        <v>12573.44</v>
      </c>
      <c r="P35" s="53" t="s">
        <v>112</v>
      </c>
      <c r="Q35" s="53"/>
      <c r="R35" s="53" t="s">
        <v>80</v>
      </c>
      <c r="S35" s="53" t="s">
        <v>81</v>
      </c>
      <c r="T35" s="53" t="s">
        <v>82</v>
      </c>
      <c r="U35" s="53"/>
      <c r="V35" s="53"/>
      <c r="W35" s="53"/>
      <c r="X35" s="53"/>
      <c r="Y35" s="53"/>
      <c r="Z35" s="53"/>
      <c r="AA35" s="67">
        <v>19</v>
      </c>
      <c r="AB35" s="53" t="s">
        <v>83</v>
      </c>
    </row>
    <row r="36" spans="1:28">
      <c r="A36">
        <v>16</v>
      </c>
      <c r="B36" s="61" t="s">
        <v>123</v>
      </c>
      <c r="C36" s="62" t="s">
        <v>124</v>
      </c>
      <c r="D36" s="61" t="s">
        <v>86</v>
      </c>
      <c r="E36" s="63">
        <v>32</v>
      </c>
      <c r="F36" s="64"/>
      <c r="G36" s="64">
        <f t="shared" si="0"/>
        <v>0</v>
      </c>
      <c r="H36" s="65">
        <v>0</v>
      </c>
      <c r="I36" s="65">
        <f t="shared" si="1"/>
        <v>0</v>
      </c>
      <c r="J36" s="65">
        <v>0</v>
      </c>
      <c r="K36" s="65">
        <f t="shared" si="2"/>
        <v>0</v>
      </c>
      <c r="L36" s="66">
        <v>0</v>
      </c>
      <c r="M36" s="66">
        <f t="shared" si="3"/>
        <v>0</v>
      </c>
      <c r="N36" s="66">
        <f>348.82</f>
        <v>348.82</v>
      </c>
      <c r="O36" s="66">
        <f t="shared" si="4"/>
        <v>11162.24</v>
      </c>
      <c r="P36" s="53" t="s">
        <v>112</v>
      </c>
      <c r="Q36" s="53"/>
      <c r="R36" s="53" t="s">
        <v>80</v>
      </c>
      <c r="S36" s="53" t="s">
        <v>81</v>
      </c>
      <c r="T36" s="53" t="s">
        <v>82</v>
      </c>
      <c r="U36" s="53"/>
      <c r="V36" s="53"/>
      <c r="W36" s="53"/>
      <c r="X36" s="53"/>
      <c r="Y36" s="53"/>
      <c r="Z36" s="53"/>
      <c r="AA36" s="67">
        <v>19</v>
      </c>
      <c r="AB36" s="53" t="s">
        <v>83</v>
      </c>
    </row>
    <row r="37" spans="1:28" ht="18.75" customHeight="1">
      <c r="A37" s="68" t="s">
        <v>13</v>
      </c>
      <c r="B37" s="60" t="s">
        <v>125</v>
      </c>
      <c r="C37" s="60"/>
      <c r="D37" s="60"/>
      <c r="E37" s="60"/>
      <c r="F37" s="60"/>
      <c r="G37" s="69">
        <f>SUMIF($P:$P,$Q37,G:G)</f>
        <v>0</v>
      </c>
      <c r="H37" s="60"/>
      <c r="I37" s="70">
        <f>SUMIF($P:$P,$Q37,I:I)</f>
        <v>0</v>
      </c>
      <c r="J37" s="60"/>
      <c r="K37" s="70">
        <f>SUMIF($P:$P,$Q37,K:K)</f>
        <v>0</v>
      </c>
      <c r="L37" s="60"/>
      <c r="M37" s="71">
        <f>SUMIF($P:$P,$Q37,M:M)</f>
        <v>0</v>
      </c>
      <c r="N37" s="60"/>
      <c r="O37" s="71">
        <f>SUMIF($P:$P,$Q37,O:O)</f>
        <v>60833.594399999994</v>
      </c>
      <c r="P37" s="53" t="s">
        <v>13</v>
      </c>
      <c r="Q37" s="53" t="s">
        <v>112</v>
      </c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ht="12.75" customHeight="1"/>
    <row r="39" spans="1:28" ht="18.75" customHeight="1">
      <c r="A39" s="60"/>
      <c r="B39" s="60" t="s">
        <v>126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>
      <c r="A40">
        <v>17</v>
      </c>
      <c r="B40" s="61" t="s">
        <v>127</v>
      </c>
      <c r="C40" s="62" t="s">
        <v>128</v>
      </c>
      <c r="D40" s="61" t="s">
        <v>86</v>
      </c>
      <c r="E40" s="63">
        <v>138.32</v>
      </c>
      <c r="F40" s="64"/>
      <c r="G40" s="64">
        <f>E40*F40</f>
        <v>0</v>
      </c>
      <c r="H40" s="65">
        <v>0</v>
      </c>
      <c r="I40" s="65">
        <f>E40*H40</f>
        <v>0</v>
      </c>
      <c r="J40" s="65">
        <v>0</v>
      </c>
      <c r="K40" s="65">
        <f>E40*J40</f>
        <v>0</v>
      </c>
      <c r="L40" s="66">
        <v>0</v>
      </c>
      <c r="M40" s="66">
        <f>E40*L40</f>
        <v>0</v>
      </c>
      <c r="N40" s="66">
        <f>44.48</f>
        <v>44.48</v>
      </c>
      <c r="O40" s="66">
        <f>E40*N40</f>
        <v>6152.4735999999994</v>
      </c>
      <c r="P40" s="53" t="s">
        <v>129</v>
      </c>
      <c r="Q40" s="53"/>
      <c r="R40" s="53" t="s">
        <v>80</v>
      </c>
      <c r="S40" s="53" t="s">
        <v>81</v>
      </c>
      <c r="T40" s="53" t="s">
        <v>82</v>
      </c>
      <c r="U40" s="53"/>
      <c r="V40" s="53"/>
      <c r="W40" s="53"/>
      <c r="X40" s="53"/>
      <c r="Y40" s="53"/>
      <c r="Z40" s="53"/>
      <c r="AA40" s="67">
        <v>19</v>
      </c>
      <c r="AB40" s="53" t="s">
        <v>83</v>
      </c>
    </row>
    <row r="41" spans="1:28">
      <c r="A41">
        <v>18</v>
      </c>
      <c r="B41" s="61" t="s">
        <v>130</v>
      </c>
      <c r="C41" s="62" t="s">
        <v>131</v>
      </c>
      <c r="D41" s="61" t="s">
        <v>86</v>
      </c>
      <c r="E41" s="63">
        <v>143.29</v>
      </c>
      <c r="F41" s="64"/>
      <c r="G41" s="64">
        <f>E41*F41</f>
        <v>0</v>
      </c>
      <c r="H41" s="65">
        <v>0</v>
      </c>
      <c r="I41" s="65">
        <f>E41*H41</f>
        <v>0</v>
      </c>
      <c r="J41" s="65">
        <v>0</v>
      </c>
      <c r="K41" s="65">
        <f>E41*J41</f>
        <v>0</v>
      </c>
      <c r="L41" s="66">
        <v>0</v>
      </c>
      <c r="M41" s="66">
        <f>E41*L41</f>
        <v>0</v>
      </c>
      <c r="N41" s="66">
        <f>16.13</f>
        <v>16.13</v>
      </c>
      <c r="O41" s="66">
        <f>E41*N41</f>
        <v>2311.2676999999999</v>
      </c>
      <c r="P41" s="53" t="s">
        <v>129</v>
      </c>
      <c r="Q41" s="53"/>
      <c r="R41" s="53" t="s">
        <v>80</v>
      </c>
      <c r="S41" s="53" t="s">
        <v>81</v>
      </c>
      <c r="T41" s="53" t="s">
        <v>82</v>
      </c>
      <c r="U41" s="53"/>
      <c r="V41" s="53"/>
      <c r="W41" s="53"/>
      <c r="X41" s="53"/>
      <c r="Y41" s="53"/>
      <c r="Z41" s="53"/>
      <c r="AA41" s="67">
        <v>19</v>
      </c>
      <c r="AB41" s="53" t="s">
        <v>83</v>
      </c>
    </row>
    <row r="42" spans="1:28">
      <c r="A42">
        <v>19</v>
      </c>
      <c r="B42" s="61" t="s">
        <v>132</v>
      </c>
      <c r="C42" s="62" t="s">
        <v>131</v>
      </c>
      <c r="D42" s="61" t="s">
        <v>86</v>
      </c>
      <c r="E42" s="63">
        <v>32</v>
      </c>
      <c r="F42" s="64"/>
      <c r="G42" s="64">
        <f>E42*F42</f>
        <v>0</v>
      </c>
      <c r="H42" s="65">
        <v>0</v>
      </c>
      <c r="I42" s="65">
        <f>E42*H42</f>
        <v>0</v>
      </c>
      <c r="J42" s="65">
        <v>0</v>
      </c>
      <c r="K42" s="65">
        <f>E42*J42</f>
        <v>0</v>
      </c>
      <c r="L42" s="66">
        <v>0</v>
      </c>
      <c r="M42" s="66">
        <f>E42*L42</f>
        <v>0</v>
      </c>
      <c r="N42" s="66">
        <f>17.513809</f>
        <v>17.513808999999998</v>
      </c>
      <c r="O42" s="66">
        <f>E42*N42</f>
        <v>560.44188799999995</v>
      </c>
      <c r="P42" s="53" t="s">
        <v>129</v>
      </c>
      <c r="Q42" s="53"/>
      <c r="R42" s="53" t="s">
        <v>80</v>
      </c>
      <c r="S42" s="53" t="s">
        <v>133</v>
      </c>
      <c r="T42" s="53" t="s">
        <v>134</v>
      </c>
      <c r="U42" s="53"/>
      <c r="V42" s="53"/>
      <c r="W42" s="53"/>
      <c r="X42" s="53"/>
      <c r="Y42" s="53"/>
      <c r="Z42" s="53"/>
      <c r="AA42" s="67">
        <v>19</v>
      </c>
      <c r="AB42" s="53" t="s">
        <v>83</v>
      </c>
    </row>
    <row r="43" spans="1:28">
      <c r="A43">
        <v>20</v>
      </c>
      <c r="B43" s="61" t="s">
        <v>135</v>
      </c>
      <c r="C43" s="62" t="s">
        <v>136</v>
      </c>
      <c r="D43" s="61" t="s">
        <v>137</v>
      </c>
      <c r="E43" s="63">
        <v>48</v>
      </c>
      <c r="F43" s="64"/>
      <c r="G43" s="64">
        <f>E43*F43</f>
        <v>0</v>
      </c>
      <c r="H43" s="65">
        <v>0</v>
      </c>
      <c r="I43" s="65">
        <f>E43*H43</f>
        <v>0</v>
      </c>
      <c r="J43" s="65">
        <v>0</v>
      </c>
      <c r="K43" s="65">
        <f>E43*J43</f>
        <v>0</v>
      </c>
      <c r="L43" s="66">
        <v>0</v>
      </c>
      <c r="M43" s="66">
        <f>E43*L43</f>
        <v>0</v>
      </c>
      <c r="N43" s="66">
        <f>700</f>
        <v>700</v>
      </c>
      <c r="O43" s="66">
        <f>E43*N43</f>
        <v>33600</v>
      </c>
      <c r="P43" s="53" t="s">
        <v>129</v>
      </c>
      <c r="Q43" s="53"/>
      <c r="R43" s="53" t="s">
        <v>80</v>
      </c>
      <c r="S43" s="53" t="s">
        <v>133</v>
      </c>
      <c r="T43" s="53" t="s">
        <v>134</v>
      </c>
      <c r="U43" s="53"/>
      <c r="V43" s="53"/>
      <c r="W43" s="53"/>
      <c r="X43" s="53"/>
      <c r="Y43" s="53"/>
      <c r="Z43" s="53"/>
      <c r="AA43" s="67">
        <v>19</v>
      </c>
      <c r="AB43" s="53" t="s">
        <v>83</v>
      </c>
    </row>
    <row r="44" spans="1:28" ht="18.75" customHeight="1">
      <c r="A44" s="68" t="s">
        <v>13</v>
      </c>
      <c r="B44" s="60" t="s">
        <v>138</v>
      </c>
      <c r="C44" s="60"/>
      <c r="D44" s="60"/>
      <c r="E44" s="60"/>
      <c r="F44" s="60"/>
      <c r="G44" s="69">
        <f>SUMIF($P:$P,$Q44,G:G)</f>
        <v>0</v>
      </c>
      <c r="H44" s="60"/>
      <c r="I44" s="70">
        <f>SUMIF($P:$P,$Q44,I:I)</f>
        <v>0</v>
      </c>
      <c r="J44" s="60"/>
      <c r="K44" s="70">
        <f>SUMIF($P:$P,$Q44,K:K)</f>
        <v>0</v>
      </c>
      <c r="L44" s="60"/>
      <c r="M44" s="71">
        <f>SUMIF($P:$P,$Q44,M:M)</f>
        <v>0</v>
      </c>
      <c r="N44" s="60"/>
      <c r="O44" s="71">
        <f>SUMIF($P:$P,$Q44,O:O)</f>
        <v>42624.183187999995</v>
      </c>
      <c r="P44" s="53" t="s">
        <v>13</v>
      </c>
      <c r="Q44" s="53" t="s">
        <v>129</v>
      </c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ht="12.75" customHeight="1"/>
    <row r="46" spans="1:28" ht="18.75" customHeight="1">
      <c r="A46" s="60"/>
      <c r="B46" s="60" t="s">
        <v>139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>
      <c r="A47">
        <v>21</v>
      </c>
      <c r="B47" s="61" t="s">
        <v>140</v>
      </c>
      <c r="C47" s="62" t="s">
        <v>141</v>
      </c>
      <c r="D47" s="61" t="s">
        <v>78</v>
      </c>
      <c r="E47" s="63">
        <v>749.63</v>
      </c>
      <c r="F47" s="64"/>
      <c r="G47" s="64">
        <f>E47*F47</f>
        <v>0</v>
      </c>
      <c r="H47" s="65">
        <v>0</v>
      </c>
      <c r="I47" s="65">
        <f>E47*H47</f>
        <v>0</v>
      </c>
      <c r="J47" s="65">
        <v>0</v>
      </c>
      <c r="K47" s="65">
        <f>E47*J47</f>
        <v>0</v>
      </c>
      <c r="L47" s="66">
        <v>0.49</v>
      </c>
      <c r="M47" s="66">
        <f>E47*L47</f>
        <v>367.31869999999998</v>
      </c>
      <c r="N47" s="66">
        <f>14.62</f>
        <v>14.62</v>
      </c>
      <c r="O47" s="66">
        <f>E47*N47</f>
        <v>10959.5906</v>
      </c>
      <c r="P47" s="53" t="s">
        <v>142</v>
      </c>
      <c r="Q47" s="53"/>
      <c r="R47" s="53" t="s">
        <v>80</v>
      </c>
      <c r="S47" s="53" t="s">
        <v>81</v>
      </c>
      <c r="T47" s="53" t="s">
        <v>82</v>
      </c>
      <c r="U47" s="53"/>
      <c r="V47" s="53"/>
      <c r="W47" s="53"/>
      <c r="X47" s="53"/>
      <c r="Y47" s="53"/>
      <c r="Z47" s="53"/>
      <c r="AA47" s="67">
        <v>19</v>
      </c>
      <c r="AB47" s="53" t="s">
        <v>83</v>
      </c>
    </row>
    <row r="48" spans="1:28">
      <c r="A48">
        <v>22</v>
      </c>
      <c r="B48" s="61" t="s">
        <v>143</v>
      </c>
      <c r="C48" s="62" t="s">
        <v>144</v>
      </c>
      <c r="D48" s="61" t="s">
        <v>78</v>
      </c>
      <c r="E48" s="63">
        <v>1082.54</v>
      </c>
      <c r="F48" s="64"/>
      <c r="G48" s="64">
        <f>E48*F48</f>
        <v>0</v>
      </c>
      <c r="H48" s="65">
        <v>0</v>
      </c>
      <c r="I48" s="65">
        <f>E48*H48</f>
        <v>0</v>
      </c>
      <c r="J48" s="65">
        <v>0</v>
      </c>
      <c r="K48" s="65">
        <f>E48*J48</f>
        <v>0</v>
      </c>
      <c r="L48" s="66">
        <v>0</v>
      </c>
      <c r="M48" s="66">
        <f>E48*L48</f>
        <v>0</v>
      </c>
      <c r="N48" s="66">
        <f>41.82</f>
        <v>41.82</v>
      </c>
      <c r="O48" s="66">
        <f>E48*N48</f>
        <v>45271.822800000002</v>
      </c>
      <c r="P48" s="53" t="s">
        <v>142</v>
      </c>
      <c r="Q48" s="53"/>
      <c r="R48" s="53" t="s">
        <v>80</v>
      </c>
      <c r="S48" s="53" t="s">
        <v>81</v>
      </c>
      <c r="T48" s="53" t="s">
        <v>82</v>
      </c>
      <c r="U48" s="53"/>
      <c r="V48" s="53"/>
      <c r="W48" s="53"/>
      <c r="X48" s="53"/>
      <c r="Y48" s="53"/>
      <c r="Z48" s="53"/>
      <c r="AA48" s="67">
        <v>19</v>
      </c>
      <c r="AB48" s="53" t="s">
        <v>83</v>
      </c>
    </row>
    <row r="49" spans="1:28">
      <c r="A49">
        <v>23</v>
      </c>
      <c r="B49" s="61" t="s">
        <v>145</v>
      </c>
      <c r="C49" s="62" t="s">
        <v>146</v>
      </c>
      <c r="D49" s="61" t="s">
        <v>78</v>
      </c>
      <c r="E49" s="63">
        <v>425.44</v>
      </c>
      <c r="F49" s="64"/>
      <c r="G49" s="64">
        <f>E49*F49</f>
        <v>0</v>
      </c>
      <c r="H49" s="65">
        <v>0</v>
      </c>
      <c r="I49" s="65">
        <f>E49*H49</f>
        <v>0</v>
      </c>
      <c r="J49" s="65">
        <v>0</v>
      </c>
      <c r="K49" s="65">
        <f>E49*J49</f>
        <v>0</v>
      </c>
      <c r="L49" s="66">
        <v>0</v>
      </c>
      <c r="M49" s="66">
        <f>E49*L49</f>
        <v>0</v>
      </c>
      <c r="N49" s="66">
        <f>39.31</f>
        <v>39.31</v>
      </c>
      <c r="O49" s="66">
        <f>E49*N49</f>
        <v>16724.046399999999</v>
      </c>
      <c r="P49" s="53" t="s">
        <v>142</v>
      </c>
      <c r="Q49" s="53"/>
      <c r="R49" s="53" t="s">
        <v>80</v>
      </c>
      <c r="S49" s="53" t="s">
        <v>81</v>
      </c>
      <c r="T49" s="53" t="s">
        <v>82</v>
      </c>
      <c r="U49" s="53"/>
      <c r="V49" s="53"/>
      <c r="W49" s="53"/>
      <c r="X49" s="53"/>
      <c r="Y49" s="53"/>
      <c r="Z49" s="53"/>
      <c r="AA49" s="67">
        <v>19</v>
      </c>
      <c r="AB49" s="53" t="s">
        <v>83</v>
      </c>
    </row>
    <row r="50" spans="1:28">
      <c r="A50">
        <v>24</v>
      </c>
      <c r="B50" s="61" t="s">
        <v>147</v>
      </c>
      <c r="C50" s="62" t="s">
        <v>148</v>
      </c>
      <c r="D50" s="61" t="s">
        <v>149</v>
      </c>
      <c r="E50" s="63">
        <v>23.613344999999999</v>
      </c>
      <c r="F50" s="64"/>
      <c r="G50" s="64">
        <f>E50*F50</f>
        <v>0</v>
      </c>
      <c r="H50" s="65">
        <v>1E-3</v>
      </c>
      <c r="I50" s="65">
        <f>E50*H50</f>
        <v>2.3613345000000001E-2</v>
      </c>
      <c r="J50" s="65">
        <v>0</v>
      </c>
      <c r="K50" s="65">
        <f>E50*J50</f>
        <v>0</v>
      </c>
      <c r="L50" s="66">
        <v>250</v>
      </c>
      <c r="M50" s="66">
        <f>E50*L50</f>
        <v>5903.3362499999994</v>
      </c>
      <c r="N50" s="66">
        <f>0</f>
        <v>0</v>
      </c>
      <c r="O50" s="66">
        <f>E50*N50</f>
        <v>0</v>
      </c>
      <c r="P50" s="53" t="s">
        <v>142</v>
      </c>
      <c r="Q50" s="53"/>
      <c r="R50" s="53" t="s">
        <v>80</v>
      </c>
      <c r="S50" s="53" t="s">
        <v>150</v>
      </c>
      <c r="T50" s="53" t="s">
        <v>151</v>
      </c>
      <c r="U50" s="53"/>
      <c r="V50" s="53"/>
      <c r="W50" s="53"/>
      <c r="X50" s="53"/>
      <c r="Y50" s="53"/>
      <c r="Z50" s="53"/>
      <c r="AA50" s="67">
        <v>19</v>
      </c>
      <c r="AB50" s="53" t="s">
        <v>152</v>
      </c>
    </row>
    <row r="51" spans="1:28" ht="18.75" customHeight="1">
      <c r="A51" s="68" t="s">
        <v>13</v>
      </c>
      <c r="B51" s="60" t="s">
        <v>153</v>
      </c>
      <c r="C51" s="60"/>
      <c r="D51" s="60"/>
      <c r="E51" s="60"/>
      <c r="F51" s="60"/>
      <c r="G51" s="69">
        <f>SUMIF($P:$P,$Q51,G:G)</f>
        <v>0</v>
      </c>
      <c r="H51" s="60"/>
      <c r="I51" s="70">
        <f>SUMIF($P:$P,$Q51,I:I)</f>
        <v>2.3613345000000001E-2</v>
      </c>
      <c r="J51" s="60"/>
      <c r="K51" s="70">
        <f>SUMIF($P:$P,$Q51,K:K)</f>
        <v>0</v>
      </c>
      <c r="L51" s="60"/>
      <c r="M51" s="71">
        <f>SUMIF($P:$P,$Q51,M:M)</f>
        <v>6270.6549499999992</v>
      </c>
      <c r="N51" s="60"/>
      <c r="O51" s="71">
        <f>SUMIF($P:$P,$Q51,O:O)</f>
        <v>72955.459800000011</v>
      </c>
      <c r="P51" s="53" t="s">
        <v>13</v>
      </c>
      <c r="Q51" s="53" t="s">
        <v>142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t="12.75" customHeight="1"/>
    <row r="53" spans="1:28" ht="18.75" customHeight="1">
      <c r="A53" s="60"/>
      <c r="B53" s="60" t="s">
        <v>154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>
      <c r="A54">
        <v>25</v>
      </c>
      <c r="B54" s="61" t="s">
        <v>155</v>
      </c>
      <c r="C54" s="62" t="s">
        <v>156</v>
      </c>
      <c r="D54" s="61" t="s">
        <v>78</v>
      </c>
      <c r="E54" s="63">
        <v>26</v>
      </c>
      <c r="F54" s="64"/>
      <c r="G54" s="64">
        <f>E54*F54</f>
        <v>0</v>
      </c>
      <c r="H54" s="65">
        <v>0.24299999999999999</v>
      </c>
      <c r="I54" s="65">
        <f>E54*H54</f>
        <v>6.3179999999999996</v>
      </c>
      <c r="J54" s="65">
        <v>0</v>
      </c>
      <c r="K54" s="65">
        <f>E54*J54</f>
        <v>0</v>
      </c>
      <c r="L54" s="66">
        <v>282.91000000000003</v>
      </c>
      <c r="M54" s="66">
        <f>E54*L54</f>
        <v>7355.6600000000008</v>
      </c>
      <c r="N54" s="66">
        <f>55.63</f>
        <v>55.63</v>
      </c>
      <c r="O54" s="66">
        <f>E54*N54</f>
        <v>1446.38</v>
      </c>
      <c r="P54" s="53" t="s">
        <v>157</v>
      </c>
      <c r="Q54" s="53"/>
      <c r="R54" s="53" t="s">
        <v>80</v>
      </c>
      <c r="S54" s="53" t="s">
        <v>81</v>
      </c>
      <c r="T54" s="53" t="s">
        <v>82</v>
      </c>
      <c r="U54" s="53"/>
      <c r="V54" s="53"/>
      <c r="W54" s="53"/>
      <c r="X54" s="53"/>
      <c r="Y54" s="53"/>
      <c r="Z54" s="53"/>
      <c r="AA54" s="67">
        <v>19</v>
      </c>
      <c r="AB54" s="53" t="s">
        <v>83</v>
      </c>
    </row>
    <row r="55" spans="1:28">
      <c r="A55">
        <v>26</v>
      </c>
      <c r="B55" s="61" t="s">
        <v>158</v>
      </c>
      <c r="C55" s="62" t="s">
        <v>159</v>
      </c>
      <c r="D55" s="61" t="s">
        <v>78</v>
      </c>
      <c r="E55" s="63">
        <v>274</v>
      </c>
      <c r="F55" s="64"/>
      <c r="G55" s="64">
        <f>E55*F55</f>
        <v>0</v>
      </c>
      <c r="H55" s="65">
        <v>0</v>
      </c>
      <c r="I55" s="65">
        <f>E55*H55</f>
        <v>0</v>
      </c>
      <c r="J55" s="65">
        <v>0</v>
      </c>
      <c r="K55" s="65">
        <f>E55*J55</f>
        <v>0</v>
      </c>
      <c r="L55" s="66">
        <v>0</v>
      </c>
      <c r="M55" s="66">
        <f>E55*L55</f>
        <v>0</v>
      </c>
      <c r="N55" s="66">
        <f>36.2</f>
        <v>36.200000000000003</v>
      </c>
      <c r="O55" s="66">
        <f>E55*N55</f>
        <v>9918.8000000000011</v>
      </c>
      <c r="P55" s="53" t="s">
        <v>157</v>
      </c>
      <c r="Q55" s="53"/>
      <c r="R55" s="53" t="s">
        <v>80</v>
      </c>
      <c r="S55" s="53" t="s">
        <v>81</v>
      </c>
      <c r="T55" s="53" t="s">
        <v>82</v>
      </c>
      <c r="U55" s="53"/>
      <c r="V55" s="53"/>
      <c r="W55" s="53"/>
      <c r="X55" s="53"/>
      <c r="Y55" s="53"/>
      <c r="Z55" s="53"/>
      <c r="AA55" s="67">
        <v>19</v>
      </c>
      <c r="AB55" s="53" t="s">
        <v>83</v>
      </c>
    </row>
    <row r="56" spans="1:28">
      <c r="A56">
        <v>27</v>
      </c>
      <c r="B56" s="61" t="s">
        <v>160</v>
      </c>
      <c r="C56" s="62" t="s">
        <v>161</v>
      </c>
      <c r="D56" s="61" t="s">
        <v>86</v>
      </c>
      <c r="E56" s="63">
        <v>8.5500000000000007</v>
      </c>
      <c r="F56" s="64"/>
      <c r="G56" s="64">
        <f>E56*F56</f>
        <v>0</v>
      </c>
      <c r="H56" s="65">
        <v>2.8340000000000001</v>
      </c>
      <c r="I56" s="65">
        <f>E56*H56</f>
        <v>24.230700000000002</v>
      </c>
      <c r="J56" s="65">
        <v>0</v>
      </c>
      <c r="K56" s="65">
        <f>E56*J56</f>
        <v>0</v>
      </c>
      <c r="L56" s="66">
        <v>2462.94</v>
      </c>
      <c r="M56" s="66">
        <f>E56*L56</f>
        <v>21058.137000000002</v>
      </c>
      <c r="N56" s="66">
        <f>1340.36</f>
        <v>1340.36</v>
      </c>
      <c r="O56" s="66">
        <f>E56*N56</f>
        <v>11460.078</v>
      </c>
      <c r="P56" s="53" t="s">
        <v>157</v>
      </c>
      <c r="Q56" s="53"/>
      <c r="R56" s="53" t="s">
        <v>80</v>
      </c>
      <c r="S56" s="53" t="s">
        <v>81</v>
      </c>
      <c r="T56" s="53" t="s">
        <v>82</v>
      </c>
      <c r="U56" s="53"/>
      <c r="V56" s="53"/>
      <c r="W56" s="53"/>
      <c r="X56" s="53"/>
      <c r="Y56" s="53"/>
      <c r="Z56" s="53"/>
      <c r="AA56" s="67">
        <v>19</v>
      </c>
      <c r="AB56" s="53" t="s">
        <v>83</v>
      </c>
    </row>
    <row r="57" spans="1:28">
      <c r="A57">
        <v>28</v>
      </c>
      <c r="B57" s="61" t="s">
        <v>162</v>
      </c>
      <c r="C57" s="62" t="s">
        <v>163</v>
      </c>
      <c r="D57" s="61" t="s">
        <v>86</v>
      </c>
      <c r="E57" s="63">
        <v>1.2509999999999999</v>
      </c>
      <c r="F57" s="64"/>
      <c r="G57" s="64">
        <f>E57*F57</f>
        <v>0</v>
      </c>
      <c r="H57" s="65">
        <v>2.4870000000000001</v>
      </c>
      <c r="I57" s="65">
        <f>E57*H57</f>
        <v>3.111237</v>
      </c>
      <c r="J57" s="65">
        <v>0</v>
      </c>
      <c r="K57" s="65">
        <f>E57*J57</f>
        <v>0</v>
      </c>
      <c r="L57" s="66">
        <v>2981.03</v>
      </c>
      <c r="M57" s="66">
        <f>E57*L57</f>
        <v>3729.2685299999998</v>
      </c>
      <c r="N57" s="66">
        <f>562.32</f>
        <v>562.32000000000005</v>
      </c>
      <c r="O57" s="66">
        <f>E57*N57</f>
        <v>703.46231999999998</v>
      </c>
      <c r="P57" s="53" t="s">
        <v>157</v>
      </c>
      <c r="Q57" s="53"/>
      <c r="R57" s="53" t="s">
        <v>80</v>
      </c>
      <c r="S57" s="53" t="s">
        <v>81</v>
      </c>
      <c r="T57" s="53" t="s">
        <v>82</v>
      </c>
      <c r="U57" s="53"/>
      <c r="V57" s="53"/>
      <c r="W57" s="53"/>
      <c r="X57" s="53"/>
      <c r="Y57" s="53"/>
      <c r="Z57" s="53"/>
      <c r="AA57" s="67">
        <v>19</v>
      </c>
      <c r="AB57" s="53" t="s">
        <v>83</v>
      </c>
    </row>
    <row r="58" spans="1:28" ht="18.75" customHeight="1">
      <c r="A58" s="68" t="s">
        <v>13</v>
      </c>
      <c r="B58" s="60" t="s">
        <v>164</v>
      </c>
      <c r="C58" s="60"/>
      <c r="D58" s="60"/>
      <c r="E58" s="60"/>
      <c r="F58" s="60"/>
      <c r="G58" s="69">
        <f>SUMIF($P:$P,$Q58,G:G)</f>
        <v>0</v>
      </c>
      <c r="H58" s="60"/>
      <c r="I58" s="70">
        <f>SUMIF($P:$P,$Q58,I:I)</f>
        <v>33.659937000000006</v>
      </c>
      <c r="J58" s="60"/>
      <c r="K58" s="70">
        <f>SUMIF($P:$P,$Q58,K:K)</f>
        <v>0</v>
      </c>
      <c r="L58" s="60"/>
      <c r="M58" s="71">
        <f>SUMIF($P:$P,$Q58,M:M)</f>
        <v>32143.065530000003</v>
      </c>
      <c r="N58" s="60"/>
      <c r="O58" s="71">
        <f>SUMIF($P:$P,$Q58,O:O)</f>
        <v>23528.72032</v>
      </c>
      <c r="P58" s="53" t="s">
        <v>13</v>
      </c>
      <c r="Q58" s="53" t="s">
        <v>157</v>
      </c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ht="12.75" customHeight="1"/>
    <row r="60" spans="1:28" ht="18.75" customHeight="1">
      <c r="A60" s="60"/>
      <c r="B60" s="60" t="s">
        <v>165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>
      <c r="A61">
        <v>29</v>
      </c>
      <c r="B61" s="61" t="s">
        <v>166</v>
      </c>
      <c r="C61" s="62" t="s">
        <v>167</v>
      </c>
      <c r="D61" s="61" t="s">
        <v>78</v>
      </c>
      <c r="E61" s="63">
        <v>219.2</v>
      </c>
      <c r="F61" s="64"/>
      <c r="G61" s="64">
        <f>E61*F61</f>
        <v>0</v>
      </c>
      <c r="H61" s="65">
        <v>0.51300000000000001</v>
      </c>
      <c r="I61" s="65">
        <f>E61*H61</f>
        <v>112.4496</v>
      </c>
      <c r="J61" s="65">
        <v>0</v>
      </c>
      <c r="K61" s="65">
        <f>E61*J61</f>
        <v>0</v>
      </c>
      <c r="L61" s="66">
        <v>315.32</v>
      </c>
      <c r="M61" s="66">
        <f>E61*L61</f>
        <v>69118.144</v>
      </c>
      <c r="N61" s="66">
        <f>297.86</f>
        <v>297.86</v>
      </c>
      <c r="O61" s="66">
        <f>E61*N61</f>
        <v>65290.911999999997</v>
      </c>
      <c r="P61" s="53" t="s">
        <v>168</v>
      </c>
      <c r="Q61" s="53"/>
      <c r="R61" s="53" t="s">
        <v>80</v>
      </c>
      <c r="S61" s="53" t="s">
        <v>81</v>
      </c>
      <c r="T61" s="53" t="s">
        <v>82</v>
      </c>
      <c r="U61" s="53"/>
      <c r="V61" s="53"/>
      <c r="W61" s="53"/>
      <c r="X61" s="53"/>
      <c r="Y61" s="53"/>
      <c r="Z61" s="53"/>
      <c r="AA61" s="67">
        <v>19</v>
      </c>
      <c r="AB61" s="53" t="s">
        <v>83</v>
      </c>
    </row>
    <row r="62" spans="1:28">
      <c r="A62">
        <v>30</v>
      </c>
      <c r="B62" s="61" t="s">
        <v>169</v>
      </c>
      <c r="C62" s="62" t="s">
        <v>170</v>
      </c>
      <c r="D62" s="61" t="s">
        <v>78</v>
      </c>
      <c r="E62" s="63">
        <v>22</v>
      </c>
      <c r="F62" s="64"/>
      <c r="G62" s="64">
        <f>E62*F62</f>
        <v>0</v>
      </c>
      <c r="H62" s="65">
        <v>0.51900000000000002</v>
      </c>
      <c r="I62" s="65">
        <f>E62*H62</f>
        <v>11.418000000000001</v>
      </c>
      <c r="J62" s="65">
        <v>0</v>
      </c>
      <c r="K62" s="65">
        <f>E62*J62</f>
        <v>0</v>
      </c>
      <c r="L62" s="66">
        <v>345.93</v>
      </c>
      <c r="M62" s="66">
        <f>E62*L62</f>
        <v>7610.46</v>
      </c>
      <c r="N62" s="66">
        <f>347.52</f>
        <v>347.52</v>
      </c>
      <c r="O62" s="66">
        <f>E62*N62</f>
        <v>7645.44</v>
      </c>
      <c r="P62" s="53" t="s">
        <v>168</v>
      </c>
      <c r="Q62" s="53"/>
      <c r="R62" s="53" t="s">
        <v>80</v>
      </c>
      <c r="S62" s="53" t="s">
        <v>81</v>
      </c>
      <c r="T62" s="53" t="s">
        <v>82</v>
      </c>
      <c r="U62" s="53"/>
      <c r="V62" s="53"/>
      <c r="W62" s="53"/>
      <c r="X62" s="53"/>
      <c r="Y62" s="53"/>
      <c r="Z62" s="53"/>
      <c r="AA62" s="67">
        <v>19</v>
      </c>
      <c r="AB62" s="53" t="s">
        <v>83</v>
      </c>
    </row>
    <row r="63" spans="1:28" ht="18.75" customHeight="1">
      <c r="A63" s="68" t="s">
        <v>13</v>
      </c>
      <c r="B63" s="60" t="s">
        <v>171</v>
      </c>
      <c r="C63" s="60"/>
      <c r="D63" s="60"/>
      <c r="E63" s="60"/>
      <c r="F63" s="60"/>
      <c r="G63" s="69">
        <f>SUMIF($P:$P,$Q63,G:G)</f>
        <v>0</v>
      </c>
      <c r="H63" s="60"/>
      <c r="I63" s="70">
        <f>SUMIF($P:$P,$Q63,I:I)</f>
        <v>123.86760000000001</v>
      </c>
      <c r="J63" s="60"/>
      <c r="K63" s="70">
        <f>SUMIF($P:$P,$Q63,K:K)</f>
        <v>0</v>
      </c>
      <c r="L63" s="60"/>
      <c r="M63" s="71">
        <f>SUMIF($P:$P,$Q63,M:M)</f>
        <v>76728.604000000007</v>
      </c>
      <c r="N63" s="60"/>
      <c r="O63" s="71">
        <f>SUMIF($P:$P,$Q63,O:O)</f>
        <v>72936.351999999999</v>
      </c>
      <c r="P63" s="53" t="s">
        <v>13</v>
      </c>
      <c r="Q63" s="53" t="s">
        <v>168</v>
      </c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spans="1:28" ht="12.75" customHeight="1"/>
    <row r="65" spans="1:28" ht="18.75" customHeight="1">
      <c r="A65" s="60"/>
      <c r="B65" s="60" t="s">
        <v>172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1:28">
      <c r="A66">
        <v>31</v>
      </c>
      <c r="B66" s="61" t="s">
        <v>173</v>
      </c>
      <c r="C66" s="62" t="s">
        <v>174</v>
      </c>
      <c r="D66" s="61" t="s">
        <v>137</v>
      </c>
      <c r="E66" s="63">
        <f>Z66*IF(V66="cenik_cast",IF(U66="hmoty",SUMIF(T:T,Y66,I:I),IF(U66="cena_hmot",SUMIF(T:T,Y66,M:M)/1000,SUMIF(T:T,Y66,G:G)/1000)),IF(V66="cenik",IF(U66="hmoty",SUMIF(S:S,X66,I:I),IF(U66="cena_hmot",SUMIF(S:S,X66,M:M)/1000,SUMIF(S:S,X66,G:G)/1000)),IF(U66="hmoty",SUMIF(R:R,W66,I:I),IF(U66="cena_hmot",SUMIF(R:R,W66,M:M)/1000,SUMIF(R:R,W66,G:G)/1000))))</f>
        <v>2.3613345000000001E-2</v>
      </c>
      <c r="F66" s="64"/>
      <c r="G66" s="64">
        <f>E66*F66</f>
        <v>0</v>
      </c>
      <c r="H66" s="65">
        <v>0</v>
      </c>
      <c r="I66" s="65">
        <f>E66*H66</f>
        <v>0</v>
      </c>
      <c r="J66" s="65">
        <v>0</v>
      </c>
      <c r="K66" s="65">
        <f>E66*J66</f>
        <v>0</v>
      </c>
      <c r="L66" s="66">
        <v>0</v>
      </c>
      <c r="M66" s="66">
        <f>E66*L66</f>
        <v>0</v>
      </c>
      <c r="N66" s="66">
        <f>185.19</f>
        <v>185.19</v>
      </c>
      <c r="O66" s="66">
        <f>E66*N66</f>
        <v>4.3729553605499998</v>
      </c>
      <c r="P66" s="53" t="s">
        <v>175</v>
      </c>
      <c r="Q66" s="53"/>
      <c r="R66" s="53"/>
      <c r="S66" s="53"/>
      <c r="T66" s="53"/>
      <c r="U66" s="53" t="s">
        <v>176</v>
      </c>
      <c r="V66" s="53" t="s">
        <v>177</v>
      </c>
      <c r="W66" s="53" t="s">
        <v>80</v>
      </c>
      <c r="X66" s="53" t="s">
        <v>150</v>
      </c>
      <c r="Y66" s="53" t="s">
        <v>151</v>
      </c>
      <c r="Z66" s="54">
        <v>1</v>
      </c>
      <c r="AA66" s="67">
        <v>19</v>
      </c>
      <c r="AB66" s="53" t="s">
        <v>83</v>
      </c>
    </row>
    <row r="67" spans="1:28" ht="18.75" customHeight="1">
      <c r="A67" s="68" t="s">
        <v>13</v>
      </c>
      <c r="B67" s="60" t="s">
        <v>178</v>
      </c>
      <c r="C67" s="60"/>
      <c r="D67" s="60"/>
      <c r="E67" s="60"/>
      <c r="F67" s="60"/>
      <c r="G67" s="69">
        <f>SUMIF($P:$P,$Q67,G:G)</f>
        <v>0</v>
      </c>
      <c r="H67" s="60"/>
      <c r="I67" s="70">
        <f>SUMIF($P:$P,$Q67,I:I)</f>
        <v>0</v>
      </c>
      <c r="J67" s="60"/>
      <c r="K67" s="70">
        <f>SUMIF($P:$P,$Q67,K:K)</f>
        <v>0</v>
      </c>
      <c r="L67" s="60"/>
      <c r="M67" s="71">
        <f>SUMIF($P:$P,$Q67,M:M)</f>
        <v>0</v>
      </c>
      <c r="N67" s="60"/>
      <c r="O67" s="71">
        <f>SUMIF($P:$P,$Q67,O:O)</f>
        <v>4.3729553605499998</v>
      </c>
      <c r="P67" s="53" t="s">
        <v>13</v>
      </c>
      <c r="Q67" s="53" t="s">
        <v>175</v>
      </c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ht="12.75" customHeight="1" thickBot="1"/>
    <row r="69" spans="1:28" ht="18.75" customHeight="1">
      <c r="A69" s="72" t="s">
        <v>13</v>
      </c>
      <c r="B69" s="73"/>
      <c r="C69" s="73"/>
      <c r="D69" s="73"/>
      <c r="E69" s="73"/>
      <c r="F69" s="73"/>
      <c r="G69" s="74">
        <f>SUMIF($P:$P,"S",G:G)</f>
        <v>0</v>
      </c>
      <c r="H69" s="73"/>
      <c r="I69" s="75">
        <f>SUMIF($P:$P,"S",I:I)</f>
        <v>157.55115034500002</v>
      </c>
      <c r="J69" s="73"/>
      <c r="K69" s="75">
        <f>SUMIF($P:$P,"S",K:K)</f>
        <v>0</v>
      </c>
      <c r="L69" s="73"/>
      <c r="M69" s="76">
        <f>SUMIF($P:$P,"S",M:M)</f>
        <v>115179.32448000001</v>
      </c>
      <c r="N69" s="73"/>
      <c r="O69" s="76">
        <f>SUMIF($P:$P,"S",O:O)</f>
        <v>382709.41431336058</v>
      </c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2" spans="1:28" ht="18.75" customHeight="1" thickBot="1">
      <c r="A72" s="77" t="s">
        <v>179</v>
      </c>
      <c r="B72" s="77"/>
      <c r="C72" s="77"/>
      <c r="D72" s="77"/>
      <c r="E72" s="77"/>
    </row>
    <row r="73" spans="1:28">
      <c r="B73" s="61" t="s">
        <v>180</v>
      </c>
      <c r="C73" s="78" t="s">
        <v>181</v>
      </c>
      <c r="D73" s="78"/>
      <c r="E73" s="64">
        <f>$G$17</f>
        <v>0</v>
      </c>
    </row>
    <row r="74" spans="1:28">
      <c r="B74" s="61" t="s">
        <v>182</v>
      </c>
      <c r="C74" s="79" t="s">
        <v>183</v>
      </c>
      <c r="D74" s="79"/>
      <c r="E74" s="64">
        <f>$G$23</f>
        <v>0</v>
      </c>
    </row>
    <row r="75" spans="1:28">
      <c r="B75" s="61" t="s">
        <v>184</v>
      </c>
      <c r="C75" s="79" t="s">
        <v>185</v>
      </c>
      <c r="D75" s="79"/>
      <c r="E75" s="64">
        <f>$G$27</f>
        <v>0</v>
      </c>
    </row>
    <row r="76" spans="1:28">
      <c r="B76" s="61" t="s">
        <v>186</v>
      </c>
      <c r="C76" s="79" t="s">
        <v>187</v>
      </c>
      <c r="D76" s="79"/>
      <c r="E76" s="64">
        <f>$G$37</f>
        <v>0</v>
      </c>
    </row>
    <row r="77" spans="1:28">
      <c r="B77" s="61" t="s">
        <v>188</v>
      </c>
      <c r="C77" s="79" t="s">
        <v>189</v>
      </c>
      <c r="D77" s="79"/>
      <c r="E77" s="64">
        <f>$G$44</f>
        <v>0</v>
      </c>
    </row>
    <row r="78" spans="1:28">
      <c r="B78" s="61" t="s">
        <v>190</v>
      </c>
      <c r="C78" s="79" t="s">
        <v>191</v>
      </c>
      <c r="D78" s="79"/>
      <c r="E78" s="64">
        <f>$G$51</f>
        <v>0</v>
      </c>
    </row>
    <row r="79" spans="1:28">
      <c r="B79" s="61" t="s">
        <v>192</v>
      </c>
      <c r="C79" s="79" t="s">
        <v>193</v>
      </c>
      <c r="D79" s="79"/>
      <c r="E79" s="64">
        <f>$G$58</f>
        <v>0</v>
      </c>
    </row>
    <row r="80" spans="1:28">
      <c r="B80" s="61" t="s">
        <v>194</v>
      </c>
      <c r="C80" s="79" t="s">
        <v>195</v>
      </c>
      <c r="D80" s="79"/>
      <c r="E80" s="64">
        <f>$G$63</f>
        <v>0</v>
      </c>
    </row>
    <row r="81" spans="1:5" ht="13.5" customHeight="1" thickBot="1">
      <c r="B81" s="61" t="s">
        <v>196</v>
      </c>
      <c r="C81" s="79" t="s">
        <v>197</v>
      </c>
      <c r="D81" s="79"/>
      <c r="E81" s="64">
        <f>$G$67</f>
        <v>0</v>
      </c>
    </row>
    <row r="82" spans="1:5" ht="18.75" customHeight="1">
      <c r="A82" s="72" t="s">
        <v>13</v>
      </c>
      <c r="B82" s="73"/>
      <c r="C82" s="73"/>
      <c r="D82" s="73"/>
      <c r="E82" s="74">
        <f>SUM($E$73:$E$81)</f>
        <v>0</v>
      </c>
    </row>
  </sheetData>
  <mergeCells count="27">
    <mergeCell ref="C79:D79"/>
    <mergeCell ref="C80:D80"/>
    <mergeCell ref="C81:D81"/>
    <mergeCell ref="C73:D73"/>
    <mergeCell ref="C74:D74"/>
    <mergeCell ref="C75:D75"/>
    <mergeCell ref="C76:D76"/>
    <mergeCell ref="C77:D77"/>
    <mergeCell ref="C78:D78"/>
    <mergeCell ref="H8:I8"/>
    <mergeCell ref="J8:K8"/>
    <mergeCell ref="L8:M8"/>
    <mergeCell ref="N8:O8"/>
    <mergeCell ref="P8:AB8"/>
    <mergeCell ref="A72:E72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4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17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198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199</v>
      </c>
      <c r="C12" s="62" t="s">
        <v>200</v>
      </c>
      <c r="D12" s="61" t="s">
        <v>86</v>
      </c>
      <c r="E12" s="63">
        <v>9.6</v>
      </c>
      <c r="F12" s="64"/>
      <c r="G12" s="64">
        <f>E12*F12</f>
        <v>0</v>
      </c>
      <c r="H12" s="65">
        <v>0</v>
      </c>
      <c r="I12" s="65">
        <f>E12*H12</f>
        <v>0</v>
      </c>
      <c r="J12" s="65">
        <v>0</v>
      </c>
      <c r="K12" s="65">
        <f>E12*J12</f>
        <v>0</v>
      </c>
      <c r="L12" s="66">
        <v>0</v>
      </c>
      <c r="M12" s="66">
        <f>E12*L12</f>
        <v>0</v>
      </c>
      <c r="N12" s="66">
        <f>48.79</f>
        <v>48.79</v>
      </c>
      <c r="O12" s="66">
        <f>E12*N12</f>
        <v>468.38399999999996</v>
      </c>
      <c r="P12" s="53" t="s">
        <v>98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201</v>
      </c>
      <c r="C13" s="62" t="s">
        <v>202</v>
      </c>
      <c r="D13" s="61" t="s">
        <v>86</v>
      </c>
      <c r="E13" s="63">
        <v>4.9000000000000004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0</v>
      </c>
      <c r="M13" s="66">
        <f>E13*L13</f>
        <v>0</v>
      </c>
      <c r="N13" s="66">
        <f>95.71</f>
        <v>95.71</v>
      </c>
      <c r="O13" s="66">
        <f>E13*N13</f>
        <v>468.97899999999998</v>
      </c>
      <c r="P13" s="53" t="s">
        <v>98</v>
      </c>
      <c r="Q13" s="53"/>
      <c r="R13" s="53" t="s">
        <v>80</v>
      </c>
      <c r="S13" s="53" t="s">
        <v>81</v>
      </c>
      <c r="T13" s="53" t="s">
        <v>82</v>
      </c>
      <c r="U13" s="53"/>
      <c r="V13" s="53"/>
      <c r="W13" s="53"/>
      <c r="X13" s="53"/>
      <c r="Y13" s="53"/>
      <c r="Z13" s="53"/>
      <c r="AA13" s="67">
        <v>19</v>
      </c>
      <c r="AB13" s="53" t="s">
        <v>83</v>
      </c>
    </row>
    <row r="14" spans="1:28">
      <c r="A14">
        <v>3</v>
      </c>
      <c r="B14" s="61" t="s">
        <v>203</v>
      </c>
      <c r="C14" s="62" t="s">
        <v>204</v>
      </c>
      <c r="D14" s="61" t="s">
        <v>86</v>
      </c>
      <c r="E14" s="63">
        <v>0.625</v>
      </c>
      <c r="F14" s="64"/>
      <c r="G14" s="64">
        <f>E14*F14</f>
        <v>0</v>
      </c>
      <c r="H14" s="65">
        <v>0</v>
      </c>
      <c r="I14" s="65">
        <f>E14*H14</f>
        <v>0</v>
      </c>
      <c r="J14" s="65">
        <v>0</v>
      </c>
      <c r="K14" s="65">
        <f>E14*J14</f>
        <v>0</v>
      </c>
      <c r="L14" s="66">
        <v>0</v>
      </c>
      <c r="M14" s="66">
        <f>E14*L14</f>
        <v>0</v>
      </c>
      <c r="N14" s="66">
        <f>254.92</f>
        <v>254.92</v>
      </c>
      <c r="O14" s="66">
        <f>E14*N14</f>
        <v>159.32499999999999</v>
      </c>
      <c r="P14" s="53" t="s">
        <v>98</v>
      </c>
      <c r="Q14" s="53"/>
      <c r="R14" s="53" t="s">
        <v>80</v>
      </c>
      <c r="S14" s="53" t="s">
        <v>81</v>
      </c>
      <c r="T14" s="53" t="s">
        <v>82</v>
      </c>
      <c r="U14" s="53"/>
      <c r="V14" s="53"/>
      <c r="W14" s="53"/>
      <c r="X14" s="53"/>
      <c r="Y14" s="53"/>
      <c r="Z14" s="53"/>
      <c r="AA14" s="67">
        <v>19</v>
      </c>
      <c r="AB14" s="53" t="s">
        <v>83</v>
      </c>
    </row>
    <row r="15" spans="1:28" ht="18.75" customHeight="1">
      <c r="A15" s="68" t="s">
        <v>13</v>
      </c>
      <c r="B15" s="60" t="s">
        <v>103</v>
      </c>
      <c r="C15" s="60"/>
      <c r="D15" s="60"/>
      <c r="E15" s="60"/>
      <c r="F15" s="60"/>
      <c r="G15" s="69">
        <f>SUMIF($P:$P,$Q15,G:G)</f>
        <v>0</v>
      </c>
      <c r="H15" s="60"/>
      <c r="I15" s="70">
        <f>SUMIF($P:$P,$Q15,I:I)</f>
        <v>0</v>
      </c>
      <c r="J15" s="60"/>
      <c r="K15" s="70">
        <f>SUMIF($P:$P,$Q15,K:K)</f>
        <v>0</v>
      </c>
      <c r="L15" s="60"/>
      <c r="M15" s="71">
        <f>SUMIF($P:$P,$Q15,M:M)</f>
        <v>0</v>
      </c>
      <c r="N15" s="60"/>
      <c r="O15" s="71">
        <f>SUMIF($P:$P,$Q15,O:O)</f>
        <v>1096.6879999999999</v>
      </c>
      <c r="P15" s="53" t="s">
        <v>13</v>
      </c>
      <c r="Q15" s="53" t="s">
        <v>98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/>
    <row r="17" spans="1:28" ht="18.75" customHeight="1">
      <c r="A17" s="60"/>
      <c r="B17" s="60" t="s">
        <v>104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>
      <c r="A18">
        <v>4</v>
      </c>
      <c r="B18" s="61" t="s">
        <v>205</v>
      </c>
      <c r="C18" s="62" t="s">
        <v>206</v>
      </c>
      <c r="D18" s="61" t="s">
        <v>86</v>
      </c>
      <c r="E18" s="63">
        <v>3.5796000000000001</v>
      </c>
      <c r="F18" s="64"/>
      <c r="G18" s="64">
        <f>E18*F18</f>
        <v>0</v>
      </c>
      <c r="H18" s="65">
        <v>0</v>
      </c>
      <c r="I18" s="65">
        <f>E18*H18</f>
        <v>0</v>
      </c>
      <c r="J18" s="65">
        <v>0</v>
      </c>
      <c r="K18" s="65">
        <f>E18*J18</f>
        <v>0</v>
      </c>
      <c r="L18" s="66">
        <v>0</v>
      </c>
      <c r="M18" s="66">
        <f>E18*L18</f>
        <v>0</v>
      </c>
      <c r="N18" s="66">
        <f>4817.64</f>
        <v>4817.6400000000003</v>
      </c>
      <c r="O18" s="66">
        <f>E18*N18</f>
        <v>17245.224144000003</v>
      </c>
      <c r="P18" s="53" t="s">
        <v>107</v>
      </c>
      <c r="Q18" s="53"/>
      <c r="R18" s="53" t="s">
        <v>80</v>
      </c>
      <c r="S18" s="53" t="s">
        <v>81</v>
      </c>
      <c r="T18" s="53" t="s">
        <v>82</v>
      </c>
      <c r="U18" s="53"/>
      <c r="V18" s="53"/>
      <c r="W18" s="53"/>
      <c r="X18" s="53"/>
      <c r="Y18" s="53"/>
      <c r="Z18" s="53"/>
      <c r="AA18" s="67">
        <v>19</v>
      </c>
      <c r="AB18" s="53" t="s">
        <v>83</v>
      </c>
    </row>
    <row r="19" spans="1:28">
      <c r="A19">
        <v>5</v>
      </c>
      <c r="B19" s="61" t="s">
        <v>207</v>
      </c>
      <c r="C19" s="62" t="s">
        <v>208</v>
      </c>
      <c r="D19" s="61" t="s">
        <v>86</v>
      </c>
      <c r="E19" s="63">
        <v>1.218</v>
      </c>
      <c r="F19" s="64"/>
      <c r="G19" s="64">
        <f>E19*F19</f>
        <v>0</v>
      </c>
      <c r="H19" s="65">
        <v>0</v>
      </c>
      <c r="I19" s="65">
        <f>E19*H19</f>
        <v>0</v>
      </c>
      <c r="J19" s="65">
        <v>0</v>
      </c>
      <c r="K19" s="65">
        <f>E19*J19</f>
        <v>0</v>
      </c>
      <c r="L19" s="66">
        <v>0</v>
      </c>
      <c r="M19" s="66">
        <f>E19*L19</f>
        <v>0</v>
      </c>
      <c r="N19" s="66">
        <f>593.76</f>
        <v>593.76</v>
      </c>
      <c r="O19" s="66">
        <f>E19*N19</f>
        <v>723.19967999999994</v>
      </c>
      <c r="P19" s="53" t="s">
        <v>107</v>
      </c>
      <c r="Q19" s="53"/>
      <c r="R19" s="53" t="s">
        <v>80</v>
      </c>
      <c r="S19" s="53" t="s">
        <v>81</v>
      </c>
      <c r="T19" s="53" t="s">
        <v>82</v>
      </c>
      <c r="U19" s="53"/>
      <c r="V19" s="53"/>
      <c r="W19" s="53"/>
      <c r="X19" s="53"/>
      <c r="Y19" s="53"/>
      <c r="Z19" s="53"/>
      <c r="AA19" s="67">
        <v>19</v>
      </c>
      <c r="AB19" s="53" t="s">
        <v>83</v>
      </c>
    </row>
    <row r="20" spans="1:28">
      <c r="A20">
        <v>6</v>
      </c>
      <c r="B20" s="61" t="s">
        <v>105</v>
      </c>
      <c r="C20" s="62" t="s">
        <v>106</v>
      </c>
      <c r="D20" s="61" t="s">
        <v>86</v>
      </c>
      <c r="E20" s="63">
        <v>95.174250000000001</v>
      </c>
      <c r="F20" s="64"/>
      <c r="G20" s="64">
        <f>E20*F20</f>
        <v>0</v>
      </c>
      <c r="H20" s="65">
        <v>0</v>
      </c>
      <c r="I20" s="65">
        <f>E20*H20</f>
        <v>0</v>
      </c>
      <c r="J20" s="65">
        <v>0</v>
      </c>
      <c r="K20" s="65">
        <f>E20*J20</f>
        <v>0</v>
      </c>
      <c r="L20" s="66">
        <v>0</v>
      </c>
      <c r="M20" s="66">
        <f>E20*L20</f>
        <v>0</v>
      </c>
      <c r="N20" s="66">
        <f>374.85</f>
        <v>374.85</v>
      </c>
      <c r="O20" s="66">
        <f>E20*N20</f>
        <v>35676.067612500003</v>
      </c>
      <c r="P20" s="53" t="s">
        <v>107</v>
      </c>
      <c r="Q20" s="53"/>
      <c r="R20" s="53" t="s">
        <v>80</v>
      </c>
      <c r="S20" s="53" t="s">
        <v>81</v>
      </c>
      <c r="T20" s="53" t="s">
        <v>82</v>
      </c>
      <c r="U20" s="53"/>
      <c r="V20" s="53"/>
      <c r="W20" s="53"/>
      <c r="X20" s="53"/>
      <c r="Y20" s="53"/>
      <c r="Z20" s="53"/>
      <c r="AA20" s="67">
        <v>19</v>
      </c>
      <c r="AB20" s="53" t="s">
        <v>83</v>
      </c>
    </row>
    <row r="21" spans="1:28" ht="18.75" customHeight="1">
      <c r="A21" s="68" t="s">
        <v>13</v>
      </c>
      <c r="B21" s="60" t="s">
        <v>108</v>
      </c>
      <c r="C21" s="60"/>
      <c r="D21" s="60"/>
      <c r="E21" s="60"/>
      <c r="F21" s="60"/>
      <c r="G21" s="69">
        <f>SUMIF($P:$P,$Q21,G:G)</f>
        <v>0</v>
      </c>
      <c r="H21" s="60"/>
      <c r="I21" s="70">
        <f>SUMIF($P:$P,$Q21,I:I)</f>
        <v>0</v>
      </c>
      <c r="J21" s="60"/>
      <c r="K21" s="70">
        <f>SUMIF($P:$P,$Q21,K:K)</f>
        <v>0</v>
      </c>
      <c r="L21" s="60"/>
      <c r="M21" s="71">
        <f>SUMIF($P:$P,$Q21,M:M)</f>
        <v>0</v>
      </c>
      <c r="N21" s="60"/>
      <c r="O21" s="71">
        <f>SUMIF($P:$P,$Q21,O:O)</f>
        <v>53644.491436500008</v>
      </c>
      <c r="P21" s="53" t="s">
        <v>13</v>
      </c>
      <c r="Q21" s="53" t="s">
        <v>107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12.75" customHeight="1"/>
    <row r="23" spans="1:28" ht="18.75" customHeight="1">
      <c r="A23" s="60"/>
      <c r="B23" s="60" t="s">
        <v>209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>
      <c r="A24">
        <v>7</v>
      </c>
      <c r="B24" s="61" t="s">
        <v>210</v>
      </c>
      <c r="C24" s="62" t="s">
        <v>211</v>
      </c>
      <c r="D24" s="61" t="s">
        <v>78</v>
      </c>
      <c r="E24" s="63">
        <v>122.93</v>
      </c>
      <c r="F24" s="64"/>
      <c r="G24" s="64">
        <f>E24*F24</f>
        <v>0</v>
      </c>
      <c r="H24" s="65">
        <v>8.5999999999999998E-4</v>
      </c>
      <c r="I24" s="65">
        <f>E24*H24</f>
        <v>0.1057198</v>
      </c>
      <c r="J24" s="65">
        <v>0</v>
      </c>
      <c r="K24" s="65">
        <f>E24*J24</f>
        <v>0</v>
      </c>
      <c r="L24" s="66">
        <v>12.75</v>
      </c>
      <c r="M24" s="66">
        <f>E24*L24</f>
        <v>1567.3575000000001</v>
      </c>
      <c r="N24" s="66">
        <f>139.78</f>
        <v>139.78</v>
      </c>
      <c r="O24" s="66">
        <f>E24*N24</f>
        <v>17183.1554</v>
      </c>
      <c r="P24" s="53" t="s">
        <v>212</v>
      </c>
      <c r="Q24" s="53"/>
      <c r="R24" s="53" t="s">
        <v>80</v>
      </c>
      <c r="S24" s="53" t="s">
        <v>81</v>
      </c>
      <c r="T24" s="53" t="s">
        <v>82</v>
      </c>
      <c r="U24" s="53"/>
      <c r="V24" s="53"/>
      <c r="W24" s="53"/>
      <c r="X24" s="53"/>
      <c r="Y24" s="53"/>
      <c r="Z24" s="53"/>
      <c r="AA24" s="67">
        <v>19</v>
      </c>
      <c r="AB24" s="53" t="s">
        <v>83</v>
      </c>
    </row>
    <row r="25" spans="1:28">
      <c r="A25">
        <v>8</v>
      </c>
      <c r="B25" s="61" t="s">
        <v>213</v>
      </c>
      <c r="C25" s="62" t="s">
        <v>214</v>
      </c>
      <c r="D25" s="61" t="s">
        <v>78</v>
      </c>
      <c r="E25" s="63">
        <v>122.93</v>
      </c>
      <c r="F25" s="64"/>
      <c r="G25" s="64">
        <f>E25*F25</f>
        <v>0</v>
      </c>
      <c r="H25" s="65">
        <v>0</v>
      </c>
      <c r="I25" s="65">
        <f>E25*H25</f>
        <v>0</v>
      </c>
      <c r="J25" s="65">
        <v>0</v>
      </c>
      <c r="K25" s="65">
        <f>E25*J25</f>
        <v>0</v>
      </c>
      <c r="L25" s="66">
        <v>0</v>
      </c>
      <c r="M25" s="66">
        <f>E25*L25</f>
        <v>0</v>
      </c>
      <c r="N25" s="66">
        <f>82.74</f>
        <v>82.74</v>
      </c>
      <c r="O25" s="66">
        <f>E25*N25</f>
        <v>10171.2282</v>
      </c>
      <c r="P25" s="53" t="s">
        <v>212</v>
      </c>
      <c r="Q25" s="53"/>
      <c r="R25" s="53" t="s">
        <v>80</v>
      </c>
      <c r="S25" s="53" t="s">
        <v>81</v>
      </c>
      <c r="T25" s="53" t="s">
        <v>82</v>
      </c>
      <c r="U25" s="53"/>
      <c r="V25" s="53"/>
      <c r="W25" s="53"/>
      <c r="X25" s="53"/>
      <c r="Y25" s="53"/>
      <c r="Z25" s="53"/>
      <c r="AA25" s="67">
        <v>19</v>
      </c>
      <c r="AB25" s="53" t="s">
        <v>83</v>
      </c>
    </row>
    <row r="26" spans="1:28" ht="18.75" customHeight="1">
      <c r="A26" s="68" t="s">
        <v>13</v>
      </c>
      <c r="B26" s="60" t="s">
        <v>215</v>
      </c>
      <c r="C26" s="60"/>
      <c r="D26" s="60"/>
      <c r="E26" s="60"/>
      <c r="F26" s="60"/>
      <c r="G26" s="69">
        <f>SUMIF($P:$P,$Q26,G:G)</f>
        <v>0</v>
      </c>
      <c r="H26" s="60"/>
      <c r="I26" s="70">
        <f>SUMIF($P:$P,$Q26,I:I)</f>
        <v>0.1057198</v>
      </c>
      <c r="J26" s="60"/>
      <c r="K26" s="70">
        <f>SUMIF($P:$P,$Q26,K:K)</f>
        <v>0</v>
      </c>
      <c r="L26" s="60"/>
      <c r="M26" s="71">
        <f>SUMIF($P:$P,$Q26,M:M)</f>
        <v>1567.3575000000001</v>
      </c>
      <c r="N26" s="60"/>
      <c r="O26" s="71">
        <f>SUMIF($P:$P,$Q26,O:O)</f>
        <v>27354.383600000001</v>
      </c>
      <c r="P26" s="53" t="s">
        <v>13</v>
      </c>
      <c r="Q26" s="53" t="s">
        <v>212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12.75" customHeight="1"/>
    <row r="28" spans="1:28" ht="18.75" customHeight="1">
      <c r="A28" s="60"/>
      <c r="B28" s="60" t="s">
        <v>109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>
      <c r="A29">
        <v>9</v>
      </c>
      <c r="B29" s="61" t="s">
        <v>216</v>
      </c>
      <c r="C29" s="62" t="s">
        <v>217</v>
      </c>
      <c r="D29" s="61" t="s">
        <v>86</v>
      </c>
      <c r="E29" s="63">
        <v>48.755437499999999</v>
      </c>
      <c r="F29" s="64"/>
      <c r="G29" s="64">
        <f>E29*F29</f>
        <v>0</v>
      </c>
      <c r="H29" s="65">
        <v>0</v>
      </c>
      <c r="I29" s="65">
        <f>E29*H29</f>
        <v>0</v>
      </c>
      <c r="J29" s="65">
        <v>0</v>
      </c>
      <c r="K29" s="65">
        <f>E29*J29</f>
        <v>0</v>
      </c>
      <c r="L29" s="66">
        <v>0</v>
      </c>
      <c r="M29" s="66">
        <f>E29*L29</f>
        <v>0</v>
      </c>
      <c r="N29" s="66">
        <f>71.38</f>
        <v>71.38</v>
      </c>
      <c r="O29" s="66">
        <f>E29*N29</f>
        <v>3480.1631287499999</v>
      </c>
      <c r="P29" s="53" t="s">
        <v>112</v>
      </c>
      <c r="Q29" s="53"/>
      <c r="R29" s="53" t="s">
        <v>80</v>
      </c>
      <c r="S29" s="53" t="s">
        <v>81</v>
      </c>
      <c r="T29" s="53" t="s">
        <v>82</v>
      </c>
      <c r="U29" s="53"/>
      <c r="V29" s="53"/>
      <c r="W29" s="53"/>
      <c r="X29" s="53"/>
      <c r="Y29" s="53"/>
      <c r="Z29" s="53"/>
      <c r="AA29" s="67">
        <v>19</v>
      </c>
      <c r="AB29" s="53" t="s">
        <v>83</v>
      </c>
    </row>
    <row r="30" spans="1:28">
      <c r="A30">
        <v>10</v>
      </c>
      <c r="B30" s="61" t="s">
        <v>218</v>
      </c>
      <c r="C30" s="62" t="s">
        <v>219</v>
      </c>
      <c r="D30" s="61" t="s">
        <v>86</v>
      </c>
      <c r="E30" s="63">
        <v>23.240200000000002</v>
      </c>
      <c r="F30" s="64"/>
      <c r="G30" s="64">
        <f>E30*F30</f>
        <v>0</v>
      </c>
      <c r="H30" s="65">
        <v>0</v>
      </c>
      <c r="I30" s="65">
        <f>E30*H30</f>
        <v>0</v>
      </c>
      <c r="J30" s="65">
        <v>0</v>
      </c>
      <c r="K30" s="65">
        <f>E30*J30</f>
        <v>0</v>
      </c>
      <c r="L30" s="66">
        <v>0</v>
      </c>
      <c r="M30" s="66">
        <f>E30*L30</f>
        <v>0</v>
      </c>
      <c r="N30" s="66">
        <f>142.21</f>
        <v>142.21</v>
      </c>
      <c r="O30" s="66">
        <f>E30*N30</f>
        <v>3304.9888420000002</v>
      </c>
      <c r="P30" s="53" t="s">
        <v>112</v>
      </c>
      <c r="Q30" s="53"/>
      <c r="R30" s="53" t="s">
        <v>80</v>
      </c>
      <c r="S30" s="53" t="s">
        <v>81</v>
      </c>
      <c r="T30" s="53" t="s">
        <v>82</v>
      </c>
      <c r="U30" s="53"/>
      <c r="V30" s="53"/>
      <c r="W30" s="53"/>
      <c r="X30" s="53"/>
      <c r="Y30" s="53"/>
      <c r="Z30" s="53"/>
      <c r="AA30" s="67">
        <v>19</v>
      </c>
      <c r="AB30" s="53" t="s">
        <v>83</v>
      </c>
    </row>
    <row r="31" spans="1:28">
      <c r="A31">
        <v>11</v>
      </c>
      <c r="B31" s="61" t="s">
        <v>123</v>
      </c>
      <c r="C31" s="62" t="s">
        <v>124</v>
      </c>
      <c r="D31" s="61" t="s">
        <v>86</v>
      </c>
      <c r="E31" s="63">
        <v>3.5796000000000001</v>
      </c>
      <c r="F31" s="64"/>
      <c r="G31" s="64">
        <f>E31*F31</f>
        <v>0</v>
      </c>
      <c r="H31" s="65">
        <v>0</v>
      </c>
      <c r="I31" s="65">
        <f>E31*H31</f>
        <v>0</v>
      </c>
      <c r="J31" s="65">
        <v>0</v>
      </c>
      <c r="K31" s="65">
        <f>E31*J31</f>
        <v>0</v>
      </c>
      <c r="L31" s="66">
        <v>0</v>
      </c>
      <c r="M31" s="66">
        <f>E31*L31</f>
        <v>0</v>
      </c>
      <c r="N31" s="66">
        <f>348.82</f>
        <v>348.82</v>
      </c>
      <c r="O31" s="66">
        <f>E31*N31</f>
        <v>1248.636072</v>
      </c>
      <c r="P31" s="53" t="s">
        <v>112</v>
      </c>
      <c r="Q31" s="53"/>
      <c r="R31" s="53" t="s">
        <v>80</v>
      </c>
      <c r="S31" s="53" t="s">
        <v>81</v>
      </c>
      <c r="T31" s="53" t="s">
        <v>82</v>
      </c>
      <c r="U31" s="53"/>
      <c r="V31" s="53"/>
      <c r="W31" s="53"/>
      <c r="X31" s="53"/>
      <c r="Y31" s="53"/>
      <c r="Z31" s="53"/>
      <c r="AA31" s="67">
        <v>19</v>
      </c>
      <c r="AB31" s="53" t="s">
        <v>83</v>
      </c>
    </row>
    <row r="32" spans="1:28">
      <c r="A32">
        <v>12</v>
      </c>
      <c r="B32" s="61" t="s">
        <v>220</v>
      </c>
      <c r="C32" s="62" t="s">
        <v>221</v>
      </c>
      <c r="D32" s="61" t="s">
        <v>86</v>
      </c>
      <c r="E32" s="63">
        <v>7.1592000000000002</v>
      </c>
      <c r="F32" s="64"/>
      <c r="G32" s="64">
        <f>E32*F32</f>
        <v>0</v>
      </c>
      <c r="H32" s="65">
        <v>0</v>
      </c>
      <c r="I32" s="65">
        <f>E32*H32</f>
        <v>0</v>
      </c>
      <c r="J32" s="65">
        <v>0</v>
      </c>
      <c r="K32" s="65">
        <f>E32*J32</f>
        <v>0</v>
      </c>
      <c r="L32" s="66">
        <v>0</v>
      </c>
      <c r="M32" s="66">
        <f>E32*L32</f>
        <v>0</v>
      </c>
      <c r="N32" s="66">
        <f>39.51</f>
        <v>39.51</v>
      </c>
      <c r="O32" s="66">
        <f>E32*N32</f>
        <v>282.85999199999998</v>
      </c>
      <c r="P32" s="53" t="s">
        <v>112</v>
      </c>
      <c r="Q32" s="53"/>
      <c r="R32" s="53" t="s">
        <v>80</v>
      </c>
      <c r="S32" s="53" t="s">
        <v>81</v>
      </c>
      <c r="T32" s="53" t="s">
        <v>82</v>
      </c>
      <c r="U32" s="53"/>
      <c r="V32" s="53"/>
      <c r="W32" s="53"/>
      <c r="X32" s="53"/>
      <c r="Y32" s="53"/>
      <c r="Z32" s="53"/>
      <c r="AA32" s="67">
        <v>19</v>
      </c>
      <c r="AB32" s="53" t="s">
        <v>83</v>
      </c>
    </row>
    <row r="33" spans="1:28" ht="18.75" customHeight="1">
      <c r="A33" s="68" t="s">
        <v>13</v>
      </c>
      <c r="B33" s="60" t="s">
        <v>125</v>
      </c>
      <c r="C33" s="60"/>
      <c r="D33" s="60"/>
      <c r="E33" s="60"/>
      <c r="F33" s="60"/>
      <c r="G33" s="69">
        <f>SUMIF($P:$P,$Q33,G:G)</f>
        <v>0</v>
      </c>
      <c r="H33" s="60"/>
      <c r="I33" s="70">
        <f>SUMIF($P:$P,$Q33,I:I)</f>
        <v>0</v>
      </c>
      <c r="J33" s="60"/>
      <c r="K33" s="70">
        <f>SUMIF($P:$P,$Q33,K:K)</f>
        <v>0</v>
      </c>
      <c r="L33" s="60"/>
      <c r="M33" s="71">
        <f>SUMIF($P:$P,$Q33,M:M)</f>
        <v>0</v>
      </c>
      <c r="N33" s="60"/>
      <c r="O33" s="71">
        <f>SUMIF($P:$P,$Q33,O:O)</f>
        <v>8316.6480347500001</v>
      </c>
      <c r="P33" s="53" t="s">
        <v>13</v>
      </c>
      <c r="Q33" s="53" t="s">
        <v>112</v>
      </c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ht="12.75" customHeight="1"/>
    <row r="35" spans="1:28" ht="18.75" customHeight="1">
      <c r="A35" s="60"/>
      <c r="B35" s="60" t="s">
        <v>126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>
      <c r="A36">
        <v>13</v>
      </c>
      <c r="B36" s="61" t="s">
        <v>222</v>
      </c>
      <c r="C36" s="62" t="s">
        <v>223</v>
      </c>
      <c r="D36" s="61" t="s">
        <v>86</v>
      </c>
      <c r="E36" s="63">
        <v>1.82</v>
      </c>
      <c r="F36" s="64"/>
      <c r="G36" s="64">
        <f>E36*F36</f>
        <v>0</v>
      </c>
      <c r="H36" s="65">
        <v>0</v>
      </c>
      <c r="I36" s="65">
        <f>E36*H36</f>
        <v>0</v>
      </c>
      <c r="J36" s="65">
        <v>0</v>
      </c>
      <c r="K36" s="65">
        <f>E36*J36</f>
        <v>0</v>
      </c>
      <c r="L36" s="66">
        <v>0</v>
      </c>
      <c r="M36" s="66">
        <f>E36*L36</f>
        <v>0</v>
      </c>
      <c r="N36" s="66">
        <f>23.12</f>
        <v>23.12</v>
      </c>
      <c r="O36" s="66">
        <f>E36*N36</f>
        <v>42.078400000000002</v>
      </c>
      <c r="P36" s="53" t="s">
        <v>129</v>
      </c>
      <c r="Q36" s="53"/>
      <c r="R36" s="53" t="s">
        <v>80</v>
      </c>
      <c r="S36" s="53" t="s">
        <v>81</v>
      </c>
      <c r="T36" s="53" t="s">
        <v>82</v>
      </c>
      <c r="U36" s="53"/>
      <c r="V36" s="53"/>
      <c r="W36" s="53"/>
      <c r="X36" s="53"/>
      <c r="Y36" s="53"/>
      <c r="Z36" s="53"/>
      <c r="AA36" s="67">
        <v>19</v>
      </c>
      <c r="AB36" s="53" t="s">
        <v>83</v>
      </c>
    </row>
    <row r="37" spans="1:28">
      <c r="A37">
        <v>14</v>
      </c>
      <c r="B37" s="61" t="s">
        <v>130</v>
      </c>
      <c r="C37" s="62" t="s">
        <v>131</v>
      </c>
      <c r="D37" s="61" t="s">
        <v>86</v>
      </c>
      <c r="E37" s="63">
        <v>26.819800000000001</v>
      </c>
      <c r="F37" s="64"/>
      <c r="G37" s="64">
        <f>E37*F37</f>
        <v>0</v>
      </c>
      <c r="H37" s="65">
        <v>0</v>
      </c>
      <c r="I37" s="65">
        <f>E37*H37</f>
        <v>0</v>
      </c>
      <c r="J37" s="65">
        <v>0</v>
      </c>
      <c r="K37" s="65">
        <f>E37*J37</f>
        <v>0</v>
      </c>
      <c r="L37" s="66">
        <v>0</v>
      </c>
      <c r="M37" s="66">
        <f>E37*L37</f>
        <v>0</v>
      </c>
      <c r="N37" s="66">
        <f>16.13</f>
        <v>16.13</v>
      </c>
      <c r="O37" s="66">
        <f>E37*N37</f>
        <v>432.60337399999997</v>
      </c>
      <c r="P37" s="53" t="s">
        <v>129</v>
      </c>
      <c r="Q37" s="53"/>
      <c r="R37" s="53" t="s">
        <v>80</v>
      </c>
      <c r="S37" s="53" t="s">
        <v>81</v>
      </c>
      <c r="T37" s="53" t="s">
        <v>82</v>
      </c>
      <c r="U37" s="53"/>
      <c r="V37" s="53"/>
      <c r="W37" s="53"/>
      <c r="X37" s="53"/>
      <c r="Y37" s="53"/>
      <c r="Z37" s="53"/>
      <c r="AA37" s="67">
        <v>19</v>
      </c>
      <c r="AB37" s="53" t="s">
        <v>83</v>
      </c>
    </row>
    <row r="38" spans="1:28">
      <c r="A38">
        <v>15</v>
      </c>
      <c r="B38" s="61" t="s">
        <v>224</v>
      </c>
      <c r="C38" s="62" t="s">
        <v>225</v>
      </c>
      <c r="D38" s="61" t="s">
        <v>86</v>
      </c>
      <c r="E38" s="63">
        <v>73.812049999999999</v>
      </c>
      <c r="F38" s="64"/>
      <c r="G38" s="64">
        <f>E38*F38</f>
        <v>0</v>
      </c>
      <c r="H38" s="65">
        <v>0</v>
      </c>
      <c r="I38" s="65">
        <f>E38*H38</f>
        <v>0</v>
      </c>
      <c r="J38" s="65">
        <v>0</v>
      </c>
      <c r="K38" s="65">
        <f>E38*J38</f>
        <v>0</v>
      </c>
      <c r="L38" s="66">
        <v>0</v>
      </c>
      <c r="M38" s="66">
        <f>E38*L38</f>
        <v>0</v>
      </c>
      <c r="N38" s="66">
        <f>67.74</f>
        <v>67.739999999999995</v>
      </c>
      <c r="O38" s="66">
        <f>E38*N38</f>
        <v>5000.0282669999997</v>
      </c>
      <c r="P38" s="53" t="s">
        <v>129</v>
      </c>
      <c r="Q38" s="53"/>
      <c r="R38" s="53" t="s">
        <v>80</v>
      </c>
      <c r="S38" s="53" t="s">
        <v>81</v>
      </c>
      <c r="T38" s="53" t="s">
        <v>82</v>
      </c>
      <c r="U38" s="53"/>
      <c r="V38" s="53"/>
      <c r="W38" s="53"/>
      <c r="X38" s="53"/>
      <c r="Y38" s="53"/>
      <c r="Z38" s="53"/>
      <c r="AA38" s="67">
        <v>19</v>
      </c>
      <c r="AB38" s="53" t="s">
        <v>83</v>
      </c>
    </row>
    <row r="39" spans="1:28">
      <c r="A39">
        <v>16</v>
      </c>
      <c r="B39" s="61" t="s">
        <v>226</v>
      </c>
      <c r="C39" s="62" t="s">
        <v>227</v>
      </c>
      <c r="D39" s="61" t="s">
        <v>86</v>
      </c>
      <c r="E39" s="63">
        <v>25.460840000000001</v>
      </c>
      <c r="F39" s="64"/>
      <c r="G39" s="64">
        <f>E39*F39</f>
        <v>0</v>
      </c>
      <c r="H39" s="65">
        <v>0</v>
      </c>
      <c r="I39" s="65">
        <f>E39*H39</f>
        <v>0</v>
      </c>
      <c r="J39" s="65">
        <v>0</v>
      </c>
      <c r="K39" s="65">
        <f>E39*J39</f>
        <v>0</v>
      </c>
      <c r="L39" s="66">
        <v>0</v>
      </c>
      <c r="M39" s="66">
        <f>E39*L39</f>
        <v>0</v>
      </c>
      <c r="N39" s="66">
        <f>328.34</f>
        <v>328.34</v>
      </c>
      <c r="O39" s="66">
        <f>E39*N39</f>
        <v>8359.8122055999993</v>
      </c>
      <c r="P39" s="53" t="s">
        <v>129</v>
      </c>
      <c r="Q39" s="53"/>
      <c r="R39" s="53" t="s">
        <v>80</v>
      </c>
      <c r="S39" s="53" t="s">
        <v>81</v>
      </c>
      <c r="T39" s="53" t="s">
        <v>82</v>
      </c>
      <c r="U39" s="53"/>
      <c r="V39" s="53"/>
      <c r="W39" s="53"/>
      <c r="X39" s="53"/>
      <c r="Y39" s="53"/>
      <c r="Z39" s="53"/>
      <c r="AA39" s="67">
        <v>19</v>
      </c>
      <c r="AB39" s="53" t="s">
        <v>83</v>
      </c>
    </row>
    <row r="40" spans="1:28">
      <c r="A40">
        <v>17</v>
      </c>
      <c r="B40" s="61" t="s">
        <v>228</v>
      </c>
      <c r="C40" s="62" t="s">
        <v>229</v>
      </c>
      <c r="D40" s="61" t="s">
        <v>86</v>
      </c>
      <c r="E40" s="63">
        <v>15.984</v>
      </c>
      <c r="F40" s="64"/>
      <c r="G40" s="64">
        <f>E40*F40</f>
        <v>0</v>
      </c>
      <c r="H40" s="65">
        <v>0</v>
      </c>
      <c r="I40" s="65">
        <f>E40*H40</f>
        <v>0</v>
      </c>
      <c r="J40" s="65">
        <v>0</v>
      </c>
      <c r="K40" s="65">
        <f>E40*J40</f>
        <v>0</v>
      </c>
      <c r="L40" s="66">
        <v>0</v>
      </c>
      <c r="M40" s="66">
        <f>E40*L40</f>
        <v>0</v>
      </c>
      <c r="N40" s="66">
        <f>522.79</f>
        <v>522.79</v>
      </c>
      <c r="O40" s="66">
        <f>E40*N40</f>
        <v>8356.2753599999996</v>
      </c>
      <c r="P40" s="53" t="s">
        <v>129</v>
      </c>
      <c r="Q40" s="53"/>
      <c r="R40" s="53" t="s">
        <v>80</v>
      </c>
      <c r="S40" s="53" t="s">
        <v>81</v>
      </c>
      <c r="T40" s="53" t="s">
        <v>82</v>
      </c>
      <c r="U40" s="53"/>
      <c r="V40" s="53"/>
      <c r="W40" s="53"/>
      <c r="X40" s="53"/>
      <c r="Y40" s="53"/>
      <c r="Z40" s="53"/>
      <c r="AA40" s="67">
        <v>19</v>
      </c>
      <c r="AB40" s="53" t="s">
        <v>83</v>
      </c>
    </row>
    <row r="41" spans="1:28" ht="18.75" customHeight="1">
      <c r="A41" s="68" t="s">
        <v>13</v>
      </c>
      <c r="B41" s="60" t="s">
        <v>138</v>
      </c>
      <c r="C41" s="60"/>
      <c r="D41" s="60"/>
      <c r="E41" s="60"/>
      <c r="F41" s="60"/>
      <c r="G41" s="69">
        <f>SUMIF($P:$P,$Q41,G:G)</f>
        <v>0</v>
      </c>
      <c r="H41" s="60"/>
      <c r="I41" s="70">
        <f>SUMIF($P:$P,$Q41,I:I)</f>
        <v>0</v>
      </c>
      <c r="J41" s="60"/>
      <c r="K41" s="70">
        <f>SUMIF($P:$P,$Q41,K:K)</f>
        <v>0</v>
      </c>
      <c r="L41" s="60"/>
      <c r="M41" s="71">
        <f>SUMIF($P:$P,$Q41,M:M)</f>
        <v>0</v>
      </c>
      <c r="N41" s="60"/>
      <c r="O41" s="71">
        <f>SUMIF($P:$P,$Q41,O:O)</f>
        <v>22190.797606599997</v>
      </c>
      <c r="P41" s="53" t="s">
        <v>13</v>
      </c>
      <c r="Q41" s="53" t="s">
        <v>129</v>
      </c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 ht="12.75" customHeight="1"/>
    <row r="43" spans="1:28" ht="18.75" customHeight="1">
      <c r="A43" s="60"/>
      <c r="B43" s="60" t="s">
        <v>139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>
      <c r="A44">
        <v>18</v>
      </c>
      <c r="B44" s="61" t="s">
        <v>140</v>
      </c>
      <c r="C44" s="62" t="s">
        <v>141</v>
      </c>
      <c r="D44" s="61" t="s">
        <v>78</v>
      </c>
      <c r="E44" s="63">
        <v>32</v>
      </c>
      <c r="F44" s="64"/>
      <c r="G44" s="64">
        <f>E44*F44</f>
        <v>0</v>
      </c>
      <c r="H44" s="65">
        <v>0</v>
      </c>
      <c r="I44" s="65">
        <f>E44*H44</f>
        <v>0</v>
      </c>
      <c r="J44" s="65">
        <v>0</v>
      </c>
      <c r="K44" s="65">
        <f>E44*J44</f>
        <v>0</v>
      </c>
      <c r="L44" s="66">
        <v>0.49</v>
      </c>
      <c r="M44" s="66">
        <f>E44*L44</f>
        <v>15.68</v>
      </c>
      <c r="N44" s="66">
        <f>14.62</f>
        <v>14.62</v>
      </c>
      <c r="O44" s="66">
        <f>E44*N44</f>
        <v>467.84</v>
      </c>
      <c r="P44" s="53" t="s">
        <v>142</v>
      </c>
      <c r="Q44" s="53"/>
      <c r="R44" s="53" t="s">
        <v>80</v>
      </c>
      <c r="S44" s="53" t="s">
        <v>81</v>
      </c>
      <c r="T44" s="53" t="s">
        <v>82</v>
      </c>
      <c r="U44" s="53"/>
      <c r="V44" s="53"/>
      <c r="W44" s="53"/>
      <c r="X44" s="53"/>
      <c r="Y44" s="53"/>
      <c r="Z44" s="53"/>
      <c r="AA44" s="67">
        <v>19</v>
      </c>
      <c r="AB44" s="53" t="s">
        <v>83</v>
      </c>
    </row>
    <row r="45" spans="1:28">
      <c r="A45">
        <v>19</v>
      </c>
      <c r="B45" s="61" t="s">
        <v>143</v>
      </c>
      <c r="C45" s="62" t="s">
        <v>144</v>
      </c>
      <c r="D45" s="61" t="s">
        <v>78</v>
      </c>
      <c r="E45" s="63">
        <v>17.2</v>
      </c>
      <c r="F45" s="64"/>
      <c r="G45" s="64">
        <f>E45*F45</f>
        <v>0</v>
      </c>
      <c r="H45" s="65">
        <v>0</v>
      </c>
      <c r="I45" s="65">
        <f>E45*H45</f>
        <v>0</v>
      </c>
      <c r="J45" s="65">
        <v>0</v>
      </c>
      <c r="K45" s="65">
        <f>E45*J45</f>
        <v>0</v>
      </c>
      <c r="L45" s="66">
        <v>0</v>
      </c>
      <c r="M45" s="66">
        <f>E45*L45</f>
        <v>0</v>
      </c>
      <c r="N45" s="66">
        <f>41.82</f>
        <v>41.82</v>
      </c>
      <c r="O45" s="66">
        <f>E45*N45</f>
        <v>719.30399999999997</v>
      </c>
      <c r="P45" s="53" t="s">
        <v>142</v>
      </c>
      <c r="Q45" s="53"/>
      <c r="R45" s="53" t="s">
        <v>80</v>
      </c>
      <c r="S45" s="53" t="s">
        <v>81</v>
      </c>
      <c r="T45" s="53" t="s">
        <v>82</v>
      </c>
      <c r="U45" s="53"/>
      <c r="V45" s="53"/>
      <c r="W45" s="53"/>
      <c r="X45" s="53"/>
      <c r="Y45" s="53"/>
      <c r="Z45" s="53"/>
      <c r="AA45" s="67">
        <v>19</v>
      </c>
      <c r="AB45" s="53" t="s">
        <v>83</v>
      </c>
    </row>
    <row r="46" spans="1:28">
      <c r="A46">
        <v>20</v>
      </c>
      <c r="B46" s="61" t="s">
        <v>145</v>
      </c>
      <c r="C46" s="62" t="s">
        <v>146</v>
      </c>
      <c r="D46" s="61" t="s">
        <v>78</v>
      </c>
      <c r="E46" s="63">
        <v>32</v>
      </c>
      <c r="F46" s="64"/>
      <c r="G46" s="64">
        <f>E46*F46</f>
        <v>0</v>
      </c>
      <c r="H46" s="65">
        <v>0</v>
      </c>
      <c r="I46" s="65">
        <f>E46*H46</f>
        <v>0</v>
      </c>
      <c r="J46" s="65">
        <v>0</v>
      </c>
      <c r="K46" s="65">
        <f>E46*J46</f>
        <v>0</v>
      </c>
      <c r="L46" s="66">
        <v>0</v>
      </c>
      <c r="M46" s="66">
        <f>E46*L46</f>
        <v>0</v>
      </c>
      <c r="N46" s="66">
        <f>39.31</f>
        <v>39.31</v>
      </c>
      <c r="O46" s="66">
        <f>E46*N46</f>
        <v>1257.92</v>
      </c>
      <c r="P46" s="53" t="s">
        <v>142</v>
      </c>
      <c r="Q46" s="53"/>
      <c r="R46" s="53" t="s">
        <v>80</v>
      </c>
      <c r="S46" s="53" t="s">
        <v>81</v>
      </c>
      <c r="T46" s="53" t="s">
        <v>82</v>
      </c>
      <c r="U46" s="53"/>
      <c r="V46" s="53"/>
      <c r="W46" s="53"/>
      <c r="X46" s="53"/>
      <c r="Y46" s="53"/>
      <c r="Z46" s="53"/>
      <c r="AA46" s="67">
        <v>19</v>
      </c>
      <c r="AB46" s="53" t="s">
        <v>83</v>
      </c>
    </row>
    <row r="47" spans="1:28">
      <c r="A47">
        <v>21</v>
      </c>
      <c r="B47" s="61" t="s">
        <v>147</v>
      </c>
      <c r="C47" s="62" t="s">
        <v>148</v>
      </c>
      <c r="D47" s="61" t="s">
        <v>149</v>
      </c>
      <c r="E47" s="63">
        <v>1.008</v>
      </c>
      <c r="F47" s="64"/>
      <c r="G47" s="64">
        <f>E47*F47</f>
        <v>0</v>
      </c>
      <c r="H47" s="65">
        <v>1E-3</v>
      </c>
      <c r="I47" s="65">
        <f>E47*H47</f>
        <v>1.008E-3</v>
      </c>
      <c r="J47" s="65">
        <v>0</v>
      </c>
      <c r="K47" s="65">
        <f>E47*J47</f>
        <v>0</v>
      </c>
      <c r="L47" s="66">
        <v>250</v>
      </c>
      <c r="M47" s="66">
        <f>E47*L47</f>
        <v>252</v>
      </c>
      <c r="N47" s="66">
        <f>0</f>
        <v>0</v>
      </c>
      <c r="O47" s="66">
        <f>E47*N47</f>
        <v>0</v>
      </c>
      <c r="P47" s="53" t="s">
        <v>142</v>
      </c>
      <c r="Q47" s="53"/>
      <c r="R47" s="53" t="s">
        <v>80</v>
      </c>
      <c r="S47" s="53" t="s">
        <v>150</v>
      </c>
      <c r="T47" s="53" t="s">
        <v>151</v>
      </c>
      <c r="U47" s="53"/>
      <c r="V47" s="53"/>
      <c r="W47" s="53"/>
      <c r="X47" s="53"/>
      <c r="Y47" s="53"/>
      <c r="Z47" s="53"/>
      <c r="AA47" s="67">
        <v>19</v>
      </c>
      <c r="AB47" s="53" t="s">
        <v>152</v>
      </c>
    </row>
    <row r="48" spans="1:28" ht="18.75" customHeight="1">
      <c r="A48" s="68" t="s">
        <v>13</v>
      </c>
      <c r="B48" s="60" t="s">
        <v>153</v>
      </c>
      <c r="C48" s="60"/>
      <c r="D48" s="60"/>
      <c r="E48" s="60"/>
      <c r="F48" s="60"/>
      <c r="G48" s="69">
        <f>SUMIF($P:$P,$Q48,G:G)</f>
        <v>0</v>
      </c>
      <c r="H48" s="60"/>
      <c r="I48" s="70">
        <f>SUMIF($P:$P,$Q48,I:I)</f>
        <v>1.008E-3</v>
      </c>
      <c r="J48" s="60"/>
      <c r="K48" s="70">
        <f>SUMIF($P:$P,$Q48,K:K)</f>
        <v>0</v>
      </c>
      <c r="L48" s="60"/>
      <c r="M48" s="71">
        <f>SUMIF($P:$P,$Q48,M:M)</f>
        <v>267.68</v>
      </c>
      <c r="N48" s="60"/>
      <c r="O48" s="71">
        <f>SUMIF($P:$P,$Q48,O:O)</f>
        <v>2445.0640000000003</v>
      </c>
      <c r="P48" s="53" t="s">
        <v>13</v>
      </c>
      <c r="Q48" s="53" t="s">
        <v>142</v>
      </c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 ht="12.75" customHeight="1"/>
    <row r="50" spans="1:28" ht="18.75" customHeight="1">
      <c r="A50" s="60"/>
      <c r="B50" s="60" t="s">
        <v>154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>
      <c r="A51">
        <v>22</v>
      </c>
      <c r="B51" s="61" t="s">
        <v>155</v>
      </c>
      <c r="C51" s="62" t="s">
        <v>156</v>
      </c>
      <c r="D51" s="61" t="s">
        <v>78</v>
      </c>
      <c r="E51" s="63">
        <v>9.6</v>
      </c>
      <c r="F51" s="64"/>
      <c r="G51" s="64">
        <f t="shared" ref="G51:G57" si="0">E51*F51</f>
        <v>0</v>
      </c>
      <c r="H51" s="65">
        <v>0.24299999999999999</v>
      </c>
      <c r="I51" s="65">
        <f t="shared" ref="I51:I57" si="1">E51*H51</f>
        <v>2.3327999999999998</v>
      </c>
      <c r="J51" s="65">
        <v>0</v>
      </c>
      <c r="K51" s="65">
        <f t="shared" ref="K51:K57" si="2">E51*J51</f>
        <v>0</v>
      </c>
      <c r="L51" s="66">
        <v>282.91000000000003</v>
      </c>
      <c r="M51" s="66">
        <f t="shared" ref="M51:M57" si="3">E51*L51</f>
        <v>2715.9360000000001</v>
      </c>
      <c r="N51" s="66">
        <f>55.63</f>
        <v>55.63</v>
      </c>
      <c r="O51" s="66">
        <f t="shared" ref="O51:O57" si="4">E51*N51</f>
        <v>534.048</v>
      </c>
      <c r="P51" s="53" t="s">
        <v>157</v>
      </c>
      <c r="Q51" s="53"/>
      <c r="R51" s="53" t="s">
        <v>80</v>
      </c>
      <c r="S51" s="53" t="s">
        <v>81</v>
      </c>
      <c r="T51" s="53" t="s">
        <v>82</v>
      </c>
      <c r="U51" s="53"/>
      <c r="V51" s="53"/>
      <c r="W51" s="53"/>
      <c r="X51" s="53"/>
      <c r="Y51" s="53"/>
      <c r="Z51" s="53"/>
      <c r="AA51" s="67">
        <v>19</v>
      </c>
      <c r="AB51" s="53" t="s">
        <v>83</v>
      </c>
    </row>
    <row r="52" spans="1:28">
      <c r="A52">
        <v>23</v>
      </c>
      <c r="B52" s="61" t="s">
        <v>230</v>
      </c>
      <c r="C52" s="62" t="s">
        <v>231</v>
      </c>
      <c r="D52" s="61" t="s">
        <v>89</v>
      </c>
      <c r="E52" s="63">
        <v>16</v>
      </c>
      <c r="F52" s="64"/>
      <c r="G52" s="64">
        <f t="shared" si="0"/>
        <v>0</v>
      </c>
      <c r="H52" s="65">
        <v>2E-3</v>
      </c>
      <c r="I52" s="65">
        <f t="shared" si="1"/>
        <v>3.2000000000000001E-2</v>
      </c>
      <c r="J52" s="65">
        <v>0</v>
      </c>
      <c r="K52" s="65">
        <f t="shared" si="2"/>
        <v>0</v>
      </c>
      <c r="L52" s="66">
        <v>16.739999999999998</v>
      </c>
      <c r="M52" s="66">
        <f t="shared" si="3"/>
        <v>267.83999999999997</v>
      </c>
      <c r="N52" s="66">
        <f>18.43</f>
        <v>18.43</v>
      </c>
      <c r="O52" s="66">
        <f t="shared" si="4"/>
        <v>294.88</v>
      </c>
      <c r="P52" s="53" t="s">
        <v>157</v>
      </c>
      <c r="Q52" s="53"/>
      <c r="R52" s="53" t="s">
        <v>80</v>
      </c>
      <c r="S52" s="53" t="s">
        <v>81</v>
      </c>
      <c r="T52" s="53" t="s">
        <v>82</v>
      </c>
      <c r="U52" s="53"/>
      <c r="V52" s="53"/>
      <c r="W52" s="53"/>
      <c r="X52" s="53"/>
      <c r="Y52" s="53"/>
      <c r="Z52" s="53"/>
      <c r="AA52" s="67">
        <v>19</v>
      </c>
      <c r="AB52" s="53" t="s">
        <v>83</v>
      </c>
    </row>
    <row r="53" spans="1:28">
      <c r="A53">
        <v>24</v>
      </c>
      <c r="B53" s="61" t="s">
        <v>232</v>
      </c>
      <c r="C53" s="62" t="s">
        <v>233</v>
      </c>
      <c r="D53" s="61" t="s">
        <v>86</v>
      </c>
      <c r="E53" s="63">
        <v>0.36099999999999999</v>
      </c>
      <c r="F53" s="64"/>
      <c r="G53" s="64">
        <f t="shared" si="0"/>
        <v>0</v>
      </c>
      <c r="H53" s="65">
        <v>2.355</v>
      </c>
      <c r="I53" s="65">
        <f t="shared" si="1"/>
        <v>0.85015499999999999</v>
      </c>
      <c r="J53" s="65">
        <v>0</v>
      </c>
      <c r="K53" s="65">
        <f t="shared" si="2"/>
        <v>0</v>
      </c>
      <c r="L53" s="66">
        <v>2381</v>
      </c>
      <c r="M53" s="66">
        <f t="shared" si="3"/>
        <v>859.54099999999994</v>
      </c>
      <c r="N53" s="66">
        <f>384.09</f>
        <v>384.09</v>
      </c>
      <c r="O53" s="66">
        <f t="shared" si="4"/>
        <v>138.65648999999999</v>
      </c>
      <c r="P53" s="53" t="s">
        <v>157</v>
      </c>
      <c r="Q53" s="53"/>
      <c r="R53" s="53" t="s">
        <v>80</v>
      </c>
      <c r="S53" s="53" t="s">
        <v>81</v>
      </c>
      <c r="T53" s="53" t="s">
        <v>82</v>
      </c>
      <c r="U53" s="53"/>
      <c r="V53" s="53"/>
      <c r="W53" s="53"/>
      <c r="X53" s="53"/>
      <c r="Y53" s="53"/>
      <c r="Z53" s="53"/>
      <c r="AA53" s="67">
        <v>19</v>
      </c>
      <c r="AB53" s="53" t="s">
        <v>83</v>
      </c>
    </row>
    <row r="54" spans="1:28">
      <c r="A54">
        <v>25</v>
      </c>
      <c r="B54" s="61" t="s">
        <v>234</v>
      </c>
      <c r="C54" s="62" t="s">
        <v>235</v>
      </c>
      <c r="D54" s="61" t="s">
        <v>86</v>
      </c>
      <c r="E54" s="63">
        <v>6.298</v>
      </c>
      <c r="F54" s="64"/>
      <c r="G54" s="64">
        <f t="shared" si="0"/>
        <v>0</v>
      </c>
      <c r="H54" s="65">
        <v>2.355</v>
      </c>
      <c r="I54" s="65">
        <f t="shared" si="1"/>
        <v>14.83179</v>
      </c>
      <c r="J54" s="65">
        <v>0</v>
      </c>
      <c r="K54" s="65">
        <f t="shared" si="2"/>
        <v>0</v>
      </c>
      <c r="L54" s="66">
        <v>2381</v>
      </c>
      <c r="M54" s="66">
        <f t="shared" si="3"/>
        <v>14995.538</v>
      </c>
      <c r="N54" s="66">
        <f>361.85</f>
        <v>361.85</v>
      </c>
      <c r="O54" s="66">
        <f t="shared" si="4"/>
        <v>2278.9313000000002</v>
      </c>
      <c r="P54" s="53" t="s">
        <v>157</v>
      </c>
      <c r="Q54" s="53"/>
      <c r="R54" s="53" t="s">
        <v>80</v>
      </c>
      <c r="S54" s="53" t="s">
        <v>81</v>
      </c>
      <c r="T54" s="53" t="s">
        <v>82</v>
      </c>
      <c r="U54" s="53"/>
      <c r="V54" s="53"/>
      <c r="W54" s="53"/>
      <c r="X54" s="53"/>
      <c r="Y54" s="53"/>
      <c r="Z54" s="53"/>
      <c r="AA54" s="67">
        <v>19</v>
      </c>
      <c r="AB54" s="53" t="s">
        <v>83</v>
      </c>
    </row>
    <row r="55" spans="1:28">
      <c r="A55">
        <v>26</v>
      </c>
      <c r="B55" s="61" t="s">
        <v>162</v>
      </c>
      <c r="C55" s="62" t="s">
        <v>163</v>
      </c>
      <c r="D55" s="61" t="s">
        <v>86</v>
      </c>
      <c r="E55" s="63">
        <v>0.60899999999999999</v>
      </c>
      <c r="F55" s="64"/>
      <c r="G55" s="64">
        <f t="shared" si="0"/>
        <v>0</v>
      </c>
      <c r="H55" s="65">
        <v>2.4870000000000001</v>
      </c>
      <c r="I55" s="65">
        <f t="shared" si="1"/>
        <v>1.514583</v>
      </c>
      <c r="J55" s="65">
        <v>0</v>
      </c>
      <c r="K55" s="65">
        <f t="shared" si="2"/>
        <v>0</v>
      </c>
      <c r="L55" s="66">
        <v>2981.03</v>
      </c>
      <c r="M55" s="66">
        <f t="shared" si="3"/>
        <v>1815.4472700000001</v>
      </c>
      <c r="N55" s="66">
        <f>562.32</f>
        <v>562.32000000000005</v>
      </c>
      <c r="O55" s="66">
        <f t="shared" si="4"/>
        <v>342.45288000000005</v>
      </c>
      <c r="P55" s="53" t="s">
        <v>157</v>
      </c>
      <c r="Q55" s="53"/>
      <c r="R55" s="53" t="s">
        <v>80</v>
      </c>
      <c r="S55" s="53" t="s">
        <v>81</v>
      </c>
      <c r="T55" s="53" t="s">
        <v>82</v>
      </c>
      <c r="U55" s="53"/>
      <c r="V55" s="53"/>
      <c r="W55" s="53"/>
      <c r="X55" s="53"/>
      <c r="Y55" s="53"/>
      <c r="Z55" s="53"/>
      <c r="AA55" s="67">
        <v>19</v>
      </c>
      <c r="AB55" s="53" t="s">
        <v>83</v>
      </c>
    </row>
    <row r="56" spans="1:28">
      <c r="A56">
        <v>27</v>
      </c>
      <c r="B56" s="61" t="s">
        <v>236</v>
      </c>
      <c r="C56" s="62" t="s">
        <v>237</v>
      </c>
      <c r="D56" s="61" t="s">
        <v>78</v>
      </c>
      <c r="E56" s="63">
        <v>11.28</v>
      </c>
      <c r="F56" s="64"/>
      <c r="G56" s="64">
        <f t="shared" si="0"/>
        <v>0</v>
      </c>
      <c r="H56" s="65">
        <v>4.0000000000000001E-3</v>
      </c>
      <c r="I56" s="65">
        <f t="shared" si="1"/>
        <v>4.512E-2</v>
      </c>
      <c r="J56" s="65">
        <v>0</v>
      </c>
      <c r="K56" s="65">
        <f t="shared" si="2"/>
        <v>0</v>
      </c>
      <c r="L56" s="66">
        <v>63.73</v>
      </c>
      <c r="M56" s="66">
        <f t="shared" si="3"/>
        <v>718.87439999999992</v>
      </c>
      <c r="N56" s="66">
        <f>214.94</f>
        <v>214.94</v>
      </c>
      <c r="O56" s="66">
        <f t="shared" si="4"/>
        <v>2424.5231999999996</v>
      </c>
      <c r="P56" s="53" t="s">
        <v>157</v>
      </c>
      <c r="Q56" s="53"/>
      <c r="R56" s="53" t="s">
        <v>80</v>
      </c>
      <c r="S56" s="53" t="s">
        <v>81</v>
      </c>
      <c r="T56" s="53" t="s">
        <v>82</v>
      </c>
      <c r="U56" s="53"/>
      <c r="V56" s="53"/>
      <c r="W56" s="53"/>
      <c r="X56" s="53"/>
      <c r="Y56" s="53"/>
      <c r="Z56" s="53"/>
      <c r="AA56" s="67">
        <v>19</v>
      </c>
      <c r="AB56" s="53" t="s">
        <v>83</v>
      </c>
    </row>
    <row r="57" spans="1:28">
      <c r="A57">
        <v>28</v>
      </c>
      <c r="B57" s="61" t="s">
        <v>238</v>
      </c>
      <c r="C57" s="62" t="s">
        <v>239</v>
      </c>
      <c r="D57" s="61" t="s">
        <v>240</v>
      </c>
      <c r="E57" s="63">
        <v>8</v>
      </c>
      <c r="F57" s="64"/>
      <c r="G57" s="64">
        <f t="shared" si="0"/>
        <v>0</v>
      </c>
      <c r="H57" s="65">
        <v>8.1000000000000003E-2</v>
      </c>
      <c r="I57" s="65">
        <f t="shared" si="1"/>
        <v>0.64800000000000002</v>
      </c>
      <c r="J57" s="65">
        <v>0</v>
      </c>
      <c r="K57" s="65">
        <f t="shared" si="2"/>
        <v>0</v>
      </c>
      <c r="L57" s="66">
        <v>148.12</v>
      </c>
      <c r="M57" s="66">
        <f t="shared" si="3"/>
        <v>1184.96</v>
      </c>
      <c r="N57" s="66">
        <f>0</f>
        <v>0</v>
      </c>
      <c r="O57" s="66">
        <f t="shared" si="4"/>
        <v>0</v>
      </c>
      <c r="P57" s="53" t="s">
        <v>157</v>
      </c>
      <c r="Q57" s="53"/>
      <c r="R57" s="53" t="s">
        <v>80</v>
      </c>
      <c r="S57" s="53" t="s">
        <v>241</v>
      </c>
      <c r="T57" s="53" t="s">
        <v>242</v>
      </c>
      <c r="U57" s="53"/>
      <c r="V57" s="53"/>
      <c r="W57" s="53"/>
      <c r="X57" s="53"/>
      <c r="Y57" s="53"/>
      <c r="Z57" s="53"/>
      <c r="AA57" s="67">
        <v>19</v>
      </c>
      <c r="AB57" s="53" t="s">
        <v>152</v>
      </c>
    </row>
    <row r="58" spans="1:28" ht="18.75" customHeight="1">
      <c r="A58" s="68" t="s">
        <v>13</v>
      </c>
      <c r="B58" s="60" t="s">
        <v>164</v>
      </c>
      <c r="C58" s="60"/>
      <c r="D58" s="60"/>
      <c r="E58" s="60"/>
      <c r="F58" s="60"/>
      <c r="G58" s="69">
        <f>SUMIF($P:$P,$Q58,G:G)</f>
        <v>0</v>
      </c>
      <c r="H58" s="60"/>
      <c r="I58" s="70">
        <f>SUMIF($P:$P,$Q58,I:I)</f>
        <v>20.254448000000004</v>
      </c>
      <c r="J58" s="60"/>
      <c r="K58" s="70">
        <f>SUMIF($P:$P,$Q58,K:K)</f>
        <v>0</v>
      </c>
      <c r="L58" s="60"/>
      <c r="M58" s="71">
        <f>SUMIF($P:$P,$Q58,M:M)</f>
        <v>22558.13667</v>
      </c>
      <c r="N58" s="60"/>
      <c r="O58" s="71">
        <f>SUMIF($P:$P,$Q58,O:O)</f>
        <v>6013.4918699999998</v>
      </c>
      <c r="P58" s="53" t="s">
        <v>13</v>
      </c>
      <c r="Q58" s="53" t="s">
        <v>157</v>
      </c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ht="12.75" customHeight="1"/>
    <row r="60" spans="1:28" ht="18.75" customHeight="1">
      <c r="A60" s="60"/>
      <c r="B60" s="60" t="s">
        <v>165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>
      <c r="A61">
        <v>29</v>
      </c>
      <c r="B61" s="61" t="s">
        <v>169</v>
      </c>
      <c r="C61" s="62" t="s">
        <v>170</v>
      </c>
      <c r="D61" s="61" t="s">
        <v>78</v>
      </c>
      <c r="E61" s="63">
        <v>8</v>
      </c>
      <c r="F61" s="64"/>
      <c r="G61" s="64">
        <f>E61*F61</f>
        <v>0</v>
      </c>
      <c r="H61" s="65">
        <v>0.51900000000000002</v>
      </c>
      <c r="I61" s="65">
        <f>E61*H61</f>
        <v>4.1520000000000001</v>
      </c>
      <c r="J61" s="65">
        <v>0</v>
      </c>
      <c r="K61" s="65">
        <f>E61*J61</f>
        <v>0</v>
      </c>
      <c r="L61" s="66">
        <v>345.93</v>
      </c>
      <c r="M61" s="66">
        <f>E61*L61</f>
        <v>2767.44</v>
      </c>
      <c r="N61" s="66">
        <f>347.52</f>
        <v>347.52</v>
      </c>
      <c r="O61" s="66">
        <f>E61*N61</f>
        <v>2780.16</v>
      </c>
      <c r="P61" s="53" t="s">
        <v>168</v>
      </c>
      <c r="Q61" s="53"/>
      <c r="R61" s="53" t="s">
        <v>80</v>
      </c>
      <c r="S61" s="53" t="s">
        <v>81</v>
      </c>
      <c r="T61" s="53" t="s">
        <v>82</v>
      </c>
      <c r="U61" s="53"/>
      <c r="V61" s="53"/>
      <c r="W61" s="53"/>
      <c r="X61" s="53"/>
      <c r="Y61" s="53"/>
      <c r="Z61" s="53"/>
      <c r="AA61" s="67">
        <v>19</v>
      </c>
      <c r="AB61" s="53" t="s">
        <v>83</v>
      </c>
    </row>
    <row r="62" spans="1:28" ht="18.75" customHeight="1">
      <c r="A62" s="68" t="s">
        <v>13</v>
      </c>
      <c r="B62" s="60" t="s">
        <v>171</v>
      </c>
      <c r="C62" s="60"/>
      <c r="D62" s="60"/>
      <c r="E62" s="60"/>
      <c r="F62" s="60"/>
      <c r="G62" s="69">
        <f>SUMIF($P:$P,$Q62,G:G)</f>
        <v>0</v>
      </c>
      <c r="H62" s="60"/>
      <c r="I62" s="70">
        <f>SUMIF($P:$P,$Q62,I:I)</f>
        <v>4.1520000000000001</v>
      </c>
      <c r="J62" s="60"/>
      <c r="K62" s="70">
        <f>SUMIF($P:$P,$Q62,K:K)</f>
        <v>0</v>
      </c>
      <c r="L62" s="60"/>
      <c r="M62" s="71">
        <f>SUMIF($P:$P,$Q62,M:M)</f>
        <v>2767.44</v>
      </c>
      <c r="N62" s="60"/>
      <c r="O62" s="71">
        <f>SUMIF($P:$P,$Q62,O:O)</f>
        <v>2780.16</v>
      </c>
      <c r="P62" s="53" t="s">
        <v>13</v>
      </c>
      <c r="Q62" s="53" t="s">
        <v>168</v>
      </c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 ht="12.75" customHeight="1"/>
    <row r="64" spans="1:28" ht="18.75" customHeight="1">
      <c r="A64" s="60"/>
      <c r="B64" s="60" t="s">
        <v>243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>
      <c r="A65">
        <v>30</v>
      </c>
      <c r="B65" s="61" t="s">
        <v>244</v>
      </c>
      <c r="C65" s="62" t="s">
        <v>245</v>
      </c>
      <c r="D65" s="61" t="s">
        <v>246</v>
      </c>
      <c r="E65" s="63">
        <v>19.5</v>
      </c>
      <c r="F65" s="64"/>
      <c r="G65" s="64">
        <f>E65*F65</f>
        <v>0</v>
      </c>
      <c r="H65" s="65">
        <v>0</v>
      </c>
      <c r="I65" s="65">
        <f>E65*H65</f>
        <v>0</v>
      </c>
      <c r="J65" s="65">
        <v>0</v>
      </c>
      <c r="K65" s="65">
        <f>E65*J65</f>
        <v>0</v>
      </c>
      <c r="L65" s="66">
        <v>0.18</v>
      </c>
      <c r="M65" s="66">
        <f>E65*L65</f>
        <v>3.51</v>
      </c>
      <c r="N65" s="66">
        <f>507.9</f>
        <v>507.9</v>
      </c>
      <c r="O65" s="66">
        <f>E65*N65</f>
        <v>9904.0499999999993</v>
      </c>
      <c r="P65" s="53" t="s">
        <v>247</v>
      </c>
      <c r="Q65" s="53"/>
      <c r="R65" s="53" t="s">
        <v>80</v>
      </c>
      <c r="S65" s="53" t="s">
        <v>81</v>
      </c>
      <c r="T65" s="53" t="s">
        <v>82</v>
      </c>
      <c r="U65" s="53"/>
      <c r="V65" s="53"/>
      <c r="W65" s="53"/>
      <c r="X65" s="53"/>
      <c r="Y65" s="53"/>
      <c r="Z65" s="53"/>
      <c r="AA65" s="67">
        <v>19</v>
      </c>
      <c r="AB65" s="53" t="s">
        <v>83</v>
      </c>
    </row>
    <row r="66" spans="1:28">
      <c r="A66">
        <v>31</v>
      </c>
      <c r="B66" s="61" t="s">
        <v>248</v>
      </c>
      <c r="C66" s="62" t="s">
        <v>249</v>
      </c>
      <c r="D66" s="61" t="s">
        <v>240</v>
      </c>
      <c r="E66" s="63">
        <v>6</v>
      </c>
      <c r="F66" s="64"/>
      <c r="G66" s="64">
        <f>E66*F66</f>
        <v>0</v>
      </c>
      <c r="H66" s="65">
        <v>0.96</v>
      </c>
      <c r="I66" s="65">
        <f>E66*H66</f>
        <v>5.76</v>
      </c>
      <c r="J66" s="65">
        <v>0</v>
      </c>
      <c r="K66" s="65">
        <f>E66*J66</f>
        <v>0</v>
      </c>
      <c r="L66" s="66">
        <v>4134.2</v>
      </c>
      <c r="M66" s="66">
        <f>E66*L66</f>
        <v>24805.199999999997</v>
      </c>
      <c r="N66" s="66">
        <f>124.026</f>
        <v>124.026</v>
      </c>
      <c r="O66" s="66">
        <f>E66*N66</f>
        <v>744.15599999999995</v>
      </c>
      <c r="P66" s="53" t="s">
        <v>247</v>
      </c>
      <c r="Q66" s="53"/>
      <c r="R66" s="53" t="s">
        <v>80</v>
      </c>
      <c r="S66" s="53" t="s">
        <v>241</v>
      </c>
      <c r="T66" s="53" t="s">
        <v>250</v>
      </c>
      <c r="U66" s="53"/>
      <c r="V66" s="53"/>
      <c r="W66" s="53"/>
      <c r="X66" s="53"/>
      <c r="Y66" s="53"/>
      <c r="Z66" s="53"/>
      <c r="AA66" s="67">
        <v>19</v>
      </c>
      <c r="AB66" s="53" t="s">
        <v>152</v>
      </c>
    </row>
    <row r="67" spans="1:28">
      <c r="A67">
        <v>32</v>
      </c>
      <c r="B67" s="61" t="s">
        <v>251</v>
      </c>
      <c r="C67" s="62" t="s">
        <v>252</v>
      </c>
      <c r="D67" s="61" t="s">
        <v>240</v>
      </c>
      <c r="E67" s="63">
        <v>1</v>
      </c>
      <c r="F67" s="64"/>
      <c r="G67" s="64">
        <f>E67*F67</f>
        <v>0</v>
      </c>
      <c r="H67" s="65">
        <v>0.66</v>
      </c>
      <c r="I67" s="65">
        <f>E67*H67</f>
        <v>0.66</v>
      </c>
      <c r="J67" s="65">
        <v>0</v>
      </c>
      <c r="K67" s="65">
        <f>E67*J67</f>
        <v>0</v>
      </c>
      <c r="L67" s="66">
        <v>3978.2</v>
      </c>
      <c r="M67" s="66">
        <f>E67*L67</f>
        <v>3978.2</v>
      </c>
      <c r="N67" s="66">
        <f>119.346</f>
        <v>119.346</v>
      </c>
      <c r="O67" s="66">
        <f>E67*N67</f>
        <v>119.346</v>
      </c>
      <c r="P67" s="53" t="s">
        <v>247</v>
      </c>
      <c r="Q67" s="53"/>
      <c r="R67" s="53" t="s">
        <v>80</v>
      </c>
      <c r="S67" s="53" t="s">
        <v>241</v>
      </c>
      <c r="T67" s="53" t="s">
        <v>250</v>
      </c>
      <c r="U67" s="53"/>
      <c r="V67" s="53"/>
      <c r="W67" s="53"/>
      <c r="X67" s="53"/>
      <c r="Y67" s="53"/>
      <c r="Z67" s="53"/>
      <c r="AA67" s="67">
        <v>19</v>
      </c>
      <c r="AB67" s="53" t="s">
        <v>152</v>
      </c>
    </row>
    <row r="68" spans="1:28" ht="18.75" customHeight="1">
      <c r="A68" s="68" t="s">
        <v>13</v>
      </c>
      <c r="B68" s="60" t="s">
        <v>253</v>
      </c>
      <c r="C68" s="60"/>
      <c r="D68" s="60"/>
      <c r="E68" s="60"/>
      <c r="F68" s="60"/>
      <c r="G68" s="69">
        <f>SUMIF($P:$P,$Q68,G:G)</f>
        <v>0</v>
      </c>
      <c r="H68" s="60"/>
      <c r="I68" s="70">
        <f>SUMIF($P:$P,$Q68,I:I)</f>
        <v>6.42</v>
      </c>
      <c r="J68" s="60"/>
      <c r="K68" s="70">
        <f>SUMIF($P:$P,$Q68,K:K)</f>
        <v>0</v>
      </c>
      <c r="L68" s="60"/>
      <c r="M68" s="71">
        <f>SUMIF($P:$P,$Q68,M:M)</f>
        <v>28786.909999999996</v>
      </c>
      <c r="N68" s="60"/>
      <c r="O68" s="71">
        <f>SUMIF($P:$P,$Q68,O:O)</f>
        <v>10767.551999999998</v>
      </c>
      <c r="P68" s="53" t="s">
        <v>13</v>
      </c>
      <c r="Q68" s="53" t="s">
        <v>247</v>
      </c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ht="12.75" customHeight="1"/>
    <row r="70" spans="1:28" ht="18.75" customHeight="1">
      <c r="A70" s="60"/>
      <c r="B70" s="60" t="s">
        <v>254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1:28">
      <c r="A71">
        <v>33</v>
      </c>
      <c r="B71" s="61" t="s">
        <v>255</v>
      </c>
      <c r="C71" s="62" t="s">
        <v>256</v>
      </c>
      <c r="D71" s="61" t="s">
        <v>86</v>
      </c>
      <c r="E71" s="63">
        <v>1.8959999999999999</v>
      </c>
      <c r="F71" s="64"/>
      <c r="G71" s="64">
        <f>E71*F71</f>
        <v>0</v>
      </c>
      <c r="H71" s="65">
        <v>2.2895690000000002</v>
      </c>
      <c r="I71" s="65">
        <f>E71*H71</f>
        <v>4.3410228240000004</v>
      </c>
      <c r="J71" s="65">
        <v>0</v>
      </c>
      <c r="K71" s="65">
        <f>E71*J71</f>
        <v>0</v>
      </c>
      <c r="L71" s="66">
        <v>2228.5686000000001</v>
      </c>
      <c r="M71" s="66">
        <f>E71*L71</f>
        <v>4225.3660656000002</v>
      </c>
      <c r="N71" s="66">
        <f>454.419383</f>
        <v>454.41938299999998</v>
      </c>
      <c r="O71" s="66">
        <f>E71*N71</f>
        <v>861.57915016799996</v>
      </c>
      <c r="P71" s="53" t="s">
        <v>257</v>
      </c>
      <c r="Q71" s="53"/>
      <c r="R71" s="53" t="s">
        <v>80</v>
      </c>
      <c r="S71" s="53" t="s">
        <v>258</v>
      </c>
      <c r="T71" s="53" t="s">
        <v>259</v>
      </c>
      <c r="U71" s="53"/>
      <c r="V71" s="53"/>
      <c r="W71" s="53"/>
      <c r="X71" s="53"/>
      <c r="Y71" s="53"/>
      <c r="Z71" s="53"/>
      <c r="AA71" s="67">
        <v>19</v>
      </c>
      <c r="AB71" s="53" t="s">
        <v>83</v>
      </c>
    </row>
    <row r="72" spans="1:28">
      <c r="A72">
        <v>34</v>
      </c>
      <c r="B72" s="61" t="s">
        <v>260</v>
      </c>
      <c r="C72" s="62" t="s">
        <v>261</v>
      </c>
      <c r="D72" s="61" t="s">
        <v>89</v>
      </c>
      <c r="E72" s="63">
        <v>1</v>
      </c>
      <c r="F72" s="64"/>
      <c r="G72" s="64">
        <f>E72*F72</f>
        <v>0</v>
      </c>
      <c r="H72" s="65">
        <v>10.09186</v>
      </c>
      <c r="I72" s="65">
        <f>E72*H72</f>
        <v>10.09186</v>
      </c>
      <c r="J72" s="65">
        <v>0</v>
      </c>
      <c r="K72" s="65">
        <f>E72*J72</f>
        <v>0</v>
      </c>
      <c r="L72" s="66">
        <v>9669</v>
      </c>
      <c r="M72" s="66">
        <f>E72*L72</f>
        <v>9669</v>
      </c>
      <c r="N72" s="66">
        <f>5517.97</f>
        <v>5517.97</v>
      </c>
      <c r="O72" s="66">
        <f>E72*N72</f>
        <v>5517.97</v>
      </c>
      <c r="P72" s="53" t="s">
        <v>257</v>
      </c>
      <c r="Q72" s="53"/>
      <c r="R72" s="53" t="s">
        <v>80</v>
      </c>
      <c r="S72" s="53" t="s">
        <v>81</v>
      </c>
      <c r="T72" s="53" t="s">
        <v>82</v>
      </c>
      <c r="U72" s="53"/>
      <c r="V72" s="53"/>
      <c r="W72" s="53"/>
      <c r="X72" s="53"/>
      <c r="Y72" s="53"/>
      <c r="Z72" s="53"/>
      <c r="AA72" s="67">
        <v>19</v>
      </c>
      <c r="AB72" s="53" t="s">
        <v>83</v>
      </c>
    </row>
    <row r="73" spans="1:28" ht="18.75" customHeight="1">
      <c r="A73" s="68" t="s">
        <v>13</v>
      </c>
      <c r="B73" s="60" t="s">
        <v>262</v>
      </c>
      <c r="C73" s="60"/>
      <c r="D73" s="60"/>
      <c r="E73" s="60"/>
      <c r="F73" s="60"/>
      <c r="G73" s="69">
        <f>SUMIF($P:$P,$Q73,G:G)</f>
        <v>0</v>
      </c>
      <c r="H73" s="60"/>
      <c r="I73" s="70">
        <f>SUMIF($P:$P,$Q73,I:I)</f>
        <v>14.432882824</v>
      </c>
      <c r="J73" s="60"/>
      <c r="K73" s="70">
        <f>SUMIF($P:$P,$Q73,K:K)</f>
        <v>0</v>
      </c>
      <c r="L73" s="60"/>
      <c r="M73" s="71">
        <f>SUMIF($P:$P,$Q73,M:M)</f>
        <v>13894.366065599999</v>
      </c>
      <c r="N73" s="60"/>
      <c r="O73" s="71">
        <f>SUMIF($P:$P,$Q73,O:O)</f>
        <v>6379.5491501679999</v>
      </c>
      <c r="P73" s="53" t="s">
        <v>13</v>
      </c>
      <c r="Q73" s="53" t="s">
        <v>257</v>
      </c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spans="1:28" ht="12.75" customHeight="1"/>
    <row r="75" spans="1:28" ht="18.75" customHeight="1">
      <c r="A75" s="60"/>
      <c r="B75" s="60" t="s">
        <v>172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1:28">
      <c r="A76">
        <v>35</v>
      </c>
      <c r="B76" s="61" t="s">
        <v>173</v>
      </c>
      <c r="C76" s="62" t="s">
        <v>174</v>
      </c>
      <c r="D76" s="61" t="s">
        <v>137</v>
      </c>
      <c r="E76" s="63">
        <f>Z76*IF(V76="cenik_cast",IF(U76="hmoty",SUMIF(T:T,Y76,I:I),IF(U76="cena_hmot",SUMIF(T:T,Y76,M:M)/1000,SUMIF(T:T,Y76,G:G)/1000)),IF(V76="cenik",IF(U76="hmoty",SUMIF(S:S,X76,I:I),IF(U76="cena_hmot",SUMIF(S:S,X76,M:M)/1000,SUMIF(S:S,X76,G:G)/1000)),IF(U76="hmoty",SUMIF(R:R,W76,I:I),IF(U76="cena_hmot",SUMIF(R:R,W76,M:M)/1000,SUMIF(R:R,W76,G:G)/1000))))</f>
        <v>45.366058624000004</v>
      </c>
      <c r="F76" s="64"/>
      <c r="G76" s="64">
        <f>E76*F76</f>
        <v>0</v>
      </c>
      <c r="H76" s="65">
        <v>0</v>
      </c>
      <c r="I76" s="65">
        <f>E76*H76</f>
        <v>0</v>
      </c>
      <c r="J76" s="65">
        <v>0</v>
      </c>
      <c r="K76" s="65">
        <f>E76*J76</f>
        <v>0</v>
      </c>
      <c r="L76" s="66">
        <v>0</v>
      </c>
      <c r="M76" s="66">
        <f>E76*L76</f>
        <v>0</v>
      </c>
      <c r="N76" s="66">
        <f>185.19</f>
        <v>185.19</v>
      </c>
      <c r="O76" s="66">
        <f>E76*N76</f>
        <v>8401.3403965785601</v>
      </c>
      <c r="P76" s="53" t="s">
        <v>175</v>
      </c>
      <c r="Q76" s="53"/>
      <c r="R76" s="53"/>
      <c r="S76" s="53"/>
      <c r="T76" s="53"/>
      <c r="U76" s="53" t="s">
        <v>176</v>
      </c>
      <c r="V76" s="53" t="s">
        <v>263</v>
      </c>
      <c r="W76" s="53" t="s">
        <v>80</v>
      </c>
      <c r="X76" s="53" t="s">
        <v>258</v>
      </c>
      <c r="Y76" s="53" t="s">
        <v>259</v>
      </c>
      <c r="Z76" s="54">
        <v>1</v>
      </c>
      <c r="AA76" s="67">
        <v>19</v>
      </c>
      <c r="AB76" s="53" t="s">
        <v>83</v>
      </c>
    </row>
    <row r="77" spans="1:28" ht="18.75" customHeight="1">
      <c r="A77" s="68" t="s">
        <v>13</v>
      </c>
      <c r="B77" s="60" t="s">
        <v>178</v>
      </c>
      <c r="C77" s="60"/>
      <c r="D77" s="60"/>
      <c r="E77" s="60"/>
      <c r="F77" s="60"/>
      <c r="G77" s="69">
        <f>SUMIF($P:$P,$Q77,G:G)</f>
        <v>0</v>
      </c>
      <c r="H77" s="60"/>
      <c r="I77" s="70">
        <f>SUMIF($P:$P,$Q77,I:I)</f>
        <v>0</v>
      </c>
      <c r="J77" s="60"/>
      <c r="K77" s="70">
        <f>SUMIF($P:$P,$Q77,K:K)</f>
        <v>0</v>
      </c>
      <c r="L77" s="60"/>
      <c r="M77" s="71">
        <f>SUMIF($P:$P,$Q77,M:M)</f>
        <v>0</v>
      </c>
      <c r="N77" s="60"/>
      <c r="O77" s="71">
        <f>SUMIF($P:$P,$Q77,O:O)</f>
        <v>8401.3403965785601</v>
      </c>
      <c r="P77" s="53" t="s">
        <v>13</v>
      </c>
      <c r="Q77" s="53" t="s">
        <v>175</v>
      </c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spans="1:28" ht="12.75" customHeight="1" thickBot="1"/>
    <row r="79" spans="1:28" ht="18.75" customHeight="1">
      <c r="A79" s="72" t="s">
        <v>13</v>
      </c>
      <c r="B79" s="73"/>
      <c r="C79" s="73"/>
      <c r="D79" s="73"/>
      <c r="E79" s="73"/>
      <c r="F79" s="73"/>
      <c r="G79" s="74">
        <f>SUMIF($P:$P,"S",G:G)</f>
        <v>0</v>
      </c>
      <c r="H79" s="73"/>
      <c r="I79" s="75">
        <f>SUMIF($P:$P,"S",I:I)</f>
        <v>45.366058624000004</v>
      </c>
      <c r="J79" s="73"/>
      <c r="K79" s="75">
        <f>SUMIF($P:$P,"S",K:K)</f>
        <v>0</v>
      </c>
      <c r="L79" s="73"/>
      <c r="M79" s="76">
        <f>SUMIF($P:$P,"S",M:M)</f>
        <v>69841.890235599989</v>
      </c>
      <c r="N79" s="73"/>
      <c r="O79" s="76">
        <f>SUMIF($P:$P,"S",O:O)</f>
        <v>149390.16609459659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2" spans="1:5" ht="18.75" customHeight="1" thickBot="1">
      <c r="A82" s="77" t="s">
        <v>179</v>
      </c>
      <c r="B82" s="77"/>
      <c r="C82" s="77"/>
      <c r="D82" s="77"/>
      <c r="E82" s="77"/>
    </row>
    <row r="83" spans="1:5">
      <c r="B83" s="61" t="s">
        <v>182</v>
      </c>
      <c r="C83" s="78" t="s">
        <v>183</v>
      </c>
      <c r="D83" s="78"/>
      <c r="E83" s="64">
        <f>$G$15</f>
        <v>0</v>
      </c>
    </row>
    <row r="84" spans="1:5">
      <c r="B84" s="61" t="s">
        <v>184</v>
      </c>
      <c r="C84" s="79" t="s">
        <v>185</v>
      </c>
      <c r="D84" s="79"/>
      <c r="E84" s="64">
        <f>$G$21</f>
        <v>0</v>
      </c>
    </row>
    <row r="85" spans="1:5">
      <c r="B85" s="61" t="s">
        <v>264</v>
      </c>
      <c r="C85" s="79" t="s">
        <v>265</v>
      </c>
      <c r="D85" s="79"/>
      <c r="E85" s="64">
        <f>$G$26</f>
        <v>0</v>
      </c>
    </row>
    <row r="86" spans="1:5">
      <c r="B86" s="61" t="s">
        <v>186</v>
      </c>
      <c r="C86" s="79" t="s">
        <v>187</v>
      </c>
      <c r="D86" s="79"/>
      <c r="E86" s="64">
        <f>$G$33</f>
        <v>0</v>
      </c>
    </row>
    <row r="87" spans="1:5">
      <c r="B87" s="61" t="s">
        <v>188</v>
      </c>
      <c r="C87" s="79" t="s">
        <v>189</v>
      </c>
      <c r="D87" s="79"/>
      <c r="E87" s="64">
        <f>$G$41</f>
        <v>0</v>
      </c>
    </row>
    <row r="88" spans="1:5">
      <c r="B88" s="61" t="s">
        <v>190</v>
      </c>
      <c r="C88" s="79" t="s">
        <v>191</v>
      </c>
      <c r="D88" s="79"/>
      <c r="E88" s="64">
        <f>$G$48</f>
        <v>0</v>
      </c>
    </row>
    <row r="89" spans="1:5">
      <c r="B89" s="61" t="s">
        <v>192</v>
      </c>
      <c r="C89" s="79" t="s">
        <v>193</v>
      </c>
      <c r="D89" s="79"/>
      <c r="E89" s="64">
        <f>$G$58</f>
        <v>0</v>
      </c>
    </row>
    <row r="90" spans="1:5">
      <c r="B90" s="61" t="s">
        <v>194</v>
      </c>
      <c r="C90" s="79" t="s">
        <v>195</v>
      </c>
      <c r="D90" s="79"/>
      <c r="E90" s="64">
        <f>$G$62</f>
        <v>0</v>
      </c>
    </row>
    <row r="91" spans="1:5">
      <c r="B91" s="61" t="s">
        <v>266</v>
      </c>
      <c r="C91" s="79" t="s">
        <v>267</v>
      </c>
      <c r="D91" s="79"/>
      <c r="E91" s="64">
        <f>$G$68</f>
        <v>0</v>
      </c>
    </row>
    <row r="92" spans="1:5">
      <c r="B92" s="61" t="s">
        <v>268</v>
      </c>
      <c r="C92" s="79" t="s">
        <v>269</v>
      </c>
      <c r="D92" s="79"/>
      <c r="E92" s="64">
        <f>$G$73</f>
        <v>0</v>
      </c>
    </row>
    <row r="93" spans="1:5" ht="13.5" customHeight="1" thickBot="1">
      <c r="B93" s="61" t="s">
        <v>196</v>
      </c>
      <c r="C93" s="79" t="s">
        <v>197</v>
      </c>
      <c r="D93" s="79"/>
      <c r="E93" s="64">
        <f>$G$77</f>
        <v>0</v>
      </c>
    </row>
    <row r="94" spans="1:5" ht="18.75" customHeight="1">
      <c r="A94" s="72" t="s">
        <v>13</v>
      </c>
      <c r="B94" s="73"/>
      <c r="C94" s="73"/>
      <c r="D94" s="73"/>
      <c r="E94" s="74">
        <f>SUM($E$83:$E$93)</f>
        <v>0</v>
      </c>
    </row>
  </sheetData>
  <mergeCells count="29">
    <mergeCell ref="C89:D89"/>
    <mergeCell ref="C90:D90"/>
    <mergeCell ref="C91:D91"/>
    <mergeCell ref="C92:D92"/>
    <mergeCell ref="C93:D93"/>
    <mergeCell ref="C83:D83"/>
    <mergeCell ref="C84:D84"/>
    <mergeCell ref="C85:D85"/>
    <mergeCell ref="C86:D86"/>
    <mergeCell ref="C87:D87"/>
    <mergeCell ref="C88:D88"/>
    <mergeCell ref="H8:I8"/>
    <mergeCell ref="J8:K8"/>
    <mergeCell ref="L8:M8"/>
    <mergeCell ref="N8:O8"/>
    <mergeCell ref="P8:AB8"/>
    <mergeCell ref="A82:E82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2"/>
  <sheetViews>
    <sheetView view="pageBreakPreview" zoomScaleNormal="100" zoomScaleSheetLayoutView="100" workbookViewId="0">
      <selection activeCell="F12" sqref="F12:F15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  <c r="P3" s="53"/>
      <c r="Q3" s="54">
        <f>Q$1</f>
        <v>0</v>
      </c>
      <c r="R3" s="54">
        <f>R$1</f>
        <v>0</v>
      </c>
      <c r="S3" s="54">
        <f>S$1</f>
        <v>0</v>
      </c>
      <c r="T3" s="54">
        <f>T$1</f>
        <v>0</v>
      </c>
      <c r="U3" s="54">
        <f>U$1</f>
        <v>0</v>
      </c>
      <c r="V3" s="53"/>
      <c r="W3" s="54">
        <f>W$1</f>
        <v>0</v>
      </c>
      <c r="X3" s="54">
        <f>X$1</f>
        <v>0</v>
      </c>
      <c r="Y3" s="54">
        <f>Y$1</f>
        <v>0</v>
      </c>
      <c r="Z3" s="54">
        <f>Z$1</f>
        <v>0</v>
      </c>
    </row>
    <row r="4" spans="1:28" ht="12.75" customHeight="1">
      <c r="B4" s="3" t="s">
        <v>45</v>
      </c>
      <c r="C4" s="33" t="s">
        <v>17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198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27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270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271</v>
      </c>
      <c r="C12" s="62" t="s">
        <v>272</v>
      </c>
      <c r="D12" s="61" t="s">
        <v>149</v>
      </c>
      <c r="E12" s="63">
        <v>2</v>
      </c>
      <c r="F12" s="64"/>
      <c r="G12" s="64">
        <f>E12*F12</f>
        <v>0</v>
      </c>
      <c r="H12" s="65">
        <v>6.9999999999999994E-5</v>
      </c>
      <c r="I12" s="65">
        <f>E12*H12</f>
        <v>1.3999999999999999E-4</v>
      </c>
      <c r="J12" s="65">
        <v>0</v>
      </c>
      <c r="K12" s="65">
        <f>E12*J12</f>
        <v>0</v>
      </c>
      <c r="L12" s="66">
        <v>9.2899999999999991</v>
      </c>
      <c r="M12" s="66">
        <f>E12*L12</f>
        <v>18.579999999999998</v>
      </c>
      <c r="N12" s="66">
        <f>61.23</f>
        <v>61.23</v>
      </c>
      <c r="O12" s="66">
        <f>E12*N12</f>
        <v>122.46</v>
      </c>
      <c r="P12" s="53" t="s">
        <v>273</v>
      </c>
      <c r="Q12" s="53"/>
      <c r="R12" s="53" t="s">
        <v>274</v>
      </c>
      <c r="S12" s="53" t="s">
        <v>275</v>
      </c>
      <c r="T12" s="53" t="s">
        <v>276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277</v>
      </c>
      <c r="C13" s="62" t="s">
        <v>278</v>
      </c>
      <c r="D13" s="61" t="s">
        <v>240</v>
      </c>
      <c r="E13" s="63">
        <v>1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744</v>
      </c>
      <c r="M13" s="66">
        <f>E13*L13</f>
        <v>744</v>
      </c>
      <c r="N13" s="66">
        <f>0</f>
        <v>0</v>
      </c>
      <c r="O13" s="66">
        <f>E13*N13</f>
        <v>0</v>
      </c>
      <c r="P13" s="53" t="s">
        <v>273</v>
      </c>
      <c r="Q13" s="53"/>
      <c r="R13" s="53" t="s">
        <v>274</v>
      </c>
      <c r="S13" s="53" t="s">
        <v>279</v>
      </c>
      <c r="T13" s="53" t="s">
        <v>280</v>
      </c>
      <c r="U13" s="53"/>
      <c r="V13" s="53"/>
      <c r="W13" s="53"/>
      <c r="X13" s="53"/>
      <c r="Y13" s="53"/>
      <c r="Z13" s="53"/>
      <c r="AA13" s="67">
        <v>19</v>
      </c>
      <c r="AB13" s="53" t="s">
        <v>152</v>
      </c>
    </row>
    <row r="14" spans="1:28">
      <c r="A14">
        <v>3</v>
      </c>
      <c r="B14" s="61" t="s">
        <v>277</v>
      </c>
      <c r="C14" s="62" t="s">
        <v>281</v>
      </c>
      <c r="D14" s="61" t="s">
        <v>240</v>
      </c>
      <c r="E14" s="63">
        <v>1</v>
      </c>
      <c r="F14" s="64"/>
      <c r="G14" s="64">
        <f>E14*F14</f>
        <v>0</v>
      </c>
      <c r="H14" s="65">
        <v>8.0000000000000002E-3</v>
      </c>
      <c r="I14" s="65">
        <f>E14*H14</f>
        <v>8.0000000000000002E-3</v>
      </c>
      <c r="J14" s="65">
        <v>0</v>
      </c>
      <c r="K14" s="65">
        <f>E14*J14</f>
        <v>0</v>
      </c>
      <c r="L14" s="66">
        <v>3200</v>
      </c>
      <c r="M14" s="66">
        <f>E14*L14</f>
        <v>3200</v>
      </c>
      <c r="N14" s="66">
        <f>0</f>
        <v>0</v>
      </c>
      <c r="O14" s="66">
        <f>E14*N14</f>
        <v>0</v>
      </c>
      <c r="P14" s="53" t="s">
        <v>273</v>
      </c>
      <c r="Q14" s="53"/>
      <c r="R14" s="53" t="s">
        <v>274</v>
      </c>
      <c r="S14" s="53" t="s">
        <v>279</v>
      </c>
      <c r="T14" s="53" t="s">
        <v>280</v>
      </c>
      <c r="U14" s="53"/>
      <c r="V14" s="53"/>
      <c r="W14" s="53"/>
      <c r="X14" s="53"/>
      <c r="Y14" s="53"/>
      <c r="Z14" s="53"/>
      <c r="AA14" s="67">
        <v>19</v>
      </c>
      <c r="AB14" s="53" t="s">
        <v>152</v>
      </c>
    </row>
    <row r="15" spans="1:28" ht="18.75" customHeight="1">
      <c r="A15" s="68" t="s">
        <v>13</v>
      </c>
      <c r="B15" s="60" t="s">
        <v>282</v>
      </c>
      <c r="C15" s="60"/>
      <c r="D15" s="60"/>
      <c r="E15" s="60"/>
      <c r="F15" s="60"/>
      <c r="G15" s="69">
        <f>SUMIF($P:$P,$Q15,G:G)</f>
        <v>0</v>
      </c>
      <c r="H15" s="60"/>
      <c r="I15" s="70">
        <f>SUMIF($P:$P,$Q15,I:I)</f>
        <v>8.1399999999999997E-3</v>
      </c>
      <c r="J15" s="60"/>
      <c r="K15" s="70">
        <f>SUMIF($P:$P,$Q15,K:K)</f>
        <v>0</v>
      </c>
      <c r="L15" s="60"/>
      <c r="M15" s="71">
        <f>SUMIF($P:$P,$Q15,M:M)</f>
        <v>3962.58</v>
      </c>
      <c r="N15" s="60"/>
      <c r="O15" s="71">
        <f>SUMIF($P:$P,$Q15,O:O)</f>
        <v>122.46</v>
      </c>
      <c r="P15" s="53" t="s">
        <v>13</v>
      </c>
      <c r="Q15" s="53" t="s">
        <v>273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 thickBot="1"/>
    <row r="17" spans="1:28" ht="18.75" customHeight="1">
      <c r="A17" s="72" t="s">
        <v>13</v>
      </c>
      <c r="B17" s="73"/>
      <c r="C17" s="73"/>
      <c r="D17" s="73"/>
      <c r="E17" s="73"/>
      <c r="F17" s="73"/>
      <c r="G17" s="74">
        <f>SUMIF($P:$P,"S",G:G)</f>
        <v>0</v>
      </c>
      <c r="H17" s="73"/>
      <c r="I17" s="75">
        <f>SUMIF($P:$P,"S",I:I)</f>
        <v>8.1399999999999997E-3</v>
      </c>
      <c r="J17" s="73"/>
      <c r="K17" s="75">
        <f>SUMIF($P:$P,"S",K:K)</f>
        <v>0</v>
      </c>
      <c r="L17" s="73"/>
      <c r="M17" s="76">
        <f>SUMIF($P:$P,"S",M:M)</f>
        <v>3962.58</v>
      </c>
      <c r="N17" s="73"/>
      <c r="O17" s="76">
        <f>SUMIF($P:$P,"S",O:O)</f>
        <v>122.46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20" spans="1:28" ht="18.75" customHeight="1" thickBot="1">
      <c r="A20" s="77" t="s">
        <v>179</v>
      </c>
      <c r="B20" s="77"/>
      <c r="C20" s="77"/>
      <c r="D20" s="77"/>
      <c r="E20" s="77"/>
    </row>
    <row r="21" spans="1:28" ht="13.5" customHeight="1" thickBot="1">
      <c r="B21" s="61" t="s">
        <v>283</v>
      </c>
      <c r="C21" s="78" t="s">
        <v>284</v>
      </c>
      <c r="D21" s="78"/>
      <c r="E21" s="64">
        <f>$G$15</f>
        <v>0</v>
      </c>
    </row>
    <row r="22" spans="1:28" ht="18.75" customHeight="1">
      <c r="A22" s="72" t="s">
        <v>13</v>
      </c>
      <c r="B22" s="73"/>
      <c r="C22" s="73"/>
      <c r="D22" s="73"/>
      <c r="E22" s="74">
        <f>SUM($E$21:$E$21)</f>
        <v>0</v>
      </c>
    </row>
  </sheetData>
  <mergeCells count="19">
    <mergeCell ref="C21:D21"/>
    <mergeCell ref="H8:I8"/>
    <mergeCell ref="J8:K8"/>
    <mergeCell ref="L8:M8"/>
    <mergeCell ref="N8:O8"/>
    <mergeCell ref="P8:AB8"/>
    <mergeCell ref="A20:E20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9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17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285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96</v>
      </c>
      <c r="C12" s="62" t="s">
        <v>97</v>
      </c>
      <c r="D12" s="61" t="s">
        <v>86</v>
      </c>
      <c r="E12" s="63">
        <v>1.6328</v>
      </c>
      <c r="F12" s="64"/>
      <c r="G12" s="64">
        <f>E12*F12</f>
        <v>0</v>
      </c>
      <c r="H12" s="65">
        <v>0</v>
      </c>
      <c r="I12" s="65">
        <f>E12*H12</f>
        <v>0</v>
      </c>
      <c r="J12" s="65">
        <v>0</v>
      </c>
      <c r="K12" s="65">
        <f>E12*J12</f>
        <v>0</v>
      </c>
      <c r="L12" s="66">
        <v>0</v>
      </c>
      <c r="M12" s="66">
        <f>E12*L12</f>
        <v>0</v>
      </c>
      <c r="N12" s="66">
        <f>4101.75</f>
        <v>4101.75</v>
      </c>
      <c r="O12" s="66">
        <f>E12*N12</f>
        <v>6697.3374000000003</v>
      </c>
      <c r="P12" s="53" t="s">
        <v>98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 ht="18.75" customHeight="1">
      <c r="A13" s="68" t="s">
        <v>13</v>
      </c>
      <c r="B13" s="60" t="s">
        <v>103</v>
      </c>
      <c r="C13" s="60"/>
      <c r="D13" s="60"/>
      <c r="E13" s="60"/>
      <c r="F13" s="60"/>
      <c r="G13" s="69">
        <f>SUMIF($P:$P,$Q13,G:G)</f>
        <v>0</v>
      </c>
      <c r="H13" s="60"/>
      <c r="I13" s="70">
        <f>SUMIF($P:$P,$Q13,I:I)</f>
        <v>0</v>
      </c>
      <c r="J13" s="60"/>
      <c r="K13" s="70">
        <f>SUMIF($P:$P,$Q13,K:K)</f>
        <v>0</v>
      </c>
      <c r="L13" s="60"/>
      <c r="M13" s="71">
        <f>SUMIF($P:$P,$Q13,M:M)</f>
        <v>0</v>
      </c>
      <c r="N13" s="60"/>
      <c r="O13" s="71">
        <f>SUMIF($P:$P,$Q13,O:O)</f>
        <v>6697.3374000000003</v>
      </c>
      <c r="P13" s="53" t="s">
        <v>13</v>
      </c>
      <c r="Q13" s="53" t="s">
        <v>98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ht="12.75" customHeight="1"/>
    <row r="15" spans="1:28" ht="18.75" customHeight="1">
      <c r="A15" s="60"/>
      <c r="B15" s="60" t="s">
        <v>104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>
      <c r="A16">
        <v>2</v>
      </c>
      <c r="B16" s="61" t="s">
        <v>105</v>
      </c>
      <c r="C16" s="62" t="s">
        <v>106</v>
      </c>
      <c r="D16" s="61" t="s">
        <v>86</v>
      </c>
      <c r="E16" s="63">
        <v>109.0352</v>
      </c>
      <c r="F16" s="64"/>
      <c r="G16" s="64">
        <f>E16*F16</f>
        <v>0</v>
      </c>
      <c r="H16" s="65">
        <v>0</v>
      </c>
      <c r="I16" s="65">
        <f>E16*H16</f>
        <v>0</v>
      </c>
      <c r="J16" s="65">
        <v>0</v>
      </c>
      <c r="K16" s="65">
        <f>E16*J16</f>
        <v>0</v>
      </c>
      <c r="L16" s="66">
        <v>0</v>
      </c>
      <c r="M16" s="66">
        <f>E16*L16</f>
        <v>0</v>
      </c>
      <c r="N16" s="66">
        <f>374.85</f>
        <v>374.85</v>
      </c>
      <c r="O16" s="66">
        <f>E16*N16</f>
        <v>40871.844720000001</v>
      </c>
      <c r="P16" s="53" t="s">
        <v>107</v>
      </c>
      <c r="Q16" s="53"/>
      <c r="R16" s="53" t="s">
        <v>80</v>
      </c>
      <c r="S16" s="53" t="s">
        <v>81</v>
      </c>
      <c r="T16" s="53" t="s">
        <v>82</v>
      </c>
      <c r="U16" s="53"/>
      <c r="V16" s="53"/>
      <c r="W16" s="53"/>
      <c r="X16" s="53"/>
      <c r="Y16" s="53"/>
      <c r="Z16" s="53"/>
      <c r="AA16" s="67">
        <v>19</v>
      </c>
      <c r="AB16" s="53" t="s">
        <v>83</v>
      </c>
    </row>
    <row r="17" spans="1:28" ht="18.75" customHeight="1">
      <c r="A17" s="68" t="s">
        <v>13</v>
      </c>
      <c r="B17" s="60" t="s">
        <v>108</v>
      </c>
      <c r="C17" s="60"/>
      <c r="D17" s="60"/>
      <c r="E17" s="60"/>
      <c r="F17" s="60"/>
      <c r="G17" s="69">
        <f>SUMIF($P:$P,$Q17,G:G)</f>
        <v>0</v>
      </c>
      <c r="H17" s="60"/>
      <c r="I17" s="70">
        <f>SUMIF($P:$P,$Q17,I:I)</f>
        <v>0</v>
      </c>
      <c r="J17" s="60"/>
      <c r="K17" s="70">
        <f>SUMIF($P:$P,$Q17,K:K)</f>
        <v>0</v>
      </c>
      <c r="L17" s="60"/>
      <c r="M17" s="71">
        <f>SUMIF($P:$P,$Q17,M:M)</f>
        <v>0</v>
      </c>
      <c r="N17" s="60"/>
      <c r="O17" s="71">
        <f>SUMIF($P:$P,$Q17,O:O)</f>
        <v>40871.844720000001</v>
      </c>
      <c r="P17" s="53" t="s">
        <v>13</v>
      </c>
      <c r="Q17" s="53" t="s">
        <v>107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12.75" customHeight="1"/>
    <row r="19" spans="1:28" ht="18.75" customHeight="1">
      <c r="A19" s="60"/>
      <c r="B19" s="60" t="s">
        <v>109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>
      <c r="A20">
        <v>3</v>
      </c>
      <c r="B20" s="61" t="s">
        <v>218</v>
      </c>
      <c r="C20" s="62" t="s">
        <v>219</v>
      </c>
      <c r="D20" s="61" t="s">
        <v>86</v>
      </c>
      <c r="E20" s="63">
        <v>40.287999999999997</v>
      </c>
      <c r="F20" s="64"/>
      <c r="G20" s="64">
        <f>E20*F20</f>
        <v>0</v>
      </c>
      <c r="H20" s="65">
        <v>0</v>
      </c>
      <c r="I20" s="65">
        <f>E20*H20</f>
        <v>0</v>
      </c>
      <c r="J20" s="65">
        <v>0</v>
      </c>
      <c r="K20" s="65">
        <f>E20*J20</f>
        <v>0</v>
      </c>
      <c r="L20" s="66">
        <v>0</v>
      </c>
      <c r="M20" s="66">
        <f>E20*L20</f>
        <v>0</v>
      </c>
      <c r="N20" s="66">
        <f>142.21</f>
        <v>142.21</v>
      </c>
      <c r="O20" s="66">
        <f>E20*N20</f>
        <v>5729.3564799999995</v>
      </c>
      <c r="P20" s="53" t="s">
        <v>112</v>
      </c>
      <c r="Q20" s="53"/>
      <c r="R20" s="53" t="s">
        <v>80</v>
      </c>
      <c r="S20" s="53" t="s">
        <v>81</v>
      </c>
      <c r="T20" s="53" t="s">
        <v>82</v>
      </c>
      <c r="U20" s="53"/>
      <c r="V20" s="53"/>
      <c r="W20" s="53"/>
      <c r="X20" s="53"/>
      <c r="Y20" s="53"/>
      <c r="Z20" s="53"/>
      <c r="AA20" s="67">
        <v>19</v>
      </c>
      <c r="AB20" s="53" t="s">
        <v>83</v>
      </c>
    </row>
    <row r="21" spans="1:28">
      <c r="A21">
        <v>4</v>
      </c>
      <c r="B21" s="61" t="s">
        <v>123</v>
      </c>
      <c r="C21" s="62" t="s">
        <v>124</v>
      </c>
      <c r="D21" s="61" t="s">
        <v>86</v>
      </c>
      <c r="E21" s="63">
        <v>1.6328</v>
      </c>
      <c r="F21" s="64"/>
      <c r="G21" s="64">
        <f>E21*F21</f>
        <v>0</v>
      </c>
      <c r="H21" s="65">
        <v>0</v>
      </c>
      <c r="I21" s="65">
        <f>E21*H21</f>
        <v>0</v>
      </c>
      <c r="J21" s="65">
        <v>0</v>
      </c>
      <c r="K21" s="65">
        <f>E21*J21</f>
        <v>0</v>
      </c>
      <c r="L21" s="66">
        <v>0</v>
      </c>
      <c r="M21" s="66">
        <f>E21*L21</f>
        <v>0</v>
      </c>
      <c r="N21" s="66">
        <f>348.82</f>
        <v>348.82</v>
      </c>
      <c r="O21" s="66">
        <f>E21*N21</f>
        <v>569.55329600000005</v>
      </c>
      <c r="P21" s="53" t="s">
        <v>112</v>
      </c>
      <c r="Q21" s="53"/>
      <c r="R21" s="53" t="s">
        <v>80</v>
      </c>
      <c r="S21" s="53" t="s">
        <v>81</v>
      </c>
      <c r="T21" s="53" t="s">
        <v>82</v>
      </c>
      <c r="U21" s="53"/>
      <c r="V21" s="53"/>
      <c r="W21" s="53"/>
      <c r="X21" s="53"/>
      <c r="Y21" s="53"/>
      <c r="Z21" s="53"/>
      <c r="AA21" s="67">
        <v>19</v>
      </c>
      <c r="AB21" s="53" t="s">
        <v>83</v>
      </c>
    </row>
    <row r="22" spans="1:28">
      <c r="A22">
        <v>5</v>
      </c>
      <c r="B22" s="61" t="s">
        <v>220</v>
      </c>
      <c r="C22" s="62" t="s">
        <v>221</v>
      </c>
      <c r="D22" s="61" t="s">
        <v>86</v>
      </c>
      <c r="E22" s="63">
        <v>1.6328</v>
      </c>
      <c r="F22" s="64"/>
      <c r="G22" s="64">
        <f>E22*F22</f>
        <v>0</v>
      </c>
      <c r="H22" s="65">
        <v>0</v>
      </c>
      <c r="I22" s="65">
        <f>E22*H22</f>
        <v>0</v>
      </c>
      <c r="J22" s="65">
        <v>0</v>
      </c>
      <c r="K22" s="65">
        <f>E22*J22</f>
        <v>0</v>
      </c>
      <c r="L22" s="66">
        <v>0</v>
      </c>
      <c r="M22" s="66">
        <f>E22*L22</f>
        <v>0</v>
      </c>
      <c r="N22" s="66">
        <f>39.51</f>
        <v>39.51</v>
      </c>
      <c r="O22" s="66">
        <f>E22*N22</f>
        <v>64.511927999999997</v>
      </c>
      <c r="P22" s="53" t="s">
        <v>112</v>
      </c>
      <c r="Q22" s="53"/>
      <c r="R22" s="53" t="s">
        <v>80</v>
      </c>
      <c r="S22" s="53" t="s">
        <v>81</v>
      </c>
      <c r="T22" s="53" t="s">
        <v>82</v>
      </c>
      <c r="U22" s="53"/>
      <c r="V22" s="53"/>
      <c r="W22" s="53"/>
      <c r="X22" s="53"/>
      <c r="Y22" s="53"/>
      <c r="Z22" s="53"/>
      <c r="AA22" s="67">
        <v>19</v>
      </c>
      <c r="AB22" s="53" t="s">
        <v>83</v>
      </c>
    </row>
    <row r="23" spans="1:28" ht="18.75" customHeight="1">
      <c r="A23" s="68" t="s">
        <v>13</v>
      </c>
      <c r="B23" s="60" t="s">
        <v>125</v>
      </c>
      <c r="C23" s="60"/>
      <c r="D23" s="60"/>
      <c r="E23" s="60"/>
      <c r="F23" s="60"/>
      <c r="G23" s="69">
        <f>SUMIF($P:$P,$Q23,G:G)</f>
        <v>0</v>
      </c>
      <c r="H23" s="60"/>
      <c r="I23" s="70">
        <f>SUMIF($P:$P,$Q23,I:I)</f>
        <v>0</v>
      </c>
      <c r="J23" s="60"/>
      <c r="K23" s="70">
        <f>SUMIF($P:$P,$Q23,K:K)</f>
        <v>0</v>
      </c>
      <c r="L23" s="60"/>
      <c r="M23" s="71">
        <f>SUMIF($P:$P,$Q23,M:M)</f>
        <v>0</v>
      </c>
      <c r="N23" s="60"/>
      <c r="O23" s="71">
        <f>SUMIF($P:$P,$Q23,O:O)</f>
        <v>6363.4217039999994</v>
      </c>
      <c r="P23" s="53" t="s">
        <v>13</v>
      </c>
      <c r="Q23" s="53" t="s">
        <v>112</v>
      </c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 ht="12.75" customHeight="1"/>
    <row r="25" spans="1:28" ht="18.75" customHeight="1">
      <c r="A25" s="60"/>
      <c r="B25" s="60" t="s">
        <v>126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>
      <c r="A26">
        <v>6</v>
      </c>
      <c r="B26" s="61" t="s">
        <v>222</v>
      </c>
      <c r="C26" s="62" t="s">
        <v>223</v>
      </c>
      <c r="D26" s="61" t="s">
        <v>86</v>
      </c>
      <c r="E26" s="63">
        <v>19.54</v>
      </c>
      <c r="F26" s="64"/>
      <c r="G26" s="64">
        <f>E26*F26</f>
        <v>0</v>
      </c>
      <c r="H26" s="65">
        <v>0</v>
      </c>
      <c r="I26" s="65">
        <f>E26*H26</f>
        <v>0</v>
      </c>
      <c r="J26" s="65">
        <v>0</v>
      </c>
      <c r="K26" s="65">
        <f>E26*J26</f>
        <v>0</v>
      </c>
      <c r="L26" s="66">
        <v>0</v>
      </c>
      <c r="M26" s="66">
        <f>E26*L26</f>
        <v>0</v>
      </c>
      <c r="N26" s="66">
        <f>23.12</f>
        <v>23.12</v>
      </c>
      <c r="O26" s="66">
        <f>E26*N26</f>
        <v>451.76479999999998</v>
      </c>
      <c r="P26" s="53" t="s">
        <v>129</v>
      </c>
      <c r="Q26" s="53"/>
      <c r="R26" s="53" t="s">
        <v>80</v>
      </c>
      <c r="S26" s="53" t="s">
        <v>81</v>
      </c>
      <c r="T26" s="53" t="s">
        <v>82</v>
      </c>
      <c r="U26" s="53"/>
      <c r="V26" s="53"/>
      <c r="W26" s="53"/>
      <c r="X26" s="53"/>
      <c r="Y26" s="53"/>
      <c r="Z26" s="53"/>
      <c r="AA26" s="67">
        <v>19</v>
      </c>
      <c r="AB26" s="53" t="s">
        <v>83</v>
      </c>
    </row>
    <row r="27" spans="1:28">
      <c r="A27">
        <v>7</v>
      </c>
      <c r="B27" s="61" t="s">
        <v>130</v>
      </c>
      <c r="C27" s="62" t="s">
        <v>131</v>
      </c>
      <c r="D27" s="61" t="s">
        <v>86</v>
      </c>
      <c r="E27" s="63">
        <v>40.287999999999997</v>
      </c>
      <c r="F27" s="64"/>
      <c r="G27" s="64">
        <f>E27*F27</f>
        <v>0</v>
      </c>
      <c r="H27" s="65">
        <v>0</v>
      </c>
      <c r="I27" s="65">
        <f>E27*H27</f>
        <v>0</v>
      </c>
      <c r="J27" s="65">
        <v>0</v>
      </c>
      <c r="K27" s="65">
        <f>E27*J27</f>
        <v>0</v>
      </c>
      <c r="L27" s="66">
        <v>0</v>
      </c>
      <c r="M27" s="66">
        <f>E27*L27</f>
        <v>0</v>
      </c>
      <c r="N27" s="66">
        <f>16.13</f>
        <v>16.13</v>
      </c>
      <c r="O27" s="66">
        <f>E27*N27</f>
        <v>649.84543999999994</v>
      </c>
      <c r="P27" s="53" t="s">
        <v>129</v>
      </c>
      <c r="Q27" s="53"/>
      <c r="R27" s="53" t="s">
        <v>80</v>
      </c>
      <c r="S27" s="53" t="s">
        <v>81</v>
      </c>
      <c r="T27" s="53" t="s">
        <v>82</v>
      </c>
      <c r="U27" s="53"/>
      <c r="V27" s="53"/>
      <c r="W27" s="53"/>
      <c r="X27" s="53"/>
      <c r="Y27" s="53"/>
      <c r="Z27" s="53"/>
      <c r="AA27" s="67">
        <v>19</v>
      </c>
      <c r="AB27" s="53" t="s">
        <v>83</v>
      </c>
    </row>
    <row r="28" spans="1:28">
      <c r="A28">
        <v>8</v>
      </c>
      <c r="B28" s="61" t="s">
        <v>132</v>
      </c>
      <c r="C28" s="62" t="s">
        <v>131</v>
      </c>
      <c r="D28" s="61" t="s">
        <v>86</v>
      </c>
      <c r="E28" s="63">
        <v>1.6328</v>
      </c>
      <c r="F28" s="64"/>
      <c r="G28" s="64">
        <f>E28*F28</f>
        <v>0</v>
      </c>
      <c r="H28" s="65">
        <v>0</v>
      </c>
      <c r="I28" s="65">
        <f>E28*H28</f>
        <v>0</v>
      </c>
      <c r="J28" s="65">
        <v>0</v>
      </c>
      <c r="K28" s="65">
        <f>E28*J28</f>
        <v>0</v>
      </c>
      <c r="L28" s="66">
        <v>0</v>
      </c>
      <c r="M28" s="66">
        <f>E28*L28</f>
        <v>0</v>
      </c>
      <c r="N28" s="66">
        <f>17.513809</f>
        <v>17.513808999999998</v>
      </c>
      <c r="O28" s="66">
        <f>E28*N28</f>
        <v>28.596547335199997</v>
      </c>
      <c r="P28" s="53" t="s">
        <v>129</v>
      </c>
      <c r="Q28" s="53"/>
      <c r="R28" s="53" t="s">
        <v>80</v>
      </c>
      <c r="S28" s="53" t="s">
        <v>133</v>
      </c>
      <c r="T28" s="53" t="s">
        <v>134</v>
      </c>
      <c r="U28" s="53"/>
      <c r="V28" s="53"/>
      <c r="W28" s="53"/>
      <c r="X28" s="53"/>
      <c r="Y28" s="53"/>
      <c r="Z28" s="53"/>
      <c r="AA28" s="67">
        <v>19</v>
      </c>
      <c r="AB28" s="53" t="s">
        <v>83</v>
      </c>
    </row>
    <row r="29" spans="1:28">
      <c r="A29">
        <v>9</v>
      </c>
      <c r="B29" s="61" t="s">
        <v>224</v>
      </c>
      <c r="C29" s="62" t="s">
        <v>225</v>
      </c>
      <c r="D29" s="61" t="s">
        <v>86</v>
      </c>
      <c r="E29" s="63">
        <v>1.6015999999999999</v>
      </c>
      <c r="F29" s="64"/>
      <c r="G29" s="64">
        <f>E29*F29</f>
        <v>0</v>
      </c>
      <c r="H29" s="65">
        <v>0</v>
      </c>
      <c r="I29" s="65">
        <f>E29*H29</f>
        <v>0</v>
      </c>
      <c r="J29" s="65">
        <v>0</v>
      </c>
      <c r="K29" s="65">
        <f>E29*J29</f>
        <v>0</v>
      </c>
      <c r="L29" s="66">
        <v>0</v>
      </c>
      <c r="M29" s="66">
        <f>E29*L29</f>
        <v>0</v>
      </c>
      <c r="N29" s="66">
        <f>67.74</f>
        <v>67.739999999999995</v>
      </c>
      <c r="O29" s="66">
        <f>E29*N29</f>
        <v>108.49238399999999</v>
      </c>
      <c r="P29" s="53" t="s">
        <v>129</v>
      </c>
      <c r="Q29" s="53"/>
      <c r="R29" s="53" t="s">
        <v>80</v>
      </c>
      <c r="S29" s="53" t="s">
        <v>81</v>
      </c>
      <c r="T29" s="53" t="s">
        <v>82</v>
      </c>
      <c r="U29" s="53"/>
      <c r="V29" s="53"/>
      <c r="W29" s="53"/>
      <c r="X29" s="53"/>
      <c r="Y29" s="53"/>
      <c r="Z29" s="53"/>
      <c r="AA29" s="67">
        <v>19</v>
      </c>
      <c r="AB29" s="53" t="s">
        <v>83</v>
      </c>
    </row>
    <row r="30" spans="1:28">
      <c r="A30">
        <v>10</v>
      </c>
      <c r="B30" s="61" t="s">
        <v>228</v>
      </c>
      <c r="C30" s="62" t="s">
        <v>229</v>
      </c>
      <c r="D30" s="61" t="s">
        <v>86</v>
      </c>
      <c r="E30" s="63">
        <v>33.816000000000003</v>
      </c>
      <c r="F30" s="64"/>
      <c r="G30" s="64">
        <f>E30*F30</f>
        <v>0</v>
      </c>
      <c r="H30" s="65">
        <v>0</v>
      </c>
      <c r="I30" s="65">
        <f>E30*H30</f>
        <v>0</v>
      </c>
      <c r="J30" s="65">
        <v>0</v>
      </c>
      <c r="K30" s="65">
        <f>E30*J30</f>
        <v>0</v>
      </c>
      <c r="L30" s="66">
        <v>0</v>
      </c>
      <c r="M30" s="66">
        <f>E30*L30</f>
        <v>0</v>
      </c>
      <c r="N30" s="66">
        <f>522.79</f>
        <v>522.79</v>
      </c>
      <c r="O30" s="66">
        <f>E30*N30</f>
        <v>17678.666639999999</v>
      </c>
      <c r="P30" s="53" t="s">
        <v>129</v>
      </c>
      <c r="Q30" s="53"/>
      <c r="R30" s="53" t="s">
        <v>80</v>
      </c>
      <c r="S30" s="53" t="s">
        <v>81</v>
      </c>
      <c r="T30" s="53" t="s">
        <v>82</v>
      </c>
      <c r="U30" s="53"/>
      <c r="V30" s="53"/>
      <c r="W30" s="53"/>
      <c r="X30" s="53"/>
      <c r="Y30" s="53"/>
      <c r="Z30" s="53"/>
      <c r="AA30" s="67">
        <v>19</v>
      </c>
      <c r="AB30" s="53" t="s">
        <v>83</v>
      </c>
    </row>
    <row r="31" spans="1:28" ht="18.75" customHeight="1">
      <c r="A31" s="68" t="s">
        <v>13</v>
      </c>
      <c r="B31" s="60" t="s">
        <v>138</v>
      </c>
      <c r="C31" s="60"/>
      <c r="D31" s="60"/>
      <c r="E31" s="60"/>
      <c r="F31" s="60"/>
      <c r="G31" s="69">
        <f>SUMIF($P:$P,$Q31,G:G)</f>
        <v>0</v>
      </c>
      <c r="H31" s="60"/>
      <c r="I31" s="70">
        <f>SUMIF($P:$P,$Q31,I:I)</f>
        <v>0</v>
      </c>
      <c r="J31" s="60"/>
      <c r="K31" s="70">
        <f>SUMIF($P:$P,$Q31,K:K)</f>
        <v>0</v>
      </c>
      <c r="L31" s="60"/>
      <c r="M31" s="71">
        <f>SUMIF($P:$P,$Q31,M:M)</f>
        <v>0</v>
      </c>
      <c r="N31" s="60"/>
      <c r="O31" s="71">
        <f>SUMIF($P:$P,$Q31,O:O)</f>
        <v>18917.365811335199</v>
      </c>
      <c r="P31" s="53" t="s">
        <v>13</v>
      </c>
      <c r="Q31" s="53" t="s">
        <v>129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ht="12.75" customHeight="1"/>
    <row r="33" spans="1:28" ht="18.75" customHeight="1">
      <c r="A33" s="60"/>
      <c r="B33" s="60" t="s">
        <v>139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>
      <c r="A34">
        <v>11</v>
      </c>
      <c r="B34" s="61" t="s">
        <v>286</v>
      </c>
      <c r="C34" s="62" t="s">
        <v>287</v>
      </c>
      <c r="D34" s="61" t="s">
        <v>78</v>
      </c>
      <c r="E34" s="63">
        <v>30</v>
      </c>
      <c r="F34" s="64"/>
      <c r="G34" s="64">
        <f>E34*F34</f>
        <v>0</v>
      </c>
      <c r="H34" s="65">
        <v>0</v>
      </c>
      <c r="I34" s="65">
        <f>E34*H34</f>
        <v>0</v>
      </c>
      <c r="J34" s="65">
        <v>0</v>
      </c>
      <c r="K34" s="65">
        <f>E34*J34</f>
        <v>0</v>
      </c>
      <c r="L34" s="66">
        <v>0.49</v>
      </c>
      <c r="M34" s="66">
        <f>E34*L34</f>
        <v>14.7</v>
      </c>
      <c r="N34" s="66">
        <f>10.28</f>
        <v>10.28</v>
      </c>
      <c r="O34" s="66">
        <f>E34*N34</f>
        <v>308.39999999999998</v>
      </c>
      <c r="P34" s="53" t="s">
        <v>142</v>
      </c>
      <c r="Q34" s="53"/>
      <c r="R34" s="53" t="s">
        <v>80</v>
      </c>
      <c r="S34" s="53" t="s">
        <v>81</v>
      </c>
      <c r="T34" s="53" t="s">
        <v>82</v>
      </c>
      <c r="U34" s="53"/>
      <c r="V34" s="53"/>
      <c r="W34" s="53"/>
      <c r="X34" s="53"/>
      <c r="Y34" s="53"/>
      <c r="Z34" s="53"/>
      <c r="AA34" s="67">
        <v>19</v>
      </c>
      <c r="AB34" s="53" t="s">
        <v>83</v>
      </c>
    </row>
    <row r="35" spans="1:28">
      <c r="A35">
        <v>12</v>
      </c>
      <c r="B35" s="61" t="s">
        <v>288</v>
      </c>
      <c r="C35" s="62" t="s">
        <v>289</v>
      </c>
      <c r="D35" s="61" t="s">
        <v>78</v>
      </c>
      <c r="E35" s="63">
        <v>30</v>
      </c>
      <c r="F35" s="64"/>
      <c r="G35" s="64">
        <f>E35*F35</f>
        <v>0</v>
      </c>
      <c r="H35" s="65">
        <v>0</v>
      </c>
      <c r="I35" s="65">
        <f>E35*H35</f>
        <v>0</v>
      </c>
      <c r="J35" s="65">
        <v>0</v>
      </c>
      <c r="K35" s="65">
        <f>E35*J35</f>
        <v>0</v>
      </c>
      <c r="L35" s="66">
        <v>0</v>
      </c>
      <c r="M35" s="66">
        <f>E35*L35</f>
        <v>0</v>
      </c>
      <c r="N35" s="66">
        <f>26.9</f>
        <v>26.9</v>
      </c>
      <c r="O35" s="66">
        <f>E35*N35</f>
        <v>807</v>
      </c>
      <c r="P35" s="53" t="s">
        <v>142</v>
      </c>
      <c r="Q35" s="53"/>
      <c r="R35" s="53" t="s">
        <v>80</v>
      </c>
      <c r="S35" s="53" t="s">
        <v>81</v>
      </c>
      <c r="T35" s="53" t="s">
        <v>82</v>
      </c>
      <c r="U35" s="53"/>
      <c r="V35" s="53"/>
      <c r="W35" s="53"/>
      <c r="X35" s="53"/>
      <c r="Y35" s="53"/>
      <c r="Z35" s="53"/>
      <c r="AA35" s="67">
        <v>19</v>
      </c>
      <c r="AB35" s="53" t="s">
        <v>83</v>
      </c>
    </row>
    <row r="36" spans="1:28">
      <c r="A36">
        <v>13</v>
      </c>
      <c r="B36" s="61" t="s">
        <v>147</v>
      </c>
      <c r="C36" s="62" t="s">
        <v>148</v>
      </c>
      <c r="D36" s="61" t="s">
        <v>149</v>
      </c>
      <c r="E36" s="63">
        <v>1.35</v>
      </c>
      <c r="F36" s="64"/>
      <c r="G36" s="64">
        <f>E36*F36</f>
        <v>0</v>
      </c>
      <c r="H36" s="65">
        <v>1E-3</v>
      </c>
      <c r="I36" s="65">
        <f>E36*H36</f>
        <v>1.3500000000000001E-3</v>
      </c>
      <c r="J36" s="65">
        <v>0</v>
      </c>
      <c r="K36" s="65">
        <f>E36*J36</f>
        <v>0</v>
      </c>
      <c r="L36" s="66">
        <v>250</v>
      </c>
      <c r="M36" s="66">
        <f>E36*L36</f>
        <v>337.5</v>
      </c>
      <c r="N36" s="66">
        <f>0</f>
        <v>0</v>
      </c>
      <c r="O36" s="66">
        <f>E36*N36</f>
        <v>0</v>
      </c>
      <c r="P36" s="53" t="s">
        <v>142</v>
      </c>
      <c r="Q36" s="53"/>
      <c r="R36" s="53" t="s">
        <v>80</v>
      </c>
      <c r="S36" s="53" t="s">
        <v>150</v>
      </c>
      <c r="T36" s="53" t="s">
        <v>151</v>
      </c>
      <c r="U36" s="53"/>
      <c r="V36" s="53"/>
      <c r="W36" s="53"/>
      <c r="X36" s="53"/>
      <c r="Y36" s="53"/>
      <c r="Z36" s="53"/>
      <c r="AA36" s="67">
        <v>19</v>
      </c>
      <c r="AB36" s="53" t="s">
        <v>152</v>
      </c>
    </row>
    <row r="37" spans="1:28" ht="18.75" customHeight="1">
      <c r="A37" s="68" t="s">
        <v>13</v>
      </c>
      <c r="B37" s="60" t="s">
        <v>153</v>
      </c>
      <c r="C37" s="60"/>
      <c r="D37" s="60"/>
      <c r="E37" s="60"/>
      <c r="F37" s="60"/>
      <c r="G37" s="69">
        <f>SUMIF($P:$P,$Q37,G:G)</f>
        <v>0</v>
      </c>
      <c r="H37" s="60"/>
      <c r="I37" s="70">
        <f>SUMIF($P:$P,$Q37,I:I)</f>
        <v>1.3500000000000001E-3</v>
      </c>
      <c r="J37" s="60"/>
      <c r="K37" s="70">
        <f>SUMIF($P:$P,$Q37,K:K)</f>
        <v>0</v>
      </c>
      <c r="L37" s="60"/>
      <c r="M37" s="71">
        <f>SUMIF($P:$P,$Q37,M:M)</f>
        <v>352.2</v>
      </c>
      <c r="N37" s="60"/>
      <c r="O37" s="71">
        <f>SUMIF($P:$P,$Q37,O:O)</f>
        <v>1115.4000000000001</v>
      </c>
      <c r="P37" s="53" t="s">
        <v>13</v>
      </c>
      <c r="Q37" s="53" t="s">
        <v>142</v>
      </c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 ht="12.75" customHeight="1"/>
    <row r="39" spans="1:28" ht="18.75" customHeight="1">
      <c r="A39" s="60"/>
      <c r="B39" s="60" t="s">
        <v>290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>
      <c r="A40">
        <v>14</v>
      </c>
      <c r="B40" s="61" t="s">
        <v>291</v>
      </c>
      <c r="C40" s="62" t="s">
        <v>292</v>
      </c>
      <c r="D40" s="61" t="s">
        <v>86</v>
      </c>
      <c r="E40" s="63">
        <v>0.6</v>
      </c>
      <c r="F40" s="64"/>
      <c r="G40" s="64">
        <f>E40*F40</f>
        <v>0</v>
      </c>
      <c r="H40" s="65">
        <v>0.187</v>
      </c>
      <c r="I40" s="65">
        <f>E40*H40</f>
        <v>0.11219999999999999</v>
      </c>
      <c r="J40" s="65">
        <v>0</v>
      </c>
      <c r="K40" s="65">
        <f>E40*J40</f>
        <v>0</v>
      </c>
      <c r="L40" s="66">
        <v>216.09</v>
      </c>
      <c r="M40" s="66">
        <f>E40*L40</f>
        <v>129.654</v>
      </c>
      <c r="N40" s="66">
        <f>5333.56</f>
        <v>5333.56</v>
      </c>
      <c r="O40" s="66">
        <f>E40*N40</f>
        <v>3200.136</v>
      </c>
      <c r="P40" s="53" t="s">
        <v>293</v>
      </c>
      <c r="Q40" s="53"/>
      <c r="R40" s="53" t="s">
        <v>80</v>
      </c>
      <c r="S40" s="53" t="s">
        <v>81</v>
      </c>
      <c r="T40" s="53" t="s">
        <v>82</v>
      </c>
      <c r="U40" s="53"/>
      <c r="V40" s="53"/>
      <c r="W40" s="53"/>
      <c r="X40" s="53"/>
      <c r="Y40" s="53"/>
      <c r="Z40" s="53"/>
      <c r="AA40" s="67">
        <v>19</v>
      </c>
      <c r="AB40" s="53" t="s">
        <v>83</v>
      </c>
    </row>
    <row r="41" spans="1:28">
      <c r="A41">
        <v>15</v>
      </c>
      <c r="B41" s="61" t="s">
        <v>294</v>
      </c>
      <c r="C41" s="62" t="s">
        <v>295</v>
      </c>
      <c r="D41" s="61" t="s">
        <v>86</v>
      </c>
      <c r="E41" s="63">
        <v>1.046</v>
      </c>
      <c r="F41" s="64"/>
      <c r="G41" s="64">
        <f>E41*F41</f>
        <v>0</v>
      </c>
      <c r="H41" s="65">
        <v>2.8530000000000002</v>
      </c>
      <c r="I41" s="65">
        <f>E41*H41</f>
        <v>2.9842380000000004</v>
      </c>
      <c r="J41" s="65">
        <v>0</v>
      </c>
      <c r="K41" s="65">
        <f>E41*J41</f>
        <v>0</v>
      </c>
      <c r="L41" s="66">
        <v>3416.3</v>
      </c>
      <c r="M41" s="66">
        <f>E41*L41</f>
        <v>3573.4498000000003</v>
      </c>
      <c r="N41" s="66">
        <f>1253.24</f>
        <v>1253.24</v>
      </c>
      <c r="O41" s="66">
        <f>E41*N41</f>
        <v>1310.88904</v>
      </c>
      <c r="P41" s="53" t="s">
        <v>293</v>
      </c>
      <c r="Q41" s="53"/>
      <c r="R41" s="53" t="s">
        <v>80</v>
      </c>
      <c r="S41" s="53" t="s">
        <v>81</v>
      </c>
      <c r="T41" s="53" t="s">
        <v>82</v>
      </c>
      <c r="U41" s="53"/>
      <c r="V41" s="53"/>
      <c r="W41" s="53"/>
      <c r="X41" s="53"/>
      <c r="Y41" s="53"/>
      <c r="Z41" s="53"/>
      <c r="AA41" s="67">
        <v>19</v>
      </c>
      <c r="AB41" s="53" t="s">
        <v>83</v>
      </c>
    </row>
    <row r="42" spans="1:28">
      <c r="A42">
        <v>16</v>
      </c>
      <c r="B42" s="61" t="s">
        <v>296</v>
      </c>
      <c r="C42" s="62" t="s">
        <v>297</v>
      </c>
      <c r="D42" s="61" t="s">
        <v>78</v>
      </c>
      <c r="E42" s="63">
        <v>1.25</v>
      </c>
      <c r="F42" s="64"/>
      <c r="G42" s="64">
        <f>E42*F42</f>
        <v>0</v>
      </c>
      <c r="H42" s="65">
        <v>1.4449999999999999E-2</v>
      </c>
      <c r="I42" s="65">
        <f>E42*H42</f>
        <v>1.8062499999999999E-2</v>
      </c>
      <c r="J42" s="65">
        <v>0</v>
      </c>
      <c r="K42" s="65">
        <f>E42*J42</f>
        <v>0</v>
      </c>
      <c r="L42" s="66">
        <v>177.31</v>
      </c>
      <c r="M42" s="66">
        <f>E42*L42</f>
        <v>221.63749999999999</v>
      </c>
      <c r="N42" s="66">
        <f>613.58</f>
        <v>613.58000000000004</v>
      </c>
      <c r="O42" s="66">
        <f>E42*N42</f>
        <v>766.97500000000002</v>
      </c>
      <c r="P42" s="53" t="s">
        <v>293</v>
      </c>
      <c r="Q42" s="53"/>
      <c r="R42" s="53" t="s">
        <v>80</v>
      </c>
      <c r="S42" s="53" t="s">
        <v>81</v>
      </c>
      <c r="T42" s="53" t="s">
        <v>82</v>
      </c>
      <c r="U42" s="53"/>
      <c r="V42" s="53"/>
      <c r="W42" s="53"/>
      <c r="X42" s="53"/>
      <c r="Y42" s="53"/>
      <c r="Z42" s="53"/>
      <c r="AA42" s="67">
        <v>19</v>
      </c>
      <c r="AB42" s="53" t="s">
        <v>83</v>
      </c>
    </row>
    <row r="43" spans="1:28">
      <c r="A43">
        <v>17</v>
      </c>
      <c r="B43" s="61" t="s">
        <v>298</v>
      </c>
      <c r="C43" s="62" t="s">
        <v>299</v>
      </c>
      <c r="D43" s="61" t="s">
        <v>78</v>
      </c>
      <c r="E43" s="63">
        <v>1.25</v>
      </c>
      <c r="F43" s="64"/>
      <c r="G43" s="64">
        <f>E43*F43</f>
        <v>0</v>
      </c>
      <c r="H43" s="65">
        <v>1E-3</v>
      </c>
      <c r="I43" s="65">
        <f>E43*H43</f>
        <v>1.25E-3</v>
      </c>
      <c r="J43" s="65">
        <v>0</v>
      </c>
      <c r="K43" s="65">
        <f>E43*J43</f>
        <v>0</v>
      </c>
      <c r="L43" s="66">
        <v>44.38</v>
      </c>
      <c r="M43" s="66">
        <f>E43*L43</f>
        <v>55.475000000000001</v>
      </c>
      <c r="N43" s="66">
        <f>165.05</f>
        <v>165.05</v>
      </c>
      <c r="O43" s="66">
        <f>E43*N43</f>
        <v>206.3125</v>
      </c>
      <c r="P43" s="53" t="s">
        <v>293</v>
      </c>
      <c r="Q43" s="53"/>
      <c r="R43" s="53" t="s">
        <v>80</v>
      </c>
      <c r="S43" s="53" t="s">
        <v>81</v>
      </c>
      <c r="T43" s="53" t="s">
        <v>82</v>
      </c>
      <c r="U43" s="53"/>
      <c r="V43" s="53"/>
      <c r="W43" s="53"/>
      <c r="X43" s="53"/>
      <c r="Y43" s="53"/>
      <c r="Z43" s="53"/>
      <c r="AA43" s="67">
        <v>19</v>
      </c>
      <c r="AB43" s="53" t="s">
        <v>83</v>
      </c>
    </row>
    <row r="44" spans="1:28">
      <c r="A44">
        <v>18</v>
      </c>
      <c r="B44" s="61" t="s">
        <v>300</v>
      </c>
      <c r="C44" s="62" t="s">
        <v>301</v>
      </c>
      <c r="D44" s="61" t="s">
        <v>137</v>
      </c>
      <c r="E44" s="63">
        <v>5.3771550000000001E-2</v>
      </c>
      <c r="F44" s="64"/>
      <c r="G44" s="64">
        <f>E44*F44</f>
        <v>0</v>
      </c>
      <c r="H44" s="65">
        <v>1.0583110200000001</v>
      </c>
      <c r="I44" s="65">
        <f>E44*H44</f>
        <v>5.690702392748101E-2</v>
      </c>
      <c r="J44" s="65">
        <v>0</v>
      </c>
      <c r="K44" s="65">
        <f>E44*J44</f>
        <v>0</v>
      </c>
      <c r="L44" s="66">
        <v>27362.6224</v>
      </c>
      <c r="M44" s="66">
        <f>E44*L44</f>
        <v>1471.3306185127201</v>
      </c>
      <c r="N44" s="66">
        <f>8852.199438</f>
        <v>8852.1994379999996</v>
      </c>
      <c r="O44" s="66">
        <f>E44*N44</f>
        <v>475.99648469038891</v>
      </c>
      <c r="P44" s="53" t="s">
        <v>293</v>
      </c>
      <c r="Q44" s="53"/>
      <c r="R44" s="53" t="s">
        <v>80</v>
      </c>
      <c r="S44" s="53" t="s">
        <v>302</v>
      </c>
      <c r="T44" s="53" t="s">
        <v>303</v>
      </c>
      <c r="U44" s="53"/>
      <c r="V44" s="53"/>
      <c r="W44" s="53"/>
      <c r="X44" s="53"/>
      <c r="Y44" s="53"/>
      <c r="Z44" s="53"/>
      <c r="AA44" s="67">
        <v>19</v>
      </c>
      <c r="AB44" s="53" t="s">
        <v>83</v>
      </c>
    </row>
    <row r="45" spans="1:28" ht="18.75" customHeight="1">
      <c r="A45" s="68" t="s">
        <v>13</v>
      </c>
      <c r="B45" s="60" t="s">
        <v>304</v>
      </c>
      <c r="C45" s="60"/>
      <c r="D45" s="60"/>
      <c r="E45" s="60"/>
      <c r="F45" s="60"/>
      <c r="G45" s="69">
        <f>SUMIF($P:$P,$Q45,G:G)</f>
        <v>0</v>
      </c>
      <c r="H45" s="60"/>
      <c r="I45" s="70">
        <f>SUMIF($P:$P,$Q45,I:I)</f>
        <v>3.1726575239274819</v>
      </c>
      <c r="J45" s="60"/>
      <c r="K45" s="70">
        <f>SUMIF($P:$P,$Q45,K:K)</f>
        <v>0</v>
      </c>
      <c r="L45" s="60"/>
      <c r="M45" s="71">
        <f>SUMIF($P:$P,$Q45,M:M)</f>
        <v>5451.5469185127204</v>
      </c>
      <c r="N45" s="60"/>
      <c r="O45" s="71">
        <f>SUMIF($P:$P,$Q45,O:O)</f>
        <v>5960.3090246903894</v>
      </c>
      <c r="P45" s="53" t="s">
        <v>13</v>
      </c>
      <c r="Q45" s="53" t="s">
        <v>293</v>
      </c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 ht="12.75" customHeight="1"/>
    <row r="47" spans="1:28" ht="18.75" customHeight="1">
      <c r="A47" s="60"/>
      <c r="B47" s="60" t="s">
        <v>254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>
      <c r="A48">
        <v>19</v>
      </c>
      <c r="B48" s="61" t="s">
        <v>305</v>
      </c>
      <c r="C48" s="62" t="s">
        <v>306</v>
      </c>
      <c r="D48" s="61" t="s">
        <v>86</v>
      </c>
      <c r="E48" s="63">
        <v>6.72</v>
      </c>
      <c r="F48" s="64"/>
      <c r="G48" s="64">
        <f>E48*F48</f>
        <v>0</v>
      </c>
      <c r="H48" s="65">
        <v>2.5390000000000001</v>
      </c>
      <c r="I48" s="65">
        <f>E48*H48</f>
        <v>17.062080000000002</v>
      </c>
      <c r="J48" s="65">
        <v>0</v>
      </c>
      <c r="K48" s="65">
        <f>E48*J48</f>
        <v>0</v>
      </c>
      <c r="L48" s="66">
        <v>2436.98</v>
      </c>
      <c r="M48" s="66">
        <f>E48*L48</f>
        <v>16376.5056</v>
      </c>
      <c r="N48" s="66">
        <f>394.43</f>
        <v>394.43</v>
      </c>
      <c r="O48" s="66">
        <f>E48*N48</f>
        <v>2650.5695999999998</v>
      </c>
      <c r="P48" s="53" t="s">
        <v>257</v>
      </c>
      <c r="Q48" s="53"/>
      <c r="R48" s="53" t="s">
        <v>80</v>
      </c>
      <c r="S48" s="53" t="s">
        <v>81</v>
      </c>
      <c r="T48" s="53" t="s">
        <v>82</v>
      </c>
      <c r="U48" s="53"/>
      <c r="V48" s="53"/>
      <c r="W48" s="53"/>
      <c r="X48" s="53"/>
      <c r="Y48" s="53"/>
      <c r="Z48" s="53"/>
      <c r="AA48" s="67">
        <v>19</v>
      </c>
      <c r="AB48" s="53" t="s">
        <v>83</v>
      </c>
    </row>
    <row r="49" spans="1:28">
      <c r="A49">
        <v>20</v>
      </c>
      <c r="B49" s="61" t="s">
        <v>307</v>
      </c>
      <c r="C49" s="62" t="s">
        <v>308</v>
      </c>
      <c r="D49" s="61" t="s">
        <v>246</v>
      </c>
      <c r="E49" s="63">
        <v>16</v>
      </c>
      <c r="F49" s="64"/>
      <c r="G49" s="64">
        <f>E49*F49</f>
        <v>0</v>
      </c>
      <c r="H49" s="65">
        <v>1.3280000000000001</v>
      </c>
      <c r="I49" s="65">
        <f>E49*H49</f>
        <v>21.248000000000001</v>
      </c>
      <c r="J49" s="65">
        <v>0</v>
      </c>
      <c r="K49" s="65">
        <f>E49*J49</f>
        <v>0</v>
      </c>
      <c r="L49" s="66">
        <v>1456.42</v>
      </c>
      <c r="M49" s="66">
        <f>E49*L49</f>
        <v>23302.720000000001</v>
      </c>
      <c r="N49" s="66">
        <f>631.05</f>
        <v>631.04999999999995</v>
      </c>
      <c r="O49" s="66">
        <f>E49*N49</f>
        <v>10096.799999999999</v>
      </c>
      <c r="P49" s="53" t="s">
        <v>257</v>
      </c>
      <c r="Q49" s="53"/>
      <c r="R49" s="53" t="s">
        <v>80</v>
      </c>
      <c r="S49" s="53" t="s">
        <v>81</v>
      </c>
      <c r="T49" s="53" t="s">
        <v>82</v>
      </c>
      <c r="U49" s="53"/>
      <c r="V49" s="53"/>
      <c r="W49" s="53"/>
      <c r="X49" s="53"/>
      <c r="Y49" s="53"/>
      <c r="Z49" s="53"/>
      <c r="AA49" s="67">
        <v>19</v>
      </c>
      <c r="AB49" s="53" t="s">
        <v>83</v>
      </c>
    </row>
    <row r="50" spans="1:28">
      <c r="A50">
        <v>21</v>
      </c>
      <c r="B50" s="61" t="s">
        <v>309</v>
      </c>
      <c r="C50" s="62" t="s">
        <v>310</v>
      </c>
      <c r="D50" s="61" t="s">
        <v>240</v>
      </c>
      <c r="E50" s="63">
        <v>6</v>
      </c>
      <c r="F50" s="64"/>
      <c r="G50" s="64">
        <f>E50*F50</f>
        <v>0</v>
      </c>
      <c r="H50" s="65">
        <v>1.375</v>
      </c>
      <c r="I50" s="65">
        <f>E50*H50</f>
        <v>8.25</v>
      </c>
      <c r="J50" s="65">
        <v>0</v>
      </c>
      <c r="K50" s="65">
        <f>E50*J50</f>
        <v>0</v>
      </c>
      <c r="L50" s="66">
        <v>5600</v>
      </c>
      <c r="M50" s="66">
        <f>E50*L50</f>
        <v>33600</v>
      </c>
      <c r="N50" s="66">
        <f>168</f>
        <v>168</v>
      </c>
      <c r="O50" s="66">
        <f>E50*N50</f>
        <v>1008</v>
      </c>
      <c r="P50" s="53" t="s">
        <v>257</v>
      </c>
      <c r="Q50" s="53"/>
      <c r="R50" s="53" t="s">
        <v>80</v>
      </c>
      <c r="S50" s="53" t="s">
        <v>258</v>
      </c>
      <c r="T50" s="53" t="s">
        <v>259</v>
      </c>
      <c r="U50" s="53"/>
      <c r="V50" s="53"/>
      <c r="W50" s="53"/>
      <c r="X50" s="53"/>
      <c r="Y50" s="53"/>
      <c r="Z50" s="53"/>
      <c r="AA50" s="67">
        <v>19</v>
      </c>
      <c r="AB50" s="53" t="s">
        <v>152</v>
      </c>
    </row>
    <row r="51" spans="1:28" ht="18.75" customHeight="1">
      <c r="A51" s="68" t="s">
        <v>13</v>
      </c>
      <c r="B51" s="60" t="s">
        <v>262</v>
      </c>
      <c r="C51" s="60"/>
      <c r="D51" s="60"/>
      <c r="E51" s="60"/>
      <c r="F51" s="60"/>
      <c r="G51" s="69">
        <f>SUMIF($P:$P,$Q51,G:G)</f>
        <v>0</v>
      </c>
      <c r="H51" s="60"/>
      <c r="I51" s="70">
        <f>SUMIF($P:$P,$Q51,I:I)</f>
        <v>46.560079999999999</v>
      </c>
      <c r="J51" s="60"/>
      <c r="K51" s="70">
        <f>SUMIF($P:$P,$Q51,K:K)</f>
        <v>0</v>
      </c>
      <c r="L51" s="60"/>
      <c r="M51" s="71">
        <f>SUMIF($P:$P,$Q51,M:M)</f>
        <v>73279.225600000005</v>
      </c>
      <c r="N51" s="60"/>
      <c r="O51" s="71">
        <f>SUMIF($P:$P,$Q51,O:O)</f>
        <v>13755.369599999998</v>
      </c>
      <c r="P51" s="53" t="s">
        <v>13</v>
      </c>
      <c r="Q51" s="53" t="s">
        <v>257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t="12.75" customHeight="1"/>
    <row r="53" spans="1:28" ht="18.75" customHeight="1">
      <c r="A53" s="60"/>
      <c r="B53" s="60" t="s">
        <v>172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>
      <c r="A54">
        <v>22</v>
      </c>
      <c r="B54" s="61" t="s">
        <v>173</v>
      </c>
      <c r="C54" s="62" t="s">
        <v>174</v>
      </c>
      <c r="D54" s="61" t="s">
        <v>137</v>
      </c>
      <c r="E54" s="63">
        <f>Z54*IF(V54="cenik_cast",IF(U54="hmoty",SUMIF(T:T,Y54,I:I),IF(U54="cena_hmot",SUMIF(T:T,Y54,M:M)/1000,SUMIF(T:T,Y54,G:G)/1000)),IF(V54="cenik",IF(U54="hmoty",SUMIF(S:S,X54,I:I),IF(U54="cena_hmot",SUMIF(S:S,X54,M:M)/1000,SUMIF(S:S,X54,G:G)/1000)),IF(U54="hmoty",SUMIF(R:R,W54,I:I),IF(U54="cena_hmot",SUMIF(R:R,W54,M:M)/1000,SUMIF(R:R,W54,G:G)/1000))))</f>
        <v>49.734087523927485</v>
      </c>
      <c r="F54" s="64"/>
      <c r="G54" s="64">
        <f>E54*F54</f>
        <v>0</v>
      </c>
      <c r="H54" s="65">
        <v>0</v>
      </c>
      <c r="I54" s="65">
        <f>E54*H54</f>
        <v>0</v>
      </c>
      <c r="J54" s="65">
        <v>0</v>
      </c>
      <c r="K54" s="65">
        <f>E54*J54</f>
        <v>0</v>
      </c>
      <c r="L54" s="66">
        <v>0</v>
      </c>
      <c r="M54" s="66">
        <f>E54*L54</f>
        <v>0</v>
      </c>
      <c r="N54" s="66">
        <f>185.19</f>
        <v>185.19</v>
      </c>
      <c r="O54" s="66">
        <f>E54*N54</f>
        <v>9210.2556685561303</v>
      </c>
      <c r="P54" s="53" t="s">
        <v>175</v>
      </c>
      <c r="Q54" s="53"/>
      <c r="R54" s="53"/>
      <c r="S54" s="53"/>
      <c r="T54" s="53"/>
      <c r="U54" s="53" t="s">
        <v>176</v>
      </c>
      <c r="V54" s="53" t="s">
        <v>263</v>
      </c>
      <c r="W54" s="53" t="s">
        <v>80</v>
      </c>
      <c r="X54" s="53" t="s">
        <v>302</v>
      </c>
      <c r="Y54" s="53" t="s">
        <v>303</v>
      </c>
      <c r="Z54" s="54">
        <v>1</v>
      </c>
      <c r="AA54" s="67">
        <v>19</v>
      </c>
      <c r="AB54" s="53" t="s">
        <v>83</v>
      </c>
    </row>
    <row r="55" spans="1:28" ht="18.75" customHeight="1">
      <c r="A55" s="68" t="s">
        <v>13</v>
      </c>
      <c r="B55" s="60" t="s">
        <v>178</v>
      </c>
      <c r="C55" s="60"/>
      <c r="D55" s="60"/>
      <c r="E55" s="60"/>
      <c r="F55" s="60"/>
      <c r="G55" s="69">
        <f>SUMIF($P:$P,$Q55,G:G)</f>
        <v>0</v>
      </c>
      <c r="H55" s="60"/>
      <c r="I55" s="70">
        <f>SUMIF($P:$P,$Q55,I:I)</f>
        <v>0</v>
      </c>
      <c r="J55" s="60"/>
      <c r="K55" s="70">
        <f>SUMIF($P:$P,$Q55,K:K)</f>
        <v>0</v>
      </c>
      <c r="L55" s="60"/>
      <c r="M55" s="71">
        <f>SUMIF($P:$P,$Q55,M:M)</f>
        <v>0</v>
      </c>
      <c r="N55" s="60"/>
      <c r="O55" s="71">
        <f>SUMIF($P:$P,$Q55,O:O)</f>
        <v>9210.2556685561303</v>
      </c>
      <c r="P55" s="53" t="s">
        <v>13</v>
      </c>
      <c r="Q55" s="53" t="s">
        <v>175</v>
      </c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1:28" ht="12.75" customHeight="1" thickBot="1"/>
    <row r="57" spans="1:28" ht="18.75" customHeight="1">
      <c r="A57" s="72" t="s">
        <v>13</v>
      </c>
      <c r="B57" s="73"/>
      <c r="C57" s="73"/>
      <c r="D57" s="73"/>
      <c r="E57" s="73"/>
      <c r="F57" s="73"/>
      <c r="G57" s="74">
        <f>SUMIF($P:$P,"S",G:G)</f>
        <v>0</v>
      </c>
      <c r="H57" s="73"/>
      <c r="I57" s="75">
        <f>SUMIF($P:$P,"S",I:I)</f>
        <v>49.734087523927478</v>
      </c>
      <c r="J57" s="73"/>
      <c r="K57" s="75">
        <f>SUMIF($P:$P,"S",K:K)</f>
        <v>0</v>
      </c>
      <c r="L57" s="73"/>
      <c r="M57" s="76">
        <f>SUMIF($P:$P,"S",M:M)</f>
        <v>79082.972518512732</v>
      </c>
      <c r="N57" s="73"/>
      <c r="O57" s="76">
        <f>SUMIF($P:$P,"S",O:O)</f>
        <v>102891.30392858172</v>
      </c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60" spans="1:28" ht="18.75" customHeight="1" thickBot="1">
      <c r="A60" s="77" t="s">
        <v>179</v>
      </c>
      <c r="B60" s="77"/>
      <c r="C60" s="77"/>
      <c r="D60" s="77"/>
      <c r="E60" s="77"/>
    </row>
    <row r="61" spans="1:28">
      <c r="B61" s="61" t="s">
        <v>182</v>
      </c>
      <c r="C61" s="78" t="s">
        <v>183</v>
      </c>
      <c r="D61" s="78"/>
      <c r="E61" s="64">
        <f>$G$13</f>
        <v>0</v>
      </c>
    </row>
    <row r="62" spans="1:28">
      <c r="B62" s="61" t="s">
        <v>184</v>
      </c>
      <c r="C62" s="79" t="s">
        <v>185</v>
      </c>
      <c r="D62" s="79"/>
      <c r="E62" s="64">
        <f>$G$17</f>
        <v>0</v>
      </c>
    </row>
    <row r="63" spans="1:28">
      <c r="B63" s="61" t="s">
        <v>186</v>
      </c>
      <c r="C63" s="79" t="s">
        <v>187</v>
      </c>
      <c r="D63" s="79"/>
      <c r="E63" s="64">
        <f>$G$23</f>
        <v>0</v>
      </c>
    </row>
    <row r="64" spans="1:28">
      <c r="B64" s="61" t="s">
        <v>188</v>
      </c>
      <c r="C64" s="79" t="s">
        <v>189</v>
      </c>
      <c r="D64" s="79"/>
      <c r="E64" s="64">
        <f>$G$31</f>
        <v>0</v>
      </c>
    </row>
    <row r="65" spans="1:5">
      <c r="B65" s="61" t="s">
        <v>190</v>
      </c>
      <c r="C65" s="79" t="s">
        <v>191</v>
      </c>
      <c r="D65" s="79"/>
      <c r="E65" s="64">
        <f>$G$37</f>
        <v>0</v>
      </c>
    </row>
    <row r="66" spans="1:5">
      <c r="B66" s="61" t="s">
        <v>311</v>
      </c>
      <c r="C66" s="79" t="s">
        <v>312</v>
      </c>
      <c r="D66" s="79"/>
      <c r="E66" s="64">
        <f>$G$45</f>
        <v>0</v>
      </c>
    </row>
    <row r="67" spans="1:5">
      <c r="B67" s="61" t="s">
        <v>268</v>
      </c>
      <c r="C67" s="79" t="s">
        <v>269</v>
      </c>
      <c r="D67" s="79"/>
      <c r="E67" s="64">
        <f>$G$51</f>
        <v>0</v>
      </c>
    </row>
    <row r="68" spans="1:5" ht="13.5" customHeight="1" thickBot="1">
      <c r="B68" s="61" t="s">
        <v>196</v>
      </c>
      <c r="C68" s="79" t="s">
        <v>197</v>
      </c>
      <c r="D68" s="79"/>
      <c r="E68" s="64">
        <f>$G$55</f>
        <v>0</v>
      </c>
    </row>
    <row r="69" spans="1:5" ht="18.75" customHeight="1">
      <c r="A69" s="72" t="s">
        <v>13</v>
      </c>
      <c r="B69" s="73"/>
      <c r="C69" s="73"/>
      <c r="D69" s="73"/>
      <c r="E69" s="74">
        <f>SUM($E$61:$E$68)</f>
        <v>0</v>
      </c>
    </row>
  </sheetData>
  <mergeCells count="26">
    <mergeCell ref="C67:D67"/>
    <mergeCell ref="C68:D68"/>
    <mergeCell ref="C61:D61"/>
    <mergeCell ref="C62:D62"/>
    <mergeCell ref="C63:D63"/>
    <mergeCell ref="C64:D64"/>
    <mergeCell ref="C65:D65"/>
    <mergeCell ref="C66:D66"/>
    <mergeCell ref="H8:I8"/>
    <mergeCell ref="J8:K8"/>
    <mergeCell ref="L8:M8"/>
    <mergeCell ref="N8:O8"/>
    <mergeCell ref="P8:AB8"/>
    <mergeCell ref="A60:E60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Normal="100" zoomScaleSheetLayoutView="100" workbookViewId="0">
      <selection activeCell="F12" sqref="F12:F13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  <c r="P3" s="53"/>
      <c r="Q3" s="54">
        <f>Q$1</f>
        <v>0</v>
      </c>
      <c r="R3" s="54">
        <f>R$1</f>
        <v>0</v>
      </c>
      <c r="S3" s="54">
        <f>S$1</f>
        <v>0</v>
      </c>
      <c r="T3" s="54">
        <f>T$1</f>
        <v>0</v>
      </c>
      <c r="U3" s="54">
        <f>U$1</f>
        <v>0</v>
      </c>
      <c r="V3" s="53"/>
      <c r="W3" s="54">
        <f>W$1</f>
        <v>0</v>
      </c>
      <c r="X3" s="54">
        <f>X$1</f>
        <v>0</v>
      </c>
      <c r="Y3" s="54">
        <f>Y$1</f>
        <v>0</v>
      </c>
      <c r="Z3" s="54">
        <f>Z$1</f>
        <v>0</v>
      </c>
    </row>
    <row r="4" spans="1:28" ht="12.75" customHeight="1">
      <c r="B4" s="3" t="s">
        <v>45</v>
      </c>
      <c r="C4" s="33" t="s">
        <v>17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285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27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270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313</v>
      </c>
      <c r="C12" s="62" t="s">
        <v>314</v>
      </c>
      <c r="D12" s="61" t="s">
        <v>246</v>
      </c>
      <c r="E12" s="63">
        <v>7.3</v>
      </c>
      <c r="F12" s="64"/>
      <c r="G12" s="64">
        <f>E12*F12</f>
        <v>0</v>
      </c>
      <c r="H12" s="65">
        <v>6.0000000000000002E-5</v>
      </c>
      <c r="I12" s="65">
        <f>E12*H12</f>
        <v>4.3800000000000002E-4</v>
      </c>
      <c r="J12" s="65">
        <v>0</v>
      </c>
      <c r="K12" s="65">
        <f>E12*J12</f>
        <v>0</v>
      </c>
      <c r="L12" s="66">
        <v>5.93</v>
      </c>
      <c r="M12" s="66">
        <f>E12*L12</f>
        <v>43.288999999999994</v>
      </c>
      <c r="N12" s="66">
        <f>159.13</f>
        <v>159.13</v>
      </c>
      <c r="O12" s="66">
        <f>E12*N12</f>
        <v>1161.6489999999999</v>
      </c>
      <c r="P12" s="53" t="s">
        <v>273</v>
      </c>
      <c r="Q12" s="53"/>
      <c r="R12" s="53" t="s">
        <v>274</v>
      </c>
      <c r="S12" s="53" t="s">
        <v>275</v>
      </c>
      <c r="T12" s="53" t="s">
        <v>276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 ht="25.5" customHeight="1">
      <c r="A13">
        <v>2</v>
      </c>
      <c r="B13" s="61" t="s">
        <v>315</v>
      </c>
      <c r="C13" s="62" t="s">
        <v>316</v>
      </c>
      <c r="D13" s="61" t="s">
        <v>317</v>
      </c>
      <c r="E13" s="63">
        <v>1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11000</v>
      </c>
      <c r="M13" s="66">
        <f>E13*L13</f>
        <v>11000</v>
      </c>
      <c r="N13" s="66">
        <f>0</f>
        <v>0</v>
      </c>
      <c r="O13" s="66">
        <f>E13*N13</f>
        <v>0</v>
      </c>
      <c r="P13" s="53" t="s">
        <v>273</v>
      </c>
      <c r="Q13" s="53"/>
      <c r="R13" s="53" t="s">
        <v>274</v>
      </c>
      <c r="S13" s="53" t="s">
        <v>279</v>
      </c>
      <c r="T13" s="53" t="s">
        <v>280</v>
      </c>
      <c r="U13" s="53"/>
      <c r="V13" s="53"/>
      <c r="W13" s="53"/>
      <c r="X13" s="53"/>
      <c r="Y13" s="53"/>
      <c r="Z13" s="53"/>
      <c r="AA13" s="67">
        <v>19</v>
      </c>
      <c r="AB13" s="53" t="s">
        <v>152</v>
      </c>
    </row>
    <row r="14" spans="1:28" ht="18.75" customHeight="1">
      <c r="A14" s="68" t="s">
        <v>13</v>
      </c>
      <c r="B14" s="60" t="s">
        <v>282</v>
      </c>
      <c r="C14" s="60"/>
      <c r="D14" s="60"/>
      <c r="E14" s="60"/>
      <c r="F14" s="60"/>
      <c r="G14" s="69">
        <f>SUMIF($P:$P,$Q14,G:G)</f>
        <v>0</v>
      </c>
      <c r="H14" s="60"/>
      <c r="I14" s="70">
        <f>SUMIF($P:$P,$Q14,I:I)</f>
        <v>4.3800000000000002E-4</v>
      </c>
      <c r="J14" s="60"/>
      <c r="K14" s="70">
        <f>SUMIF($P:$P,$Q14,K:K)</f>
        <v>0</v>
      </c>
      <c r="L14" s="60"/>
      <c r="M14" s="71">
        <f>SUMIF($P:$P,$Q14,M:M)</f>
        <v>11043.289000000001</v>
      </c>
      <c r="N14" s="60"/>
      <c r="O14" s="71">
        <f>SUMIF($P:$P,$Q14,O:O)</f>
        <v>1161.6489999999999</v>
      </c>
      <c r="P14" s="53" t="s">
        <v>13</v>
      </c>
      <c r="Q14" s="53" t="s">
        <v>273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2.75" customHeight="1" thickBot="1"/>
    <row r="16" spans="1:28" ht="18.75" customHeight="1">
      <c r="A16" s="72" t="s">
        <v>13</v>
      </c>
      <c r="B16" s="73"/>
      <c r="C16" s="73"/>
      <c r="D16" s="73"/>
      <c r="E16" s="73"/>
      <c r="F16" s="73"/>
      <c r="G16" s="74">
        <f>SUMIF($P:$P,"S",G:G)</f>
        <v>0</v>
      </c>
      <c r="H16" s="73"/>
      <c r="I16" s="75">
        <f>SUMIF($P:$P,"S",I:I)</f>
        <v>4.3800000000000002E-4</v>
      </c>
      <c r="J16" s="73"/>
      <c r="K16" s="75">
        <f>SUMIF($P:$P,"S",K:K)</f>
        <v>0</v>
      </c>
      <c r="L16" s="73"/>
      <c r="M16" s="76">
        <f>SUMIF($P:$P,"S",M:M)</f>
        <v>11043.289000000001</v>
      </c>
      <c r="N16" s="73"/>
      <c r="O16" s="76">
        <f>SUMIF($P:$P,"S",O:O)</f>
        <v>1161.6489999999999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9" spans="1:5" ht="18.75" customHeight="1" thickBot="1">
      <c r="A19" s="77" t="s">
        <v>179</v>
      </c>
      <c r="B19" s="77"/>
      <c r="C19" s="77"/>
      <c r="D19" s="77"/>
      <c r="E19" s="77"/>
    </row>
    <row r="20" spans="1:5" ht="13.5" customHeight="1" thickBot="1">
      <c r="B20" s="61" t="s">
        <v>283</v>
      </c>
      <c r="C20" s="78" t="s">
        <v>284</v>
      </c>
      <c r="D20" s="78"/>
      <c r="E20" s="64">
        <f>$G$14</f>
        <v>0</v>
      </c>
    </row>
    <row r="21" spans="1:5" ht="18.75" customHeight="1">
      <c r="A21" s="72" t="s">
        <v>13</v>
      </c>
      <c r="B21" s="73"/>
      <c r="C21" s="73"/>
      <c r="D21" s="73"/>
      <c r="E21" s="74">
        <f>SUM($E$20:$E$20)</f>
        <v>0</v>
      </c>
    </row>
  </sheetData>
  <mergeCells count="19">
    <mergeCell ref="C20:D20"/>
    <mergeCell ref="H8:I8"/>
    <mergeCell ref="J8:K8"/>
    <mergeCell ref="L8:M8"/>
    <mergeCell ref="N8:O8"/>
    <mergeCell ref="P8:AB8"/>
    <mergeCell ref="A19:E19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BreakPreview" zoomScaleNormal="100" zoomScaleSheetLayoutView="100" workbookViewId="0">
      <selection sqref="A1:L1"/>
    </sheetView>
  </sheetViews>
  <sheetFormatPr defaultRowHeight="12.75"/>
  <cols>
    <col min="1" max="1" width="5.28515625" customWidth="1"/>
    <col min="2" max="5" width="10.7109375" customWidth="1"/>
    <col min="6" max="7" width="5.28515625" customWidth="1"/>
    <col min="8" max="11" width="10.7109375" customWidth="1"/>
  </cols>
  <sheetData>
    <row r="1" spans="1:12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.75" customHeight="1"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pans="1:12" ht="12.75" customHeight="1">
      <c r="B3" s="3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</row>
    <row r="5" spans="1:12" ht="18.75" customHeight="1">
      <c r="A5" s="2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 customHeight="1">
      <c r="B6" s="3" t="s">
        <v>6</v>
      </c>
      <c r="C6" s="31" t="s">
        <v>7</v>
      </c>
      <c r="D6" s="32"/>
      <c r="E6" s="32"/>
      <c r="F6" s="32"/>
      <c r="G6" s="32"/>
      <c r="H6" s="32"/>
      <c r="I6" s="32"/>
      <c r="J6" s="32"/>
      <c r="K6" s="32"/>
      <c r="L6" s="32"/>
    </row>
    <row r="7" spans="1:12" ht="12.75" customHeight="1">
      <c r="B7" s="3" t="s">
        <v>16</v>
      </c>
      <c r="C7" s="33" t="s">
        <v>318</v>
      </c>
      <c r="D7" s="34"/>
      <c r="E7" s="34"/>
      <c r="F7" s="34"/>
      <c r="G7" s="34"/>
      <c r="H7" s="34"/>
      <c r="I7" s="34"/>
      <c r="J7" s="34"/>
      <c r="K7" s="34"/>
      <c r="L7" s="34"/>
    </row>
    <row r="9" spans="1:12" ht="18.75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 customHeight="1">
      <c r="B10" s="36" t="s">
        <v>19</v>
      </c>
      <c r="C10" s="35"/>
      <c r="D10" s="4" t="s">
        <v>20</v>
      </c>
      <c r="E10" s="5"/>
      <c r="F10" s="5"/>
      <c r="G10" s="5"/>
      <c r="H10" s="5"/>
      <c r="I10" s="5"/>
      <c r="J10" s="5"/>
      <c r="K10" s="5"/>
      <c r="L10" s="5"/>
    </row>
    <row r="11" spans="1:12" ht="12.75" customHeight="1">
      <c r="B11" s="35" t="s">
        <v>21</v>
      </c>
      <c r="C11" s="35"/>
      <c r="D11" s="6" t="s">
        <v>22</v>
      </c>
      <c r="E11" s="7"/>
      <c r="F11" s="7"/>
      <c r="G11" s="7"/>
      <c r="H11" s="7"/>
      <c r="I11" s="7"/>
      <c r="J11" s="7"/>
      <c r="K11" s="7"/>
      <c r="L11" s="7"/>
    </row>
    <row r="12" spans="1:12" ht="12.75" customHeight="1">
      <c r="B12" s="35" t="s">
        <v>23</v>
      </c>
      <c r="C12" s="35"/>
      <c r="D12" s="6" t="s">
        <v>22</v>
      </c>
      <c r="E12" s="7"/>
      <c r="F12" s="7"/>
      <c r="G12" s="7"/>
      <c r="H12" s="7"/>
      <c r="I12" s="7"/>
      <c r="J12" s="7"/>
      <c r="K12" s="7"/>
      <c r="L12" s="7"/>
    </row>
    <row r="13" spans="1:12" ht="12.75" customHeight="1">
      <c r="B13" s="35" t="s">
        <v>24</v>
      </c>
      <c r="C13" s="35"/>
      <c r="D13" s="6" t="s">
        <v>22</v>
      </c>
      <c r="E13" s="7"/>
      <c r="F13" s="7"/>
      <c r="G13" s="7"/>
      <c r="H13" s="7"/>
      <c r="I13" s="7"/>
      <c r="J13" s="7"/>
      <c r="K13" s="7"/>
      <c r="L13" s="7"/>
    </row>
    <row r="15" spans="1:12" ht="18.75" customHeight="1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2.75" customHeight="1">
      <c r="B16" s="38"/>
      <c r="C16" s="37"/>
      <c r="D16" s="40" t="s">
        <v>26</v>
      </c>
      <c r="E16" s="39"/>
      <c r="F16" s="40" t="s">
        <v>27</v>
      </c>
      <c r="G16" s="40"/>
      <c r="H16" s="39"/>
      <c r="I16" s="40" t="s">
        <v>28</v>
      </c>
      <c r="J16" s="39"/>
      <c r="K16" s="41" t="s">
        <v>13</v>
      </c>
      <c r="L16" s="41"/>
    </row>
    <row r="17" spans="1:12" ht="12.75" customHeight="1">
      <c r="B17" s="36" t="s">
        <v>29</v>
      </c>
      <c r="C17" s="35"/>
      <c r="D17" s="29">
        <f>'KPU 072_78 RTS_SO_022_čás_4-HSV'!$Q$1+'KPU 072_78 RTS_SO_022_čás_5-HSV'!$Q$1</f>
        <v>0</v>
      </c>
      <c r="E17" s="27"/>
      <c r="F17" s="29">
        <f>'KPU 072_78 RTS_SO_022_čás_5-PSV'!$Q$1</f>
        <v>0</v>
      </c>
      <c r="G17" s="29"/>
      <c r="H17" s="27"/>
      <c r="I17" s="29">
        <f>0</f>
        <v>0</v>
      </c>
      <c r="J17" s="27"/>
      <c r="K17" s="30">
        <f>SUM(D17:J17)</f>
        <v>0</v>
      </c>
      <c r="L17" s="28"/>
    </row>
    <row r="18" spans="1:12" ht="12.75" customHeight="1">
      <c r="B18" s="35" t="s">
        <v>30</v>
      </c>
      <c r="C18" s="35"/>
      <c r="D18" s="29">
        <f>'KPU 072_78 RTS_SO_022_čás_4-HSV'!$R$1+'KPU 072_78 RTS_SO_022_čás_5-HSV'!$R$1</f>
        <v>0</v>
      </c>
      <c r="E18" s="27"/>
      <c r="F18" s="29">
        <f>'KPU 072_78 RTS_SO_022_čás_5-PSV'!$R$1</f>
        <v>0</v>
      </c>
      <c r="G18" s="29"/>
      <c r="H18" s="27"/>
      <c r="I18" s="29">
        <f>0</f>
        <v>0</v>
      </c>
      <c r="J18" s="27"/>
      <c r="K18" s="42">
        <f>SUM(D18:J18)</f>
        <v>0</v>
      </c>
      <c r="L18" s="29"/>
    </row>
    <row r="19" spans="1:12" ht="12.75" customHeight="1">
      <c r="B19" s="35" t="s">
        <v>31</v>
      </c>
      <c r="C19" s="35"/>
      <c r="D19" s="29">
        <f>'KPU 072_78 RTS_SO_022_čás_4-HSV'!$S$1+'KPU 072_78 RTS_SO_022_čás_5-HSV'!$S$1</f>
        <v>0</v>
      </c>
      <c r="E19" s="27"/>
      <c r="F19" s="29">
        <f>'KPU 072_78 RTS_SO_022_čás_5-PSV'!$S$1</f>
        <v>0</v>
      </c>
      <c r="G19" s="29"/>
      <c r="H19" s="27"/>
      <c r="I19" s="29">
        <f>0</f>
        <v>0</v>
      </c>
      <c r="J19" s="27"/>
      <c r="K19" s="42">
        <f>SUM(D19:J19)</f>
        <v>0</v>
      </c>
      <c r="L19" s="29"/>
    </row>
    <row r="20" spans="1:12" ht="12.75" customHeight="1">
      <c r="B20" s="35" t="s">
        <v>32</v>
      </c>
      <c r="C20" s="35"/>
      <c r="D20" s="29">
        <f>'KPU 072_78 RTS_SO_022_čás_4-HSV'!$T$1+'KPU 072_78 RTS_SO_022_čás_5-HSV'!$T$1</f>
        <v>0</v>
      </c>
      <c r="E20" s="27"/>
      <c r="F20" s="29">
        <f>'KPU 072_78 RTS_SO_022_čás_5-PSV'!$T$1</f>
        <v>0</v>
      </c>
      <c r="G20" s="29"/>
      <c r="H20" s="27"/>
      <c r="I20" s="29">
        <f>0</f>
        <v>0</v>
      </c>
      <c r="J20" s="27"/>
      <c r="K20" s="42">
        <f>SUM(D20:J20)</f>
        <v>0</v>
      </c>
      <c r="L20" s="29"/>
    </row>
    <row r="21" spans="1:12" ht="12.75" customHeight="1">
      <c r="B21" s="38" t="s">
        <v>33</v>
      </c>
      <c r="C21" s="37"/>
      <c r="D21" s="23">
        <f>'KPU 072_78 RTS_SO_022_čás_4-HSV'!$U$1+'KPU 072_78 RTS_SO_022_čás_5-HSV'!$U$1</f>
        <v>0</v>
      </c>
      <c r="E21" s="22"/>
      <c r="F21" s="23">
        <f>'KPU 072_78 RTS_SO_022_čás_5-PSV'!$U$1</f>
        <v>0</v>
      </c>
      <c r="G21" s="23"/>
      <c r="H21" s="22"/>
      <c r="I21" s="23">
        <f>0</f>
        <v>0</v>
      </c>
      <c r="J21" s="22"/>
      <c r="K21" s="23">
        <f>SUM(D21:J21)</f>
        <v>0</v>
      </c>
      <c r="L21" s="23"/>
    </row>
    <row r="22" spans="1:12" ht="12.75" customHeight="1">
      <c r="B22" s="44" t="s">
        <v>13</v>
      </c>
      <c r="C22" s="43"/>
      <c r="D22" s="29">
        <f>SUM(D17:E21)</f>
        <v>0</v>
      </c>
      <c r="E22" s="27"/>
      <c r="F22" s="29">
        <f>SUM(F17:H21)</f>
        <v>0</v>
      </c>
      <c r="G22" s="29"/>
      <c r="H22" s="27"/>
      <c r="I22" s="29">
        <f>SUM(I17:J21)</f>
        <v>0</v>
      </c>
      <c r="J22" s="27"/>
      <c r="K22" s="30">
        <f>SUM(K17:L21)</f>
        <v>0</v>
      </c>
      <c r="L22" s="28"/>
    </row>
    <row r="24" spans="1:12" ht="18.75" customHeight="1">
      <c r="A24" s="2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2.75" customHeight="1">
      <c r="B25" s="36" t="s">
        <v>35</v>
      </c>
      <c r="C25" s="36"/>
      <c r="D25" s="36"/>
      <c r="E25" s="36"/>
      <c r="F25" s="36"/>
      <c r="G25" s="36"/>
      <c r="H25" s="36"/>
      <c r="I25" s="36"/>
      <c r="J25" s="35"/>
      <c r="K25" s="30">
        <f>($K$22)*3.25/100+0</f>
        <v>0</v>
      </c>
      <c r="L25" s="28"/>
    </row>
    <row r="27" spans="1:12" ht="18.75" customHeight="1">
      <c r="A27" s="2" t="s">
        <v>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2.75" customHeight="1">
      <c r="B28" s="46" t="s">
        <v>37</v>
      </c>
      <c r="C28" s="46"/>
      <c r="D28" s="46"/>
      <c r="E28" s="46"/>
      <c r="F28" s="46"/>
      <c r="G28" s="46"/>
      <c r="H28" s="46"/>
      <c r="I28" s="46"/>
      <c r="J28" s="45"/>
      <c r="K28" s="23">
        <f>$K$22+$K$25</f>
        <v>0</v>
      </c>
      <c r="L28" s="23"/>
    </row>
    <row r="29" spans="1:12" ht="12.75" customHeight="1">
      <c r="C29" s="47" t="s">
        <v>14</v>
      </c>
      <c r="D29" s="48">
        <v>0.19</v>
      </c>
      <c r="E29" s="47" t="s">
        <v>38</v>
      </c>
      <c r="F29" s="49">
        <f>$K$25+'KPU 072_78 RTS_SO_022_čás_4-HSV'!$W$1+'KPU 072_78 RTS_SO_022_čás_5-HSV'!$W$1+'KPU 072_78 RTS_SO_022_čás_5-PSV'!$W$1</f>
        <v>0</v>
      </c>
      <c r="G29" s="49"/>
      <c r="H29" s="49"/>
      <c r="I29" s="36"/>
      <c r="J29" s="35"/>
      <c r="K29" s="50">
        <f>F29*D29</f>
        <v>0</v>
      </c>
      <c r="L29" s="49"/>
    </row>
    <row r="30" spans="1:12" ht="12.75" customHeight="1">
      <c r="B30" s="52" t="s">
        <v>13</v>
      </c>
      <c r="C30" s="52"/>
      <c r="D30" s="52"/>
      <c r="E30" s="52"/>
      <c r="F30" s="52"/>
      <c r="G30" s="52"/>
      <c r="H30" s="52"/>
      <c r="I30" s="52"/>
      <c r="J30" s="51"/>
      <c r="K30" s="28">
        <f>SUM($K$29:$K$29)+$K$22+$K$25</f>
        <v>0</v>
      </c>
      <c r="L30" s="28"/>
    </row>
  </sheetData>
  <mergeCells count="62">
    <mergeCell ref="F29:H29"/>
    <mergeCell ref="I29:J29"/>
    <mergeCell ref="K29:L29"/>
    <mergeCell ref="B30:J30"/>
    <mergeCell ref="K30:L30"/>
    <mergeCell ref="A24:L24"/>
    <mergeCell ref="B25:J25"/>
    <mergeCell ref="K25:L25"/>
    <mergeCell ref="A27:L27"/>
    <mergeCell ref="B28:J28"/>
    <mergeCell ref="K28:L28"/>
    <mergeCell ref="B21:C21"/>
    <mergeCell ref="D21:E21"/>
    <mergeCell ref="F21:H21"/>
    <mergeCell ref="I21:J21"/>
    <mergeCell ref="K21:L21"/>
    <mergeCell ref="B22:C22"/>
    <mergeCell ref="D22:E22"/>
    <mergeCell ref="F22:H22"/>
    <mergeCell ref="I22:J22"/>
    <mergeCell ref="K22:L22"/>
    <mergeCell ref="B19:C19"/>
    <mergeCell ref="D19:E19"/>
    <mergeCell ref="F19:H19"/>
    <mergeCell ref="I19:J19"/>
    <mergeCell ref="K19:L19"/>
    <mergeCell ref="B20:C20"/>
    <mergeCell ref="D20:E20"/>
    <mergeCell ref="F20:H20"/>
    <mergeCell ref="I20:J20"/>
    <mergeCell ref="K20:L20"/>
    <mergeCell ref="B17:C17"/>
    <mergeCell ref="D17:E17"/>
    <mergeCell ref="F17:H17"/>
    <mergeCell ref="I17:J17"/>
    <mergeCell ref="K17:L17"/>
    <mergeCell ref="B18:C18"/>
    <mergeCell ref="D18:E18"/>
    <mergeCell ref="F18:H18"/>
    <mergeCell ref="I18:J18"/>
    <mergeCell ref="K18:L18"/>
    <mergeCell ref="B13:C13"/>
    <mergeCell ref="D13:L13"/>
    <mergeCell ref="A15:L15"/>
    <mergeCell ref="B16:C16"/>
    <mergeCell ref="D16:E16"/>
    <mergeCell ref="F16:H16"/>
    <mergeCell ref="I16:J16"/>
    <mergeCell ref="K16:L16"/>
    <mergeCell ref="A9:L9"/>
    <mergeCell ref="B10:C10"/>
    <mergeCell ref="D10:L10"/>
    <mergeCell ref="B11:C11"/>
    <mergeCell ref="D11:L11"/>
    <mergeCell ref="B12:C12"/>
    <mergeCell ref="D12:L12"/>
    <mergeCell ref="A1:L1"/>
    <mergeCell ref="C2:L2"/>
    <mergeCell ref="C3:L3"/>
    <mergeCell ref="A5:L5"/>
    <mergeCell ref="C6:L6"/>
    <mergeCell ref="C7:L7"/>
  </mergeCells>
  <pageMargins left="0.78740157499999996" right="0.59" top="0.984251969" bottom="0.984251969" header="0.4921259845" footer="0.4921259845"/>
  <pageSetup paperSize="9" scale="7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52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318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319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101</v>
      </c>
      <c r="C12" s="62" t="s">
        <v>102</v>
      </c>
      <c r="D12" s="61" t="s">
        <v>86</v>
      </c>
      <c r="E12" s="63">
        <v>40.482999999999997</v>
      </c>
      <c r="F12" s="64"/>
      <c r="G12" s="64">
        <f>E12*F12</f>
        <v>0</v>
      </c>
      <c r="H12" s="65">
        <v>0</v>
      </c>
      <c r="I12" s="65">
        <f>E12*H12</f>
        <v>0</v>
      </c>
      <c r="J12" s="65">
        <v>0</v>
      </c>
      <c r="K12" s="65">
        <f>E12*J12</f>
        <v>0</v>
      </c>
      <c r="L12" s="66">
        <v>0</v>
      </c>
      <c r="M12" s="66">
        <f>E12*L12</f>
        <v>0</v>
      </c>
      <c r="N12" s="66">
        <f>123.62</f>
        <v>123.62</v>
      </c>
      <c r="O12" s="66">
        <f>E12*N12</f>
        <v>5004.50846</v>
      </c>
      <c r="P12" s="53" t="s">
        <v>98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 ht="18.75" customHeight="1">
      <c r="A13" s="68" t="s">
        <v>13</v>
      </c>
      <c r="B13" s="60" t="s">
        <v>103</v>
      </c>
      <c r="C13" s="60"/>
      <c r="D13" s="60"/>
      <c r="E13" s="60"/>
      <c r="F13" s="60"/>
      <c r="G13" s="69">
        <f>SUMIF($P:$P,$Q13,G:G)</f>
        <v>0</v>
      </c>
      <c r="H13" s="60"/>
      <c r="I13" s="70">
        <f>SUMIF($P:$P,$Q13,I:I)</f>
        <v>0</v>
      </c>
      <c r="J13" s="60"/>
      <c r="K13" s="70">
        <f>SUMIF($P:$P,$Q13,K:K)</f>
        <v>0</v>
      </c>
      <c r="L13" s="60"/>
      <c r="M13" s="71">
        <f>SUMIF($P:$P,$Q13,M:M)</f>
        <v>0</v>
      </c>
      <c r="N13" s="60"/>
      <c r="O13" s="71">
        <f>SUMIF($P:$P,$Q13,O:O)</f>
        <v>5004.50846</v>
      </c>
      <c r="P13" s="53" t="s">
        <v>13</v>
      </c>
      <c r="Q13" s="53" t="s">
        <v>98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28" ht="12.75" customHeight="1"/>
    <row r="15" spans="1:28" ht="18.75" customHeight="1">
      <c r="A15" s="60"/>
      <c r="B15" s="60" t="s">
        <v>104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>
      <c r="A16">
        <v>2</v>
      </c>
      <c r="B16" s="61" t="s">
        <v>207</v>
      </c>
      <c r="C16" s="62" t="s">
        <v>208</v>
      </c>
      <c r="D16" s="61" t="s">
        <v>86</v>
      </c>
      <c r="E16" s="63">
        <v>0.95</v>
      </c>
      <c r="F16" s="64"/>
      <c r="G16" s="64">
        <f>E16*F16</f>
        <v>0</v>
      </c>
      <c r="H16" s="65">
        <v>0</v>
      </c>
      <c r="I16" s="65">
        <f>E16*H16</f>
        <v>0</v>
      </c>
      <c r="J16" s="65">
        <v>0</v>
      </c>
      <c r="K16" s="65">
        <f>E16*J16</f>
        <v>0</v>
      </c>
      <c r="L16" s="66">
        <v>0</v>
      </c>
      <c r="M16" s="66">
        <f>E16*L16</f>
        <v>0</v>
      </c>
      <c r="N16" s="66">
        <f>593.76</f>
        <v>593.76</v>
      </c>
      <c r="O16" s="66">
        <f>E16*N16</f>
        <v>564.072</v>
      </c>
      <c r="P16" s="53" t="s">
        <v>107</v>
      </c>
      <c r="Q16" s="53"/>
      <c r="R16" s="53" t="s">
        <v>80</v>
      </c>
      <c r="S16" s="53" t="s">
        <v>81</v>
      </c>
      <c r="T16" s="53" t="s">
        <v>82</v>
      </c>
      <c r="U16" s="53"/>
      <c r="V16" s="53"/>
      <c r="W16" s="53"/>
      <c r="X16" s="53"/>
      <c r="Y16" s="53"/>
      <c r="Z16" s="53"/>
      <c r="AA16" s="67">
        <v>19</v>
      </c>
      <c r="AB16" s="53" t="s">
        <v>83</v>
      </c>
    </row>
    <row r="17" spans="1:28" ht="18.75" customHeight="1">
      <c r="A17" s="68" t="s">
        <v>13</v>
      </c>
      <c r="B17" s="60" t="s">
        <v>108</v>
      </c>
      <c r="C17" s="60"/>
      <c r="D17" s="60"/>
      <c r="E17" s="60"/>
      <c r="F17" s="60"/>
      <c r="G17" s="69">
        <f>SUMIF($P:$P,$Q17,G:G)</f>
        <v>0</v>
      </c>
      <c r="H17" s="60"/>
      <c r="I17" s="70">
        <f>SUMIF($P:$P,$Q17,I:I)</f>
        <v>0</v>
      </c>
      <c r="J17" s="60"/>
      <c r="K17" s="70">
        <f>SUMIF($P:$P,$Q17,K:K)</f>
        <v>0</v>
      </c>
      <c r="L17" s="60"/>
      <c r="M17" s="71">
        <f>SUMIF($P:$P,$Q17,M:M)</f>
        <v>0</v>
      </c>
      <c r="N17" s="60"/>
      <c r="O17" s="71">
        <f>SUMIF($P:$P,$Q17,O:O)</f>
        <v>564.072</v>
      </c>
      <c r="P17" s="53" t="s">
        <v>13</v>
      </c>
      <c r="Q17" s="53" t="s">
        <v>107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12.75" customHeight="1"/>
    <row r="19" spans="1:28" ht="18.75" customHeight="1">
      <c r="A19" s="60"/>
      <c r="B19" s="60" t="s">
        <v>109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>
      <c r="A20">
        <v>3</v>
      </c>
      <c r="B20" s="61" t="s">
        <v>218</v>
      </c>
      <c r="C20" s="62" t="s">
        <v>219</v>
      </c>
      <c r="D20" s="61" t="s">
        <v>86</v>
      </c>
      <c r="E20" s="63">
        <v>41.433</v>
      </c>
      <c r="F20" s="64"/>
      <c r="G20" s="64">
        <f>E20*F20</f>
        <v>0</v>
      </c>
      <c r="H20" s="65">
        <v>0</v>
      </c>
      <c r="I20" s="65">
        <f>E20*H20</f>
        <v>0</v>
      </c>
      <c r="J20" s="65">
        <v>0</v>
      </c>
      <c r="K20" s="65">
        <f>E20*J20</f>
        <v>0</v>
      </c>
      <c r="L20" s="66">
        <v>0</v>
      </c>
      <c r="M20" s="66">
        <f>E20*L20</f>
        <v>0</v>
      </c>
      <c r="N20" s="66">
        <f>142.21</f>
        <v>142.21</v>
      </c>
      <c r="O20" s="66">
        <f>E20*N20</f>
        <v>5892.1869300000008</v>
      </c>
      <c r="P20" s="53" t="s">
        <v>112</v>
      </c>
      <c r="Q20" s="53"/>
      <c r="R20" s="53" t="s">
        <v>80</v>
      </c>
      <c r="S20" s="53" t="s">
        <v>81</v>
      </c>
      <c r="T20" s="53" t="s">
        <v>82</v>
      </c>
      <c r="U20" s="53"/>
      <c r="V20" s="53"/>
      <c r="W20" s="53"/>
      <c r="X20" s="53"/>
      <c r="Y20" s="53"/>
      <c r="Z20" s="53"/>
      <c r="AA20" s="67">
        <v>19</v>
      </c>
      <c r="AB20" s="53" t="s">
        <v>83</v>
      </c>
    </row>
    <row r="21" spans="1:28" ht="18.75" customHeight="1">
      <c r="A21" s="68" t="s">
        <v>13</v>
      </c>
      <c r="B21" s="60" t="s">
        <v>125</v>
      </c>
      <c r="C21" s="60"/>
      <c r="D21" s="60"/>
      <c r="E21" s="60"/>
      <c r="F21" s="60"/>
      <c r="G21" s="69">
        <f>SUMIF($P:$P,$Q21,G:G)</f>
        <v>0</v>
      </c>
      <c r="H21" s="60"/>
      <c r="I21" s="70">
        <f>SUMIF($P:$P,$Q21,I:I)</f>
        <v>0</v>
      </c>
      <c r="J21" s="60"/>
      <c r="K21" s="70">
        <f>SUMIF($P:$P,$Q21,K:K)</f>
        <v>0</v>
      </c>
      <c r="L21" s="60"/>
      <c r="M21" s="71">
        <f>SUMIF($P:$P,$Q21,M:M)</f>
        <v>0</v>
      </c>
      <c r="N21" s="60"/>
      <c r="O21" s="71">
        <f>SUMIF($P:$P,$Q21,O:O)</f>
        <v>5892.1869300000008</v>
      </c>
      <c r="P21" s="53" t="s">
        <v>13</v>
      </c>
      <c r="Q21" s="53" t="s">
        <v>112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12.75" customHeight="1"/>
    <row r="23" spans="1:28" ht="18.75" customHeight="1">
      <c r="A23" s="60"/>
      <c r="B23" s="60" t="s">
        <v>126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>
      <c r="A24">
        <v>4</v>
      </c>
      <c r="B24" s="61" t="s">
        <v>130</v>
      </c>
      <c r="C24" s="62" t="s">
        <v>131</v>
      </c>
      <c r="D24" s="61" t="s">
        <v>86</v>
      </c>
      <c r="E24" s="63">
        <v>40.482999999999997</v>
      </c>
      <c r="F24" s="64"/>
      <c r="G24" s="64">
        <f>E24*F24</f>
        <v>0</v>
      </c>
      <c r="H24" s="65">
        <v>0</v>
      </c>
      <c r="I24" s="65">
        <f>E24*H24</f>
        <v>0</v>
      </c>
      <c r="J24" s="65">
        <v>0</v>
      </c>
      <c r="K24" s="65">
        <f>E24*J24</f>
        <v>0</v>
      </c>
      <c r="L24" s="66">
        <v>0</v>
      </c>
      <c r="M24" s="66">
        <f>E24*L24</f>
        <v>0</v>
      </c>
      <c r="N24" s="66">
        <f>16.13</f>
        <v>16.13</v>
      </c>
      <c r="O24" s="66">
        <f>E24*N24</f>
        <v>652.99078999999995</v>
      </c>
      <c r="P24" s="53" t="s">
        <v>129</v>
      </c>
      <c r="Q24" s="53"/>
      <c r="R24" s="53" t="s">
        <v>80</v>
      </c>
      <c r="S24" s="53" t="s">
        <v>81</v>
      </c>
      <c r="T24" s="53" t="s">
        <v>82</v>
      </c>
      <c r="U24" s="53"/>
      <c r="V24" s="53"/>
      <c r="W24" s="53"/>
      <c r="X24" s="53"/>
      <c r="Y24" s="53"/>
      <c r="Z24" s="53"/>
      <c r="AA24" s="67">
        <v>19</v>
      </c>
      <c r="AB24" s="53" t="s">
        <v>83</v>
      </c>
    </row>
    <row r="25" spans="1:28" ht="18.75" customHeight="1">
      <c r="A25" s="68" t="s">
        <v>13</v>
      </c>
      <c r="B25" s="60" t="s">
        <v>138</v>
      </c>
      <c r="C25" s="60"/>
      <c r="D25" s="60"/>
      <c r="E25" s="60"/>
      <c r="F25" s="60"/>
      <c r="G25" s="69">
        <f>SUMIF($P:$P,$Q25,G:G)</f>
        <v>0</v>
      </c>
      <c r="H25" s="60"/>
      <c r="I25" s="70">
        <f>SUMIF($P:$P,$Q25,I:I)</f>
        <v>0</v>
      </c>
      <c r="J25" s="60"/>
      <c r="K25" s="70">
        <f>SUMIF($P:$P,$Q25,K:K)</f>
        <v>0</v>
      </c>
      <c r="L25" s="60"/>
      <c r="M25" s="71">
        <f>SUMIF($P:$P,$Q25,M:M)</f>
        <v>0</v>
      </c>
      <c r="N25" s="60"/>
      <c r="O25" s="71">
        <f>SUMIF($P:$P,$Q25,O:O)</f>
        <v>652.99078999999995</v>
      </c>
      <c r="P25" s="53" t="s">
        <v>13</v>
      </c>
      <c r="Q25" s="53" t="s">
        <v>129</v>
      </c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 ht="12.75" customHeight="1"/>
    <row r="27" spans="1:28" ht="18.75" customHeight="1">
      <c r="A27" s="60"/>
      <c r="B27" s="60" t="s">
        <v>139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>
      <c r="A28">
        <v>5</v>
      </c>
      <c r="B28" s="61" t="s">
        <v>140</v>
      </c>
      <c r="C28" s="62" t="s">
        <v>141</v>
      </c>
      <c r="D28" s="61" t="s">
        <v>78</v>
      </c>
      <c r="E28" s="63">
        <v>177.95</v>
      </c>
      <c r="F28" s="64"/>
      <c r="G28" s="64">
        <f>E28*F28</f>
        <v>0</v>
      </c>
      <c r="H28" s="65">
        <v>0</v>
      </c>
      <c r="I28" s="65">
        <f>E28*H28</f>
        <v>0</v>
      </c>
      <c r="J28" s="65">
        <v>0</v>
      </c>
      <c r="K28" s="65">
        <f>E28*J28</f>
        <v>0</v>
      </c>
      <c r="L28" s="66">
        <v>0.49</v>
      </c>
      <c r="M28" s="66">
        <f>E28*L28</f>
        <v>87.195499999999996</v>
      </c>
      <c r="N28" s="66">
        <f>14.62</f>
        <v>14.62</v>
      </c>
      <c r="O28" s="66">
        <f>E28*N28</f>
        <v>2601.6289999999999</v>
      </c>
      <c r="P28" s="53" t="s">
        <v>142</v>
      </c>
      <c r="Q28" s="53"/>
      <c r="R28" s="53" t="s">
        <v>80</v>
      </c>
      <c r="S28" s="53" t="s">
        <v>81</v>
      </c>
      <c r="T28" s="53" t="s">
        <v>82</v>
      </c>
      <c r="U28" s="53"/>
      <c r="V28" s="53"/>
      <c r="W28" s="53"/>
      <c r="X28" s="53"/>
      <c r="Y28" s="53"/>
      <c r="Z28" s="53"/>
      <c r="AA28" s="67">
        <v>19</v>
      </c>
      <c r="AB28" s="53" t="s">
        <v>83</v>
      </c>
    </row>
    <row r="29" spans="1:28">
      <c r="A29">
        <v>6</v>
      </c>
      <c r="B29" s="61" t="s">
        <v>143</v>
      </c>
      <c r="C29" s="62" t="s">
        <v>144</v>
      </c>
      <c r="D29" s="61" t="s">
        <v>78</v>
      </c>
      <c r="E29" s="63">
        <v>183.65299999999999</v>
      </c>
      <c r="F29" s="64"/>
      <c r="G29" s="64">
        <f>E29*F29</f>
        <v>0</v>
      </c>
      <c r="H29" s="65">
        <v>0</v>
      </c>
      <c r="I29" s="65">
        <f>E29*H29</f>
        <v>0</v>
      </c>
      <c r="J29" s="65">
        <v>0</v>
      </c>
      <c r="K29" s="65">
        <f>E29*J29</f>
        <v>0</v>
      </c>
      <c r="L29" s="66">
        <v>0</v>
      </c>
      <c r="M29" s="66">
        <f>E29*L29</f>
        <v>0</v>
      </c>
      <c r="N29" s="66">
        <f>41.82</f>
        <v>41.82</v>
      </c>
      <c r="O29" s="66">
        <f>E29*N29</f>
        <v>7680.3684599999997</v>
      </c>
      <c r="P29" s="53" t="s">
        <v>142</v>
      </c>
      <c r="Q29" s="53"/>
      <c r="R29" s="53" t="s">
        <v>80</v>
      </c>
      <c r="S29" s="53" t="s">
        <v>81</v>
      </c>
      <c r="T29" s="53" t="s">
        <v>82</v>
      </c>
      <c r="U29" s="53"/>
      <c r="V29" s="53"/>
      <c r="W29" s="53"/>
      <c r="X29" s="53"/>
      <c r="Y29" s="53"/>
      <c r="Z29" s="53"/>
      <c r="AA29" s="67">
        <v>19</v>
      </c>
      <c r="AB29" s="53" t="s">
        <v>83</v>
      </c>
    </row>
    <row r="30" spans="1:28">
      <c r="A30">
        <v>7</v>
      </c>
      <c r="B30" s="61" t="s">
        <v>147</v>
      </c>
      <c r="C30" s="62" t="s">
        <v>148</v>
      </c>
      <c r="D30" s="61" t="s">
        <v>149</v>
      </c>
      <c r="E30" s="63">
        <v>5.7850694999999996</v>
      </c>
      <c r="F30" s="64"/>
      <c r="G30" s="64">
        <f>E30*F30</f>
        <v>0</v>
      </c>
      <c r="H30" s="65">
        <v>1E-3</v>
      </c>
      <c r="I30" s="65">
        <f>E30*H30</f>
        <v>5.7850695000000001E-3</v>
      </c>
      <c r="J30" s="65">
        <v>0</v>
      </c>
      <c r="K30" s="65">
        <f>E30*J30</f>
        <v>0</v>
      </c>
      <c r="L30" s="66">
        <v>250</v>
      </c>
      <c r="M30" s="66">
        <f>E30*L30</f>
        <v>1446.2673749999999</v>
      </c>
      <c r="N30" s="66">
        <f>0</f>
        <v>0</v>
      </c>
      <c r="O30" s="66">
        <f>E30*N30</f>
        <v>0</v>
      </c>
      <c r="P30" s="53" t="s">
        <v>142</v>
      </c>
      <c r="Q30" s="53"/>
      <c r="R30" s="53" t="s">
        <v>80</v>
      </c>
      <c r="S30" s="53" t="s">
        <v>150</v>
      </c>
      <c r="T30" s="53" t="s">
        <v>151</v>
      </c>
      <c r="U30" s="53"/>
      <c r="V30" s="53"/>
      <c r="W30" s="53"/>
      <c r="X30" s="53"/>
      <c r="Y30" s="53"/>
      <c r="Z30" s="53"/>
      <c r="AA30" s="67">
        <v>19</v>
      </c>
      <c r="AB30" s="53" t="s">
        <v>152</v>
      </c>
    </row>
    <row r="31" spans="1:28" ht="18.75" customHeight="1">
      <c r="A31" s="68" t="s">
        <v>13</v>
      </c>
      <c r="B31" s="60" t="s">
        <v>153</v>
      </c>
      <c r="C31" s="60"/>
      <c r="D31" s="60"/>
      <c r="E31" s="60"/>
      <c r="F31" s="60"/>
      <c r="G31" s="69">
        <f>SUMIF($P:$P,$Q31,G:G)</f>
        <v>0</v>
      </c>
      <c r="H31" s="60"/>
      <c r="I31" s="70">
        <f>SUMIF($P:$P,$Q31,I:I)</f>
        <v>5.7850695000000001E-3</v>
      </c>
      <c r="J31" s="60"/>
      <c r="K31" s="70">
        <f>SUMIF($P:$P,$Q31,K:K)</f>
        <v>0</v>
      </c>
      <c r="L31" s="60"/>
      <c r="M31" s="71">
        <f>SUMIF($P:$P,$Q31,M:M)</f>
        <v>1533.4628749999999</v>
      </c>
      <c r="N31" s="60"/>
      <c r="O31" s="71">
        <f>SUMIF($P:$P,$Q31,O:O)</f>
        <v>10281.997459999999</v>
      </c>
      <c r="P31" s="53" t="s">
        <v>13</v>
      </c>
      <c r="Q31" s="53" t="s">
        <v>142</v>
      </c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ht="12.75" customHeight="1"/>
    <row r="33" spans="1:28" ht="18.75" customHeight="1">
      <c r="A33" s="60"/>
      <c r="B33" s="60" t="s">
        <v>154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>
      <c r="A34">
        <v>8</v>
      </c>
      <c r="B34" s="61" t="s">
        <v>160</v>
      </c>
      <c r="C34" s="62" t="s">
        <v>161</v>
      </c>
      <c r="D34" s="61" t="s">
        <v>86</v>
      </c>
      <c r="E34" s="63">
        <v>0.95</v>
      </c>
      <c r="F34" s="64"/>
      <c r="G34" s="64">
        <f>E34*F34</f>
        <v>0</v>
      </c>
      <c r="H34" s="65">
        <v>2.8340000000000001</v>
      </c>
      <c r="I34" s="65">
        <f>E34*H34</f>
        <v>2.6922999999999999</v>
      </c>
      <c r="J34" s="65">
        <v>0</v>
      </c>
      <c r="K34" s="65">
        <f>E34*J34</f>
        <v>0</v>
      </c>
      <c r="L34" s="66">
        <v>2462.94</v>
      </c>
      <c r="M34" s="66">
        <f>E34*L34</f>
        <v>2339.7930000000001</v>
      </c>
      <c r="N34" s="66">
        <f>1340.36</f>
        <v>1340.36</v>
      </c>
      <c r="O34" s="66">
        <f>E34*N34</f>
        <v>1273.3419999999999</v>
      </c>
      <c r="P34" s="53" t="s">
        <v>157</v>
      </c>
      <c r="Q34" s="53"/>
      <c r="R34" s="53" t="s">
        <v>80</v>
      </c>
      <c r="S34" s="53" t="s">
        <v>81</v>
      </c>
      <c r="T34" s="53" t="s">
        <v>82</v>
      </c>
      <c r="U34" s="53"/>
      <c r="V34" s="53"/>
      <c r="W34" s="53"/>
      <c r="X34" s="53"/>
      <c r="Y34" s="53"/>
      <c r="Z34" s="53"/>
      <c r="AA34" s="67">
        <v>19</v>
      </c>
      <c r="AB34" s="53" t="s">
        <v>83</v>
      </c>
    </row>
    <row r="35" spans="1:28" ht="18.75" customHeight="1">
      <c r="A35" s="68" t="s">
        <v>13</v>
      </c>
      <c r="B35" s="60" t="s">
        <v>164</v>
      </c>
      <c r="C35" s="60"/>
      <c r="D35" s="60"/>
      <c r="E35" s="60"/>
      <c r="F35" s="60"/>
      <c r="G35" s="69">
        <f>SUMIF($P:$P,$Q35,G:G)</f>
        <v>0</v>
      </c>
      <c r="H35" s="60"/>
      <c r="I35" s="70">
        <f>SUMIF($P:$P,$Q35,I:I)</f>
        <v>2.6922999999999999</v>
      </c>
      <c r="J35" s="60"/>
      <c r="K35" s="70">
        <f>SUMIF($P:$P,$Q35,K:K)</f>
        <v>0</v>
      </c>
      <c r="L35" s="60"/>
      <c r="M35" s="71">
        <f>SUMIF($P:$P,$Q35,M:M)</f>
        <v>2339.7930000000001</v>
      </c>
      <c r="N35" s="60"/>
      <c r="O35" s="71">
        <f>SUMIF($P:$P,$Q35,O:O)</f>
        <v>1273.3419999999999</v>
      </c>
      <c r="P35" s="53" t="s">
        <v>13</v>
      </c>
      <c r="Q35" s="53" t="s">
        <v>157</v>
      </c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1:28" ht="12.75" customHeight="1"/>
    <row r="37" spans="1:28" ht="18.75" customHeight="1">
      <c r="A37" s="60"/>
      <c r="B37" s="60" t="s">
        <v>172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1:28">
      <c r="A38">
        <v>9</v>
      </c>
      <c r="B38" s="61" t="s">
        <v>173</v>
      </c>
      <c r="C38" s="62" t="s">
        <v>174</v>
      </c>
      <c r="D38" s="61" t="s">
        <v>137</v>
      </c>
      <c r="E38" s="63">
        <f>Z38*IF(V38="cenik_cast",IF(U38="hmoty",SUMIF(T:T,Y38,I:I),IF(U38="cena_hmot",SUMIF(T:T,Y38,M:M)/1000,SUMIF(T:T,Y38,G:G)/1000)),IF(V38="cenik",IF(U38="hmoty",SUMIF(S:S,X38,I:I),IF(U38="cena_hmot",SUMIF(S:S,X38,M:M)/1000,SUMIF(S:S,X38,G:G)/1000)),IF(U38="hmoty",SUMIF(R:R,W38,I:I),IF(U38="cena_hmot",SUMIF(R:R,W38,M:M)/1000,SUMIF(R:R,W38,G:G)/1000))))</f>
        <v>5.7850695000000001E-3</v>
      </c>
      <c r="F38" s="64"/>
      <c r="G38" s="64">
        <f>E38*F38</f>
        <v>0</v>
      </c>
      <c r="H38" s="65">
        <v>0</v>
      </c>
      <c r="I38" s="65">
        <f>E38*H38</f>
        <v>0</v>
      </c>
      <c r="J38" s="65">
        <v>0</v>
      </c>
      <c r="K38" s="65">
        <f>E38*J38</f>
        <v>0</v>
      </c>
      <c r="L38" s="66">
        <v>0</v>
      </c>
      <c r="M38" s="66">
        <f>E38*L38</f>
        <v>0</v>
      </c>
      <c r="N38" s="66">
        <f>185.19</f>
        <v>185.19</v>
      </c>
      <c r="O38" s="66">
        <f>E38*N38</f>
        <v>1.0713370207049999</v>
      </c>
      <c r="P38" s="53" t="s">
        <v>175</v>
      </c>
      <c r="Q38" s="53"/>
      <c r="R38" s="53"/>
      <c r="S38" s="53"/>
      <c r="T38" s="53"/>
      <c r="U38" s="53" t="s">
        <v>176</v>
      </c>
      <c r="V38" s="53" t="s">
        <v>177</v>
      </c>
      <c r="W38" s="53" t="s">
        <v>80</v>
      </c>
      <c r="X38" s="53" t="s">
        <v>150</v>
      </c>
      <c r="Y38" s="53" t="s">
        <v>151</v>
      </c>
      <c r="Z38" s="54">
        <v>1</v>
      </c>
      <c r="AA38" s="67">
        <v>19</v>
      </c>
      <c r="AB38" s="53" t="s">
        <v>83</v>
      </c>
    </row>
    <row r="39" spans="1:28" ht="18.75" customHeight="1">
      <c r="A39" s="68" t="s">
        <v>13</v>
      </c>
      <c r="B39" s="60" t="s">
        <v>178</v>
      </c>
      <c r="C39" s="60"/>
      <c r="D39" s="60"/>
      <c r="E39" s="60"/>
      <c r="F39" s="60"/>
      <c r="G39" s="69">
        <f>SUMIF($P:$P,$Q39,G:G)</f>
        <v>0</v>
      </c>
      <c r="H39" s="60"/>
      <c r="I39" s="70">
        <f>SUMIF($P:$P,$Q39,I:I)</f>
        <v>0</v>
      </c>
      <c r="J39" s="60"/>
      <c r="K39" s="70">
        <f>SUMIF($P:$P,$Q39,K:K)</f>
        <v>0</v>
      </c>
      <c r="L39" s="60"/>
      <c r="M39" s="71">
        <f>SUMIF($P:$P,$Q39,M:M)</f>
        <v>0</v>
      </c>
      <c r="N39" s="60"/>
      <c r="O39" s="71">
        <f>SUMIF($P:$P,$Q39,O:O)</f>
        <v>1.0713370207049999</v>
      </c>
      <c r="P39" s="53" t="s">
        <v>13</v>
      </c>
      <c r="Q39" s="53" t="s">
        <v>175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ht="12.75" customHeight="1" thickBot="1"/>
    <row r="41" spans="1:28" ht="18.75" customHeight="1">
      <c r="A41" s="72" t="s">
        <v>13</v>
      </c>
      <c r="B41" s="73"/>
      <c r="C41" s="73"/>
      <c r="D41" s="73"/>
      <c r="E41" s="73"/>
      <c r="F41" s="73"/>
      <c r="G41" s="74">
        <f>SUMIF($P:$P,"S",G:G)</f>
        <v>0</v>
      </c>
      <c r="H41" s="73"/>
      <c r="I41" s="75">
        <f>SUMIF($P:$P,"S",I:I)</f>
        <v>2.6980850694999998</v>
      </c>
      <c r="J41" s="73"/>
      <c r="K41" s="75">
        <f>SUMIF($P:$P,"S",K:K)</f>
        <v>0</v>
      </c>
      <c r="L41" s="73"/>
      <c r="M41" s="76">
        <f>SUMIF($P:$P,"S",M:M)</f>
        <v>3873.2558749999998</v>
      </c>
      <c r="N41" s="73"/>
      <c r="O41" s="76">
        <f>SUMIF($P:$P,"S",O:O)</f>
        <v>23670.168977020705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4" spans="1:28" ht="18.75" customHeight="1" thickBot="1">
      <c r="A44" s="77" t="s">
        <v>179</v>
      </c>
      <c r="B44" s="77"/>
      <c r="C44" s="77"/>
      <c r="D44" s="77"/>
      <c r="E44" s="77"/>
    </row>
    <row r="45" spans="1:28">
      <c r="B45" s="61" t="s">
        <v>182</v>
      </c>
      <c r="C45" s="78" t="s">
        <v>183</v>
      </c>
      <c r="D45" s="78"/>
      <c r="E45" s="64">
        <f>$G$13</f>
        <v>0</v>
      </c>
    </row>
    <row r="46" spans="1:28">
      <c r="B46" s="61" t="s">
        <v>184</v>
      </c>
      <c r="C46" s="79" t="s">
        <v>185</v>
      </c>
      <c r="D46" s="79"/>
      <c r="E46" s="64">
        <f>$G$17</f>
        <v>0</v>
      </c>
    </row>
    <row r="47" spans="1:28">
      <c r="B47" s="61" t="s">
        <v>186</v>
      </c>
      <c r="C47" s="79" t="s">
        <v>187</v>
      </c>
      <c r="D47" s="79"/>
      <c r="E47" s="64">
        <f>$G$21</f>
        <v>0</v>
      </c>
    </row>
    <row r="48" spans="1:28">
      <c r="B48" s="61" t="s">
        <v>188</v>
      </c>
      <c r="C48" s="79" t="s">
        <v>189</v>
      </c>
      <c r="D48" s="79"/>
      <c r="E48" s="64">
        <f>$G$25</f>
        <v>0</v>
      </c>
    </row>
    <row r="49" spans="1:5">
      <c r="B49" s="61" t="s">
        <v>190</v>
      </c>
      <c r="C49" s="79" t="s">
        <v>191</v>
      </c>
      <c r="D49" s="79"/>
      <c r="E49" s="64">
        <f>$G$31</f>
        <v>0</v>
      </c>
    </row>
    <row r="50" spans="1:5">
      <c r="B50" s="61" t="s">
        <v>192</v>
      </c>
      <c r="C50" s="79" t="s">
        <v>193</v>
      </c>
      <c r="D50" s="79"/>
      <c r="E50" s="64">
        <f>$G$35</f>
        <v>0</v>
      </c>
    </row>
    <row r="51" spans="1:5" ht="13.5" customHeight="1" thickBot="1">
      <c r="B51" s="61" t="s">
        <v>196</v>
      </c>
      <c r="C51" s="79" t="s">
        <v>197</v>
      </c>
      <c r="D51" s="79"/>
      <c r="E51" s="64">
        <f>$G$39</f>
        <v>0</v>
      </c>
    </row>
    <row r="52" spans="1:5" ht="18.75" customHeight="1">
      <c r="A52" s="72" t="s">
        <v>13</v>
      </c>
      <c r="B52" s="73"/>
      <c r="C52" s="73"/>
      <c r="D52" s="73"/>
      <c r="E52" s="74">
        <f>SUM($E$45:$E$51)</f>
        <v>0</v>
      </c>
    </row>
  </sheetData>
  <mergeCells count="25">
    <mergeCell ref="C51:D51"/>
    <mergeCell ref="C45:D45"/>
    <mergeCell ref="C46:D46"/>
    <mergeCell ref="C47:D47"/>
    <mergeCell ref="C48:D48"/>
    <mergeCell ref="C49:D49"/>
    <mergeCell ref="C50:D50"/>
    <mergeCell ref="H8:I8"/>
    <mergeCell ref="J8:K8"/>
    <mergeCell ref="L8:M8"/>
    <mergeCell ref="N8:O8"/>
    <mergeCell ref="P8:AB8"/>
    <mergeCell ref="A44:E44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82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318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320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199</v>
      </c>
      <c r="C12" s="62" t="s">
        <v>200</v>
      </c>
      <c r="D12" s="61" t="s">
        <v>86</v>
      </c>
      <c r="E12" s="63">
        <v>3.84</v>
      </c>
      <c r="F12" s="64"/>
      <c r="G12" s="64">
        <f>E12*F12</f>
        <v>0</v>
      </c>
      <c r="H12" s="65">
        <v>0</v>
      </c>
      <c r="I12" s="65">
        <f>E12*H12</f>
        <v>0</v>
      </c>
      <c r="J12" s="65">
        <v>0</v>
      </c>
      <c r="K12" s="65">
        <f>E12*J12</f>
        <v>0</v>
      </c>
      <c r="L12" s="66">
        <v>0</v>
      </c>
      <c r="M12" s="66">
        <f>E12*L12</f>
        <v>0</v>
      </c>
      <c r="N12" s="66">
        <f>48.79</f>
        <v>48.79</v>
      </c>
      <c r="O12" s="66">
        <f>E12*N12</f>
        <v>187.3536</v>
      </c>
      <c r="P12" s="53" t="s">
        <v>98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321</v>
      </c>
      <c r="C13" s="62" t="s">
        <v>322</v>
      </c>
      <c r="D13" s="61" t="s">
        <v>86</v>
      </c>
      <c r="E13" s="63">
        <v>6.1159999999999997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0</v>
      </c>
      <c r="M13" s="66">
        <f>E13*L13</f>
        <v>0</v>
      </c>
      <c r="N13" s="66">
        <f>132.78</f>
        <v>132.78</v>
      </c>
      <c r="O13" s="66">
        <f>E13*N13</f>
        <v>812.08247999999992</v>
      </c>
      <c r="P13" s="53" t="s">
        <v>98</v>
      </c>
      <c r="Q13" s="53"/>
      <c r="R13" s="53" t="s">
        <v>80</v>
      </c>
      <c r="S13" s="53" t="s">
        <v>81</v>
      </c>
      <c r="T13" s="53" t="s">
        <v>82</v>
      </c>
      <c r="U13" s="53"/>
      <c r="V13" s="53"/>
      <c r="W13" s="53"/>
      <c r="X13" s="53"/>
      <c r="Y13" s="53"/>
      <c r="Z13" s="53"/>
      <c r="AA13" s="67">
        <v>19</v>
      </c>
      <c r="AB13" s="53" t="s">
        <v>83</v>
      </c>
    </row>
    <row r="14" spans="1:28">
      <c r="A14">
        <v>3</v>
      </c>
      <c r="B14" s="61" t="s">
        <v>101</v>
      </c>
      <c r="C14" s="62" t="s">
        <v>102</v>
      </c>
      <c r="D14" s="61" t="s">
        <v>86</v>
      </c>
      <c r="E14" s="63">
        <v>1.68</v>
      </c>
      <c r="F14" s="64"/>
      <c r="G14" s="64">
        <f>E14*F14</f>
        <v>0</v>
      </c>
      <c r="H14" s="65">
        <v>0</v>
      </c>
      <c r="I14" s="65">
        <f>E14*H14</f>
        <v>0</v>
      </c>
      <c r="J14" s="65">
        <v>0</v>
      </c>
      <c r="K14" s="65">
        <f>E14*J14</f>
        <v>0</v>
      </c>
      <c r="L14" s="66">
        <v>0</v>
      </c>
      <c r="M14" s="66">
        <f>E14*L14</f>
        <v>0</v>
      </c>
      <c r="N14" s="66">
        <f>123.62</f>
        <v>123.62</v>
      </c>
      <c r="O14" s="66">
        <f>E14*N14</f>
        <v>207.6816</v>
      </c>
      <c r="P14" s="53" t="s">
        <v>98</v>
      </c>
      <c r="Q14" s="53"/>
      <c r="R14" s="53" t="s">
        <v>80</v>
      </c>
      <c r="S14" s="53" t="s">
        <v>81</v>
      </c>
      <c r="T14" s="53" t="s">
        <v>82</v>
      </c>
      <c r="U14" s="53"/>
      <c r="V14" s="53"/>
      <c r="W14" s="53"/>
      <c r="X14" s="53"/>
      <c r="Y14" s="53"/>
      <c r="Z14" s="53"/>
      <c r="AA14" s="67">
        <v>19</v>
      </c>
      <c r="AB14" s="53" t="s">
        <v>83</v>
      </c>
    </row>
    <row r="15" spans="1:28" ht="18.75" customHeight="1">
      <c r="A15" s="68" t="s">
        <v>13</v>
      </c>
      <c r="B15" s="60" t="s">
        <v>103</v>
      </c>
      <c r="C15" s="60"/>
      <c r="D15" s="60"/>
      <c r="E15" s="60"/>
      <c r="F15" s="60"/>
      <c r="G15" s="69">
        <f>SUMIF($P:$P,$Q15,G:G)</f>
        <v>0</v>
      </c>
      <c r="H15" s="60"/>
      <c r="I15" s="70">
        <f>SUMIF($P:$P,$Q15,I:I)</f>
        <v>0</v>
      </c>
      <c r="J15" s="60"/>
      <c r="K15" s="70">
        <f>SUMIF($P:$P,$Q15,K:K)</f>
        <v>0</v>
      </c>
      <c r="L15" s="60"/>
      <c r="M15" s="71">
        <f>SUMIF($P:$P,$Q15,M:M)</f>
        <v>0</v>
      </c>
      <c r="N15" s="60"/>
      <c r="O15" s="71">
        <f>SUMIF($P:$P,$Q15,O:O)</f>
        <v>1207.1176799999998</v>
      </c>
      <c r="P15" s="53" t="s">
        <v>13</v>
      </c>
      <c r="Q15" s="53" t="s">
        <v>98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/>
    <row r="17" spans="1:28" ht="18.75" customHeight="1">
      <c r="A17" s="60"/>
      <c r="B17" s="60" t="s">
        <v>104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>
      <c r="A18">
        <v>4</v>
      </c>
      <c r="B18" s="61" t="s">
        <v>205</v>
      </c>
      <c r="C18" s="62" t="s">
        <v>206</v>
      </c>
      <c r="D18" s="61" t="s">
        <v>86</v>
      </c>
      <c r="E18" s="63">
        <v>0.56520000000000004</v>
      </c>
      <c r="F18" s="64"/>
      <c r="G18" s="64">
        <f>E18*F18</f>
        <v>0</v>
      </c>
      <c r="H18" s="65">
        <v>0</v>
      </c>
      <c r="I18" s="65">
        <f>E18*H18</f>
        <v>0</v>
      </c>
      <c r="J18" s="65">
        <v>0</v>
      </c>
      <c r="K18" s="65">
        <f>E18*J18</f>
        <v>0</v>
      </c>
      <c r="L18" s="66">
        <v>0</v>
      </c>
      <c r="M18" s="66">
        <f>E18*L18</f>
        <v>0</v>
      </c>
      <c r="N18" s="66">
        <f>4817.64</f>
        <v>4817.6400000000003</v>
      </c>
      <c r="O18" s="66">
        <f>E18*N18</f>
        <v>2722.9301280000004</v>
      </c>
      <c r="P18" s="53" t="s">
        <v>107</v>
      </c>
      <c r="Q18" s="53"/>
      <c r="R18" s="53" t="s">
        <v>80</v>
      </c>
      <c r="S18" s="53" t="s">
        <v>81</v>
      </c>
      <c r="T18" s="53" t="s">
        <v>82</v>
      </c>
      <c r="U18" s="53"/>
      <c r="V18" s="53"/>
      <c r="W18" s="53"/>
      <c r="X18" s="53"/>
      <c r="Y18" s="53"/>
      <c r="Z18" s="53"/>
      <c r="AA18" s="67">
        <v>19</v>
      </c>
      <c r="AB18" s="53" t="s">
        <v>83</v>
      </c>
    </row>
    <row r="19" spans="1:28">
      <c r="A19">
        <v>5</v>
      </c>
      <c r="B19" s="61" t="s">
        <v>207</v>
      </c>
      <c r="C19" s="62" t="s">
        <v>208</v>
      </c>
      <c r="D19" s="61" t="s">
        <v>86</v>
      </c>
      <c r="E19" s="63">
        <v>0.60599999999999998</v>
      </c>
      <c r="F19" s="64"/>
      <c r="G19" s="64">
        <f>E19*F19</f>
        <v>0</v>
      </c>
      <c r="H19" s="65">
        <v>0</v>
      </c>
      <c r="I19" s="65">
        <f>E19*H19</f>
        <v>0</v>
      </c>
      <c r="J19" s="65">
        <v>0</v>
      </c>
      <c r="K19" s="65">
        <f>E19*J19</f>
        <v>0</v>
      </c>
      <c r="L19" s="66">
        <v>0</v>
      </c>
      <c r="M19" s="66">
        <f>E19*L19</f>
        <v>0</v>
      </c>
      <c r="N19" s="66">
        <f>593.76</f>
        <v>593.76</v>
      </c>
      <c r="O19" s="66">
        <f>E19*N19</f>
        <v>359.81855999999999</v>
      </c>
      <c r="P19" s="53" t="s">
        <v>107</v>
      </c>
      <c r="Q19" s="53"/>
      <c r="R19" s="53" t="s">
        <v>80</v>
      </c>
      <c r="S19" s="53" t="s">
        <v>81</v>
      </c>
      <c r="T19" s="53" t="s">
        <v>82</v>
      </c>
      <c r="U19" s="53"/>
      <c r="V19" s="53"/>
      <c r="W19" s="53"/>
      <c r="X19" s="53"/>
      <c r="Y19" s="53"/>
      <c r="Z19" s="53"/>
      <c r="AA19" s="67">
        <v>19</v>
      </c>
      <c r="AB19" s="53" t="s">
        <v>83</v>
      </c>
    </row>
    <row r="20" spans="1:28">
      <c r="A20">
        <v>6</v>
      </c>
      <c r="B20" s="61" t="s">
        <v>105</v>
      </c>
      <c r="C20" s="62" t="s">
        <v>106</v>
      </c>
      <c r="D20" s="61" t="s">
        <v>86</v>
      </c>
      <c r="E20" s="63">
        <v>26.473800000000001</v>
      </c>
      <c r="F20" s="64"/>
      <c r="G20" s="64">
        <f>E20*F20</f>
        <v>0</v>
      </c>
      <c r="H20" s="65">
        <v>0</v>
      </c>
      <c r="I20" s="65">
        <f>E20*H20</f>
        <v>0</v>
      </c>
      <c r="J20" s="65">
        <v>0</v>
      </c>
      <c r="K20" s="65">
        <f>E20*J20</f>
        <v>0</v>
      </c>
      <c r="L20" s="66">
        <v>0</v>
      </c>
      <c r="M20" s="66">
        <f>E20*L20</f>
        <v>0</v>
      </c>
      <c r="N20" s="66">
        <f>374.85</f>
        <v>374.85</v>
      </c>
      <c r="O20" s="66">
        <f>E20*N20</f>
        <v>9923.7039300000015</v>
      </c>
      <c r="P20" s="53" t="s">
        <v>107</v>
      </c>
      <c r="Q20" s="53"/>
      <c r="R20" s="53" t="s">
        <v>80</v>
      </c>
      <c r="S20" s="53" t="s">
        <v>81</v>
      </c>
      <c r="T20" s="53" t="s">
        <v>82</v>
      </c>
      <c r="U20" s="53"/>
      <c r="V20" s="53"/>
      <c r="W20" s="53"/>
      <c r="X20" s="53"/>
      <c r="Y20" s="53"/>
      <c r="Z20" s="53"/>
      <c r="AA20" s="67">
        <v>19</v>
      </c>
      <c r="AB20" s="53" t="s">
        <v>83</v>
      </c>
    </row>
    <row r="21" spans="1:28" ht="18.75" customHeight="1">
      <c r="A21" s="68" t="s">
        <v>13</v>
      </c>
      <c r="B21" s="60" t="s">
        <v>108</v>
      </c>
      <c r="C21" s="60"/>
      <c r="D21" s="60"/>
      <c r="E21" s="60"/>
      <c r="F21" s="60"/>
      <c r="G21" s="69">
        <f>SUMIF($P:$P,$Q21,G:G)</f>
        <v>0</v>
      </c>
      <c r="H21" s="60"/>
      <c r="I21" s="70">
        <f>SUMIF($P:$P,$Q21,I:I)</f>
        <v>0</v>
      </c>
      <c r="J21" s="60"/>
      <c r="K21" s="70">
        <f>SUMIF($P:$P,$Q21,K:K)</f>
        <v>0</v>
      </c>
      <c r="L21" s="60"/>
      <c r="M21" s="71">
        <f>SUMIF($P:$P,$Q21,M:M)</f>
        <v>0</v>
      </c>
      <c r="N21" s="60"/>
      <c r="O21" s="71">
        <f>SUMIF($P:$P,$Q21,O:O)</f>
        <v>13006.452618000003</v>
      </c>
      <c r="P21" s="53" t="s">
        <v>13</v>
      </c>
      <c r="Q21" s="53" t="s">
        <v>107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 ht="12.75" customHeight="1"/>
    <row r="23" spans="1:28" ht="18.75" customHeight="1">
      <c r="A23" s="60"/>
      <c r="B23" s="60" t="s">
        <v>109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>
      <c r="A24">
        <v>7</v>
      </c>
      <c r="B24" s="61" t="s">
        <v>218</v>
      </c>
      <c r="C24" s="62" t="s">
        <v>219</v>
      </c>
      <c r="D24" s="61" t="s">
        <v>86</v>
      </c>
      <c r="E24" s="63">
        <v>18.521000000000001</v>
      </c>
      <c r="F24" s="64"/>
      <c r="G24" s="64">
        <f>E24*F24</f>
        <v>0</v>
      </c>
      <c r="H24" s="65">
        <v>0</v>
      </c>
      <c r="I24" s="65">
        <f>E24*H24</f>
        <v>0</v>
      </c>
      <c r="J24" s="65">
        <v>0</v>
      </c>
      <c r="K24" s="65">
        <f>E24*J24</f>
        <v>0</v>
      </c>
      <c r="L24" s="66">
        <v>0</v>
      </c>
      <c r="M24" s="66">
        <f>E24*L24</f>
        <v>0</v>
      </c>
      <c r="N24" s="66">
        <f>142.21</f>
        <v>142.21</v>
      </c>
      <c r="O24" s="66">
        <f>E24*N24</f>
        <v>2633.8714100000002</v>
      </c>
      <c r="P24" s="53" t="s">
        <v>112</v>
      </c>
      <c r="Q24" s="53"/>
      <c r="R24" s="53" t="s">
        <v>80</v>
      </c>
      <c r="S24" s="53" t="s">
        <v>81</v>
      </c>
      <c r="T24" s="53" t="s">
        <v>82</v>
      </c>
      <c r="U24" s="53"/>
      <c r="V24" s="53"/>
      <c r="W24" s="53"/>
      <c r="X24" s="53"/>
      <c r="Y24" s="53"/>
      <c r="Z24" s="53"/>
      <c r="AA24" s="67">
        <v>19</v>
      </c>
      <c r="AB24" s="53" t="s">
        <v>83</v>
      </c>
    </row>
    <row r="25" spans="1:28">
      <c r="A25">
        <v>8</v>
      </c>
      <c r="B25" s="61" t="s">
        <v>123</v>
      </c>
      <c r="C25" s="62" t="s">
        <v>124</v>
      </c>
      <c r="D25" s="61" t="s">
        <v>86</v>
      </c>
      <c r="E25" s="63">
        <v>0.56520000000000004</v>
      </c>
      <c r="F25" s="64"/>
      <c r="G25" s="64">
        <f>E25*F25</f>
        <v>0</v>
      </c>
      <c r="H25" s="65">
        <v>0</v>
      </c>
      <c r="I25" s="65">
        <f>E25*H25</f>
        <v>0</v>
      </c>
      <c r="J25" s="65">
        <v>0</v>
      </c>
      <c r="K25" s="65">
        <f>E25*J25</f>
        <v>0</v>
      </c>
      <c r="L25" s="66">
        <v>0</v>
      </c>
      <c r="M25" s="66">
        <f>E25*L25</f>
        <v>0</v>
      </c>
      <c r="N25" s="66">
        <f>348.82</f>
        <v>348.82</v>
      </c>
      <c r="O25" s="66">
        <f>E25*N25</f>
        <v>197.153064</v>
      </c>
      <c r="P25" s="53" t="s">
        <v>112</v>
      </c>
      <c r="Q25" s="53"/>
      <c r="R25" s="53" t="s">
        <v>80</v>
      </c>
      <c r="S25" s="53" t="s">
        <v>81</v>
      </c>
      <c r="T25" s="53" t="s">
        <v>82</v>
      </c>
      <c r="U25" s="53"/>
      <c r="V25" s="53"/>
      <c r="W25" s="53"/>
      <c r="X25" s="53"/>
      <c r="Y25" s="53"/>
      <c r="Z25" s="53"/>
      <c r="AA25" s="67">
        <v>19</v>
      </c>
      <c r="AB25" s="53" t="s">
        <v>83</v>
      </c>
    </row>
    <row r="26" spans="1:28">
      <c r="A26">
        <v>9</v>
      </c>
      <c r="B26" s="61" t="s">
        <v>220</v>
      </c>
      <c r="C26" s="62" t="s">
        <v>221</v>
      </c>
      <c r="D26" s="61" t="s">
        <v>86</v>
      </c>
      <c r="E26" s="63">
        <v>1.1304000000000001</v>
      </c>
      <c r="F26" s="64"/>
      <c r="G26" s="64">
        <f>E26*F26</f>
        <v>0</v>
      </c>
      <c r="H26" s="65">
        <v>0</v>
      </c>
      <c r="I26" s="65">
        <f>E26*H26</f>
        <v>0</v>
      </c>
      <c r="J26" s="65">
        <v>0</v>
      </c>
      <c r="K26" s="65">
        <f>E26*J26</f>
        <v>0</v>
      </c>
      <c r="L26" s="66">
        <v>0</v>
      </c>
      <c r="M26" s="66">
        <f>E26*L26</f>
        <v>0</v>
      </c>
      <c r="N26" s="66">
        <f>39.51</f>
        <v>39.51</v>
      </c>
      <c r="O26" s="66">
        <f>E26*N26</f>
        <v>44.662103999999999</v>
      </c>
      <c r="P26" s="53" t="s">
        <v>112</v>
      </c>
      <c r="Q26" s="53"/>
      <c r="R26" s="53" t="s">
        <v>80</v>
      </c>
      <c r="S26" s="53" t="s">
        <v>81</v>
      </c>
      <c r="T26" s="53" t="s">
        <v>82</v>
      </c>
      <c r="U26" s="53"/>
      <c r="V26" s="53"/>
      <c r="W26" s="53"/>
      <c r="X26" s="53"/>
      <c r="Y26" s="53"/>
      <c r="Z26" s="53"/>
      <c r="AA26" s="67">
        <v>19</v>
      </c>
      <c r="AB26" s="53" t="s">
        <v>83</v>
      </c>
    </row>
    <row r="27" spans="1:28" ht="18.75" customHeight="1">
      <c r="A27" s="68" t="s">
        <v>13</v>
      </c>
      <c r="B27" s="60" t="s">
        <v>125</v>
      </c>
      <c r="C27" s="60"/>
      <c r="D27" s="60"/>
      <c r="E27" s="60"/>
      <c r="F27" s="60"/>
      <c r="G27" s="69">
        <f>SUMIF($P:$P,$Q27,G:G)</f>
        <v>0</v>
      </c>
      <c r="H27" s="60"/>
      <c r="I27" s="70">
        <f>SUMIF($P:$P,$Q27,I:I)</f>
        <v>0</v>
      </c>
      <c r="J27" s="60"/>
      <c r="K27" s="70">
        <f>SUMIF($P:$P,$Q27,K:K)</f>
        <v>0</v>
      </c>
      <c r="L27" s="60"/>
      <c r="M27" s="71">
        <f>SUMIF($P:$P,$Q27,M:M)</f>
        <v>0</v>
      </c>
      <c r="N27" s="60"/>
      <c r="O27" s="71">
        <f>SUMIF($P:$P,$Q27,O:O)</f>
        <v>2875.6865780000003</v>
      </c>
      <c r="P27" s="53" t="s">
        <v>13</v>
      </c>
      <c r="Q27" s="53" t="s">
        <v>112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1:28" ht="12.75" customHeight="1"/>
    <row r="29" spans="1:28" ht="18.75" customHeight="1">
      <c r="A29" s="60"/>
      <c r="B29" s="60" t="s">
        <v>126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>
      <c r="A30">
        <v>10</v>
      </c>
      <c r="B30" s="61" t="s">
        <v>127</v>
      </c>
      <c r="C30" s="62" t="s">
        <v>128</v>
      </c>
      <c r="D30" s="61" t="s">
        <v>86</v>
      </c>
      <c r="E30" s="63">
        <v>5</v>
      </c>
      <c r="F30" s="64"/>
      <c r="G30" s="64">
        <f>E30*F30</f>
        <v>0</v>
      </c>
      <c r="H30" s="65">
        <v>0</v>
      </c>
      <c r="I30" s="65">
        <f>E30*H30</f>
        <v>0</v>
      </c>
      <c r="J30" s="65">
        <v>0</v>
      </c>
      <c r="K30" s="65">
        <f>E30*J30</f>
        <v>0</v>
      </c>
      <c r="L30" s="66">
        <v>0</v>
      </c>
      <c r="M30" s="66">
        <f>E30*L30</f>
        <v>0</v>
      </c>
      <c r="N30" s="66">
        <f>44.48</f>
        <v>44.48</v>
      </c>
      <c r="O30" s="66">
        <f>E30*N30</f>
        <v>222.39999999999998</v>
      </c>
      <c r="P30" s="53" t="s">
        <v>129</v>
      </c>
      <c r="Q30" s="53"/>
      <c r="R30" s="53" t="s">
        <v>80</v>
      </c>
      <c r="S30" s="53" t="s">
        <v>81</v>
      </c>
      <c r="T30" s="53" t="s">
        <v>82</v>
      </c>
      <c r="U30" s="53"/>
      <c r="V30" s="53"/>
      <c r="W30" s="53"/>
      <c r="X30" s="53"/>
      <c r="Y30" s="53"/>
      <c r="Z30" s="53"/>
      <c r="AA30" s="67">
        <v>19</v>
      </c>
      <c r="AB30" s="53" t="s">
        <v>83</v>
      </c>
    </row>
    <row r="31" spans="1:28">
      <c r="A31">
        <v>11</v>
      </c>
      <c r="B31" s="61" t="s">
        <v>130</v>
      </c>
      <c r="C31" s="62" t="s">
        <v>131</v>
      </c>
      <c r="D31" s="61" t="s">
        <v>86</v>
      </c>
      <c r="E31" s="63">
        <v>19.086200000000002</v>
      </c>
      <c r="F31" s="64"/>
      <c r="G31" s="64">
        <f>E31*F31</f>
        <v>0</v>
      </c>
      <c r="H31" s="65">
        <v>0</v>
      </c>
      <c r="I31" s="65">
        <f>E31*H31</f>
        <v>0</v>
      </c>
      <c r="J31" s="65">
        <v>0</v>
      </c>
      <c r="K31" s="65">
        <f>E31*J31</f>
        <v>0</v>
      </c>
      <c r="L31" s="66">
        <v>0</v>
      </c>
      <c r="M31" s="66">
        <f>E31*L31</f>
        <v>0</v>
      </c>
      <c r="N31" s="66">
        <f>16.13</f>
        <v>16.13</v>
      </c>
      <c r="O31" s="66">
        <f>E31*N31</f>
        <v>307.86040600000001</v>
      </c>
      <c r="P31" s="53" t="s">
        <v>129</v>
      </c>
      <c r="Q31" s="53"/>
      <c r="R31" s="53" t="s">
        <v>80</v>
      </c>
      <c r="S31" s="53" t="s">
        <v>81</v>
      </c>
      <c r="T31" s="53" t="s">
        <v>82</v>
      </c>
      <c r="U31" s="53"/>
      <c r="V31" s="53"/>
      <c r="W31" s="53"/>
      <c r="X31" s="53"/>
      <c r="Y31" s="53"/>
      <c r="Z31" s="53"/>
      <c r="AA31" s="67">
        <v>19</v>
      </c>
      <c r="AB31" s="53" t="s">
        <v>83</v>
      </c>
    </row>
    <row r="32" spans="1:28">
      <c r="A32">
        <v>12</v>
      </c>
      <c r="B32" s="61" t="s">
        <v>224</v>
      </c>
      <c r="C32" s="62" t="s">
        <v>225</v>
      </c>
      <c r="D32" s="61" t="s">
        <v>86</v>
      </c>
      <c r="E32" s="63">
        <v>1.9641999999999999</v>
      </c>
      <c r="F32" s="64"/>
      <c r="G32" s="64">
        <f>E32*F32</f>
        <v>0</v>
      </c>
      <c r="H32" s="65">
        <v>0</v>
      </c>
      <c r="I32" s="65">
        <f>E32*H32</f>
        <v>0</v>
      </c>
      <c r="J32" s="65">
        <v>0</v>
      </c>
      <c r="K32" s="65">
        <f>E32*J32</f>
        <v>0</v>
      </c>
      <c r="L32" s="66">
        <v>0</v>
      </c>
      <c r="M32" s="66">
        <f>E32*L32</f>
        <v>0</v>
      </c>
      <c r="N32" s="66">
        <f>67.74</f>
        <v>67.739999999999995</v>
      </c>
      <c r="O32" s="66">
        <f>E32*N32</f>
        <v>133.05490799999998</v>
      </c>
      <c r="P32" s="53" t="s">
        <v>129</v>
      </c>
      <c r="Q32" s="53"/>
      <c r="R32" s="53" t="s">
        <v>80</v>
      </c>
      <c r="S32" s="53" t="s">
        <v>81</v>
      </c>
      <c r="T32" s="53" t="s">
        <v>82</v>
      </c>
      <c r="U32" s="53"/>
      <c r="V32" s="53"/>
      <c r="W32" s="53"/>
      <c r="X32" s="53"/>
      <c r="Y32" s="53"/>
      <c r="Z32" s="53"/>
      <c r="AA32" s="67">
        <v>19</v>
      </c>
      <c r="AB32" s="53" t="s">
        <v>83</v>
      </c>
    </row>
    <row r="33" spans="1:28">
      <c r="A33">
        <v>13</v>
      </c>
      <c r="B33" s="61" t="s">
        <v>228</v>
      </c>
      <c r="C33" s="62" t="s">
        <v>229</v>
      </c>
      <c r="D33" s="61" t="s">
        <v>86</v>
      </c>
      <c r="E33" s="63">
        <v>10.032</v>
      </c>
      <c r="F33" s="64"/>
      <c r="G33" s="64">
        <f>E33*F33</f>
        <v>0</v>
      </c>
      <c r="H33" s="65">
        <v>0</v>
      </c>
      <c r="I33" s="65">
        <f>E33*H33</f>
        <v>0</v>
      </c>
      <c r="J33" s="65">
        <v>0</v>
      </c>
      <c r="K33" s="65">
        <f>E33*J33</f>
        <v>0</v>
      </c>
      <c r="L33" s="66">
        <v>0</v>
      </c>
      <c r="M33" s="66">
        <f>E33*L33</f>
        <v>0</v>
      </c>
      <c r="N33" s="66">
        <f>522.79</f>
        <v>522.79</v>
      </c>
      <c r="O33" s="66">
        <f>E33*N33</f>
        <v>5244.6292799999992</v>
      </c>
      <c r="P33" s="53" t="s">
        <v>129</v>
      </c>
      <c r="Q33" s="53"/>
      <c r="R33" s="53" t="s">
        <v>80</v>
      </c>
      <c r="S33" s="53" t="s">
        <v>81</v>
      </c>
      <c r="T33" s="53" t="s">
        <v>82</v>
      </c>
      <c r="U33" s="53"/>
      <c r="V33" s="53"/>
      <c r="W33" s="53"/>
      <c r="X33" s="53"/>
      <c r="Y33" s="53"/>
      <c r="Z33" s="53"/>
      <c r="AA33" s="67">
        <v>19</v>
      </c>
      <c r="AB33" s="53" t="s">
        <v>83</v>
      </c>
    </row>
    <row r="34" spans="1:28" ht="18.75" customHeight="1">
      <c r="A34" s="68" t="s">
        <v>13</v>
      </c>
      <c r="B34" s="60" t="s">
        <v>138</v>
      </c>
      <c r="C34" s="60"/>
      <c r="D34" s="60"/>
      <c r="E34" s="60"/>
      <c r="F34" s="60"/>
      <c r="G34" s="69">
        <f>SUMIF($P:$P,$Q34,G:G)</f>
        <v>0</v>
      </c>
      <c r="H34" s="60"/>
      <c r="I34" s="70">
        <f>SUMIF($P:$P,$Q34,I:I)</f>
        <v>0</v>
      </c>
      <c r="J34" s="60"/>
      <c r="K34" s="70">
        <f>SUMIF($P:$P,$Q34,K:K)</f>
        <v>0</v>
      </c>
      <c r="L34" s="60"/>
      <c r="M34" s="71">
        <f>SUMIF($P:$P,$Q34,M:M)</f>
        <v>0</v>
      </c>
      <c r="N34" s="60"/>
      <c r="O34" s="71">
        <f>SUMIF($P:$P,$Q34,O:O)</f>
        <v>5907.9445939999987</v>
      </c>
      <c r="P34" s="53" t="s">
        <v>13</v>
      </c>
      <c r="Q34" s="53" t="s">
        <v>129</v>
      </c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2.75" customHeight="1"/>
    <row r="36" spans="1:28" ht="18.75" customHeight="1">
      <c r="A36" s="60"/>
      <c r="B36" s="60" t="s">
        <v>139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>
      <c r="A37">
        <v>14</v>
      </c>
      <c r="B37" s="61" t="s">
        <v>140</v>
      </c>
      <c r="C37" s="62" t="s">
        <v>141</v>
      </c>
      <c r="D37" s="61" t="s">
        <v>78</v>
      </c>
      <c r="E37" s="63">
        <v>14</v>
      </c>
      <c r="F37" s="64"/>
      <c r="G37" s="64">
        <f>E37*F37</f>
        <v>0</v>
      </c>
      <c r="H37" s="65">
        <v>0</v>
      </c>
      <c r="I37" s="65">
        <f>E37*H37</f>
        <v>0</v>
      </c>
      <c r="J37" s="65">
        <v>0</v>
      </c>
      <c r="K37" s="65">
        <f>E37*J37</f>
        <v>0</v>
      </c>
      <c r="L37" s="66">
        <v>0.49</v>
      </c>
      <c r="M37" s="66">
        <f>E37*L37</f>
        <v>6.8599999999999994</v>
      </c>
      <c r="N37" s="66">
        <f>14.62</f>
        <v>14.62</v>
      </c>
      <c r="O37" s="66">
        <f>E37*N37</f>
        <v>204.67999999999998</v>
      </c>
      <c r="P37" s="53" t="s">
        <v>142</v>
      </c>
      <c r="Q37" s="53"/>
      <c r="R37" s="53" t="s">
        <v>80</v>
      </c>
      <c r="S37" s="53" t="s">
        <v>81</v>
      </c>
      <c r="T37" s="53" t="s">
        <v>82</v>
      </c>
      <c r="U37" s="53"/>
      <c r="V37" s="53"/>
      <c r="W37" s="53"/>
      <c r="X37" s="53"/>
      <c r="Y37" s="53"/>
      <c r="Z37" s="53"/>
      <c r="AA37" s="67">
        <v>19</v>
      </c>
      <c r="AB37" s="53" t="s">
        <v>83</v>
      </c>
    </row>
    <row r="38" spans="1:28">
      <c r="A38">
        <v>15</v>
      </c>
      <c r="B38" s="61" t="s">
        <v>147</v>
      </c>
      <c r="C38" s="62" t="s">
        <v>148</v>
      </c>
      <c r="D38" s="61" t="s">
        <v>149</v>
      </c>
      <c r="E38" s="63">
        <v>0.441</v>
      </c>
      <c r="F38" s="64"/>
      <c r="G38" s="64">
        <f>E38*F38</f>
        <v>0</v>
      </c>
      <c r="H38" s="65">
        <v>1E-3</v>
      </c>
      <c r="I38" s="65">
        <f>E38*H38</f>
        <v>4.4099999999999999E-4</v>
      </c>
      <c r="J38" s="65">
        <v>0</v>
      </c>
      <c r="K38" s="65">
        <f>E38*J38</f>
        <v>0</v>
      </c>
      <c r="L38" s="66">
        <v>250</v>
      </c>
      <c r="M38" s="66">
        <f>E38*L38</f>
        <v>110.25</v>
      </c>
      <c r="N38" s="66">
        <f>0</f>
        <v>0</v>
      </c>
      <c r="O38" s="66">
        <f>E38*N38</f>
        <v>0</v>
      </c>
      <c r="P38" s="53" t="s">
        <v>142</v>
      </c>
      <c r="Q38" s="53"/>
      <c r="R38" s="53" t="s">
        <v>80</v>
      </c>
      <c r="S38" s="53" t="s">
        <v>150</v>
      </c>
      <c r="T38" s="53" t="s">
        <v>151</v>
      </c>
      <c r="U38" s="53"/>
      <c r="V38" s="53"/>
      <c r="W38" s="53"/>
      <c r="X38" s="53"/>
      <c r="Y38" s="53"/>
      <c r="Z38" s="53"/>
      <c r="AA38" s="67">
        <v>19</v>
      </c>
      <c r="AB38" s="53" t="s">
        <v>152</v>
      </c>
    </row>
    <row r="39" spans="1:28" ht="18.75" customHeight="1">
      <c r="A39" s="68" t="s">
        <v>13</v>
      </c>
      <c r="B39" s="60" t="s">
        <v>153</v>
      </c>
      <c r="C39" s="60"/>
      <c r="D39" s="60"/>
      <c r="E39" s="60"/>
      <c r="F39" s="60"/>
      <c r="G39" s="69">
        <f>SUMIF($P:$P,$Q39,G:G)</f>
        <v>0</v>
      </c>
      <c r="H39" s="60"/>
      <c r="I39" s="70">
        <f>SUMIF($P:$P,$Q39,I:I)</f>
        <v>4.4099999999999999E-4</v>
      </c>
      <c r="J39" s="60"/>
      <c r="K39" s="70">
        <f>SUMIF($P:$P,$Q39,K:K)</f>
        <v>0</v>
      </c>
      <c r="L39" s="60"/>
      <c r="M39" s="71">
        <f>SUMIF($P:$P,$Q39,M:M)</f>
        <v>117.11</v>
      </c>
      <c r="N39" s="60"/>
      <c r="O39" s="71">
        <f>SUMIF($P:$P,$Q39,O:O)</f>
        <v>204.67999999999998</v>
      </c>
      <c r="P39" s="53" t="s">
        <v>13</v>
      </c>
      <c r="Q39" s="53" t="s">
        <v>142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1:28" ht="12.75" customHeight="1"/>
    <row r="41" spans="1:28" ht="18.75" customHeight="1">
      <c r="A41" s="60"/>
      <c r="B41" s="60" t="s">
        <v>154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1:28">
      <c r="A42">
        <v>16</v>
      </c>
      <c r="B42" s="61" t="s">
        <v>155</v>
      </c>
      <c r="C42" s="62" t="s">
        <v>156</v>
      </c>
      <c r="D42" s="61" t="s">
        <v>78</v>
      </c>
      <c r="E42" s="63">
        <v>4.2</v>
      </c>
      <c r="F42" s="64"/>
      <c r="G42" s="64">
        <f>E42*F42</f>
        <v>0</v>
      </c>
      <c r="H42" s="65">
        <v>0.24299999999999999</v>
      </c>
      <c r="I42" s="65">
        <f>E42*H42</f>
        <v>1.0206</v>
      </c>
      <c r="J42" s="65">
        <v>0</v>
      </c>
      <c r="K42" s="65">
        <f>E42*J42</f>
        <v>0</v>
      </c>
      <c r="L42" s="66">
        <v>282.91000000000003</v>
      </c>
      <c r="M42" s="66">
        <f>E42*L42</f>
        <v>1188.2220000000002</v>
      </c>
      <c r="N42" s="66">
        <f>55.63</f>
        <v>55.63</v>
      </c>
      <c r="O42" s="66">
        <f>E42*N42</f>
        <v>233.64600000000002</v>
      </c>
      <c r="P42" s="53" t="s">
        <v>157</v>
      </c>
      <c r="Q42" s="53"/>
      <c r="R42" s="53" t="s">
        <v>80</v>
      </c>
      <c r="S42" s="53" t="s">
        <v>81</v>
      </c>
      <c r="T42" s="53" t="s">
        <v>82</v>
      </c>
      <c r="U42" s="53"/>
      <c r="V42" s="53"/>
      <c r="W42" s="53"/>
      <c r="X42" s="53"/>
      <c r="Y42" s="53"/>
      <c r="Z42" s="53"/>
      <c r="AA42" s="67">
        <v>19</v>
      </c>
      <c r="AB42" s="53" t="s">
        <v>83</v>
      </c>
    </row>
    <row r="43" spans="1:28">
      <c r="A43">
        <v>17</v>
      </c>
      <c r="B43" s="61" t="s">
        <v>230</v>
      </c>
      <c r="C43" s="62" t="s">
        <v>231</v>
      </c>
      <c r="D43" s="61" t="s">
        <v>89</v>
      </c>
      <c r="E43" s="63">
        <v>6</v>
      </c>
      <c r="F43" s="64"/>
      <c r="G43" s="64">
        <f>E43*F43</f>
        <v>0</v>
      </c>
      <c r="H43" s="65">
        <v>2E-3</v>
      </c>
      <c r="I43" s="65">
        <f>E43*H43</f>
        <v>1.2E-2</v>
      </c>
      <c r="J43" s="65">
        <v>0</v>
      </c>
      <c r="K43" s="65">
        <f>E43*J43</f>
        <v>0</v>
      </c>
      <c r="L43" s="66">
        <v>16.739999999999998</v>
      </c>
      <c r="M43" s="66">
        <f>E43*L43</f>
        <v>100.44</v>
      </c>
      <c r="N43" s="66">
        <f>18.43</f>
        <v>18.43</v>
      </c>
      <c r="O43" s="66">
        <f>E43*N43</f>
        <v>110.58</v>
      </c>
      <c r="P43" s="53" t="s">
        <v>157</v>
      </c>
      <c r="Q43" s="53"/>
      <c r="R43" s="53" t="s">
        <v>80</v>
      </c>
      <c r="S43" s="53" t="s">
        <v>81</v>
      </c>
      <c r="T43" s="53" t="s">
        <v>82</v>
      </c>
      <c r="U43" s="53"/>
      <c r="V43" s="53"/>
      <c r="W43" s="53"/>
      <c r="X43" s="53"/>
      <c r="Y43" s="53"/>
      <c r="Z43" s="53"/>
      <c r="AA43" s="67">
        <v>19</v>
      </c>
      <c r="AB43" s="53" t="s">
        <v>83</v>
      </c>
    </row>
    <row r="44" spans="1:28">
      <c r="A44">
        <v>18</v>
      </c>
      <c r="B44" s="61" t="s">
        <v>232</v>
      </c>
      <c r="C44" s="62" t="s">
        <v>233</v>
      </c>
      <c r="D44" s="61" t="s">
        <v>86</v>
      </c>
      <c r="E44" s="63">
        <v>0.36099999999999999</v>
      </c>
      <c r="F44" s="64"/>
      <c r="G44" s="64">
        <f>E44*F44</f>
        <v>0</v>
      </c>
      <c r="H44" s="65">
        <v>2.355</v>
      </c>
      <c r="I44" s="65">
        <f>E44*H44</f>
        <v>0.85015499999999999</v>
      </c>
      <c r="J44" s="65">
        <v>0</v>
      </c>
      <c r="K44" s="65">
        <f>E44*J44</f>
        <v>0</v>
      </c>
      <c r="L44" s="66">
        <v>2381</v>
      </c>
      <c r="M44" s="66">
        <f>E44*L44</f>
        <v>859.54099999999994</v>
      </c>
      <c r="N44" s="66">
        <f>384.09</f>
        <v>384.09</v>
      </c>
      <c r="O44" s="66">
        <f>E44*N44</f>
        <v>138.65648999999999</v>
      </c>
      <c r="P44" s="53" t="s">
        <v>157</v>
      </c>
      <c r="Q44" s="53"/>
      <c r="R44" s="53" t="s">
        <v>80</v>
      </c>
      <c r="S44" s="53" t="s">
        <v>81</v>
      </c>
      <c r="T44" s="53" t="s">
        <v>82</v>
      </c>
      <c r="U44" s="53"/>
      <c r="V44" s="53"/>
      <c r="W44" s="53"/>
      <c r="X44" s="53"/>
      <c r="Y44" s="53"/>
      <c r="Z44" s="53"/>
      <c r="AA44" s="67">
        <v>19</v>
      </c>
      <c r="AB44" s="53" t="s">
        <v>83</v>
      </c>
    </row>
    <row r="45" spans="1:28">
      <c r="A45">
        <v>19</v>
      </c>
      <c r="B45" s="61" t="s">
        <v>162</v>
      </c>
      <c r="C45" s="62" t="s">
        <v>163</v>
      </c>
      <c r="D45" s="61" t="s">
        <v>86</v>
      </c>
      <c r="E45" s="63">
        <v>0.60599999999999998</v>
      </c>
      <c r="F45" s="64"/>
      <c r="G45" s="64">
        <f>E45*F45</f>
        <v>0</v>
      </c>
      <c r="H45" s="65">
        <v>2.4870000000000001</v>
      </c>
      <c r="I45" s="65">
        <f>E45*H45</f>
        <v>1.5071220000000001</v>
      </c>
      <c r="J45" s="65">
        <v>0</v>
      </c>
      <c r="K45" s="65">
        <f>E45*J45</f>
        <v>0</v>
      </c>
      <c r="L45" s="66">
        <v>2981.03</v>
      </c>
      <c r="M45" s="66">
        <f>E45*L45</f>
        <v>1806.5041800000001</v>
      </c>
      <c r="N45" s="66">
        <f>562.32</f>
        <v>562.32000000000005</v>
      </c>
      <c r="O45" s="66">
        <f>E45*N45</f>
        <v>340.76591999999999</v>
      </c>
      <c r="P45" s="53" t="s">
        <v>157</v>
      </c>
      <c r="Q45" s="53"/>
      <c r="R45" s="53" t="s">
        <v>80</v>
      </c>
      <c r="S45" s="53" t="s">
        <v>81</v>
      </c>
      <c r="T45" s="53" t="s">
        <v>82</v>
      </c>
      <c r="U45" s="53"/>
      <c r="V45" s="53"/>
      <c r="W45" s="53"/>
      <c r="X45" s="53"/>
      <c r="Y45" s="53"/>
      <c r="Z45" s="53"/>
      <c r="AA45" s="67">
        <v>19</v>
      </c>
      <c r="AB45" s="53" t="s">
        <v>83</v>
      </c>
    </row>
    <row r="46" spans="1:28">
      <c r="A46">
        <v>20</v>
      </c>
      <c r="B46" s="61" t="s">
        <v>238</v>
      </c>
      <c r="C46" s="62" t="s">
        <v>239</v>
      </c>
      <c r="D46" s="61" t="s">
        <v>240</v>
      </c>
      <c r="E46" s="63">
        <v>3</v>
      </c>
      <c r="F46" s="64"/>
      <c r="G46" s="64">
        <f>E46*F46</f>
        <v>0</v>
      </c>
      <c r="H46" s="65">
        <v>8.1000000000000003E-2</v>
      </c>
      <c r="I46" s="65">
        <f>E46*H46</f>
        <v>0.24299999999999999</v>
      </c>
      <c r="J46" s="65">
        <v>0</v>
      </c>
      <c r="K46" s="65">
        <f>E46*J46</f>
        <v>0</v>
      </c>
      <c r="L46" s="66">
        <v>148.12</v>
      </c>
      <c r="M46" s="66">
        <f>E46*L46</f>
        <v>444.36</v>
      </c>
      <c r="N46" s="66">
        <f>0</f>
        <v>0</v>
      </c>
      <c r="O46" s="66">
        <f>E46*N46</f>
        <v>0</v>
      </c>
      <c r="P46" s="53" t="s">
        <v>157</v>
      </c>
      <c r="Q46" s="53"/>
      <c r="R46" s="53" t="s">
        <v>80</v>
      </c>
      <c r="S46" s="53" t="s">
        <v>241</v>
      </c>
      <c r="T46" s="53" t="s">
        <v>242</v>
      </c>
      <c r="U46" s="53"/>
      <c r="V46" s="53"/>
      <c r="W46" s="53"/>
      <c r="X46" s="53"/>
      <c r="Y46" s="53"/>
      <c r="Z46" s="53"/>
      <c r="AA46" s="67">
        <v>19</v>
      </c>
      <c r="AB46" s="53" t="s">
        <v>152</v>
      </c>
    </row>
    <row r="47" spans="1:28" ht="18.75" customHeight="1">
      <c r="A47" s="68" t="s">
        <v>13</v>
      </c>
      <c r="B47" s="60" t="s">
        <v>164</v>
      </c>
      <c r="C47" s="60"/>
      <c r="D47" s="60"/>
      <c r="E47" s="60"/>
      <c r="F47" s="60"/>
      <c r="G47" s="69">
        <f>SUMIF($P:$P,$Q47,G:G)</f>
        <v>0</v>
      </c>
      <c r="H47" s="60"/>
      <c r="I47" s="70">
        <f>SUMIF($P:$P,$Q47,I:I)</f>
        <v>3.6328770000000001</v>
      </c>
      <c r="J47" s="60"/>
      <c r="K47" s="70">
        <f>SUMIF($P:$P,$Q47,K:K)</f>
        <v>0</v>
      </c>
      <c r="L47" s="60"/>
      <c r="M47" s="71">
        <f>SUMIF($P:$P,$Q47,M:M)</f>
        <v>4399.06718</v>
      </c>
      <c r="N47" s="60"/>
      <c r="O47" s="71">
        <f>SUMIF($P:$P,$Q47,O:O)</f>
        <v>823.64841000000001</v>
      </c>
      <c r="P47" s="53" t="s">
        <v>13</v>
      </c>
      <c r="Q47" s="53" t="s">
        <v>157</v>
      </c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1:28" ht="12.75" customHeight="1"/>
    <row r="49" spans="1:28" ht="18.75" customHeight="1">
      <c r="A49" s="60"/>
      <c r="B49" s="60" t="s">
        <v>165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1:28">
      <c r="A50">
        <v>21</v>
      </c>
      <c r="B50" s="61" t="s">
        <v>169</v>
      </c>
      <c r="C50" s="62" t="s">
        <v>170</v>
      </c>
      <c r="D50" s="61" t="s">
        <v>78</v>
      </c>
      <c r="E50" s="63">
        <v>3.6</v>
      </c>
      <c r="F50" s="64"/>
      <c r="G50" s="64">
        <f>E50*F50</f>
        <v>0</v>
      </c>
      <c r="H50" s="65">
        <v>0.51900000000000002</v>
      </c>
      <c r="I50" s="65">
        <f>E50*H50</f>
        <v>1.8684000000000001</v>
      </c>
      <c r="J50" s="65">
        <v>0</v>
      </c>
      <c r="K50" s="65">
        <f>E50*J50</f>
        <v>0</v>
      </c>
      <c r="L50" s="66">
        <v>345.93</v>
      </c>
      <c r="M50" s="66">
        <f>E50*L50</f>
        <v>1245.348</v>
      </c>
      <c r="N50" s="66">
        <f>347.52</f>
        <v>347.52</v>
      </c>
      <c r="O50" s="66">
        <f>E50*N50</f>
        <v>1251.0719999999999</v>
      </c>
      <c r="P50" s="53" t="s">
        <v>168</v>
      </c>
      <c r="Q50" s="53"/>
      <c r="R50" s="53" t="s">
        <v>80</v>
      </c>
      <c r="S50" s="53" t="s">
        <v>81</v>
      </c>
      <c r="T50" s="53" t="s">
        <v>82</v>
      </c>
      <c r="U50" s="53"/>
      <c r="V50" s="53"/>
      <c r="W50" s="53"/>
      <c r="X50" s="53"/>
      <c r="Y50" s="53"/>
      <c r="Z50" s="53"/>
      <c r="AA50" s="67">
        <v>19</v>
      </c>
      <c r="AB50" s="53" t="s">
        <v>83</v>
      </c>
    </row>
    <row r="51" spans="1:28" ht="18.75" customHeight="1">
      <c r="A51" s="68" t="s">
        <v>13</v>
      </c>
      <c r="B51" s="60" t="s">
        <v>171</v>
      </c>
      <c r="C51" s="60"/>
      <c r="D51" s="60"/>
      <c r="E51" s="60"/>
      <c r="F51" s="60"/>
      <c r="G51" s="69">
        <f>SUMIF($P:$P,$Q51,G:G)</f>
        <v>0</v>
      </c>
      <c r="H51" s="60"/>
      <c r="I51" s="70">
        <f>SUMIF($P:$P,$Q51,I:I)</f>
        <v>1.8684000000000001</v>
      </c>
      <c r="J51" s="60"/>
      <c r="K51" s="70">
        <f>SUMIF($P:$P,$Q51,K:K)</f>
        <v>0</v>
      </c>
      <c r="L51" s="60"/>
      <c r="M51" s="71">
        <f>SUMIF($P:$P,$Q51,M:M)</f>
        <v>1245.348</v>
      </c>
      <c r="N51" s="60"/>
      <c r="O51" s="71">
        <f>SUMIF($P:$P,$Q51,O:O)</f>
        <v>1251.0719999999999</v>
      </c>
      <c r="P51" s="53" t="s">
        <v>13</v>
      </c>
      <c r="Q51" s="53" t="s">
        <v>168</v>
      </c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ht="12.75" customHeight="1"/>
    <row r="53" spans="1:28" ht="18.75" customHeight="1">
      <c r="A53" s="60"/>
      <c r="B53" s="60" t="s">
        <v>323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1:28">
      <c r="A54">
        <v>22</v>
      </c>
      <c r="B54" s="61" t="s">
        <v>324</v>
      </c>
      <c r="C54" s="62" t="s">
        <v>325</v>
      </c>
      <c r="D54" s="61" t="s">
        <v>78</v>
      </c>
      <c r="E54" s="63">
        <v>40</v>
      </c>
      <c r="F54" s="64"/>
      <c r="G54" s="64">
        <f>E54*F54</f>
        <v>0</v>
      </c>
      <c r="H54" s="65">
        <v>0.53386</v>
      </c>
      <c r="I54" s="65">
        <f>E54*H54</f>
        <v>21.354399999999998</v>
      </c>
      <c r="J54" s="65">
        <v>0</v>
      </c>
      <c r="K54" s="65">
        <f>E54*J54</f>
        <v>0</v>
      </c>
      <c r="L54" s="66">
        <v>226.67</v>
      </c>
      <c r="M54" s="66">
        <f>E54*L54</f>
        <v>9066.7999999999993</v>
      </c>
      <c r="N54" s="66">
        <f>46.52</f>
        <v>46.52</v>
      </c>
      <c r="O54" s="66">
        <f>E54*N54</f>
        <v>1860.8000000000002</v>
      </c>
      <c r="P54" s="53" t="s">
        <v>326</v>
      </c>
      <c r="Q54" s="53"/>
      <c r="R54" s="53" t="s">
        <v>80</v>
      </c>
      <c r="S54" s="53" t="s">
        <v>81</v>
      </c>
      <c r="T54" s="53" t="s">
        <v>82</v>
      </c>
      <c r="U54" s="53"/>
      <c r="V54" s="53"/>
      <c r="W54" s="53"/>
      <c r="X54" s="53"/>
      <c r="Y54" s="53"/>
      <c r="Z54" s="53"/>
      <c r="AA54" s="67">
        <v>19</v>
      </c>
      <c r="AB54" s="53" t="s">
        <v>83</v>
      </c>
    </row>
    <row r="55" spans="1:28" ht="18.75" customHeight="1">
      <c r="A55" s="68" t="s">
        <v>13</v>
      </c>
      <c r="B55" s="60" t="s">
        <v>327</v>
      </c>
      <c r="C55" s="60"/>
      <c r="D55" s="60"/>
      <c r="E55" s="60"/>
      <c r="F55" s="60"/>
      <c r="G55" s="69">
        <f>SUMIF($P:$P,$Q55,G:G)</f>
        <v>0</v>
      </c>
      <c r="H55" s="60"/>
      <c r="I55" s="70">
        <f>SUMIF($P:$P,$Q55,I:I)</f>
        <v>21.354399999999998</v>
      </c>
      <c r="J55" s="60"/>
      <c r="K55" s="70">
        <f>SUMIF($P:$P,$Q55,K:K)</f>
        <v>0</v>
      </c>
      <c r="L55" s="60"/>
      <c r="M55" s="71">
        <f>SUMIF($P:$P,$Q55,M:M)</f>
        <v>9066.7999999999993</v>
      </c>
      <c r="N55" s="60"/>
      <c r="O55" s="71">
        <f>SUMIF($P:$P,$Q55,O:O)</f>
        <v>1860.8000000000002</v>
      </c>
      <c r="P55" s="53" t="s">
        <v>13</v>
      </c>
      <c r="Q55" s="53" t="s">
        <v>326</v>
      </c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1:28" ht="12.75" customHeight="1"/>
    <row r="57" spans="1:28" ht="18.75" customHeight="1">
      <c r="A57" s="60"/>
      <c r="B57" s="60" t="s">
        <v>254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>
      <c r="A58">
        <v>23</v>
      </c>
      <c r="B58" s="61" t="s">
        <v>260</v>
      </c>
      <c r="C58" s="62" t="s">
        <v>261</v>
      </c>
      <c r="D58" s="61" t="s">
        <v>89</v>
      </c>
      <c r="E58" s="63">
        <v>1</v>
      </c>
      <c r="F58" s="64"/>
      <c r="G58" s="64">
        <f>E58*F58</f>
        <v>0</v>
      </c>
      <c r="H58" s="65">
        <v>10.09186</v>
      </c>
      <c r="I58" s="65">
        <f>E58*H58</f>
        <v>10.09186</v>
      </c>
      <c r="J58" s="65">
        <v>0</v>
      </c>
      <c r="K58" s="65">
        <f>E58*J58</f>
        <v>0</v>
      </c>
      <c r="L58" s="66">
        <v>9669</v>
      </c>
      <c r="M58" s="66">
        <f>E58*L58</f>
        <v>9669</v>
      </c>
      <c r="N58" s="66">
        <f>5517.97</f>
        <v>5517.97</v>
      </c>
      <c r="O58" s="66">
        <f>E58*N58</f>
        <v>5517.97</v>
      </c>
      <c r="P58" s="53" t="s">
        <v>257</v>
      </c>
      <c r="Q58" s="53"/>
      <c r="R58" s="53" t="s">
        <v>80</v>
      </c>
      <c r="S58" s="53" t="s">
        <v>81</v>
      </c>
      <c r="T58" s="53" t="s">
        <v>82</v>
      </c>
      <c r="U58" s="53"/>
      <c r="V58" s="53"/>
      <c r="W58" s="53"/>
      <c r="X58" s="53"/>
      <c r="Y58" s="53"/>
      <c r="Z58" s="53"/>
      <c r="AA58" s="67">
        <v>19</v>
      </c>
      <c r="AB58" s="53" t="s">
        <v>83</v>
      </c>
    </row>
    <row r="59" spans="1:28">
      <c r="A59">
        <v>24</v>
      </c>
      <c r="B59" s="61" t="s">
        <v>328</v>
      </c>
      <c r="C59" s="62" t="s">
        <v>329</v>
      </c>
      <c r="D59" s="61" t="s">
        <v>246</v>
      </c>
      <c r="E59" s="63">
        <v>8.1</v>
      </c>
      <c r="F59" s="64"/>
      <c r="G59" s="64">
        <f>E59*F59</f>
        <v>0</v>
      </c>
      <c r="H59" s="65">
        <v>1.0309999999999999</v>
      </c>
      <c r="I59" s="65">
        <f>E59*H59</f>
        <v>8.3510999999999989</v>
      </c>
      <c r="J59" s="65">
        <v>0</v>
      </c>
      <c r="K59" s="65">
        <f>E59*J59</f>
        <v>0</v>
      </c>
      <c r="L59" s="66">
        <v>1149.22</v>
      </c>
      <c r="M59" s="66">
        <f>E59*L59</f>
        <v>9308.6820000000007</v>
      </c>
      <c r="N59" s="66">
        <f>493.68</f>
        <v>493.68</v>
      </c>
      <c r="O59" s="66">
        <f>E59*N59</f>
        <v>3998.808</v>
      </c>
      <c r="P59" s="53" t="s">
        <v>257</v>
      </c>
      <c r="Q59" s="53"/>
      <c r="R59" s="53" t="s">
        <v>80</v>
      </c>
      <c r="S59" s="53" t="s">
        <v>81</v>
      </c>
      <c r="T59" s="53" t="s">
        <v>82</v>
      </c>
      <c r="U59" s="53"/>
      <c r="V59" s="53"/>
      <c r="W59" s="53"/>
      <c r="X59" s="53"/>
      <c r="Y59" s="53"/>
      <c r="Z59" s="53"/>
      <c r="AA59" s="67">
        <v>19</v>
      </c>
      <c r="AB59" s="53" t="s">
        <v>83</v>
      </c>
    </row>
    <row r="60" spans="1:28">
      <c r="A60">
        <v>25</v>
      </c>
      <c r="B60" s="61" t="s">
        <v>330</v>
      </c>
      <c r="C60" s="62" t="s">
        <v>331</v>
      </c>
      <c r="D60" s="61" t="s">
        <v>86</v>
      </c>
      <c r="E60" s="63">
        <v>14.25</v>
      </c>
      <c r="F60" s="64"/>
      <c r="G60" s="64">
        <f>E60*F60</f>
        <v>0</v>
      </c>
      <c r="H60" s="65">
        <v>2.2667199999999998</v>
      </c>
      <c r="I60" s="65">
        <f>E60*H60</f>
        <v>32.300759999999997</v>
      </c>
      <c r="J60" s="65">
        <v>0</v>
      </c>
      <c r="K60" s="65">
        <f>E60*J60</f>
        <v>0</v>
      </c>
      <c r="L60" s="66">
        <v>0</v>
      </c>
      <c r="M60" s="66">
        <f>E60*L60</f>
        <v>0</v>
      </c>
      <c r="N60" s="66">
        <f>1200</f>
        <v>1200</v>
      </c>
      <c r="O60" s="66">
        <f>E60*N60</f>
        <v>17100</v>
      </c>
      <c r="P60" s="53" t="s">
        <v>257</v>
      </c>
      <c r="Q60" s="53"/>
      <c r="R60" s="53" t="s">
        <v>80</v>
      </c>
      <c r="S60" s="53" t="s">
        <v>332</v>
      </c>
      <c r="T60" s="53" t="s">
        <v>333</v>
      </c>
      <c r="U60" s="53"/>
      <c r="V60" s="53"/>
      <c r="W60" s="53"/>
      <c r="X60" s="53"/>
      <c r="Y60" s="53"/>
      <c r="Z60" s="53"/>
      <c r="AA60" s="67">
        <v>19</v>
      </c>
      <c r="AB60" s="53" t="s">
        <v>83</v>
      </c>
    </row>
    <row r="61" spans="1:28">
      <c r="A61">
        <v>26</v>
      </c>
      <c r="B61" s="61" t="s">
        <v>334</v>
      </c>
      <c r="C61" s="62" t="s">
        <v>335</v>
      </c>
      <c r="D61" s="61" t="s">
        <v>240</v>
      </c>
      <c r="E61" s="63">
        <v>4</v>
      </c>
      <c r="F61" s="64"/>
      <c r="G61" s="64">
        <f>E61*F61</f>
        <v>0</v>
      </c>
      <c r="H61" s="65">
        <v>0.67</v>
      </c>
      <c r="I61" s="65">
        <f>E61*H61</f>
        <v>2.68</v>
      </c>
      <c r="J61" s="65">
        <v>0</v>
      </c>
      <c r="K61" s="65">
        <f>E61*J61</f>
        <v>0</v>
      </c>
      <c r="L61" s="66">
        <v>3213.4</v>
      </c>
      <c r="M61" s="66">
        <f>E61*L61</f>
        <v>12853.6</v>
      </c>
      <c r="N61" s="66">
        <f>96.402</f>
        <v>96.402000000000001</v>
      </c>
      <c r="O61" s="66">
        <f>E61*N61</f>
        <v>385.608</v>
      </c>
      <c r="P61" s="53" t="s">
        <v>257</v>
      </c>
      <c r="Q61" s="53"/>
      <c r="R61" s="53" t="s">
        <v>80</v>
      </c>
      <c r="S61" s="53" t="s">
        <v>258</v>
      </c>
      <c r="T61" s="53" t="s">
        <v>259</v>
      </c>
      <c r="U61" s="53"/>
      <c r="V61" s="53"/>
      <c r="W61" s="53"/>
      <c r="X61" s="53"/>
      <c r="Y61" s="53"/>
      <c r="Z61" s="53"/>
      <c r="AA61" s="67">
        <v>19</v>
      </c>
      <c r="AB61" s="53" t="s">
        <v>152</v>
      </c>
    </row>
    <row r="62" spans="1:28" ht="18.75" customHeight="1">
      <c r="A62" s="68" t="s">
        <v>13</v>
      </c>
      <c r="B62" s="60" t="s">
        <v>262</v>
      </c>
      <c r="C62" s="60"/>
      <c r="D62" s="60"/>
      <c r="E62" s="60"/>
      <c r="F62" s="60"/>
      <c r="G62" s="69">
        <f>SUMIF($P:$P,$Q62,G:G)</f>
        <v>0</v>
      </c>
      <c r="H62" s="60"/>
      <c r="I62" s="70">
        <f>SUMIF($P:$P,$Q62,I:I)</f>
        <v>53.423719999999996</v>
      </c>
      <c r="J62" s="60"/>
      <c r="K62" s="70">
        <f>SUMIF($P:$P,$Q62,K:K)</f>
        <v>0</v>
      </c>
      <c r="L62" s="60"/>
      <c r="M62" s="71">
        <f>SUMIF($P:$P,$Q62,M:M)</f>
        <v>31831.281999999999</v>
      </c>
      <c r="N62" s="60"/>
      <c r="O62" s="71">
        <f>SUMIF($P:$P,$Q62,O:O)</f>
        <v>27002.385999999999</v>
      </c>
      <c r="P62" s="53" t="s">
        <v>13</v>
      </c>
      <c r="Q62" s="53" t="s">
        <v>257</v>
      </c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 ht="12.75" customHeight="1"/>
    <row r="64" spans="1:28" ht="18.75" customHeight="1">
      <c r="A64" s="60"/>
      <c r="B64" s="60" t="s">
        <v>172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>
      <c r="A65">
        <v>27</v>
      </c>
      <c r="B65" s="61" t="s">
        <v>173</v>
      </c>
      <c r="C65" s="62" t="s">
        <v>174</v>
      </c>
      <c r="D65" s="61" t="s">
        <v>137</v>
      </c>
      <c r="E65" s="63">
        <f>Z65*IF(V65="cenik_cast",IF(U65="hmoty",SUMIF(T:T,Y65,I:I),IF(U65="cena_hmot",SUMIF(T:T,Y65,M:M)/1000,SUMIF(T:T,Y65,G:G)/1000)),IF(V65="cenik",IF(U65="hmoty",SUMIF(S:S,X65,I:I),IF(U65="cena_hmot",SUMIF(S:S,X65,M:M)/1000,SUMIF(S:S,X65,G:G)/1000)),IF(U65="hmoty",SUMIF(R:R,W65,I:I),IF(U65="cena_hmot",SUMIF(R:R,W65,M:M)/1000,SUMIF(R:R,W65,G:G)/1000))))</f>
        <v>80.279837999999998</v>
      </c>
      <c r="F65" s="64"/>
      <c r="G65" s="64">
        <f>E65*F65</f>
        <v>0</v>
      </c>
      <c r="H65" s="65">
        <v>0</v>
      </c>
      <c r="I65" s="65">
        <f>E65*H65</f>
        <v>0</v>
      </c>
      <c r="J65" s="65">
        <v>0</v>
      </c>
      <c r="K65" s="65">
        <f>E65*J65</f>
        <v>0</v>
      </c>
      <c r="L65" s="66">
        <v>0</v>
      </c>
      <c r="M65" s="66">
        <f>E65*L65</f>
        <v>0</v>
      </c>
      <c r="N65" s="66">
        <f>185.19</f>
        <v>185.19</v>
      </c>
      <c r="O65" s="66">
        <f>E65*N65</f>
        <v>14867.023199219999</v>
      </c>
      <c r="P65" s="53" t="s">
        <v>175</v>
      </c>
      <c r="Q65" s="53"/>
      <c r="R65" s="53"/>
      <c r="S65" s="53"/>
      <c r="T65" s="53"/>
      <c r="U65" s="53" t="s">
        <v>176</v>
      </c>
      <c r="V65" s="53" t="s">
        <v>263</v>
      </c>
      <c r="W65" s="53" t="s">
        <v>80</v>
      </c>
      <c r="X65" s="53" t="s">
        <v>258</v>
      </c>
      <c r="Y65" s="53" t="s">
        <v>259</v>
      </c>
      <c r="Z65" s="54">
        <v>1</v>
      </c>
      <c r="AA65" s="67">
        <v>19</v>
      </c>
      <c r="AB65" s="53" t="s">
        <v>83</v>
      </c>
    </row>
    <row r="66" spans="1:28" ht="18.75" customHeight="1">
      <c r="A66" s="68" t="s">
        <v>13</v>
      </c>
      <c r="B66" s="60" t="s">
        <v>178</v>
      </c>
      <c r="C66" s="60"/>
      <c r="D66" s="60"/>
      <c r="E66" s="60"/>
      <c r="F66" s="60"/>
      <c r="G66" s="69">
        <f>SUMIF($P:$P,$Q66,G:G)</f>
        <v>0</v>
      </c>
      <c r="H66" s="60"/>
      <c r="I66" s="70">
        <f>SUMIF($P:$P,$Q66,I:I)</f>
        <v>0</v>
      </c>
      <c r="J66" s="60"/>
      <c r="K66" s="70">
        <f>SUMIF($P:$P,$Q66,K:K)</f>
        <v>0</v>
      </c>
      <c r="L66" s="60"/>
      <c r="M66" s="71">
        <f>SUMIF($P:$P,$Q66,M:M)</f>
        <v>0</v>
      </c>
      <c r="N66" s="60"/>
      <c r="O66" s="71">
        <f>SUMIF($P:$P,$Q66,O:O)</f>
        <v>14867.023199219999</v>
      </c>
      <c r="P66" s="53" t="s">
        <v>13</v>
      </c>
      <c r="Q66" s="53" t="s">
        <v>175</v>
      </c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1:28" ht="12.75" customHeight="1" thickBot="1"/>
    <row r="68" spans="1:28" ht="18.75" customHeight="1">
      <c r="A68" s="72" t="s">
        <v>13</v>
      </c>
      <c r="B68" s="73"/>
      <c r="C68" s="73"/>
      <c r="D68" s="73"/>
      <c r="E68" s="73"/>
      <c r="F68" s="73"/>
      <c r="G68" s="74">
        <f>SUMIF($P:$P,"S",G:G)</f>
        <v>0</v>
      </c>
      <c r="H68" s="73"/>
      <c r="I68" s="75">
        <f>SUMIF($P:$P,"S",I:I)</f>
        <v>80.279837999999998</v>
      </c>
      <c r="J68" s="73"/>
      <c r="K68" s="75">
        <f>SUMIF($P:$P,"S",K:K)</f>
        <v>0</v>
      </c>
      <c r="L68" s="73"/>
      <c r="M68" s="76">
        <f>SUMIF($P:$P,"S",M:M)</f>
        <v>46659.607179999999</v>
      </c>
      <c r="N68" s="73"/>
      <c r="O68" s="76">
        <f>SUMIF($P:$P,"S",O:O)</f>
        <v>69006.811079220002</v>
      </c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71" spans="1:28" ht="18.75" customHeight="1" thickBot="1">
      <c r="A71" s="77" t="s">
        <v>179</v>
      </c>
      <c r="B71" s="77"/>
      <c r="C71" s="77"/>
      <c r="D71" s="77"/>
      <c r="E71" s="77"/>
    </row>
    <row r="72" spans="1:28">
      <c r="B72" s="61" t="s">
        <v>182</v>
      </c>
      <c r="C72" s="78" t="s">
        <v>183</v>
      </c>
      <c r="D72" s="78"/>
      <c r="E72" s="64">
        <f>$G$15</f>
        <v>0</v>
      </c>
    </row>
    <row r="73" spans="1:28">
      <c r="B73" s="61" t="s">
        <v>184</v>
      </c>
      <c r="C73" s="79" t="s">
        <v>185</v>
      </c>
      <c r="D73" s="79"/>
      <c r="E73" s="64">
        <f>$G$21</f>
        <v>0</v>
      </c>
    </row>
    <row r="74" spans="1:28">
      <c r="B74" s="61" t="s">
        <v>186</v>
      </c>
      <c r="C74" s="79" t="s">
        <v>187</v>
      </c>
      <c r="D74" s="79"/>
      <c r="E74" s="64">
        <f>$G$27</f>
        <v>0</v>
      </c>
    </row>
    <row r="75" spans="1:28">
      <c r="B75" s="61" t="s">
        <v>188</v>
      </c>
      <c r="C75" s="79" t="s">
        <v>189</v>
      </c>
      <c r="D75" s="79"/>
      <c r="E75" s="64">
        <f>$G$34</f>
        <v>0</v>
      </c>
    </row>
    <row r="76" spans="1:28">
      <c r="B76" s="61" t="s">
        <v>190</v>
      </c>
      <c r="C76" s="79" t="s">
        <v>191</v>
      </c>
      <c r="D76" s="79"/>
      <c r="E76" s="64">
        <f>$G$39</f>
        <v>0</v>
      </c>
    </row>
    <row r="77" spans="1:28">
      <c r="B77" s="61" t="s">
        <v>192</v>
      </c>
      <c r="C77" s="79" t="s">
        <v>193</v>
      </c>
      <c r="D77" s="79"/>
      <c r="E77" s="64">
        <f>$G$47</f>
        <v>0</v>
      </c>
    </row>
    <row r="78" spans="1:28">
      <c r="B78" s="61" t="s">
        <v>194</v>
      </c>
      <c r="C78" s="79" t="s">
        <v>195</v>
      </c>
      <c r="D78" s="79"/>
      <c r="E78" s="64">
        <f>$G$51</f>
        <v>0</v>
      </c>
    </row>
    <row r="79" spans="1:28">
      <c r="B79" s="61" t="s">
        <v>336</v>
      </c>
      <c r="C79" s="79" t="s">
        <v>337</v>
      </c>
      <c r="D79" s="79"/>
      <c r="E79" s="64">
        <f>$G$55</f>
        <v>0</v>
      </c>
    </row>
    <row r="80" spans="1:28">
      <c r="B80" s="61" t="s">
        <v>268</v>
      </c>
      <c r="C80" s="79" t="s">
        <v>269</v>
      </c>
      <c r="D80" s="79"/>
      <c r="E80" s="64">
        <f>$G$62</f>
        <v>0</v>
      </c>
    </row>
    <row r="81" spans="1:5" ht="13.5" customHeight="1" thickBot="1">
      <c r="B81" s="61" t="s">
        <v>196</v>
      </c>
      <c r="C81" s="79" t="s">
        <v>197</v>
      </c>
      <c r="D81" s="79"/>
      <c r="E81" s="64">
        <f>$G$66</f>
        <v>0</v>
      </c>
    </row>
    <row r="82" spans="1:5" ht="18.75" customHeight="1">
      <c r="A82" s="72" t="s">
        <v>13</v>
      </c>
      <c r="B82" s="73"/>
      <c r="C82" s="73"/>
      <c r="D82" s="73"/>
      <c r="E82" s="74">
        <f>SUM($E$72:$E$81)</f>
        <v>0</v>
      </c>
    </row>
  </sheetData>
  <mergeCells count="28"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77:D77"/>
    <mergeCell ref="H8:I8"/>
    <mergeCell ref="J8:K8"/>
    <mergeCell ref="L8:M8"/>
    <mergeCell ref="N8:O8"/>
    <mergeCell ref="P8:AB8"/>
    <mergeCell ref="A71:E71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22"/>
  <sheetViews>
    <sheetView view="pageBreakPreview" zoomScaleNormal="100" zoomScaleSheetLayoutView="100" workbookViewId="0">
      <selection activeCell="F11" sqref="F11:F14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  <c r="P3" s="53"/>
      <c r="Q3" s="54">
        <f>Q$1</f>
        <v>0</v>
      </c>
      <c r="R3" s="54">
        <f>R$1</f>
        <v>0</v>
      </c>
      <c r="S3" s="54">
        <f>S$1</f>
        <v>0</v>
      </c>
      <c r="T3" s="54">
        <f>T$1</f>
        <v>0</v>
      </c>
      <c r="U3" s="54">
        <f>U$1</f>
        <v>0</v>
      </c>
      <c r="V3" s="53"/>
      <c r="W3" s="54">
        <f>W$1</f>
        <v>0</v>
      </c>
      <c r="X3" s="54">
        <f>X$1</f>
        <v>0</v>
      </c>
      <c r="Y3" s="54">
        <f>Y$1</f>
        <v>0</v>
      </c>
      <c r="Z3" s="54">
        <f>Z$1</f>
        <v>0</v>
      </c>
    </row>
    <row r="4" spans="1:28" ht="12.75" customHeight="1">
      <c r="B4" s="3" t="s">
        <v>45</v>
      </c>
      <c r="C4" s="33" t="s">
        <v>318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320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27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270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271</v>
      </c>
      <c r="C12" s="62" t="s">
        <v>272</v>
      </c>
      <c r="D12" s="61" t="s">
        <v>149</v>
      </c>
      <c r="E12" s="63">
        <v>2</v>
      </c>
      <c r="F12" s="64"/>
      <c r="G12" s="64">
        <f>E12*F12</f>
        <v>0</v>
      </c>
      <c r="H12" s="65">
        <v>6.9999999999999994E-5</v>
      </c>
      <c r="I12" s="65">
        <f>E12*H12</f>
        <v>1.3999999999999999E-4</v>
      </c>
      <c r="J12" s="65">
        <v>0</v>
      </c>
      <c r="K12" s="65">
        <f>E12*J12</f>
        <v>0</v>
      </c>
      <c r="L12" s="66">
        <v>9.2899999999999991</v>
      </c>
      <c r="M12" s="66">
        <f>E12*L12</f>
        <v>18.579999999999998</v>
      </c>
      <c r="N12" s="66">
        <f>61.23</f>
        <v>61.23</v>
      </c>
      <c r="O12" s="66">
        <f>E12*N12</f>
        <v>122.46</v>
      </c>
      <c r="P12" s="53" t="s">
        <v>273</v>
      </c>
      <c r="Q12" s="53"/>
      <c r="R12" s="53" t="s">
        <v>274</v>
      </c>
      <c r="S12" s="53" t="s">
        <v>275</v>
      </c>
      <c r="T12" s="53" t="s">
        <v>276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277</v>
      </c>
      <c r="C13" s="62" t="s">
        <v>278</v>
      </c>
      <c r="D13" s="61" t="s">
        <v>240</v>
      </c>
      <c r="E13" s="63">
        <v>1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744</v>
      </c>
      <c r="M13" s="66">
        <f>E13*L13</f>
        <v>744</v>
      </c>
      <c r="N13" s="66">
        <f>0</f>
        <v>0</v>
      </c>
      <c r="O13" s="66">
        <f>E13*N13</f>
        <v>0</v>
      </c>
      <c r="P13" s="53" t="s">
        <v>273</v>
      </c>
      <c r="Q13" s="53"/>
      <c r="R13" s="53" t="s">
        <v>274</v>
      </c>
      <c r="S13" s="53" t="s">
        <v>279</v>
      </c>
      <c r="T13" s="53" t="s">
        <v>280</v>
      </c>
      <c r="U13" s="53"/>
      <c r="V13" s="53"/>
      <c r="W13" s="53"/>
      <c r="X13" s="53"/>
      <c r="Y13" s="53"/>
      <c r="Z13" s="53"/>
      <c r="AA13" s="67">
        <v>19</v>
      </c>
      <c r="AB13" s="53" t="s">
        <v>152</v>
      </c>
    </row>
    <row r="14" spans="1:28">
      <c r="A14">
        <v>3</v>
      </c>
      <c r="B14" s="61" t="s">
        <v>277</v>
      </c>
      <c r="C14" s="62" t="s">
        <v>281</v>
      </c>
      <c r="D14" s="61" t="s">
        <v>240</v>
      </c>
      <c r="E14" s="63">
        <v>1</v>
      </c>
      <c r="F14" s="64"/>
      <c r="G14" s="64">
        <f>E14*F14</f>
        <v>0</v>
      </c>
      <c r="H14" s="65">
        <v>8.0000000000000002E-3</v>
      </c>
      <c r="I14" s="65">
        <f>E14*H14</f>
        <v>8.0000000000000002E-3</v>
      </c>
      <c r="J14" s="65">
        <v>0</v>
      </c>
      <c r="K14" s="65">
        <f>E14*J14</f>
        <v>0</v>
      </c>
      <c r="L14" s="66">
        <v>3200</v>
      </c>
      <c r="M14" s="66">
        <f>E14*L14</f>
        <v>3200</v>
      </c>
      <c r="N14" s="66">
        <f>0</f>
        <v>0</v>
      </c>
      <c r="O14" s="66">
        <f>E14*N14</f>
        <v>0</v>
      </c>
      <c r="P14" s="53" t="s">
        <v>273</v>
      </c>
      <c r="Q14" s="53"/>
      <c r="R14" s="53" t="s">
        <v>274</v>
      </c>
      <c r="S14" s="53" t="s">
        <v>279</v>
      </c>
      <c r="T14" s="53" t="s">
        <v>280</v>
      </c>
      <c r="U14" s="53"/>
      <c r="V14" s="53"/>
      <c r="W14" s="53"/>
      <c r="X14" s="53"/>
      <c r="Y14" s="53"/>
      <c r="Z14" s="53"/>
      <c r="AA14" s="67">
        <v>19</v>
      </c>
      <c r="AB14" s="53" t="s">
        <v>152</v>
      </c>
    </row>
    <row r="15" spans="1:28" ht="18.75" customHeight="1">
      <c r="A15" s="68" t="s">
        <v>13</v>
      </c>
      <c r="B15" s="60" t="s">
        <v>282</v>
      </c>
      <c r="C15" s="60"/>
      <c r="D15" s="60"/>
      <c r="E15" s="60"/>
      <c r="F15" s="60"/>
      <c r="G15" s="69">
        <f>SUMIF($P:$P,$Q15,G:G)</f>
        <v>0</v>
      </c>
      <c r="H15" s="60"/>
      <c r="I15" s="70">
        <f>SUMIF($P:$P,$Q15,I:I)</f>
        <v>8.1399999999999997E-3</v>
      </c>
      <c r="J15" s="60"/>
      <c r="K15" s="70">
        <f>SUMIF($P:$P,$Q15,K:K)</f>
        <v>0</v>
      </c>
      <c r="L15" s="60"/>
      <c r="M15" s="71">
        <f>SUMIF($P:$P,$Q15,M:M)</f>
        <v>3962.58</v>
      </c>
      <c r="N15" s="60"/>
      <c r="O15" s="71">
        <f>SUMIF($P:$P,$Q15,O:O)</f>
        <v>122.46</v>
      </c>
      <c r="P15" s="53" t="s">
        <v>13</v>
      </c>
      <c r="Q15" s="53" t="s">
        <v>273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 thickBot="1"/>
    <row r="17" spans="1:28" ht="18.75" customHeight="1">
      <c r="A17" s="72" t="s">
        <v>13</v>
      </c>
      <c r="B17" s="73"/>
      <c r="C17" s="73"/>
      <c r="D17" s="73"/>
      <c r="E17" s="73"/>
      <c r="F17" s="73"/>
      <c r="G17" s="74">
        <f>SUMIF($P:$P,"S",G:G)</f>
        <v>0</v>
      </c>
      <c r="H17" s="73"/>
      <c r="I17" s="75">
        <f>SUMIF($P:$P,"S",I:I)</f>
        <v>8.1399999999999997E-3</v>
      </c>
      <c r="J17" s="73"/>
      <c r="K17" s="75">
        <f>SUMIF($P:$P,"S",K:K)</f>
        <v>0</v>
      </c>
      <c r="L17" s="73"/>
      <c r="M17" s="76">
        <f>SUMIF($P:$P,"S",M:M)</f>
        <v>3962.58</v>
      </c>
      <c r="N17" s="73"/>
      <c r="O17" s="76">
        <f>SUMIF($P:$P,"S",O:O)</f>
        <v>122.46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20" spans="1:28" ht="18.75" customHeight="1" thickBot="1">
      <c r="A20" s="77" t="s">
        <v>179</v>
      </c>
      <c r="B20" s="77"/>
      <c r="C20" s="77"/>
      <c r="D20" s="77"/>
      <c r="E20" s="77"/>
    </row>
    <row r="21" spans="1:28" ht="13.5" customHeight="1" thickBot="1">
      <c r="B21" s="61" t="s">
        <v>283</v>
      </c>
      <c r="C21" s="78" t="s">
        <v>284</v>
      </c>
      <c r="D21" s="78"/>
      <c r="E21" s="64">
        <f>$G$15</f>
        <v>0</v>
      </c>
    </row>
    <row r="22" spans="1:28" ht="18.75" customHeight="1">
      <c r="A22" s="72" t="s">
        <v>13</v>
      </c>
      <c r="B22" s="73"/>
      <c r="C22" s="73"/>
      <c r="D22" s="73"/>
      <c r="E22" s="74">
        <f>SUM($E$21:$E$21)</f>
        <v>0</v>
      </c>
    </row>
  </sheetData>
  <mergeCells count="19">
    <mergeCell ref="C21:D21"/>
    <mergeCell ref="H8:I8"/>
    <mergeCell ref="J8:K8"/>
    <mergeCell ref="L8:M8"/>
    <mergeCell ref="N8:O8"/>
    <mergeCell ref="P8:AB8"/>
    <mergeCell ref="A20:E20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0"/>
  <sheetViews>
    <sheetView view="pageBreakPreview" zoomScaleNormal="100" zoomScaleSheetLayoutView="100" workbookViewId="0">
      <selection sqref="A1:L1"/>
    </sheetView>
  </sheetViews>
  <sheetFormatPr defaultRowHeight="12.75"/>
  <cols>
    <col min="1" max="1" width="5.28515625" customWidth="1"/>
    <col min="2" max="5" width="10.7109375" customWidth="1"/>
    <col min="6" max="7" width="5.28515625" customWidth="1"/>
    <col min="8" max="11" width="10.7109375" customWidth="1"/>
  </cols>
  <sheetData>
    <row r="1" spans="1:12" ht="18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.75" customHeight="1"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pans="1:12" ht="12.75" customHeight="1">
      <c r="B3" s="3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</row>
    <row r="5" spans="1:12" ht="18.75" customHeight="1">
      <c r="A5" s="2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 customHeight="1">
      <c r="B6" s="3" t="s">
        <v>6</v>
      </c>
      <c r="C6" s="31" t="s">
        <v>7</v>
      </c>
      <c r="D6" s="32"/>
      <c r="E6" s="32"/>
      <c r="F6" s="32"/>
      <c r="G6" s="32"/>
      <c r="H6" s="32"/>
      <c r="I6" s="32"/>
      <c r="J6" s="32"/>
      <c r="K6" s="32"/>
      <c r="L6" s="32"/>
    </row>
    <row r="7" spans="1:12" ht="12.75" customHeight="1">
      <c r="B7" s="3" t="s">
        <v>16</v>
      </c>
      <c r="C7" s="33" t="s">
        <v>338</v>
      </c>
      <c r="D7" s="34"/>
      <c r="E7" s="34"/>
      <c r="F7" s="34"/>
      <c r="G7" s="34"/>
      <c r="H7" s="34"/>
      <c r="I7" s="34"/>
      <c r="J7" s="34"/>
      <c r="K7" s="34"/>
      <c r="L7" s="34"/>
    </row>
    <row r="9" spans="1:12" ht="18.75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 customHeight="1">
      <c r="B10" s="36" t="s">
        <v>19</v>
      </c>
      <c r="C10" s="35"/>
      <c r="D10" s="4" t="s">
        <v>20</v>
      </c>
      <c r="E10" s="5"/>
      <c r="F10" s="5"/>
      <c r="G10" s="5"/>
      <c r="H10" s="5"/>
      <c r="I10" s="5"/>
      <c r="J10" s="5"/>
      <c r="K10" s="5"/>
      <c r="L10" s="5"/>
    </row>
    <row r="11" spans="1:12" ht="12.75" customHeight="1">
      <c r="B11" s="35" t="s">
        <v>21</v>
      </c>
      <c r="C11" s="35"/>
      <c r="D11" s="6" t="s">
        <v>22</v>
      </c>
      <c r="E11" s="7"/>
      <c r="F11" s="7"/>
      <c r="G11" s="7"/>
      <c r="H11" s="7"/>
      <c r="I11" s="7"/>
      <c r="J11" s="7"/>
      <c r="K11" s="7"/>
      <c r="L11" s="7"/>
    </row>
    <row r="12" spans="1:12" ht="12.75" customHeight="1">
      <c r="B12" s="35" t="s">
        <v>23</v>
      </c>
      <c r="C12" s="35"/>
      <c r="D12" s="6" t="s">
        <v>22</v>
      </c>
      <c r="E12" s="7"/>
      <c r="F12" s="7"/>
      <c r="G12" s="7"/>
      <c r="H12" s="7"/>
      <c r="I12" s="7"/>
      <c r="J12" s="7"/>
      <c r="K12" s="7"/>
      <c r="L12" s="7"/>
    </row>
    <row r="13" spans="1:12" ht="12.75" customHeight="1">
      <c r="B13" s="35" t="s">
        <v>24</v>
      </c>
      <c r="C13" s="35"/>
      <c r="D13" s="6" t="s">
        <v>22</v>
      </c>
      <c r="E13" s="7"/>
      <c r="F13" s="7"/>
      <c r="G13" s="7"/>
      <c r="H13" s="7"/>
      <c r="I13" s="7"/>
      <c r="J13" s="7"/>
      <c r="K13" s="7"/>
      <c r="L13" s="7"/>
    </row>
    <row r="15" spans="1:12" ht="18.75" customHeight="1">
      <c r="A15" s="2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2.75" customHeight="1">
      <c r="B16" s="38"/>
      <c r="C16" s="37"/>
      <c r="D16" s="40" t="s">
        <v>26</v>
      </c>
      <c r="E16" s="39"/>
      <c r="F16" s="40" t="s">
        <v>27</v>
      </c>
      <c r="G16" s="40"/>
      <c r="H16" s="39"/>
      <c r="I16" s="40" t="s">
        <v>28</v>
      </c>
      <c r="J16" s="39"/>
      <c r="K16" s="41" t="s">
        <v>13</v>
      </c>
      <c r="L16" s="41"/>
    </row>
    <row r="17" spans="1:12" ht="12.75" customHeight="1">
      <c r="B17" s="36" t="s">
        <v>29</v>
      </c>
      <c r="C17" s="35"/>
      <c r="D17" s="29">
        <f>'KPU 072_78 RTS_SO_023_čás_6-HSV'!$Q$1+'KPU 072_78 RTS_SO_023_čás_7-HSV'!$Q$1</f>
        <v>0</v>
      </c>
      <c r="E17" s="27"/>
      <c r="F17" s="29">
        <f>'KPU 072_78 RTS_SO_023_čás_7-PSV'!$Q$1</f>
        <v>0</v>
      </c>
      <c r="G17" s="29"/>
      <c r="H17" s="27"/>
      <c r="I17" s="29">
        <f>0</f>
        <v>0</v>
      </c>
      <c r="J17" s="27"/>
      <c r="K17" s="30">
        <f>SUM(D17:J17)</f>
        <v>0</v>
      </c>
      <c r="L17" s="28"/>
    </row>
    <row r="18" spans="1:12" ht="12.75" customHeight="1">
      <c r="B18" s="35" t="s">
        <v>30</v>
      </c>
      <c r="C18" s="35"/>
      <c r="D18" s="29">
        <f>'KPU 072_78 RTS_SO_023_čás_6-HSV'!$R$1+'KPU 072_78 RTS_SO_023_čás_7-HSV'!$R$1</f>
        <v>0</v>
      </c>
      <c r="E18" s="27"/>
      <c r="F18" s="29">
        <f>'KPU 072_78 RTS_SO_023_čás_7-PSV'!$R$1</f>
        <v>0</v>
      </c>
      <c r="G18" s="29"/>
      <c r="H18" s="27"/>
      <c r="I18" s="29">
        <f>0</f>
        <v>0</v>
      </c>
      <c r="J18" s="27"/>
      <c r="K18" s="42">
        <f>SUM(D18:J18)</f>
        <v>0</v>
      </c>
      <c r="L18" s="29"/>
    </row>
    <row r="19" spans="1:12" ht="12.75" customHeight="1">
      <c r="B19" s="35" t="s">
        <v>31</v>
      </c>
      <c r="C19" s="35"/>
      <c r="D19" s="29">
        <f>'KPU 072_78 RTS_SO_023_čás_6-HSV'!$S$1+'KPU 072_78 RTS_SO_023_čás_7-HSV'!$S$1</f>
        <v>0</v>
      </c>
      <c r="E19" s="27"/>
      <c r="F19" s="29">
        <f>'KPU 072_78 RTS_SO_023_čás_7-PSV'!$S$1</f>
        <v>0</v>
      </c>
      <c r="G19" s="29"/>
      <c r="H19" s="27"/>
      <c r="I19" s="29">
        <f>0</f>
        <v>0</v>
      </c>
      <c r="J19" s="27"/>
      <c r="K19" s="42">
        <f>SUM(D19:J19)</f>
        <v>0</v>
      </c>
      <c r="L19" s="29"/>
    </row>
    <row r="20" spans="1:12" ht="12.75" customHeight="1">
      <c r="B20" s="35" t="s">
        <v>32</v>
      </c>
      <c r="C20" s="35"/>
      <c r="D20" s="29">
        <f>'KPU 072_78 RTS_SO_023_čás_6-HSV'!$T$1+'KPU 072_78 RTS_SO_023_čás_7-HSV'!$T$1</f>
        <v>0</v>
      </c>
      <c r="E20" s="27"/>
      <c r="F20" s="29">
        <f>'KPU 072_78 RTS_SO_023_čás_7-PSV'!$T$1</f>
        <v>0</v>
      </c>
      <c r="G20" s="29"/>
      <c r="H20" s="27"/>
      <c r="I20" s="29">
        <f>0</f>
        <v>0</v>
      </c>
      <c r="J20" s="27"/>
      <c r="K20" s="42">
        <f>SUM(D20:J20)</f>
        <v>0</v>
      </c>
      <c r="L20" s="29"/>
    </row>
    <row r="21" spans="1:12" ht="12.75" customHeight="1">
      <c r="B21" s="38" t="s">
        <v>33</v>
      </c>
      <c r="C21" s="37"/>
      <c r="D21" s="23">
        <f>'KPU 072_78 RTS_SO_023_čás_6-HSV'!$U$1+'KPU 072_78 RTS_SO_023_čás_7-HSV'!$U$1</f>
        <v>0</v>
      </c>
      <c r="E21" s="22"/>
      <c r="F21" s="23">
        <f>'KPU 072_78 RTS_SO_023_čás_7-PSV'!$U$1</f>
        <v>0</v>
      </c>
      <c r="G21" s="23"/>
      <c r="H21" s="22"/>
      <c r="I21" s="23">
        <f>0</f>
        <v>0</v>
      </c>
      <c r="J21" s="22"/>
      <c r="K21" s="23">
        <f>SUM(D21:J21)</f>
        <v>0</v>
      </c>
      <c r="L21" s="23"/>
    </row>
    <row r="22" spans="1:12" ht="12.75" customHeight="1">
      <c r="B22" s="44" t="s">
        <v>13</v>
      </c>
      <c r="C22" s="43"/>
      <c r="D22" s="29">
        <f>SUM(D17:E21)</f>
        <v>0</v>
      </c>
      <c r="E22" s="27"/>
      <c r="F22" s="29">
        <f>SUM(F17:H21)</f>
        <v>0</v>
      </c>
      <c r="G22" s="29"/>
      <c r="H22" s="27"/>
      <c r="I22" s="29">
        <f>SUM(I17:J21)</f>
        <v>0</v>
      </c>
      <c r="J22" s="27"/>
      <c r="K22" s="30">
        <f>SUM(K17:L21)</f>
        <v>0</v>
      </c>
      <c r="L22" s="28"/>
    </row>
    <row r="24" spans="1:12" ht="18.75" customHeight="1">
      <c r="A24" s="2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2.75" customHeight="1">
      <c r="B25" s="36" t="s">
        <v>35</v>
      </c>
      <c r="C25" s="36"/>
      <c r="D25" s="36"/>
      <c r="E25" s="36"/>
      <c r="F25" s="36"/>
      <c r="G25" s="36"/>
      <c r="H25" s="36"/>
      <c r="I25" s="36"/>
      <c r="J25" s="35"/>
      <c r="K25" s="30">
        <f>($K$22)*3.25/100+0</f>
        <v>0</v>
      </c>
      <c r="L25" s="28"/>
    </row>
    <row r="27" spans="1:12" ht="18.75" customHeight="1">
      <c r="A27" s="2" t="s">
        <v>36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2.75" customHeight="1">
      <c r="B28" s="46" t="s">
        <v>37</v>
      </c>
      <c r="C28" s="46"/>
      <c r="D28" s="46"/>
      <c r="E28" s="46"/>
      <c r="F28" s="46"/>
      <c r="G28" s="46"/>
      <c r="H28" s="46"/>
      <c r="I28" s="46"/>
      <c r="J28" s="45"/>
      <c r="K28" s="23">
        <f>$K$22+$K$25</f>
        <v>0</v>
      </c>
      <c r="L28" s="23"/>
    </row>
    <row r="29" spans="1:12" ht="12.75" customHeight="1">
      <c r="C29" s="47" t="s">
        <v>14</v>
      </c>
      <c r="D29" s="48">
        <v>0.19</v>
      </c>
      <c r="E29" s="47" t="s">
        <v>38</v>
      </c>
      <c r="F29" s="49">
        <f>$K$25+'KPU 072_78 RTS_SO_023_čás_6-HSV'!$W$1+'KPU 072_78 RTS_SO_023_čás_7-HSV'!$W$1+'KPU 072_78 RTS_SO_023_čás_7-PSV'!$W$1</f>
        <v>0</v>
      </c>
      <c r="G29" s="49"/>
      <c r="H29" s="49"/>
      <c r="I29" s="36"/>
      <c r="J29" s="35"/>
      <c r="K29" s="50">
        <f>F29*D29</f>
        <v>0</v>
      </c>
      <c r="L29" s="49"/>
    </row>
    <row r="30" spans="1:12" ht="12.75" customHeight="1">
      <c r="B30" s="52" t="s">
        <v>13</v>
      </c>
      <c r="C30" s="52"/>
      <c r="D30" s="52"/>
      <c r="E30" s="52"/>
      <c r="F30" s="52"/>
      <c r="G30" s="52"/>
      <c r="H30" s="52"/>
      <c r="I30" s="52"/>
      <c r="J30" s="51"/>
      <c r="K30" s="28">
        <f>SUM($K$29:$K$29)+$K$22+$K$25</f>
        <v>0</v>
      </c>
      <c r="L30" s="28"/>
    </row>
  </sheetData>
  <mergeCells count="62">
    <mergeCell ref="F29:H29"/>
    <mergeCell ref="I29:J29"/>
    <mergeCell ref="K29:L29"/>
    <mergeCell ref="B30:J30"/>
    <mergeCell ref="K30:L30"/>
    <mergeCell ref="A24:L24"/>
    <mergeCell ref="B25:J25"/>
    <mergeCell ref="K25:L25"/>
    <mergeCell ref="A27:L27"/>
    <mergeCell ref="B28:J28"/>
    <mergeCell ref="K28:L28"/>
    <mergeCell ref="B21:C21"/>
    <mergeCell ref="D21:E21"/>
    <mergeCell ref="F21:H21"/>
    <mergeCell ref="I21:J21"/>
    <mergeCell ref="K21:L21"/>
    <mergeCell ref="B22:C22"/>
    <mergeCell ref="D22:E22"/>
    <mergeCell ref="F22:H22"/>
    <mergeCell ref="I22:J22"/>
    <mergeCell ref="K22:L22"/>
    <mergeCell ref="B19:C19"/>
    <mergeCell ref="D19:E19"/>
    <mergeCell ref="F19:H19"/>
    <mergeCell ref="I19:J19"/>
    <mergeCell ref="K19:L19"/>
    <mergeCell ref="B20:C20"/>
    <mergeCell ref="D20:E20"/>
    <mergeCell ref="F20:H20"/>
    <mergeCell ref="I20:J20"/>
    <mergeCell ref="K20:L20"/>
    <mergeCell ref="B17:C17"/>
    <mergeCell ref="D17:E17"/>
    <mergeCell ref="F17:H17"/>
    <mergeCell ref="I17:J17"/>
    <mergeCell ref="K17:L17"/>
    <mergeCell ref="B18:C18"/>
    <mergeCell ref="D18:E18"/>
    <mergeCell ref="F18:H18"/>
    <mergeCell ref="I18:J18"/>
    <mergeCell ref="K18:L18"/>
    <mergeCell ref="B13:C13"/>
    <mergeCell ref="D13:L13"/>
    <mergeCell ref="A15:L15"/>
    <mergeCell ref="B16:C16"/>
    <mergeCell ref="D16:E16"/>
    <mergeCell ref="F16:H16"/>
    <mergeCell ref="I16:J16"/>
    <mergeCell ref="K16:L16"/>
    <mergeCell ref="A9:L9"/>
    <mergeCell ref="B10:C10"/>
    <mergeCell ref="D10:L10"/>
    <mergeCell ref="B11:C11"/>
    <mergeCell ref="D11:L11"/>
    <mergeCell ref="B12:C12"/>
    <mergeCell ref="D12:L12"/>
    <mergeCell ref="A1:L1"/>
    <mergeCell ref="C2:L2"/>
    <mergeCell ref="C3:L3"/>
    <mergeCell ref="A5:L5"/>
    <mergeCell ref="C6:L6"/>
    <mergeCell ref="C7:L7"/>
  </mergeCells>
  <pageMargins left="0.78740157499999996" right="0.59" top="0.984251969" bottom="0.984251969" header="0.4921259845" footer="0.4921259845"/>
  <pageSetup paperSize="9" scale="7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71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338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339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75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340</v>
      </c>
      <c r="C12" s="62" t="s">
        <v>341</v>
      </c>
      <c r="D12" s="61" t="s">
        <v>89</v>
      </c>
      <c r="E12" s="63">
        <v>3</v>
      </c>
      <c r="F12" s="64"/>
      <c r="G12" s="64">
        <f>E12*F12</f>
        <v>0</v>
      </c>
      <c r="H12" s="65">
        <v>3.0000000000000001E-3</v>
      </c>
      <c r="I12" s="65">
        <f>E12*H12</f>
        <v>9.0000000000000011E-3</v>
      </c>
      <c r="J12" s="65">
        <v>0</v>
      </c>
      <c r="K12" s="65">
        <f>E12*J12</f>
        <v>0</v>
      </c>
      <c r="L12" s="66">
        <v>105.9</v>
      </c>
      <c r="M12" s="66">
        <f>E12*L12</f>
        <v>317.70000000000005</v>
      </c>
      <c r="N12" s="66">
        <f>351.72</f>
        <v>351.72</v>
      </c>
      <c r="O12" s="66">
        <f>E12*N12</f>
        <v>1055.1600000000001</v>
      </c>
      <c r="P12" s="53" t="s">
        <v>79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87</v>
      </c>
      <c r="C13" s="62" t="s">
        <v>88</v>
      </c>
      <c r="D13" s="61" t="s">
        <v>89</v>
      </c>
      <c r="E13" s="63">
        <v>3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0</v>
      </c>
      <c r="M13" s="66">
        <f>E13*L13</f>
        <v>0</v>
      </c>
      <c r="N13" s="66">
        <f>168.93</f>
        <v>168.93</v>
      </c>
      <c r="O13" s="66">
        <f>E13*N13</f>
        <v>506.79</v>
      </c>
      <c r="P13" s="53" t="s">
        <v>79</v>
      </c>
      <c r="Q13" s="53"/>
      <c r="R13" s="53" t="s">
        <v>80</v>
      </c>
      <c r="S13" s="53" t="s">
        <v>81</v>
      </c>
      <c r="T13" s="53" t="s">
        <v>82</v>
      </c>
      <c r="U13" s="53"/>
      <c r="V13" s="53"/>
      <c r="W13" s="53"/>
      <c r="X13" s="53"/>
      <c r="Y13" s="53"/>
      <c r="Z13" s="53"/>
      <c r="AA13" s="67">
        <v>19</v>
      </c>
      <c r="AB13" s="53" t="s">
        <v>83</v>
      </c>
    </row>
    <row r="14" spans="1:28">
      <c r="A14">
        <v>3</v>
      </c>
      <c r="B14" s="61" t="s">
        <v>92</v>
      </c>
      <c r="C14" s="62" t="s">
        <v>93</v>
      </c>
      <c r="D14" s="61" t="s">
        <v>89</v>
      </c>
      <c r="E14" s="63">
        <v>3</v>
      </c>
      <c r="F14" s="64"/>
      <c r="G14" s="64">
        <f>E14*F14</f>
        <v>0</v>
      </c>
      <c r="H14" s="65">
        <v>0</v>
      </c>
      <c r="I14" s="65">
        <f>E14*H14</f>
        <v>0</v>
      </c>
      <c r="J14" s="65">
        <v>0</v>
      </c>
      <c r="K14" s="65">
        <f>E14*J14</f>
        <v>0</v>
      </c>
      <c r="L14" s="66">
        <v>1.85</v>
      </c>
      <c r="M14" s="66">
        <f>E14*L14</f>
        <v>5.5500000000000007</v>
      </c>
      <c r="N14" s="66">
        <f>189.62</f>
        <v>189.62</v>
      </c>
      <c r="O14" s="66">
        <f>E14*N14</f>
        <v>568.86</v>
      </c>
      <c r="P14" s="53" t="s">
        <v>79</v>
      </c>
      <c r="Q14" s="53"/>
      <c r="R14" s="53" t="s">
        <v>80</v>
      </c>
      <c r="S14" s="53" t="s">
        <v>81</v>
      </c>
      <c r="T14" s="53" t="s">
        <v>82</v>
      </c>
      <c r="U14" s="53"/>
      <c r="V14" s="53"/>
      <c r="W14" s="53"/>
      <c r="X14" s="53"/>
      <c r="Y14" s="53"/>
      <c r="Z14" s="53"/>
      <c r="AA14" s="67">
        <v>19</v>
      </c>
      <c r="AB14" s="53" t="s">
        <v>83</v>
      </c>
    </row>
    <row r="15" spans="1:28" ht="18.75" customHeight="1">
      <c r="A15" s="68" t="s">
        <v>13</v>
      </c>
      <c r="B15" s="60" t="s">
        <v>94</v>
      </c>
      <c r="C15" s="60"/>
      <c r="D15" s="60"/>
      <c r="E15" s="60"/>
      <c r="F15" s="60"/>
      <c r="G15" s="69">
        <f>SUMIF($P:$P,$Q15,G:G)</f>
        <v>0</v>
      </c>
      <c r="H15" s="60"/>
      <c r="I15" s="70">
        <f>SUMIF($P:$P,$Q15,I:I)</f>
        <v>9.0000000000000011E-3</v>
      </c>
      <c r="J15" s="60"/>
      <c r="K15" s="70">
        <f>SUMIF($P:$P,$Q15,K:K)</f>
        <v>0</v>
      </c>
      <c r="L15" s="60"/>
      <c r="M15" s="71">
        <f>SUMIF($P:$P,$Q15,M:M)</f>
        <v>323.25000000000006</v>
      </c>
      <c r="N15" s="60"/>
      <c r="O15" s="71">
        <f>SUMIF($P:$P,$Q15,O:O)</f>
        <v>2130.81</v>
      </c>
      <c r="P15" s="53" t="s">
        <v>13</v>
      </c>
      <c r="Q15" s="53" t="s">
        <v>79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/>
    <row r="17" spans="1:28" ht="18.75" customHeight="1">
      <c r="A17" s="60"/>
      <c r="B17" s="60" t="s">
        <v>95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>
      <c r="A18">
        <v>4</v>
      </c>
      <c r="B18" s="61" t="s">
        <v>101</v>
      </c>
      <c r="C18" s="62" t="s">
        <v>102</v>
      </c>
      <c r="D18" s="61" t="s">
        <v>86</v>
      </c>
      <c r="E18" s="63">
        <v>718.89400000000001</v>
      </c>
      <c r="F18" s="64"/>
      <c r="G18" s="64">
        <f>E18*F18</f>
        <v>0</v>
      </c>
      <c r="H18" s="65">
        <v>0</v>
      </c>
      <c r="I18" s="65">
        <f>E18*H18</f>
        <v>0</v>
      </c>
      <c r="J18" s="65">
        <v>0</v>
      </c>
      <c r="K18" s="65">
        <f>E18*J18</f>
        <v>0</v>
      </c>
      <c r="L18" s="66">
        <v>0</v>
      </c>
      <c r="M18" s="66">
        <f>E18*L18</f>
        <v>0</v>
      </c>
      <c r="N18" s="66">
        <f>123.62</f>
        <v>123.62</v>
      </c>
      <c r="O18" s="66">
        <f>E18*N18</f>
        <v>88869.67628</v>
      </c>
      <c r="P18" s="53" t="s">
        <v>98</v>
      </c>
      <c r="Q18" s="53"/>
      <c r="R18" s="53" t="s">
        <v>80</v>
      </c>
      <c r="S18" s="53" t="s">
        <v>81</v>
      </c>
      <c r="T18" s="53" t="s">
        <v>82</v>
      </c>
      <c r="U18" s="53"/>
      <c r="V18" s="53"/>
      <c r="W18" s="53"/>
      <c r="X18" s="53"/>
      <c r="Y18" s="53"/>
      <c r="Z18" s="53"/>
      <c r="AA18" s="67">
        <v>19</v>
      </c>
      <c r="AB18" s="53" t="s">
        <v>83</v>
      </c>
    </row>
    <row r="19" spans="1:28" ht="18.75" customHeight="1">
      <c r="A19" s="68" t="s">
        <v>13</v>
      </c>
      <c r="B19" s="60" t="s">
        <v>103</v>
      </c>
      <c r="C19" s="60"/>
      <c r="D19" s="60"/>
      <c r="E19" s="60"/>
      <c r="F19" s="60"/>
      <c r="G19" s="69">
        <f>SUMIF($P:$P,$Q19,G:G)</f>
        <v>0</v>
      </c>
      <c r="H19" s="60"/>
      <c r="I19" s="70">
        <f>SUMIF($P:$P,$Q19,I:I)</f>
        <v>0</v>
      </c>
      <c r="J19" s="60"/>
      <c r="K19" s="70">
        <f>SUMIF($P:$P,$Q19,K:K)</f>
        <v>0</v>
      </c>
      <c r="L19" s="60"/>
      <c r="M19" s="71">
        <f>SUMIF($P:$P,$Q19,M:M)</f>
        <v>0</v>
      </c>
      <c r="N19" s="60"/>
      <c r="O19" s="71">
        <f>SUMIF($P:$P,$Q19,O:O)</f>
        <v>88869.67628</v>
      </c>
      <c r="P19" s="53" t="s">
        <v>13</v>
      </c>
      <c r="Q19" s="53" t="s">
        <v>98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ht="12.75" customHeight="1"/>
    <row r="21" spans="1:28" ht="18.75" customHeight="1">
      <c r="A21" s="60"/>
      <c r="B21" s="60" t="s">
        <v>104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>
      <c r="A22">
        <v>5</v>
      </c>
      <c r="B22" s="61" t="s">
        <v>105</v>
      </c>
      <c r="C22" s="62" t="s">
        <v>106</v>
      </c>
      <c r="D22" s="61" t="s">
        <v>86</v>
      </c>
      <c r="E22" s="63">
        <v>13.3</v>
      </c>
      <c r="F22" s="64"/>
      <c r="G22" s="64">
        <f>E22*F22</f>
        <v>0</v>
      </c>
      <c r="H22" s="65">
        <v>0</v>
      </c>
      <c r="I22" s="65">
        <f>E22*H22</f>
        <v>0</v>
      </c>
      <c r="J22" s="65">
        <v>0</v>
      </c>
      <c r="K22" s="65">
        <f>E22*J22</f>
        <v>0</v>
      </c>
      <c r="L22" s="66">
        <v>0</v>
      </c>
      <c r="M22" s="66">
        <f>E22*L22</f>
        <v>0</v>
      </c>
      <c r="N22" s="66">
        <f>374.85</f>
        <v>374.85</v>
      </c>
      <c r="O22" s="66">
        <f>E22*N22</f>
        <v>4985.505000000001</v>
      </c>
      <c r="P22" s="53" t="s">
        <v>107</v>
      </c>
      <c r="Q22" s="53"/>
      <c r="R22" s="53" t="s">
        <v>80</v>
      </c>
      <c r="S22" s="53" t="s">
        <v>81</v>
      </c>
      <c r="T22" s="53" t="s">
        <v>82</v>
      </c>
      <c r="U22" s="53"/>
      <c r="V22" s="53"/>
      <c r="W22" s="53"/>
      <c r="X22" s="53"/>
      <c r="Y22" s="53"/>
      <c r="Z22" s="53"/>
      <c r="AA22" s="67">
        <v>19</v>
      </c>
      <c r="AB22" s="53" t="s">
        <v>83</v>
      </c>
    </row>
    <row r="23" spans="1:28" ht="18.75" customHeight="1">
      <c r="A23" s="68" t="s">
        <v>13</v>
      </c>
      <c r="B23" s="60" t="s">
        <v>108</v>
      </c>
      <c r="C23" s="60"/>
      <c r="D23" s="60"/>
      <c r="E23" s="60"/>
      <c r="F23" s="60"/>
      <c r="G23" s="69">
        <f>SUMIF($P:$P,$Q23,G:G)</f>
        <v>0</v>
      </c>
      <c r="H23" s="60"/>
      <c r="I23" s="70">
        <f>SUMIF($P:$P,$Q23,I:I)</f>
        <v>0</v>
      </c>
      <c r="J23" s="60"/>
      <c r="K23" s="70">
        <f>SUMIF($P:$P,$Q23,K:K)</f>
        <v>0</v>
      </c>
      <c r="L23" s="60"/>
      <c r="M23" s="71">
        <f>SUMIF($P:$P,$Q23,M:M)</f>
        <v>0</v>
      </c>
      <c r="N23" s="60"/>
      <c r="O23" s="71">
        <f>SUMIF($P:$P,$Q23,O:O)</f>
        <v>4985.505000000001</v>
      </c>
      <c r="P23" s="53" t="s">
        <v>13</v>
      </c>
      <c r="Q23" s="53" t="s">
        <v>107</v>
      </c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</row>
    <row r="24" spans="1:28" ht="12.75" customHeight="1"/>
    <row r="25" spans="1:28" ht="18.75" customHeight="1">
      <c r="A25" s="60"/>
      <c r="B25" s="60" t="s">
        <v>109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</row>
    <row r="26" spans="1:28">
      <c r="A26">
        <v>6</v>
      </c>
      <c r="B26" s="61" t="s">
        <v>110</v>
      </c>
      <c r="C26" s="62" t="s">
        <v>111</v>
      </c>
      <c r="D26" s="61" t="s">
        <v>86</v>
      </c>
      <c r="E26" s="63">
        <v>3.29</v>
      </c>
      <c r="F26" s="64"/>
      <c r="G26" s="64">
        <f>E26*F26</f>
        <v>0</v>
      </c>
      <c r="H26" s="65">
        <v>0</v>
      </c>
      <c r="I26" s="65">
        <f>E26*H26</f>
        <v>0</v>
      </c>
      <c r="J26" s="65">
        <v>0</v>
      </c>
      <c r="K26" s="65">
        <f>E26*J26</f>
        <v>0</v>
      </c>
      <c r="L26" s="66">
        <v>0</v>
      </c>
      <c r="M26" s="66">
        <f>E26*L26</f>
        <v>0</v>
      </c>
      <c r="N26" s="66">
        <f>34.67</f>
        <v>34.67</v>
      </c>
      <c r="O26" s="66">
        <f>E26*N26</f>
        <v>114.0643</v>
      </c>
      <c r="P26" s="53" t="s">
        <v>112</v>
      </c>
      <c r="Q26" s="53"/>
      <c r="R26" s="53" t="s">
        <v>80</v>
      </c>
      <c r="S26" s="53" t="s">
        <v>81</v>
      </c>
      <c r="T26" s="53" t="s">
        <v>82</v>
      </c>
      <c r="U26" s="53"/>
      <c r="V26" s="53"/>
      <c r="W26" s="53"/>
      <c r="X26" s="53"/>
      <c r="Y26" s="53"/>
      <c r="Z26" s="53"/>
      <c r="AA26" s="67">
        <v>19</v>
      </c>
      <c r="AB26" s="53" t="s">
        <v>83</v>
      </c>
    </row>
    <row r="27" spans="1:28">
      <c r="A27">
        <v>7</v>
      </c>
      <c r="B27" s="61" t="s">
        <v>113</v>
      </c>
      <c r="C27" s="62" t="s">
        <v>114</v>
      </c>
      <c r="D27" s="61" t="s">
        <v>89</v>
      </c>
      <c r="E27" s="63">
        <v>3</v>
      </c>
      <c r="F27" s="64"/>
      <c r="G27" s="64">
        <f>E27*F27</f>
        <v>0</v>
      </c>
      <c r="H27" s="65">
        <v>0</v>
      </c>
      <c r="I27" s="65">
        <f>E27*H27</f>
        <v>0</v>
      </c>
      <c r="J27" s="65">
        <v>0</v>
      </c>
      <c r="K27" s="65">
        <f>E27*J27</f>
        <v>0</v>
      </c>
      <c r="L27" s="66">
        <v>0</v>
      </c>
      <c r="M27" s="66">
        <f>E27*L27</f>
        <v>0</v>
      </c>
      <c r="N27" s="66">
        <f>410.74</f>
        <v>410.74</v>
      </c>
      <c r="O27" s="66">
        <f>E27*N27</f>
        <v>1232.22</v>
      </c>
      <c r="P27" s="53" t="s">
        <v>112</v>
      </c>
      <c r="Q27" s="53"/>
      <c r="R27" s="53" t="s">
        <v>80</v>
      </c>
      <c r="S27" s="53" t="s">
        <v>81</v>
      </c>
      <c r="T27" s="53" t="s">
        <v>82</v>
      </c>
      <c r="U27" s="53"/>
      <c r="V27" s="53"/>
      <c r="W27" s="53"/>
      <c r="X27" s="53"/>
      <c r="Y27" s="53"/>
      <c r="Z27" s="53"/>
      <c r="AA27" s="67">
        <v>19</v>
      </c>
      <c r="AB27" s="53" t="s">
        <v>83</v>
      </c>
    </row>
    <row r="28" spans="1:28">
      <c r="A28">
        <v>8</v>
      </c>
      <c r="B28" s="61" t="s">
        <v>117</v>
      </c>
      <c r="C28" s="62" t="s">
        <v>118</v>
      </c>
      <c r="D28" s="61" t="s">
        <v>89</v>
      </c>
      <c r="E28" s="63">
        <v>20</v>
      </c>
      <c r="F28" s="64"/>
      <c r="G28" s="64">
        <f>E28*F28</f>
        <v>0</v>
      </c>
      <c r="H28" s="65">
        <v>0</v>
      </c>
      <c r="I28" s="65">
        <f>E28*H28</f>
        <v>0</v>
      </c>
      <c r="J28" s="65">
        <v>0</v>
      </c>
      <c r="K28" s="65">
        <f>E28*J28</f>
        <v>0</v>
      </c>
      <c r="L28" s="66">
        <v>0</v>
      </c>
      <c r="M28" s="66">
        <f>E28*L28</f>
        <v>0</v>
      </c>
      <c r="N28" s="66">
        <f>105.49</f>
        <v>105.49</v>
      </c>
      <c r="O28" s="66">
        <f>E28*N28</f>
        <v>2109.7999999999997</v>
      </c>
      <c r="P28" s="53" t="s">
        <v>112</v>
      </c>
      <c r="Q28" s="53"/>
      <c r="R28" s="53" t="s">
        <v>80</v>
      </c>
      <c r="S28" s="53" t="s">
        <v>81</v>
      </c>
      <c r="T28" s="53" t="s">
        <v>82</v>
      </c>
      <c r="U28" s="53"/>
      <c r="V28" s="53"/>
      <c r="W28" s="53"/>
      <c r="X28" s="53"/>
      <c r="Y28" s="53"/>
      <c r="Z28" s="53"/>
      <c r="AA28" s="67">
        <v>19</v>
      </c>
      <c r="AB28" s="53" t="s">
        <v>83</v>
      </c>
    </row>
    <row r="29" spans="1:28">
      <c r="A29">
        <v>9</v>
      </c>
      <c r="B29" s="61" t="s">
        <v>119</v>
      </c>
      <c r="C29" s="62" t="s">
        <v>120</v>
      </c>
      <c r="D29" s="61" t="s">
        <v>86</v>
      </c>
      <c r="E29" s="63">
        <v>686.36</v>
      </c>
      <c r="F29" s="64"/>
      <c r="G29" s="64">
        <f>E29*F29</f>
        <v>0</v>
      </c>
      <c r="H29" s="65">
        <v>0</v>
      </c>
      <c r="I29" s="65">
        <f>E29*H29</f>
        <v>0</v>
      </c>
      <c r="J29" s="65">
        <v>0</v>
      </c>
      <c r="K29" s="65">
        <f>E29*J29</f>
        <v>0</v>
      </c>
      <c r="L29" s="66">
        <v>0</v>
      </c>
      <c r="M29" s="66">
        <f>E29*L29</f>
        <v>0</v>
      </c>
      <c r="N29" s="66">
        <f>154</f>
        <v>154</v>
      </c>
      <c r="O29" s="66">
        <f>E29*N29</f>
        <v>105699.44</v>
      </c>
      <c r="P29" s="53" t="s">
        <v>112</v>
      </c>
      <c r="Q29" s="53"/>
      <c r="R29" s="53" t="s">
        <v>80</v>
      </c>
      <c r="S29" s="53" t="s">
        <v>81</v>
      </c>
      <c r="T29" s="53" t="s">
        <v>82</v>
      </c>
      <c r="U29" s="53"/>
      <c r="V29" s="53"/>
      <c r="W29" s="53"/>
      <c r="X29" s="53"/>
      <c r="Y29" s="53"/>
      <c r="Z29" s="53"/>
      <c r="AA29" s="67">
        <v>19</v>
      </c>
      <c r="AB29" s="53" t="s">
        <v>83</v>
      </c>
    </row>
    <row r="30" spans="1:28" ht="18.75" customHeight="1">
      <c r="A30" s="68" t="s">
        <v>13</v>
      </c>
      <c r="B30" s="60" t="s">
        <v>125</v>
      </c>
      <c r="C30" s="60"/>
      <c r="D30" s="60"/>
      <c r="E30" s="60"/>
      <c r="F30" s="60"/>
      <c r="G30" s="69">
        <f>SUMIF($P:$P,$Q30,G:G)</f>
        <v>0</v>
      </c>
      <c r="H30" s="60"/>
      <c r="I30" s="70">
        <f>SUMIF($P:$P,$Q30,I:I)</f>
        <v>0</v>
      </c>
      <c r="J30" s="60"/>
      <c r="K30" s="70">
        <f>SUMIF($P:$P,$Q30,K:K)</f>
        <v>0</v>
      </c>
      <c r="L30" s="60"/>
      <c r="M30" s="71">
        <f>SUMIF($P:$P,$Q30,M:M)</f>
        <v>0</v>
      </c>
      <c r="N30" s="60"/>
      <c r="O30" s="71">
        <f>SUMIF($P:$P,$Q30,O:O)</f>
        <v>109155.5243</v>
      </c>
      <c r="P30" s="53" t="s">
        <v>13</v>
      </c>
      <c r="Q30" s="53" t="s">
        <v>112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 ht="12.75" customHeight="1"/>
    <row r="32" spans="1:28" ht="18.75" customHeight="1">
      <c r="A32" s="60"/>
      <c r="B32" s="60" t="s">
        <v>126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>
      <c r="A33">
        <v>10</v>
      </c>
      <c r="B33" s="61" t="s">
        <v>127</v>
      </c>
      <c r="C33" s="62" t="s">
        <v>128</v>
      </c>
      <c r="D33" s="61" t="s">
        <v>86</v>
      </c>
      <c r="E33" s="63">
        <v>138.32</v>
      </c>
      <c r="F33" s="64"/>
      <c r="G33" s="64">
        <f>E33*F33</f>
        <v>0</v>
      </c>
      <c r="H33" s="65">
        <v>0</v>
      </c>
      <c r="I33" s="65">
        <f>E33*H33</f>
        <v>0</v>
      </c>
      <c r="J33" s="65">
        <v>0</v>
      </c>
      <c r="K33" s="65">
        <f>E33*J33</f>
        <v>0</v>
      </c>
      <c r="L33" s="66">
        <v>0</v>
      </c>
      <c r="M33" s="66">
        <f>E33*L33</f>
        <v>0</v>
      </c>
      <c r="N33" s="66">
        <f>44.48</f>
        <v>44.48</v>
      </c>
      <c r="O33" s="66">
        <f>E33*N33</f>
        <v>6152.4735999999994</v>
      </c>
      <c r="P33" s="53" t="s">
        <v>129</v>
      </c>
      <c r="Q33" s="53"/>
      <c r="R33" s="53" t="s">
        <v>80</v>
      </c>
      <c r="S33" s="53" t="s">
        <v>81</v>
      </c>
      <c r="T33" s="53" t="s">
        <v>82</v>
      </c>
      <c r="U33" s="53"/>
      <c r="V33" s="53"/>
      <c r="W33" s="53"/>
      <c r="X33" s="53"/>
      <c r="Y33" s="53"/>
      <c r="Z33" s="53"/>
      <c r="AA33" s="67">
        <v>19</v>
      </c>
      <c r="AB33" s="53" t="s">
        <v>83</v>
      </c>
    </row>
    <row r="34" spans="1:28">
      <c r="A34">
        <v>11</v>
      </c>
      <c r="B34" s="61" t="s">
        <v>222</v>
      </c>
      <c r="C34" s="62" t="s">
        <v>223</v>
      </c>
      <c r="D34" s="61" t="s">
        <v>86</v>
      </c>
      <c r="E34" s="63">
        <v>3.29</v>
      </c>
      <c r="F34" s="64"/>
      <c r="G34" s="64">
        <f>E34*F34</f>
        <v>0</v>
      </c>
      <c r="H34" s="65">
        <v>0</v>
      </c>
      <c r="I34" s="65">
        <f>E34*H34</f>
        <v>0</v>
      </c>
      <c r="J34" s="65">
        <v>0</v>
      </c>
      <c r="K34" s="65">
        <f>E34*J34</f>
        <v>0</v>
      </c>
      <c r="L34" s="66">
        <v>0</v>
      </c>
      <c r="M34" s="66">
        <f>E34*L34</f>
        <v>0</v>
      </c>
      <c r="N34" s="66">
        <f>23.12</f>
        <v>23.12</v>
      </c>
      <c r="O34" s="66">
        <f>E34*N34</f>
        <v>76.064800000000005</v>
      </c>
      <c r="P34" s="53" t="s">
        <v>129</v>
      </c>
      <c r="Q34" s="53"/>
      <c r="R34" s="53" t="s">
        <v>80</v>
      </c>
      <c r="S34" s="53" t="s">
        <v>81</v>
      </c>
      <c r="T34" s="53" t="s">
        <v>82</v>
      </c>
      <c r="U34" s="53"/>
      <c r="V34" s="53"/>
      <c r="W34" s="53"/>
      <c r="X34" s="53"/>
      <c r="Y34" s="53"/>
      <c r="Z34" s="53"/>
      <c r="AA34" s="67">
        <v>19</v>
      </c>
      <c r="AB34" s="53" t="s">
        <v>83</v>
      </c>
    </row>
    <row r="35" spans="1:28">
      <c r="A35">
        <v>12</v>
      </c>
      <c r="B35" s="61" t="s">
        <v>130</v>
      </c>
      <c r="C35" s="62" t="s">
        <v>131</v>
      </c>
      <c r="D35" s="61" t="s">
        <v>86</v>
      </c>
      <c r="E35" s="63">
        <v>686.36</v>
      </c>
      <c r="F35" s="64"/>
      <c r="G35" s="64">
        <f>E35*F35</f>
        <v>0</v>
      </c>
      <c r="H35" s="65">
        <v>0</v>
      </c>
      <c r="I35" s="65">
        <f>E35*H35</f>
        <v>0</v>
      </c>
      <c r="J35" s="65">
        <v>0</v>
      </c>
      <c r="K35" s="65">
        <f>E35*J35</f>
        <v>0</v>
      </c>
      <c r="L35" s="66">
        <v>0</v>
      </c>
      <c r="M35" s="66">
        <f>E35*L35</f>
        <v>0</v>
      </c>
      <c r="N35" s="66">
        <f>16.13</f>
        <v>16.13</v>
      </c>
      <c r="O35" s="66">
        <f>E35*N35</f>
        <v>11070.986799999999</v>
      </c>
      <c r="P35" s="53" t="s">
        <v>129</v>
      </c>
      <c r="Q35" s="53"/>
      <c r="R35" s="53" t="s">
        <v>80</v>
      </c>
      <c r="S35" s="53" t="s">
        <v>81</v>
      </c>
      <c r="T35" s="53" t="s">
        <v>82</v>
      </c>
      <c r="U35" s="53"/>
      <c r="V35" s="53"/>
      <c r="W35" s="53"/>
      <c r="X35" s="53"/>
      <c r="Y35" s="53"/>
      <c r="Z35" s="53"/>
      <c r="AA35" s="67">
        <v>19</v>
      </c>
      <c r="AB35" s="53" t="s">
        <v>83</v>
      </c>
    </row>
    <row r="36" spans="1:28" ht="18.75" customHeight="1">
      <c r="A36" s="68" t="s">
        <v>13</v>
      </c>
      <c r="B36" s="60" t="s">
        <v>138</v>
      </c>
      <c r="C36" s="60"/>
      <c r="D36" s="60"/>
      <c r="E36" s="60"/>
      <c r="F36" s="60"/>
      <c r="G36" s="69">
        <f>SUMIF($P:$P,$Q36,G:G)</f>
        <v>0</v>
      </c>
      <c r="H36" s="60"/>
      <c r="I36" s="70">
        <f>SUMIF($P:$P,$Q36,I:I)</f>
        <v>0</v>
      </c>
      <c r="J36" s="60"/>
      <c r="K36" s="70">
        <f>SUMIF($P:$P,$Q36,K:K)</f>
        <v>0</v>
      </c>
      <c r="L36" s="60"/>
      <c r="M36" s="71">
        <f>SUMIF($P:$P,$Q36,M:M)</f>
        <v>0</v>
      </c>
      <c r="N36" s="60"/>
      <c r="O36" s="71">
        <f>SUMIF($P:$P,$Q36,O:O)</f>
        <v>17299.525199999996</v>
      </c>
      <c r="P36" s="53" t="s">
        <v>13</v>
      </c>
      <c r="Q36" s="53" t="s">
        <v>129</v>
      </c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1:28" ht="12.75" customHeight="1"/>
    <row r="38" spans="1:28" ht="18.75" customHeight="1">
      <c r="A38" s="60"/>
      <c r="B38" s="60" t="s">
        <v>139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1:28">
      <c r="A39">
        <v>13</v>
      </c>
      <c r="B39" s="61" t="s">
        <v>140</v>
      </c>
      <c r="C39" s="62" t="s">
        <v>141</v>
      </c>
      <c r="D39" s="61" t="s">
        <v>78</v>
      </c>
      <c r="E39" s="63">
        <v>830.83</v>
      </c>
      <c r="F39" s="64"/>
      <c r="G39" s="64">
        <f>E39*F39</f>
        <v>0</v>
      </c>
      <c r="H39" s="65">
        <v>0</v>
      </c>
      <c r="I39" s="65">
        <f>E39*H39</f>
        <v>0</v>
      </c>
      <c r="J39" s="65">
        <v>0</v>
      </c>
      <c r="K39" s="65">
        <f>E39*J39</f>
        <v>0</v>
      </c>
      <c r="L39" s="66">
        <v>0.49</v>
      </c>
      <c r="M39" s="66">
        <f>E39*L39</f>
        <v>407.10669999999999</v>
      </c>
      <c r="N39" s="66">
        <f>14.62</f>
        <v>14.62</v>
      </c>
      <c r="O39" s="66">
        <f>E39*N39</f>
        <v>12146.7346</v>
      </c>
      <c r="P39" s="53" t="s">
        <v>142</v>
      </c>
      <c r="Q39" s="53"/>
      <c r="R39" s="53" t="s">
        <v>80</v>
      </c>
      <c r="S39" s="53" t="s">
        <v>81</v>
      </c>
      <c r="T39" s="53" t="s">
        <v>82</v>
      </c>
      <c r="U39" s="53"/>
      <c r="V39" s="53"/>
      <c r="W39" s="53"/>
      <c r="X39" s="53"/>
      <c r="Y39" s="53"/>
      <c r="Z39" s="53"/>
      <c r="AA39" s="67">
        <v>19</v>
      </c>
      <c r="AB39" s="53" t="s">
        <v>83</v>
      </c>
    </row>
    <row r="40" spans="1:28">
      <c r="A40">
        <v>14</v>
      </c>
      <c r="B40" s="61" t="s">
        <v>143</v>
      </c>
      <c r="C40" s="62" t="s">
        <v>144</v>
      </c>
      <c r="D40" s="61" t="s">
        <v>78</v>
      </c>
      <c r="E40" s="63">
        <v>1393.32</v>
      </c>
      <c r="F40" s="64"/>
      <c r="G40" s="64">
        <f>E40*F40</f>
        <v>0</v>
      </c>
      <c r="H40" s="65">
        <v>0</v>
      </c>
      <c r="I40" s="65">
        <f>E40*H40</f>
        <v>0</v>
      </c>
      <c r="J40" s="65">
        <v>0</v>
      </c>
      <c r="K40" s="65">
        <f>E40*J40</f>
        <v>0</v>
      </c>
      <c r="L40" s="66">
        <v>0</v>
      </c>
      <c r="M40" s="66">
        <f>E40*L40</f>
        <v>0</v>
      </c>
      <c r="N40" s="66">
        <f>41.82</f>
        <v>41.82</v>
      </c>
      <c r="O40" s="66">
        <f>E40*N40</f>
        <v>58268.642399999997</v>
      </c>
      <c r="P40" s="53" t="s">
        <v>142</v>
      </c>
      <c r="Q40" s="53"/>
      <c r="R40" s="53" t="s">
        <v>80</v>
      </c>
      <c r="S40" s="53" t="s">
        <v>81</v>
      </c>
      <c r="T40" s="53" t="s">
        <v>82</v>
      </c>
      <c r="U40" s="53"/>
      <c r="V40" s="53"/>
      <c r="W40" s="53"/>
      <c r="X40" s="53"/>
      <c r="Y40" s="53"/>
      <c r="Z40" s="53"/>
      <c r="AA40" s="67">
        <v>19</v>
      </c>
      <c r="AB40" s="53" t="s">
        <v>83</v>
      </c>
    </row>
    <row r="41" spans="1:28">
      <c r="A41">
        <v>15</v>
      </c>
      <c r="B41" s="61" t="s">
        <v>145</v>
      </c>
      <c r="C41" s="62" t="s">
        <v>146</v>
      </c>
      <c r="D41" s="61" t="s">
        <v>78</v>
      </c>
      <c r="E41" s="63">
        <v>425.44</v>
      </c>
      <c r="F41" s="64"/>
      <c r="G41" s="64">
        <f>E41*F41</f>
        <v>0</v>
      </c>
      <c r="H41" s="65">
        <v>0</v>
      </c>
      <c r="I41" s="65">
        <f>E41*H41</f>
        <v>0</v>
      </c>
      <c r="J41" s="65">
        <v>0</v>
      </c>
      <c r="K41" s="65">
        <f>E41*J41</f>
        <v>0</v>
      </c>
      <c r="L41" s="66">
        <v>0</v>
      </c>
      <c r="M41" s="66">
        <f>E41*L41</f>
        <v>0</v>
      </c>
      <c r="N41" s="66">
        <f>39.31</f>
        <v>39.31</v>
      </c>
      <c r="O41" s="66">
        <f>E41*N41</f>
        <v>16724.046399999999</v>
      </c>
      <c r="P41" s="53" t="s">
        <v>142</v>
      </c>
      <c r="Q41" s="53"/>
      <c r="R41" s="53" t="s">
        <v>80</v>
      </c>
      <c r="S41" s="53" t="s">
        <v>81</v>
      </c>
      <c r="T41" s="53" t="s">
        <v>82</v>
      </c>
      <c r="U41" s="53"/>
      <c r="V41" s="53"/>
      <c r="W41" s="53"/>
      <c r="X41" s="53"/>
      <c r="Y41" s="53"/>
      <c r="Z41" s="53"/>
      <c r="AA41" s="67">
        <v>19</v>
      </c>
      <c r="AB41" s="53" t="s">
        <v>83</v>
      </c>
    </row>
    <row r="42" spans="1:28">
      <c r="A42">
        <v>16</v>
      </c>
      <c r="B42" s="61" t="s">
        <v>147</v>
      </c>
      <c r="C42" s="62" t="s">
        <v>148</v>
      </c>
      <c r="D42" s="61" t="s">
        <v>149</v>
      </c>
      <c r="E42" s="63">
        <v>26.171144999999999</v>
      </c>
      <c r="F42" s="64"/>
      <c r="G42" s="64">
        <f>E42*F42</f>
        <v>0</v>
      </c>
      <c r="H42" s="65">
        <v>1E-3</v>
      </c>
      <c r="I42" s="65">
        <f>E42*H42</f>
        <v>2.6171145E-2</v>
      </c>
      <c r="J42" s="65">
        <v>0</v>
      </c>
      <c r="K42" s="65">
        <f>E42*J42</f>
        <v>0</v>
      </c>
      <c r="L42" s="66">
        <v>250</v>
      </c>
      <c r="M42" s="66">
        <f>E42*L42</f>
        <v>6542.7862500000001</v>
      </c>
      <c r="N42" s="66">
        <f>0</f>
        <v>0</v>
      </c>
      <c r="O42" s="66">
        <f>E42*N42</f>
        <v>0</v>
      </c>
      <c r="P42" s="53" t="s">
        <v>142</v>
      </c>
      <c r="Q42" s="53"/>
      <c r="R42" s="53" t="s">
        <v>80</v>
      </c>
      <c r="S42" s="53" t="s">
        <v>150</v>
      </c>
      <c r="T42" s="53" t="s">
        <v>151</v>
      </c>
      <c r="U42" s="53"/>
      <c r="V42" s="53"/>
      <c r="W42" s="53"/>
      <c r="X42" s="53"/>
      <c r="Y42" s="53"/>
      <c r="Z42" s="53"/>
      <c r="AA42" s="67">
        <v>19</v>
      </c>
      <c r="AB42" s="53" t="s">
        <v>152</v>
      </c>
    </row>
    <row r="43" spans="1:28" ht="18.75" customHeight="1">
      <c r="A43" s="68" t="s">
        <v>13</v>
      </c>
      <c r="B43" s="60" t="s">
        <v>153</v>
      </c>
      <c r="C43" s="60"/>
      <c r="D43" s="60"/>
      <c r="E43" s="60"/>
      <c r="F43" s="60"/>
      <c r="G43" s="69">
        <f>SUMIF($P:$P,$Q43,G:G)</f>
        <v>0</v>
      </c>
      <c r="H43" s="60"/>
      <c r="I43" s="70">
        <f>SUMIF($P:$P,$Q43,I:I)</f>
        <v>2.6171145E-2</v>
      </c>
      <c r="J43" s="60"/>
      <c r="K43" s="70">
        <f>SUMIF($P:$P,$Q43,K:K)</f>
        <v>0</v>
      </c>
      <c r="L43" s="60"/>
      <c r="M43" s="71">
        <f>SUMIF($P:$P,$Q43,M:M)</f>
        <v>6949.8929500000004</v>
      </c>
      <c r="N43" s="60"/>
      <c r="O43" s="71">
        <f>SUMIF($P:$P,$Q43,O:O)</f>
        <v>87139.4234</v>
      </c>
      <c r="P43" s="53" t="s">
        <v>13</v>
      </c>
      <c r="Q43" s="53" t="s">
        <v>142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1:28" ht="12.75" customHeight="1"/>
    <row r="45" spans="1:28" ht="18.75" customHeight="1">
      <c r="A45" s="60"/>
      <c r="B45" s="60" t="s">
        <v>154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1:28">
      <c r="A46">
        <v>17</v>
      </c>
      <c r="B46" s="61" t="s">
        <v>158</v>
      </c>
      <c r="C46" s="62" t="s">
        <v>159</v>
      </c>
      <c r="D46" s="61" t="s">
        <v>78</v>
      </c>
      <c r="E46" s="63">
        <v>45.6</v>
      </c>
      <c r="F46" s="64"/>
      <c r="G46" s="64">
        <f>E46*F46</f>
        <v>0</v>
      </c>
      <c r="H46" s="65">
        <v>0</v>
      </c>
      <c r="I46" s="65">
        <f>E46*H46</f>
        <v>0</v>
      </c>
      <c r="J46" s="65">
        <v>0</v>
      </c>
      <c r="K46" s="65">
        <f>E46*J46</f>
        <v>0</v>
      </c>
      <c r="L46" s="66">
        <v>0</v>
      </c>
      <c r="M46" s="66">
        <f>E46*L46</f>
        <v>0</v>
      </c>
      <c r="N46" s="66">
        <f>36.2</f>
        <v>36.200000000000003</v>
      </c>
      <c r="O46" s="66">
        <f>E46*N46</f>
        <v>1650.7200000000003</v>
      </c>
      <c r="P46" s="53" t="s">
        <v>157</v>
      </c>
      <c r="Q46" s="53"/>
      <c r="R46" s="53" t="s">
        <v>80</v>
      </c>
      <c r="S46" s="53" t="s">
        <v>81</v>
      </c>
      <c r="T46" s="53" t="s">
        <v>82</v>
      </c>
      <c r="U46" s="53"/>
      <c r="V46" s="53"/>
      <c r="W46" s="53"/>
      <c r="X46" s="53"/>
      <c r="Y46" s="53"/>
      <c r="Z46" s="53"/>
      <c r="AA46" s="67">
        <v>19</v>
      </c>
      <c r="AB46" s="53" t="s">
        <v>83</v>
      </c>
    </row>
    <row r="47" spans="1:28">
      <c r="A47">
        <v>18</v>
      </c>
      <c r="B47" s="61" t="s">
        <v>160</v>
      </c>
      <c r="C47" s="62" t="s">
        <v>161</v>
      </c>
      <c r="D47" s="61" t="s">
        <v>86</v>
      </c>
      <c r="E47" s="63">
        <v>6.65</v>
      </c>
      <c r="F47" s="64"/>
      <c r="G47" s="64">
        <f>E47*F47</f>
        <v>0</v>
      </c>
      <c r="H47" s="65">
        <v>2.8340000000000001</v>
      </c>
      <c r="I47" s="65">
        <f>E47*H47</f>
        <v>18.8461</v>
      </c>
      <c r="J47" s="65">
        <v>0</v>
      </c>
      <c r="K47" s="65">
        <f>E47*J47</f>
        <v>0</v>
      </c>
      <c r="L47" s="66">
        <v>2462.94</v>
      </c>
      <c r="M47" s="66">
        <f>E47*L47</f>
        <v>16378.551000000001</v>
      </c>
      <c r="N47" s="66">
        <f>1340.36</f>
        <v>1340.36</v>
      </c>
      <c r="O47" s="66">
        <f>E47*N47</f>
        <v>8913.3940000000002</v>
      </c>
      <c r="P47" s="53" t="s">
        <v>157</v>
      </c>
      <c r="Q47" s="53"/>
      <c r="R47" s="53" t="s">
        <v>80</v>
      </c>
      <c r="S47" s="53" t="s">
        <v>81</v>
      </c>
      <c r="T47" s="53" t="s">
        <v>82</v>
      </c>
      <c r="U47" s="53"/>
      <c r="V47" s="53"/>
      <c r="W47" s="53"/>
      <c r="X47" s="53"/>
      <c r="Y47" s="53"/>
      <c r="Z47" s="53"/>
      <c r="AA47" s="67">
        <v>19</v>
      </c>
      <c r="AB47" s="53" t="s">
        <v>83</v>
      </c>
    </row>
    <row r="48" spans="1:28" ht="18.75" customHeight="1">
      <c r="A48" s="68" t="s">
        <v>13</v>
      </c>
      <c r="B48" s="60" t="s">
        <v>164</v>
      </c>
      <c r="C48" s="60"/>
      <c r="D48" s="60"/>
      <c r="E48" s="60"/>
      <c r="F48" s="60"/>
      <c r="G48" s="69">
        <f>SUMIF($P:$P,$Q48,G:G)</f>
        <v>0</v>
      </c>
      <c r="H48" s="60"/>
      <c r="I48" s="70">
        <f>SUMIF($P:$P,$Q48,I:I)</f>
        <v>18.8461</v>
      </c>
      <c r="J48" s="60"/>
      <c r="K48" s="70">
        <f>SUMIF($P:$P,$Q48,K:K)</f>
        <v>0</v>
      </c>
      <c r="L48" s="60"/>
      <c r="M48" s="71">
        <f>SUMIF($P:$P,$Q48,M:M)</f>
        <v>16378.551000000001</v>
      </c>
      <c r="N48" s="60"/>
      <c r="O48" s="71">
        <f>SUMIF($P:$P,$Q48,O:O)</f>
        <v>10564.114000000001</v>
      </c>
      <c r="P48" s="53" t="s">
        <v>13</v>
      </c>
      <c r="Q48" s="53" t="s">
        <v>157</v>
      </c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 ht="12.75" customHeight="1"/>
    <row r="50" spans="1:28" ht="18.75" customHeight="1">
      <c r="A50" s="60"/>
      <c r="B50" s="60" t="s">
        <v>165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>
      <c r="A51">
        <v>19</v>
      </c>
      <c r="B51" s="61" t="s">
        <v>166</v>
      </c>
      <c r="C51" s="62" t="s">
        <v>167</v>
      </c>
      <c r="D51" s="61" t="s">
        <v>78</v>
      </c>
      <c r="E51" s="63">
        <v>38.4</v>
      </c>
      <c r="F51" s="64"/>
      <c r="G51" s="64">
        <f>E51*F51</f>
        <v>0</v>
      </c>
      <c r="H51" s="65">
        <v>0.51300000000000001</v>
      </c>
      <c r="I51" s="65">
        <f>E51*H51</f>
        <v>19.699200000000001</v>
      </c>
      <c r="J51" s="65">
        <v>0</v>
      </c>
      <c r="K51" s="65">
        <f>E51*J51</f>
        <v>0</v>
      </c>
      <c r="L51" s="66">
        <v>315.32</v>
      </c>
      <c r="M51" s="66">
        <f>E51*L51</f>
        <v>12108.287999999999</v>
      </c>
      <c r="N51" s="66">
        <f>297.86</f>
        <v>297.86</v>
      </c>
      <c r="O51" s="66">
        <f>E51*N51</f>
        <v>11437.824000000001</v>
      </c>
      <c r="P51" s="53" t="s">
        <v>168</v>
      </c>
      <c r="Q51" s="53"/>
      <c r="R51" s="53" t="s">
        <v>80</v>
      </c>
      <c r="S51" s="53" t="s">
        <v>81</v>
      </c>
      <c r="T51" s="53" t="s">
        <v>82</v>
      </c>
      <c r="U51" s="53"/>
      <c r="V51" s="53"/>
      <c r="W51" s="53"/>
      <c r="X51" s="53"/>
      <c r="Y51" s="53"/>
      <c r="Z51" s="53"/>
      <c r="AA51" s="67">
        <v>19</v>
      </c>
      <c r="AB51" s="53" t="s">
        <v>83</v>
      </c>
    </row>
    <row r="52" spans="1:28" ht="18.75" customHeight="1">
      <c r="A52" s="68" t="s">
        <v>13</v>
      </c>
      <c r="B52" s="60" t="s">
        <v>171</v>
      </c>
      <c r="C52" s="60"/>
      <c r="D52" s="60"/>
      <c r="E52" s="60"/>
      <c r="F52" s="60"/>
      <c r="G52" s="69">
        <f>SUMIF($P:$P,$Q52,G:G)</f>
        <v>0</v>
      </c>
      <c r="H52" s="60"/>
      <c r="I52" s="70">
        <f>SUMIF($P:$P,$Q52,I:I)</f>
        <v>19.699200000000001</v>
      </c>
      <c r="J52" s="60"/>
      <c r="K52" s="70">
        <f>SUMIF($P:$P,$Q52,K:K)</f>
        <v>0</v>
      </c>
      <c r="L52" s="60"/>
      <c r="M52" s="71">
        <f>SUMIF($P:$P,$Q52,M:M)</f>
        <v>12108.287999999999</v>
      </c>
      <c r="N52" s="60"/>
      <c r="O52" s="71">
        <f>SUMIF($P:$P,$Q52,O:O)</f>
        <v>11437.824000000001</v>
      </c>
      <c r="P52" s="53" t="s">
        <v>13</v>
      </c>
      <c r="Q52" s="53" t="s">
        <v>168</v>
      </c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1:28" ht="12.75" customHeight="1"/>
    <row r="54" spans="1:28" ht="18.75" customHeight="1">
      <c r="A54" s="60"/>
      <c r="B54" s="60" t="s">
        <v>172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>
      <c r="A55">
        <v>20</v>
      </c>
      <c r="B55" s="61" t="s">
        <v>173</v>
      </c>
      <c r="C55" s="62" t="s">
        <v>174</v>
      </c>
      <c r="D55" s="61" t="s">
        <v>137</v>
      </c>
      <c r="E55" s="63">
        <f>Z55*IF(V55="cenik_cast",IF(U55="hmoty",SUMIF(T:T,Y55,I:I),IF(U55="cena_hmot",SUMIF(T:T,Y55,M:M)/1000,SUMIF(T:T,Y55,G:G)/1000)),IF(V55="cenik",IF(U55="hmoty",SUMIF(S:S,X55,I:I),IF(U55="cena_hmot",SUMIF(S:S,X55,M:M)/1000,SUMIF(S:S,X55,G:G)/1000)),IF(U55="hmoty",SUMIF(R:R,W55,I:I),IF(U55="cena_hmot",SUMIF(R:R,W55,M:M)/1000,SUMIF(R:R,W55,G:G)/1000))))</f>
        <v>2.6171145E-2</v>
      </c>
      <c r="F55" s="64"/>
      <c r="G55" s="64">
        <f>E55*F55</f>
        <v>0</v>
      </c>
      <c r="H55" s="65">
        <v>0</v>
      </c>
      <c r="I55" s="65">
        <f>E55*H55</f>
        <v>0</v>
      </c>
      <c r="J55" s="65">
        <v>0</v>
      </c>
      <c r="K55" s="65">
        <f>E55*J55</f>
        <v>0</v>
      </c>
      <c r="L55" s="66">
        <v>0</v>
      </c>
      <c r="M55" s="66">
        <f>E55*L55</f>
        <v>0</v>
      </c>
      <c r="N55" s="66">
        <f>185.19</f>
        <v>185.19</v>
      </c>
      <c r="O55" s="66">
        <f>E55*N55</f>
        <v>4.8466343425499998</v>
      </c>
      <c r="P55" s="53" t="s">
        <v>175</v>
      </c>
      <c r="Q55" s="53"/>
      <c r="R55" s="53"/>
      <c r="S55" s="53"/>
      <c r="T55" s="53"/>
      <c r="U55" s="53" t="s">
        <v>176</v>
      </c>
      <c r="V55" s="53" t="s">
        <v>177</v>
      </c>
      <c r="W55" s="53" t="s">
        <v>80</v>
      </c>
      <c r="X55" s="53" t="s">
        <v>150</v>
      </c>
      <c r="Y55" s="53" t="s">
        <v>151</v>
      </c>
      <c r="Z55" s="54">
        <v>1</v>
      </c>
      <c r="AA55" s="67">
        <v>19</v>
      </c>
      <c r="AB55" s="53" t="s">
        <v>83</v>
      </c>
    </row>
    <row r="56" spans="1:28" ht="18.75" customHeight="1">
      <c r="A56" s="68" t="s">
        <v>13</v>
      </c>
      <c r="B56" s="60" t="s">
        <v>178</v>
      </c>
      <c r="C56" s="60"/>
      <c r="D56" s="60"/>
      <c r="E56" s="60"/>
      <c r="F56" s="60"/>
      <c r="G56" s="69">
        <f>SUMIF($P:$P,$Q56,G:G)</f>
        <v>0</v>
      </c>
      <c r="H56" s="60"/>
      <c r="I56" s="70">
        <f>SUMIF($P:$P,$Q56,I:I)</f>
        <v>0</v>
      </c>
      <c r="J56" s="60"/>
      <c r="K56" s="70">
        <f>SUMIF($P:$P,$Q56,K:K)</f>
        <v>0</v>
      </c>
      <c r="L56" s="60"/>
      <c r="M56" s="71">
        <f>SUMIF($P:$P,$Q56,M:M)</f>
        <v>0</v>
      </c>
      <c r="N56" s="60"/>
      <c r="O56" s="71">
        <f>SUMIF($P:$P,$Q56,O:O)</f>
        <v>4.8466343425499998</v>
      </c>
      <c r="P56" s="53" t="s">
        <v>13</v>
      </c>
      <c r="Q56" s="53" t="s">
        <v>175</v>
      </c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1:28" ht="12.75" customHeight="1" thickBot="1"/>
    <row r="58" spans="1:28" ht="18.75" customHeight="1">
      <c r="A58" s="72" t="s">
        <v>13</v>
      </c>
      <c r="B58" s="73"/>
      <c r="C58" s="73"/>
      <c r="D58" s="73"/>
      <c r="E58" s="73"/>
      <c r="F58" s="73"/>
      <c r="G58" s="74">
        <f>SUMIF($P:$P,"S",G:G)</f>
        <v>0</v>
      </c>
      <c r="H58" s="73"/>
      <c r="I58" s="75">
        <f>SUMIF($P:$P,"S",I:I)</f>
        <v>38.580471145000004</v>
      </c>
      <c r="J58" s="73"/>
      <c r="K58" s="75">
        <f>SUMIF($P:$P,"S",K:K)</f>
        <v>0</v>
      </c>
      <c r="L58" s="73"/>
      <c r="M58" s="76">
        <f>SUMIF($P:$P,"S",M:M)</f>
        <v>35759.981950000001</v>
      </c>
      <c r="N58" s="73"/>
      <c r="O58" s="76">
        <f>SUMIF($P:$P,"S",O:O)</f>
        <v>331587.2488143426</v>
      </c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61" spans="1:28" ht="18.75" customHeight="1" thickBot="1">
      <c r="A61" s="77" t="s">
        <v>179</v>
      </c>
      <c r="B61" s="77"/>
      <c r="C61" s="77"/>
      <c r="D61" s="77"/>
      <c r="E61" s="77"/>
    </row>
    <row r="62" spans="1:28">
      <c r="B62" s="61" t="s">
        <v>180</v>
      </c>
      <c r="C62" s="78" t="s">
        <v>181</v>
      </c>
      <c r="D62" s="78"/>
      <c r="E62" s="64">
        <f>$G$15</f>
        <v>0</v>
      </c>
    </row>
    <row r="63" spans="1:28">
      <c r="B63" s="61" t="s">
        <v>182</v>
      </c>
      <c r="C63" s="79" t="s">
        <v>183</v>
      </c>
      <c r="D63" s="79"/>
      <c r="E63" s="64">
        <f>$G$19</f>
        <v>0</v>
      </c>
    </row>
    <row r="64" spans="1:28">
      <c r="B64" s="61" t="s">
        <v>184</v>
      </c>
      <c r="C64" s="79" t="s">
        <v>185</v>
      </c>
      <c r="D64" s="79"/>
      <c r="E64" s="64">
        <f>$G$23</f>
        <v>0</v>
      </c>
    </row>
    <row r="65" spans="1:5">
      <c r="B65" s="61" t="s">
        <v>186</v>
      </c>
      <c r="C65" s="79" t="s">
        <v>187</v>
      </c>
      <c r="D65" s="79"/>
      <c r="E65" s="64">
        <f>$G$30</f>
        <v>0</v>
      </c>
    </row>
    <row r="66" spans="1:5">
      <c r="B66" s="61" t="s">
        <v>188</v>
      </c>
      <c r="C66" s="79" t="s">
        <v>189</v>
      </c>
      <c r="D66" s="79"/>
      <c r="E66" s="64">
        <f>$G$36</f>
        <v>0</v>
      </c>
    </row>
    <row r="67" spans="1:5">
      <c r="B67" s="61" t="s">
        <v>190</v>
      </c>
      <c r="C67" s="79" t="s">
        <v>191</v>
      </c>
      <c r="D67" s="79"/>
      <c r="E67" s="64">
        <f>$G$43</f>
        <v>0</v>
      </c>
    </row>
    <row r="68" spans="1:5">
      <c r="B68" s="61" t="s">
        <v>192</v>
      </c>
      <c r="C68" s="79" t="s">
        <v>193</v>
      </c>
      <c r="D68" s="79"/>
      <c r="E68" s="64">
        <f>$G$48</f>
        <v>0</v>
      </c>
    </row>
    <row r="69" spans="1:5">
      <c r="B69" s="61" t="s">
        <v>194</v>
      </c>
      <c r="C69" s="79" t="s">
        <v>195</v>
      </c>
      <c r="D69" s="79"/>
      <c r="E69" s="64">
        <f>$G$52</f>
        <v>0</v>
      </c>
    </row>
    <row r="70" spans="1:5" ht="13.5" customHeight="1" thickBot="1">
      <c r="B70" s="61" t="s">
        <v>196</v>
      </c>
      <c r="C70" s="79" t="s">
        <v>197</v>
      </c>
      <c r="D70" s="79"/>
      <c r="E70" s="64">
        <f>$G$56</f>
        <v>0</v>
      </c>
    </row>
    <row r="71" spans="1:5" ht="18.75" customHeight="1">
      <c r="A71" s="72" t="s">
        <v>13</v>
      </c>
      <c r="B71" s="73"/>
      <c r="C71" s="73"/>
      <c r="D71" s="73"/>
      <c r="E71" s="74">
        <f>SUM($E$62:$E$70)</f>
        <v>0</v>
      </c>
    </row>
  </sheetData>
  <mergeCells count="27">
    <mergeCell ref="C68:D68"/>
    <mergeCell ref="C69:D69"/>
    <mergeCell ref="C70:D70"/>
    <mergeCell ref="C62:D62"/>
    <mergeCell ref="C63:D63"/>
    <mergeCell ref="C64:D64"/>
    <mergeCell ref="C65:D65"/>
    <mergeCell ref="C66:D66"/>
    <mergeCell ref="C67:D67"/>
    <mergeCell ref="H8:I8"/>
    <mergeCell ref="J8:K8"/>
    <mergeCell ref="L8:M8"/>
    <mergeCell ref="N8:O8"/>
    <mergeCell ref="P8:AB8"/>
    <mergeCell ref="A61:E61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96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  <c r="P2" s="53"/>
      <c r="Q2" s="54">
        <f>Q$1</f>
        <v>0</v>
      </c>
      <c r="R2" s="54">
        <f>R$1</f>
        <v>0</v>
      </c>
      <c r="S2" s="54">
        <f>S$1</f>
        <v>0</v>
      </c>
      <c r="T2" s="54">
        <f>T$1</f>
        <v>0</v>
      </c>
      <c r="U2" s="54">
        <f>U$1</f>
        <v>0</v>
      </c>
      <c r="V2" s="53"/>
      <c r="W2" s="54">
        <f>W$1</f>
        <v>0</v>
      </c>
      <c r="X2" s="54">
        <f>X$1</f>
        <v>0</v>
      </c>
      <c r="Y2" s="54">
        <f>Y$1</f>
        <v>0</v>
      </c>
      <c r="Z2" s="54">
        <f>Z$1</f>
        <v>0</v>
      </c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</row>
    <row r="4" spans="1:28" ht="12.75" customHeight="1">
      <c r="B4" s="3" t="s">
        <v>45</v>
      </c>
      <c r="C4" s="33" t="s">
        <v>338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342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26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96</v>
      </c>
      <c r="C12" s="62" t="s">
        <v>97</v>
      </c>
      <c r="D12" s="61" t="s">
        <v>86</v>
      </c>
      <c r="E12" s="63">
        <v>2.4491999999999998</v>
      </c>
      <c r="F12" s="64"/>
      <c r="G12" s="64">
        <f>E12*F12</f>
        <v>0</v>
      </c>
      <c r="H12" s="65">
        <v>0</v>
      </c>
      <c r="I12" s="65">
        <f>E12*H12</f>
        <v>0</v>
      </c>
      <c r="J12" s="65">
        <v>0</v>
      </c>
      <c r="K12" s="65">
        <f>E12*J12</f>
        <v>0</v>
      </c>
      <c r="L12" s="66">
        <v>0</v>
      </c>
      <c r="M12" s="66">
        <f>E12*L12</f>
        <v>0</v>
      </c>
      <c r="N12" s="66">
        <f>4101.75</f>
        <v>4101.75</v>
      </c>
      <c r="O12" s="66">
        <f>E12*N12</f>
        <v>10046.006099999999</v>
      </c>
      <c r="P12" s="53" t="s">
        <v>98</v>
      </c>
      <c r="Q12" s="53"/>
      <c r="R12" s="53" t="s">
        <v>80</v>
      </c>
      <c r="S12" s="53" t="s">
        <v>81</v>
      </c>
      <c r="T12" s="53" t="s">
        <v>82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>
      <c r="A13">
        <v>2</v>
      </c>
      <c r="B13" s="61" t="s">
        <v>321</v>
      </c>
      <c r="C13" s="62" t="s">
        <v>322</v>
      </c>
      <c r="D13" s="61" t="s">
        <v>86</v>
      </c>
      <c r="E13" s="63">
        <v>5.4207999999999998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0</v>
      </c>
      <c r="M13" s="66">
        <f>E13*L13</f>
        <v>0</v>
      </c>
      <c r="N13" s="66">
        <f>132.78</f>
        <v>132.78</v>
      </c>
      <c r="O13" s="66">
        <f>E13*N13</f>
        <v>719.77382399999999</v>
      </c>
      <c r="P13" s="53" t="s">
        <v>98</v>
      </c>
      <c r="Q13" s="53"/>
      <c r="R13" s="53" t="s">
        <v>80</v>
      </c>
      <c r="S13" s="53" t="s">
        <v>81</v>
      </c>
      <c r="T13" s="53" t="s">
        <v>82</v>
      </c>
      <c r="U13" s="53"/>
      <c r="V13" s="53"/>
      <c r="W13" s="53"/>
      <c r="X13" s="53"/>
      <c r="Y13" s="53"/>
      <c r="Z13" s="53"/>
      <c r="AA13" s="67">
        <v>19</v>
      </c>
      <c r="AB13" s="53" t="s">
        <v>83</v>
      </c>
    </row>
    <row r="14" spans="1:28">
      <c r="A14">
        <v>3</v>
      </c>
      <c r="B14" s="61" t="s">
        <v>101</v>
      </c>
      <c r="C14" s="62" t="s">
        <v>102</v>
      </c>
      <c r="D14" s="61" t="s">
        <v>86</v>
      </c>
      <c r="E14" s="63">
        <v>28.825500000000002</v>
      </c>
      <c r="F14" s="64"/>
      <c r="G14" s="64">
        <f>E14*F14</f>
        <v>0</v>
      </c>
      <c r="H14" s="65">
        <v>0</v>
      </c>
      <c r="I14" s="65">
        <f>E14*H14</f>
        <v>0</v>
      </c>
      <c r="J14" s="65">
        <v>0</v>
      </c>
      <c r="K14" s="65">
        <f>E14*J14</f>
        <v>0</v>
      </c>
      <c r="L14" s="66">
        <v>0</v>
      </c>
      <c r="M14" s="66">
        <f>E14*L14</f>
        <v>0</v>
      </c>
      <c r="N14" s="66">
        <f>123.62</f>
        <v>123.62</v>
      </c>
      <c r="O14" s="66">
        <f>E14*N14</f>
        <v>3563.4083100000003</v>
      </c>
      <c r="P14" s="53" t="s">
        <v>98</v>
      </c>
      <c r="Q14" s="53"/>
      <c r="R14" s="53" t="s">
        <v>80</v>
      </c>
      <c r="S14" s="53" t="s">
        <v>81</v>
      </c>
      <c r="T14" s="53" t="s">
        <v>82</v>
      </c>
      <c r="U14" s="53"/>
      <c r="V14" s="53"/>
      <c r="W14" s="53"/>
      <c r="X14" s="53"/>
      <c r="Y14" s="53"/>
      <c r="Z14" s="53"/>
      <c r="AA14" s="67">
        <v>19</v>
      </c>
      <c r="AB14" s="53" t="s">
        <v>83</v>
      </c>
    </row>
    <row r="15" spans="1:28" ht="18.75" customHeight="1">
      <c r="A15" s="68" t="s">
        <v>13</v>
      </c>
      <c r="B15" s="60" t="s">
        <v>103</v>
      </c>
      <c r="C15" s="60"/>
      <c r="D15" s="60"/>
      <c r="E15" s="60"/>
      <c r="F15" s="60"/>
      <c r="G15" s="69">
        <f>SUMIF($P:$P,$Q15,G:G)</f>
        <v>0</v>
      </c>
      <c r="H15" s="60"/>
      <c r="I15" s="70">
        <f>SUMIF($P:$P,$Q15,I:I)</f>
        <v>0</v>
      </c>
      <c r="J15" s="60"/>
      <c r="K15" s="70">
        <f>SUMIF($P:$P,$Q15,K:K)</f>
        <v>0</v>
      </c>
      <c r="L15" s="60"/>
      <c r="M15" s="71">
        <f>SUMIF($P:$P,$Q15,M:M)</f>
        <v>0</v>
      </c>
      <c r="N15" s="60"/>
      <c r="O15" s="71">
        <f>SUMIF($P:$P,$Q15,O:O)</f>
        <v>14329.188233999999</v>
      </c>
      <c r="P15" s="53" t="s">
        <v>13</v>
      </c>
      <c r="Q15" s="53" t="s">
        <v>98</v>
      </c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</row>
    <row r="16" spans="1:28" ht="12.75" customHeight="1"/>
    <row r="17" spans="1:28" ht="18.75" customHeight="1">
      <c r="A17" s="60"/>
      <c r="B17" s="60" t="s">
        <v>104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>
      <c r="A18">
        <v>4</v>
      </c>
      <c r="B18" s="61" t="s">
        <v>105</v>
      </c>
      <c r="C18" s="62" t="s">
        <v>106</v>
      </c>
      <c r="D18" s="61" t="s">
        <v>86</v>
      </c>
      <c r="E18" s="63">
        <v>82.881600000000006</v>
      </c>
      <c r="F18" s="64"/>
      <c r="G18" s="64">
        <f>E18*F18</f>
        <v>0</v>
      </c>
      <c r="H18" s="65">
        <v>0</v>
      </c>
      <c r="I18" s="65">
        <f>E18*H18</f>
        <v>0</v>
      </c>
      <c r="J18" s="65">
        <v>0</v>
      </c>
      <c r="K18" s="65">
        <f>E18*J18</f>
        <v>0</v>
      </c>
      <c r="L18" s="66">
        <v>0</v>
      </c>
      <c r="M18" s="66">
        <f>E18*L18</f>
        <v>0</v>
      </c>
      <c r="N18" s="66">
        <f>374.85</f>
        <v>374.85</v>
      </c>
      <c r="O18" s="66">
        <f>E18*N18</f>
        <v>31068.167760000004</v>
      </c>
      <c r="P18" s="53" t="s">
        <v>107</v>
      </c>
      <c r="Q18" s="53"/>
      <c r="R18" s="53" t="s">
        <v>80</v>
      </c>
      <c r="S18" s="53" t="s">
        <v>81</v>
      </c>
      <c r="T18" s="53" t="s">
        <v>82</v>
      </c>
      <c r="U18" s="53"/>
      <c r="V18" s="53"/>
      <c r="W18" s="53"/>
      <c r="X18" s="53"/>
      <c r="Y18" s="53"/>
      <c r="Z18" s="53"/>
      <c r="AA18" s="67">
        <v>19</v>
      </c>
      <c r="AB18" s="53" t="s">
        <v>83</v>
      </c>
    </row>
    <row r="19" spans="1:28" ht="18.75" customHeight="1">
      <c r="A19" s="68" t="s">
        <v>13</v>
      </c>
      <c r="B19" s="60" t="s">
        <v>108</v>
      </c>
      <c r="C19" s="60"/>
      <c r="D19" s="60"/>
      <c r="E19" s="60"/>
      <c r="F19" s="60"/>
      <c r="G19" s="69">
        <f>SUMIF($P:$P,$Q19,G:G)</f>
        <v>0</v>
      </c>
      <c r="H19" s="60"/>
      <c r="I19" s="70">
        <f>SUMIF($P:$P,$Q19,I:I)</f>
        <v>0</v>
      </c>
      <c r="J19" s="60"/>
      <c r="K19" s="70">
        <f>SUMIF($P:$P,$Q19,K:K)</f>
        <v>0</v>
      </c>
      <c r="L19" s="60"/>
      <c r="M19" s="71">
        <f>SUMIF($P:$P,$Q19,M:M)</f>
        <v>0</v>
      </c>
      <c r="N19" s="60"/>
      <c r="O19" s="71">
        <f>SUMIF($P:$P,$Q19,O:O)</f>
        <v>31068.167760000004</v>
      </c>
      <c r="P19" s="53" t="s">
        <v>13</v>
      </c>
      <c r="Q19" s="53" t="s">
        <v>107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</row>
    <row r="20" spans="1:28" ht="12.75" customHeight="1"/>
    <row r="21" spans="1:28" ht="18.75" customHeight="1">
      <c r="A21" s="60"/>
      <c r="B21" s="60" t="s">
        <v>209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1:28">
      <c r="A22">
        <v>5</v>
      </c>
      <c r="B22" s="61" t="s">
        <v>343</v>
      </c>
      <c r="C22" s="62" t="s">
        <v>344</v>
      </c>
      <c r="D22" s="61" t="s">
        <v>78</v>
      </c>
      <c r="E22" s="63">
        <v>77.540000000000006</v>
      </c>
      <c r="F22" s="64"/>
      <c r="G22" s="64">
        <f>E22*F22</f>
        <v>0</v>
      </c>
      <c r="H22" s="65">
        <v>6.9999999999999999E-4</v>
      </c>
      <c r="I22" s="65">
        <f>E22*H22</f>
        <v>5.4278000000000007E-2</v>
      </c>
      <c r="J22" s="65">
        <v>0</v>
      </c>
      <c r="K22" s="65">
        <f>E22*J22</f>
        <v>0</v>
      </c>
      <c r="L22" s="66">
        <v>11.37</v>
      </c>
      <c r="M22" s="66">
        <f>E22*L22</f>
        <v>881.62980000000005</v>
      </c>
      <c r="N22" s="66">
        <f>53.73</f>
        <v>53.73</v>
      </c>
      <c r="O22" s="66">
        <f>E22*N22</f>
        <v>4166.2241999999997</v>
      </c>
      <c r="P22" s="53" t="s">
        <v>212</v>
      </c>
      <c r="Q22" s="53"/>
      <c r="R22" s="53" t="s">
        <v>80</v>
      </c>
      <c r="S22" s="53" t="s">
        <v>81</v>
      </c>
      <c r="T22" s="53" t="s">
        <v>82</v>
      </c>
      <c r="U22" s="53"/>
      <c r="V22" s="53"/>
      <c r="W22" s="53"/>
      <c r="X22" s="53"/>
      <c r="Y22" s="53"/>
      <c r="Z22" s="53"/>
      <c r="AA22" s="67">
        <v>19</v>
      </c>
      <c r="AB22" s="53" t="s">
        <v>83</v>
      </c>
    </row>
    <row r="23" spans="1:28">
      <c r="A23">
        <v>6</v>
      </c>
      <c r="B23" s="61" t="s">
        <v>345</v>
      </c>
      <c r="C23" s="62" t="s">
        <v>346</v>
      </c>
      <c r="D23" s="61" t="s">
        <v>78</v>
      </c>
      <c r="E23" s="63">
        <v>77.540000000000006</v>
      </c>
      <c r="F23" s="64"/>
      <c r="G23" s="64">
        <f>E23*F23</f>
        <v>0</v>
      </c>
      <c r="H23" s="65">
        <v>0</v>
      </c>
      <c r="I23" s="65">
        <f>E23*H23</f>
        <v>0</v>
      </c>
      <c r="J23" s="65">
        <v>0</v>
      </c>
      <c r="K23" s="65">
        <f>E23*J23</f>
        <v>0</v>
      </c>
      <c r="L23" s="66">
        <v>0</v>
      </c>
      <c r="M23" s="66">
        <f>E23*L23</f>
        <v>0</v>
      </c>
      <c r="N23" s="66">
        <f>24.02</f>
        <v>24.02</v>
      </c>
      <c r="O23" s="66">
        <f>E23*N23</f>
        <v>1862.5108</v>
      </c>
      <c r="P23" s="53" t="s">
        <v>212</v>
      </c>
      <c r="Q23" s="53"/>
      <c r="R23" s="53" t="s">
        <v>80</v>
      </c>
      <c r="S23" s="53" t="s">
        <v>81</v>
      </c>
      <c r="T23" s="53" t="s">
        <v>82</v>
      </c>
      <c r="U23" s="53"/>
      <c r="V23" s="53"/>
      <c r="W23" s="53"/>
      <c r="X23" s="53"/>
      <c r="Y23" s="53"/>
      <c r="Z23" s="53"/>
      <c r="AA23" s="67">
        <v>19</v>
      </c>
      <c r="AB23" s="53" t="s">
        <v>83</v>
      </c>
    </row>
    <row r="24" spans="1:28">
      <c r="A24">
        <v>7</v>
      </c>
      <c r="B24" s="61" t="s">
        <v>347</v>
      </c>
      <c r="C24" s="62" t="s">
        <v>348</v>
      </c>
      <c r="D24" s="61" t="s">
        <v>86</v>
      </c>
      <c r="E24" s="63">
        <v>66.544399999999996</v>
      </c>
      <c r="F24" s="64"/>
      <c r="G24" s="64">
        <f>E24*F24</f>
        <v>0</v>
      </c>
      <c r="H24" s="65">
        <v>4.6000000000000001E-4</v>
      </c>
      <c r="I24" s="65">
        <f>E24*H24</f>
        <v>3.0610424000000001E-2</v>
      </c>
      <c r="J24" s="65">
        <v>0</v>
      </c>
      <c r="K24" s="65">
        <f>E24*J24</f>
        <v>0</v>
      </c>
      <c r="L24" s="66">
        <v>2.11</v>
      </c>
      <c r="M24" s="66">
        <f>E24*L24</f>
        <v>140.40868399999999</v>
      </c>
      <c r="N24" s="66">
        <f>37.44</f>
        <v>37.44</v>
      </c>
      <c r="O24" s="66">
        <f>E24*N24</f>
        <v>2491.4223359999996</v>
      </c>
      <c r="P24" s="53" t="s">
        <v>212</v>
      </c>
      <c r="Q24" s="53"/>
      <c r="R24" s="53" t="s">
        <v>80</v>
      </c>
      <c r="S24" s="53" t="s">
        <v>81</v>
      </c>
      <c r="T24" s="53" t="s">
        <v>82</v>
      </c>
      <c r="U24" s="53"/>
      <c r="V24" s="53"/>
      <c r="W24" s="53"/>
      <c r="X24" s="53"/>
      <c r="Y24" s="53"/>
      <c r="Z24" s="53"/>
      <c r="AA24" s="67">
        <v>19</v>
      </c>
      <c r="AB24" s="53" t="s">
        <v>83</v>
      </c>
    </row>
    <row r="25" spans="1:28">
      <c r="A25">
        <v>8</v>
      </c>
      <c r="B25" s="61" t="s">
        <v>349</v>
      </c>
      <c r="C25" s="62" t="s">
        <v>350</v>
      </c>
      <c r="D25" s="61" t="s">
        <v>86</v>
      </c>
      <c r="E25" s="63">
        <v>66.544399999999996</v>
      </c>
      <c r="F25" s="64"/>
      <c r="G25" s="64">
        <f>E25*F25</f>
        <v>0</v>
      </c>
      <c r="H25" s="65">
        <v>0</v>
      </c>
      <c r="I25" s="65">
        <f>E25*H25</f>
        <v>0</v>
      </c>
      <c r="J25" s="65">
        <v>0</v>
      </c>
      <c r="K25" s="65">
        <f>E25*J25</f>
        <v>0</v>
      </c>
      <c r="L25" s="66">
        <v>0</v>
      </c>
      <c r="M25" s="66">
        <f>E25*L25</f>
        <v>0</v>
      </c>
      <c r="N25" s="66">
        <f>9.61</f>
        <v>9.61</v>
      </c>
      <c r="O25" s="66">
        <f>E25*N25</f>
        <v>639.49168399999996</v>
      </c>
      <c r="P25" s="53" t="s">
        <v>212</v>
      </c>
      <c r="Q25" s="53"/>
      <c r="R25" s="53" t="s">
        <v>80</v>
      </c>
      <c r="S25" s="53" t="s">
        <v>81</v>
      </c>
      <c r="T25" s="53" t="s">
        <v>82</v>
      </c>
      <c r="U25" s="53"/>
      <c r="V25" s="53"/>
      <c r="W25" s="53"/>
      <c r="X25" s="53"/>
      <c r="Y25" s="53"/>
      <c r="Z25" s="53"/>
      <c r="AA25" s="67">
        <v>19</v>
      </c>
      <c r="AB25" s="53" t="s">
        <v>83</v>
      </c>
    </row>
    <row r="26" spans="1:28" ht="18.75" customHeight="1">
      <c r="A26" s="68" t="s">
        <v>13</v>
      </c>
      <c r="B26" s="60" t="s">
        <v>215</v>
      </c>
      <c r="C26" s="60"/>
      <c r="D26" s="60"/>
      <c r="E26" s="60"/>
      <c r="F26" s="60"/>
      <c r="G26" s="69">
        <f>SUMIF($P:$P,$Q26,G:G)</f>
        <v>0</v>
      </c>
      <c r="H26" s="60"/>
      <c r="I26" s="70">
        <f>SUMIF($P:$P,$Q26,I:I)</f>
        <v>8.4888424000000004E-2</v>
      </c>
      <c r="J26" s="60"/>
      <c r="K26" s="70">
        <f>SUMIF($P:$P,$Q26,K:K)</f>
        <v>0</v>
      </c>
      <c r="L26" s="60"/>
      <c r="M26" s="71">
        <f>SUMIF($P:$P,$Q26,M:M)</f>
        <v>1022.038484</v>
      </c>
      <c r="N26" s="60"/>
      <c r="O26" s="71">
        <f>SUMIF($P:$P,$Q26,O:O)</f>
        <v>9159.6490200000007</v>
      </c>
      <c r="P26" s="53" t="s">
        <v>13</v>
      </c>
      <c r="Q26" s="53" t="s">
        <v>212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</row>
    <row r="27" spans="1:28" ht="12.75" customHeight="1"/>
    <row r="28" spans="1:28" ht="18.75" customHeight="1">
      <c r="A28" s="60"/>
      <c r="B28" s="60" t="s">
        <v>109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1:28">
      <c r="A29">
        <v>9</v>
      </c>
      <c r="B29" s="61" t="s">
        <v>218</v>
      </c>
      <c r="C29" s="62" t="s">
        <v>219</v>
      </c>
      <c r="D29" s="61" t="s">
        <v>86</v>
      </c>
      <c r="E29" s="63">
        <v>44.173900000000003</v>
      </c>
      <c r="F29" s="64"/>
      <c r="G29" s="64">
        <f>E29*F29</f>
        <v>0</v>
      </c>
      <c r="H29" s="65">
        <v>0</v>
      </c>
      <c r="I29" s="65">
        <f>E29*H29</f>
        <v>0</v>
      </c>
      <c r="J29" s="65">
        <v>0</v>
      </c>
      <c r="K29" s="65">
        <f>E29*J29</f>
        <v>0</v>
      </c>
      <c r="L29" s="66">
        <v>0</v>
      </c>
      <c r="M29" s="66">
        <f>E29*L29</f>
        <v>0</v>
      </c>
      <c r="N29" s="66">
        <f>142.21</f>
        <v>142.21</v>
      </c>
      <c r="O29" s="66">
        <f>E29*N29</f>
        <v>6281.9703190000009</v>
      </c>
      <c r="P29" s="53" t="s">
        <v>112</v>
      </c>
      <c r="Q29" s="53"/>
      <c r="R29" s="53" t="s">
        <v>80</v>
      </c>
      <c r="S29" s="53" t="s">
        <v>81</v>
      </c>
      <c r="T29" s="53" t="s">
        <v>82</v>
      </c>
      <c r="U29" s="53"/>
      <c r="V29" s="53"/>
      <c r="W29" s="53"/>
      <c r="X29" s="53"/>
      <c r="Y29" s="53"/>
      <c r="Z29" s="53"/>
      <c r="AA29" s="67">
        <v>19</v>
      </c>
      <c r="AB29" s="53" t="s">
        <v>83</v>
      </c>
    </row>
    <row r="30" spans="1:28">
      <c r="A30">
        <v>10</v>
      </c>
      <c r="B30" s="61" t="s">
        <v>123</v>
      </c>
      <c r="C30" s="62" t="s">
        <v>124</v>
      </c>
      <c r="D30" s="61" t="s">
        <v>86</v>
      </c>
      <c r="E30" s="63">
        <v>2.4491999999999998</v>
      </c>
      <c r="F30" s="64"/>
      <c r="G30" s="64">
        <f>E30*F30</f>
        <v>0</v>
      </c>
      <c r="H30" s="65">
        <v>0</v>
      </c>
      <c r="I30" s="65">
        <f>E30*H30</f>
        <v>0</v>
      </c>
      <c r="J30" s="65">
        <v>0</v>
      </c>
      <c r="K30" s="65">
        <f>E30*J30</f>
        <v>0</v>
      </c>
      <c r="L30" s="66">
        <v>0</v>
      </c>
      <c r="M30" s="66">
        <f>E30*L30</f>
        <v>0</v>
      </c>
      <c r="N30" s="66">
        <f>348.82</f>
        <v>348.82</v>
      </c>
      <c r="O30" s="66">
        <f>E30*N30</f>
        <v>854.32994399999995</v>
      </c>
      <c r="P30" s="53" t="s">
        <v>112</v>
      </c>
      <c r="Q30" s="53"/>
      <c r="R30" s="53" t="s">
        <v>80</v>
      </c>
      <c r="S30" s="53" t="s">
        <v>81</v>
      </c>
      <c r="T30" s="53" t="s">
        <v>82</v>
      </c>
      <c r="U30" s="53"/>
      <c r="V30" s="53"/>
      <c r="W30" s="53"/>
      <c r="X30" s="53"/>
      <c r="Y30" s="53"/>
      <c r="Z30" s="53"/>
      <c r="AA30" s="67">
        <v>19</v>
      </c>
      <c r="AB30" s="53" t="s">
        <v>83</v>
      </c>
    </row>
    <row r="31" spans="1:28">
      <c r="A31">
        <v>11</v>
      </c>
      <c r="B31" s="61" t="s">
        <v>220</v>
      </c>
      <c r="C31" s="62" t="s">
        <v>221</v>
      </c>
      <c r="D31" s="61" t="s">
        <v>86</v>
      </c>
      <c r="E31" s="63">
        <v>4.8983999999999996</v>
      </c>
      <c r="F31" s="64"/>
      <c r="G31" s="64">
        <f>E31*F31</f>
        <v>0</v>
      </c>
      <c r="H31" s="65">
        <v>0</v>
      </c>
      <c r="I31" s="65">
        <f>E31*H31</f>
        <v>0</v>
      </c>
      <c r="J31" s="65">
        <v>0</v>
      </c>
      <c r="K31" s="65">
        <f>E31*J31</f>
        <v>0</v>
      </c>
      <c r="L31" s="66">
        <v>0</v>
      </c>
      <c r="M31" s="66">
        <f>E31*L31</f>
        <v>0</v>
      </c>
      <c r="N31" s="66">
        <f>39.51</f>
        <v>39.51</v>
      </c>
      <c r="O31" s="66">
        <f>E31*N31</f>
        <v>193.53578399999998</v>
      </c>
      <c r="P31" s="53" t="s">
        <v>112</v>
      </c>
      <c r="Q31" s="53"/>
      <c r="R31" s="53" t="s">
        <v>80</v>
      </c>
      <c r="S31" s="53" t="s">
        <v>81</v>
      </c>
      <c r="T31" s="53" t="s">
        <v>82</v>
      </c>
      <c r="U31" s="53"/>
      <c r="V31" s="53"/>
      <c r="W31" s="53"/>
      <c r="X31" s="53"/>
      <c r="Y31" s="53"/>
      <c r="Z31" s="53"/>
      <c r="AA31" s="67">
        <v>19</v>
      </c>
      <c r="AB31" s="53" t="s">
        <v>83</v>
      </c>
    </row>
    <row r="32" spans="1:28" ht="18.75" customHeight="1">
      <c r="A32" s="68" t="s">
        <v>13</v>
      </c>
      <c r="B32" s="60" t="s">
        <v>125</v>
      </c>
      <c r="C32" s="60"/>
      <c r="D32" s="60"/>
      <c r="E32" s="60"/>
      <c r="F32" s="60"/>
      <c r="G32" s="69">
        <f>SUMIF($P:$P,$Q32,G:G)</f>
        <v>0</v>
      </c>
      <c r="H32" s="60"/>
      <c r="I32" s="70">
        <f>SUMIF($P:$P,$Q32,I:I)</f>
        <v>0</v>
      </c>
      <c r="J32" s="60"/>
      <c r="K32" s="70">
        <f>SUMIF($P:$P,$Q32,K:K)</f>
        <v>0</v>
      </c>
      <c r="L32" s="60"/>
      <c r="M32" s="71">
        <f>SUMIF($P:$P,$Q32,M:M)</f>
        <v>0</v>
      </c>
      <c r="N32" s="60"/>
      <c r="O32" s="71">
        <f>SUMIF($P:$P,$Q32,O:O)</f>
        <v>7329.8360470000007</v>
      </c>
      <c r="P32" s="53" t="s">
        <v>13</v>
      </c>
      <c r="Q32" s="53" t="s">
        <v>112</v>
      </c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ht="12.75" customHeight="1"/>
    <row r="34" spans="1:28" ht="18.75" customHeight="1">
      <c r="A34" s="60"/>
      <c r="B34" s="60" t="s">
        <v>126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>
      <c r="A35">
        <v>12</v>
      </c>
      <c r="B35" s="61" t="s">
        <v>351</v>
      </c>
      <c r="C35" s="62" t="s">
        <v>352</v>
      </c>
      <c r="D35" s="61" t="s">
        <v>86</v>
      </c>
      <c r="E35" s="63">
        <v>11.16</v>
      </c>
      <c r="F35" s="64"/>
      <c r="G35" s="64">
        <f t="shared" ref="G35:G41" si="0">E35*F35</f>
        <v>0</v>
      </c>
      <c r="H35" s="65">
        <v>0</v>
      </c>
      <c r="I35" s="65">
        <f t="shared" ref="I35:I41" si="1">E35*H35</f>
        <v>0</v>
      </c>
      <c r="J35" s="65">
        <v>0</v>
      </c>
      <c r="K35" s="65">
        <f t="shared" ref="K35:K41" si="2">E35*J35</f>
        <v>0</v>
      </c>
      <c r="L35" s="66">
        <v>0</v>
      </c>
      <c r="M35" s="66">
        <f t="shared" ref="M35:M41" si="3">E35*L35</f>
        <v>0</v>
      </c>
      <c r="N35" s="66">
        <f>140.88</f>
        <v>140.88</v>
      </c>
      <c r="O35" s="66">
        <f t="shared" ref="O35:O41" si="4">E35*N35</f>
        <v>1572.2208000000001</v>
      </c>
      <c r="P35" s="53" t="s">
        <v>129</v>
      </c>
      <c r="Q35" s="53"/>
      <c r="R35" s="53" t="s">
        <v>80</v>
      </c>
      <c r="S35" s="53" t="s">
        <v>81</v>
      </c>
      <c r="T35" s="53" t="s">
        <v>82</v>
      </c>
      <c r="U35" s="53"/>
      <c r="V35" s="53"/>
      <c r="W35" s="53"/>
      <c r="X35" s="53"/>
      <c r="Y35" s="53"/>
      <c r="Z35" s="53"/>
      <c r="AA35" s="67">
        <v>19</v>
      </c>
      <c r="AB35" s="53" t="s">
        <v>83</v>
      </c>
    </row>
    <row r="36" spans="1:28">
      <c r="A36">
        <v>13</v>
      </c>
      <c r="B36" s="61" t="s">
        <v>222</v>
      </c>
      <c r="C36" s="62" t="s">
        <v>223</v>
      </c>
      <c r="D36" s="61" t="s">
        <v>86</v>
      </c>
      <c r="E36" s="63">
        <v>3.29</v>
      </c>
      <c r="F36" s="64"/>
      <c r="G36" s="64">
        <f t="shared" si="0"/>
        <v>0</v>
      </c>
      <c r="H36" s="65">
        <v>0</v>
      </c>
      <c r="I36" s="65">
        <f t="shared" si="1"/>
        <v>0</v>
      </c>
      <c r="J36" s="65">
        <v>0</v>
      </c>
      <c r="K36" s="65">
        <f t="shared" si="2"/>
        <v>0</v>
      </c>
      <c r="L36" s="66">
        <v>0</v>
      </c>
      <c r="M36" s="66">
        <f t="shared" si="3"/>
        <v>0</v>
      </c>
      <c r="N36" s="66">
        <f>23.12</f>
        <v>23.12</v>
      </c>
      <c r="O36" s="66">
        <f t="shared" si="4"/>
        <v>76.064800000000005</v>
      </c>
      <c r="P36" s="53" t="s">
        <v>129</v>
      </c>
      <c r="Q36" s="53"/>
      <c r="R36" s="53" t="s">
        <v>80</v>
      </c>
      <c r="S36" s="53" t="s">
        <v>81</v>
      </c>
      <c r="T36" s="53" t="s">
        <v>82</v>
      </c>
      <c r="U36" s="53"/>
      <c r="V36" s="53"/>
      <c r="W36" s="53"/>
      <c r="X36" s="53"/>
      <c r="Y36" s="53"/>
      <c r="Z36" s="53"/>
      <c r="AA36" s="67">
        <v>19</v>
      </c>
      <c r="AB36" s="53" t="s">
        <v>83</v>
      </c>
    </row>
    <row r="37" spans="1:28">
      <c r="A37">
        <v>14</v>
      </c>
      <c r="B37" s="61" t="s">
        <v>130</v>
      </c>
      <c r="C37" s="62" t="s">
        <v>131</v>
      </c>
      <c r="D37" s="61" t="s">
        <v>86</v>
      </c>
      <c r="E37" s="63">
        <v>44.173900000000003</v>
      </c>
      <c r="F37" s="64"/>
      <c r="G37" s="64">
        <f t="shared" si="0"/>
        <v>0</v>
      </c>
      <c r="H37" s="65">
        <v>0</v>
      </c>
      <c r="I37" s="65">
        <f t="shared" si="1"/>
        <v>0</v>
      </c>
      <c r="J37" s="65">
        <v>0</v>
      </c>
      <c r="K37" s="65">
        <f t="shared" si="2"/>
        <v>0</v>
      </c>
      <c r="L37" s="66">
        <v>0</v>
      </c>
      <c r="M37" s="66">
        <f t="shared" si="3"/>
        <v>0</v>
      </c>
      <c r="N37" s="66">
        <f>16.13</f>
        <v>16.13</v>
      </c>
      <c r="O37" s="66">
        <f t="shared" si="4"/>
        <v>712.52500699999996</v>
      </c>
      <c r="P37" s="53" t="s">
        <v>129</v>
      </c>
      <c r="Q37" s="53"/>
      <c r="R37" s="53" t="s">
        <v>80</v>
      </c>
      <c r="S37" s="53" t="s">
        <v>81</v>
      </c>
      <c r="T37" s="53" t="s">
        <v>82</v>
      </c>
      <c r="U37" s="53"/>
      <c r="V37" s="53"/>
      <c r="W37" s="53"/>
      <c r="X37" s="53"/>
      <c r="Y37" s="53"/>
      <c r="Z37" s="53"/>
      <c r="AA37" s="67">
        <v>19</v>
      </c>
      <c r="AB37" s="53" t="s">
        <v>83</v>
      </c>
    </row>
    <row r="38" spans="1:28">
      <c r="A38">
        <v>15</v>
      </c>
      <c r="B38" s="61" t="s">
        <v>130</v>
      </c>
      <c r="C38" s="62" t="s">
        <v>131</v>
      </c>
      <c r="D38" s="61" t="s">
        <v>86</v>
      </c>
      <c r="E38" s="63">
        <v>2.4491999999999998</v>
      </c>
      <c r="F38" s="64"/>
      <c r="G38" s="64">
        <f t="shared" si="0"/>
        <v>0</v>
      </c>
      <c r="H38" s="65">
        <v>0</v>
      </c>
      <c r="I38" s="65">
        <f t="shared" si="1"/>
        <v>0</v>
      </c>
      <c r="J38" s="65">
        <v>0</v>
      </c>
      <c r="K38" s="65">
        <f t="shared" si="2"/>
        <v>0</v>
      </c>
      <c r="L38" s="66">
        <v>0</v>
      </c>
      <c r="M38" s="66">
        <f t="shared" si="3"/>
        <v>0</v>
      </c>
      <c r="N38" s="66">
        <f>16.13</f>
        <v>16.13</v>
      </c>
      <c r="O38" s="66">
        <f t="shared" si="4"/>
        <v>39.505595999999997</v>
      </c>
      <c r="P38" s="53" t="s">
        <v>129</v>
      </c>
      <c r="Q38" s="53"/>
      <c r="R38" s="53" t="s">
        <v>80</v>
      </c>
      <c r="S38" s="53" t="s">
        <v>81</v>
      </c>
      <c r="T38" s="53" t="s">
        <v>82</v>
      </c>
      <c r="U38" s="53"/>
      <c r="V38" s="53"/>
      <c r="W38" s="53"/>
      <c r="X38" s="53"/>
      <c r="Y38" s="53"/>
      <c r="Z38" s="53"/>
      <c r="AA38" s="67">
        <v>19</v>
      </c>
      <c r="AB38" s="53" t="s">
        <v>83</v>
      </c>
    </row>
    <row r="39" spans="1:28">
      <c r="A39">
        <v>16</v>
      </c>
      <c r="B39" s="61" t="s">
        <v>224</v>
      </c>
      <c r="C39" s="62" t="s">
        <v>225</v>
      </c>
      <c r="D39" s="61" t="s">
        <v>86</v>
      </c>
      <c r="E39" s="63">
        <v>2.5344000000000002</v>
      </c>
      <c r="F39" s="64"/>
      <c r="G39" s="64">
        <f t="shared" si="0"/>
        <v>0</v>
      </c>
      <c r="H39" s="65">
        <v>0</v>
      </c>
      <c r="I39" s="65">
        <f t="shared" si="1"/>
        <v>0</v>
      </c>
      <c r="J39" s="65">
        <v>0</v>
      </c>
      <c r="K39" s="65">
        <f t="shared" si="2"/>
        <v>0</v>
      </c>
      <c r="L39" s="66">
        <v>0</v>
      </c>
      <c r="M39" s="66">
        <f t="shared" si="3"/>
        <v>0</v>
      </c>
      <c r="N39" s="66">
        <f>67.74</f>
        <v>67.739999999999995</v>
      </c>
      <c r="O39" s="66">
        <f t="shared" si="4"/>
        <v>171.68025600000001</v>
      </c>
      <c r="P39" s="53" t="s">
        <v>129</v>
      </c>
      <c r="Q39" s="53"/>
      <c r="R39" s="53" t="s">
        <v>80</v>
      </c>
      <c r="S39" s="53" t="s">
        <v>81</v>
      </c>
      <c r="T39" s="53" t="s">
        <v>82</v>
      </c>
      <c r="U39" s="53"/>
      <c r="V39" s="53"/>
      <c r="W39" s="53"/>
      <c r="X39" s="53"/>
      <c r="Y39" s="53"/>
      <c r="Z39" s="53"/>
      <c r="AA39" s="67">
        <v>19</v>
      </c>
      <c r="AB39" s="53" t="s">
        <v>83</v>
      </c>
    </row>
    <row r="40" spans="1:28">
      <c r="A40">
        <v>17</v>
      </c>
      <c r="B40" s="61" t="s">
        <v>226</v>
      </c>
      <c r="C40" s="62" t="s">
        <v>227</v>
      </c>
      <c r="D40" s="61" t="s">
        <v>86</v>
      </c>
      <c r="E40" s="63">
        <v>16.5184</v>
      </c>
      <c r="F40" s="64"/>
      <c r="G40" s="64">
        <f t="shared" si="0"/>
        <v>0</v>
      </c>
      <c r="H40" s="65">
        <v>0</v>
      </c>
      <c r="I40" s="65">
        <f t="shared" si="1"/>
        <v>0</v>
      </c>
      <c r="J40" s="65">
        <v>0</v>
      </c>
      <c r="K40" s="65">
        <f t="shared" si="2"/>
        <v>0</v>
      </c>
      <c r="L40" s="66">
        <v>0</v>
      </c>
      <c r="M40" s="66">
        <f t="shared" si="3"/>
        <v>0</v>
      </c>
      <c r="N40" s="66">
        <f>328.34</f>
        <v>328.34</v>
      </c>
      <c r="O40" s="66">
        <f t="shared" si="4"/>
        <v>5423.6514559999996</v>
      </c>
      <c r="P40" s="53" t="s">
        <v>129</v>
      </c>
      <c r="Q40" s="53"/>
      <c r="R40" s="53" t="s">
        <v>80</v>
      </c>
      <c r="S40" s="53" t="s">
        <v>81</v>
      </c>
      <c r="T40" s="53" t="s">
        <v>82</v>
      </c>
      <c r="U40" s="53"/>
      <c r="V40" s="53"/>
      <c r="W40" s="53"/>
      <c r="X40" s="53"/>
      <c r="Y40" s="53"/>
      <c r="Z40" s="53"/>
      <c r="AA40" s="67">
        <v>19</v>
      </c>
      <c r="AB40" s="53" t="s">
        <v>83</v>
      </c>
    </row>
    <row r="41" spans="1:28">
      <c r="A41">
        <v>18</v>
      </c>
      <c r="B41" s="61" t="s">
        <v>228</v>
      </c>
      <c r="C41" s="62" t="s">
        <v>229</v>
      </c>
      <c r="D41" s="61" t="s">
        <v>86</v>
      </c>
      <c r="E41" s="63">
        <v>33.816000000000003</v>
      </c>
      <c r="F41" s="64"/>
      <c r="G41" s="64">
        <f t="shared" si="0"/>
        <v>0</v>
      </c>
      <c r="H41" s="65">
        <v>0</v>
      </c>
      <c r="I41" s="65">
        <f t="shared" si="1"/>
        <v>0</v>
      </c>
      <c r="J41" s="65">
        <v>0</v>
      </c>
      <c r="K41" s="65">
        <f t="shared" si="2"/>
        <v>0</v>
      </c>
      <c r="L41" s="66">
        <v>0</v>
      </c>
      <c r="M41" s="66">
        <f t="shared" si="3"/>
        <v>0</v>
      </c>
      <c r="N41" s="66">
        <f>522.79</f>
        <v>522.79</v>
      </c>
      <c r="O41" s="66">
        <f t="shared" si="4"/>
        <v>17678.666639999999</v>
      </c>
      <c r="P41" s="53" t="s">
        <v>129</v>
      </c>
      <c r="Q41" s="53"/>
      <c r="R41" s="53" t="s">
        <v>80</v>
      </c>
      <c r="S41" s="53" t="s">
        <v>81</v>
      </c>
      <c r="T41" s="53" t="s">
        <v>82</v>
      </c>
      <c r="U41" s="53"/>
      <c r="V41" s="53"/>
      <c r="W41" s="53"/>
      <c r="X41" s="53"/>
      <c r="Y41" s="53"/>
      <c r="Z41" s="53"/>
      <c r="AA41" s="67">
        <v>19</v>
      </c>
      <c r="AB41" s="53" t="s">
        <v>83</v>
      </c>
    </row>
    <row r="42" spans="1:28" ht="18.75" customHeight="1">
      <c r="A42" s="68" t="s">
        <v>13</v>
      </c>
      <c r="B42" s="60" t="s">
        <v>138</v>
      </c>
      <c r="C42" s="60"/>
      <c r="D42" s="60"/>
      <c r="E42" s="60"/>
      <c r="F42" s="60"/>
      <c r="G42" s="69">
        <f>SUMIF($P:$P,$Q42,G:G)</f>
        <v>0</v>
      </c>
      <c r="H42" s="60"/>
      <c r="I42" s="70">
        <f>SUMIF($P:$P,$Q42,I:I)</f>
        <v>0</v>
      </c>
      <c r="J42" s="60"/>
      <c r="K42" s="70">
        <f>SUMIF($P:$P,$Q42,K:K)</f>
        <v>0</v>
      </c>
      <c r="L42" s="60"/>
      <c r="M42" s="71">
        <f>SUMIF($P:$P,$Q42,M:M)</f>
        <v>0</v>
      </c>
      <c r="N42" s="60"/>
      <c r="O42" s="71">
        <f>SUMIF($P:$P,$Q42,O:O)</f>
        <v>25674.314554999997</v>
      </c>
      <c r="P42" s="53" t="s">
        <v>13</v>
      </c>
      <c r="Q42" s="53" t="s">
        <v>129</v>
      </c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1:28" ht="12.75" customHeight="1"/>
    <row r="44" spans="1:28" ht="18.75" customHeight="1">
      <c r="A44" s="60"/>
      <c r="B44" s="60" t="s">
        <v>139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1:28">
      <c r="A45">
        <v>19</v>
      </c>
      <c r="B45" s="61" t="s">
        <v>288</v>
      </c>
      <c r="C45" s="62" t="s">
        <v>289</v>
      </c>
      <c r="D45" s="61" t="s">
        <v>78</v>
      </c>
      <c r="E45" s="63">
        <v>56.351999999999997</v>
      </c>
      <c r="F45" s="64"/>
      <c r="G45" s="64">
        <f>E45*F45</f>
        <v>0</v>
      </c>
      <c r="H45" s="65">
        <v>0</v>
      </c>
      <c r="I45" s="65">
        <f>E45*H45</f>
        <v>0</v>
      </c>
      <c r="J45" s="65">
        <v>0</v>
      </c>
      <c r="K45" s="65">
        <f>E45*J45</f>
        <v>0</v>
      </c>
      <c r="L45" s="66">
        <v>0</v>
      </c>
      <c r="M45" s="66">
        <f>E45*L45</f>
        <v>0</v>
      </c>
      <c r="N45" s="66">
        <f>26.9</f>
        <v>26.9</v>
      </c>
      <c r="O45" s="66">
        <f>E45*N45</f>
        <v>1515.8687999999997</v>
      </c>
      <c r="P45" s="53" t="s">
        <v>142</v>
      </c>
      <c r="Q45" s="53"/>
      <c r="R45" s="53" t="s">
        <v>80</v>
      </c>
      <c r="S45" s="53" t="s">
        <v>81</v>
      </c>
      <c r="T45" s="53" t="s">
        <v>82</v>
      </c>
      <c r="U45" s="53"/>
      <c r="V45" s="53"/>
      <c r="W45" s="53"/>
      <c r="X45" s="53"/>
      <c r="Y45" s="53"/>
      <c r="Z45" s="53"/>
      <c r="AA45" s="67">
        <v>19</v>
      </c>
      <c r="AB45" s="53" t="s">
        <v>83</v>
      </c>
    </row>
    <row r="46" spans="1:28" ht="18.75" customHeight="1">
      <c r="A46" s="68" t="s">
        <v>13</v>
      </c>
      <c r="B46" s="60" t="s">
        <v>153</v>
      </c>
      <c r="C46" s="60"/>
      <c r="D46" s="60"/>
      <c r="E46" s="60"/>
      <c r="F46" s="60"/>
      <c r="G46" s="69">
        <f>SUMIF($P:$P,$Q46,G:G)</f>
        <v>0</v>
      </c>
      <c r="H46" s="60"/>
      <c r="I46" s="70">
        <f>SUMIF($P:$P,$Q46,I:I)</f>
        <v>0</v>
      </c>
      <c r="J46" s="60"/>
      <c r="K46" s="70">
        <f>SUMIF($P:$P,$Q46,K:K)</f>
        <v>0</v>
      </c>
      <c r="L46" s="60"/>
      <c r="M46" s="71">
        <f>SUMIF($P:$P,$Q46,M:M)</f>
        <v>0</v>
      </c>
      <c r="N46" s="60"/>
      <c r="O46" s="71">
        <f>SUMIF($P:$P,$Q46,O:O)</f>
        <v>1515.8687999999997</v>
      </c>
      <c r="P46" s="53" t="s">
        <v>13</v>
      </c>
      <c r="Q46" s="53" t="s">
        <v>142</v>
      </c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1:28" ht="12.75" customHeight="1"/>
    <row r="48" spans="1:28" ht="18.75" customHeight="1">
      <c r="A48" s="60"/>
      <c r="B48" s="60" t="s">
        <v>290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1:28">
      <c r="A49">
        <v>20</v>
      </c>
      <c r="B49" s="61" t="s">
        <v>291</v>
      </c>
      <c r="C49" s="62" t="s">
        <v>292</v>
      </c>
      <c r="D49" s="61" t="s">
        <v>86</v>
      </c>
      <c r="E49" s="63">
        <v>0.49249999999999999</v>
      </c>
      <c r="F49" s="64"/>
      <c r="G49" s="64">
        <f>E49*F49</f>
        <v>0</v>
      </c>
      <c r="H49" s="65">
        <v>0.187</v>
      </c>
      <c r="I49" s="65">
        <f>E49*H49</f>
        <v>9.2097499999999999E-2</v>
      </c>
      <c r="J49" s="65">
        <v>0</v>
      </c>
      <c r="K49" s="65">
        <f>E49*J49</f>
        <v>0</v>
      </c>
      <c r="L49" s="66">
        <v>216.09</v>
      </c>
      <c r="M49" s="66">
        <f>E49*L49</f>
        <v>106.424325</v>
      </c>
      <c r="N49" s="66">
        <f>5333.56</f>
        <v>5333.56</v>
      </c>
      <c r="O49" s="66">
        <f>E49*N49</f>
        <v>2626.7782999999999</v>
      </c>
      <c r="P49" s="53" t="s">
        <v>293</v>
      </c>
      <c r="Q49" s="53"/>
      <c r="R49" s="53" t="s">
        <v>80</v>
      </c>
      <c r="S49" s="53" t="s">
        <v>81</v>
      </c>
      <c r="T49" s="53" t="s">
        <v>82</v>
      </c>
      <c r="U49" s="53"/>
      <c r="V49" s="53"/>
      <c r="W49" s="53"/>
      <c r="X49" s="53"/>
      <c r="Y49" s="53"/>
      <c r="Z49" s="53"/>
      <c r="AA49" s="67">
        <v>19</v>
      </c>
      <c r="AB49" s="53" t="s">
        <v>83</v>
      </c>
    </row>
    <row r="50" spans="1:28">
      <c r="A50">
        <v>21</v>
      </c>
      <c r="B50" s="61" t="s">
        <v>294</v>
      </c>
      <c r="C50" s="62" t="s">
        <v>295</v>
      </c>
      <c r="D50" s="61" t="s">
        <v>86</v>
      </c>
      <c r="E50" s="63">
        <v>1.8297000000000001</v>
      </c>
      <c r="F50" s="64"/>
      <c r="G50" s="64">
        <f>E50*F50</f>
        <v>0</v>
      </c>
      <c r="H50" s="65">
        <v>2.8530000000000002</v>
      </c>
      <c r="I50" s="65">
        <f>E50*H50</f>
        <v>5.220134100000001</v>
      </c>
      <c r="J50" s="65">
        <v>0</v>
      </c>
      <c r="K50" s="65">
        <f>E50*J50</f>
        <v>0</v>
      </c>
      <c r="L50" s="66">
        <v>3416.3</v>
      </c>
      <c r="M50" s="66">
        <f>E50*L50</f>
        <v>6250.8041100000009</v>
      </c>
      <c r="N50" s="66">
        <f>1253.24</f>
        <v>1253.24</v>
      </c>
      <c r="O50" s="66">
        <f>E50*N50</f>
        <v>2293.0532280000002</v>
      </c>
      <c r="P50" s="53" t="s">
        <v>293</v>
      </c>
      <c r="Q50" s="53"/>
      <c r="R50" s="53" t="s">
        <v>80</v>
      </c>
      <c r="S50" s="53" t="s">
        <v>81</v>
      </c>
      <c r="T50" s="53" t="s">
        <v>82</v>
      </c>
      <c r="U50" s="53"/>
      <c r="V50" s="53"/>
      <c r="W50" s="53"/>
      <c r="X50" s="53"/>
      <c r="Y50" s="53"/>
      <c r="Z50" s="53"/>
      <c r="AA50" s="67">
        <v>19</v>
      </c>
      <c r="AB50" s="53" t="s">
        <v>83</v>
      </c>
    </row>
    <row r="51" spans="1:28">
      <c r="A51">
        <v>22</v>
      </c>
      <c r="B51" s="61" t="s">
        <v>296</v>
      </c>
      <c r="C51" s="62" t="s">
        <v>297</v>
      </c>
      <c r="D51" s="61" t="s">
        <v>78</v>
      </c>
      <c r="E51" s="63">
        <v>2.9969999999999999</v>
      </c>
      <c r="F51" s="64"/>
      <c r="G51" s="64">
        <f>E51*F51</f>
        <v>0</v>
      </c>
      <c r="H51" s="65">
        <v>1.4449999999999999E-2</v>
      </c>
      <c r="I51" s="65">
        <f>E51*H51</f>
        <v>4.3306649999999995E-2</v>
      </c>
      <c r="J51" s="65">
        <v>0</v>
      </c>
      <c r="K51" s="65">
        <f>E51*J51</f>
        <v>0</v>
      </c>
      <c r="L51" s="66">
        <v>177.31</v>
      </c>
      <c r="M51" s="66">
        <f>E51*L51</f>
        <v>531.39806999999996</v>
      </c>
      <c r="N51" s="66">
        <f>613.58</f>
        <v>613.58000000000004</v>
      </c>
      <c r="O51" s="66">
        <f>E51*N51</f>
        <v>1838.8992600000001</v>
      </c>
      <c r="P51" s="53" t="s">
        <v>293</v>
      </c>
      <c r="Q51" s="53"/>
      <c r="R51" s="53" t="s">
        <v>80</v>
      </c>
      <c r="S51" s="53" t="s">
        <v>81</v>
      </c>
      <c r="T51" s="53" t="s">
        <v>82</v>
      </c>
      <c r="U51" s="53"/>
      <c r="V51" s="53"/>
      <c r="W51" s="53"/>
      <c r="X51" s="53"/>
      <c r="Y51" s="53"/>
      <c r="Z51" s="53"/>
      <c r="AA51" s="67">
        <v>19</v>
      </c>
      <c r="AB51" s="53" t="s">
        <v>83</v>
      </c>
    </row>
    <row r="52" spans="1:28">
      <c r="A52">
        <v>23</v>
      </c>
      <c r="B52" s="61" t="s">
        <v>298</v>
      </c>
      <c r="C52" s="62" t="s">
        <v>299</v>
      </c>
      <c r="D52" s="61" t="s">
        <v>78</v>
      </c>
      <c r="E52" s="63">
        <v>2.9969999999999999</v>
      </c>
      <c r="F52" s="64"/>
      <c r="G52" s="64">
        <f>E52*F52</f>
        <v>0</v>
      </c>
      <c r="H52" s="65">
        <v>1E-3</v>
      </c>
      <c r="I52" s="65">
        <f>E52*H52</f>
        <v>2.9970000000000001E-3</v>
      </c>
      <c r="J52" s="65">
        <v>0</v>
      </c>
      <c r="K52" s="65">
        <f>E52*J52</f>
        <v>0</v>
      </c>
      <c r="L52" s="66">
        <v>44.38</v>
      </c>
      <c r="M52" s="66">
        <f>E52*L52</f>
        <v>133.00685999999999</v>
      </c>
      <c r="N52" s="66">
        <f>165.05</f>
        <v>165.05</v>
      </c>
      <c r="O52" s="66">
        <f>E52*N52</f>
        <v>494.65485000000001</v>
      </c>
      <c r="P52" s="53" t="s">
        <v>293</v>
      </c>
      <c r="Q52" s="53"/>
      <c r="R52" s="53" t="s">
        <v>80</v>
      </c>
      <c r="S52" s="53" t="s">
        <v>81</v>
      </c>
      <c r="T52" s="53" t="s">
        <v>82</v>
      </c>
      <c r="U52" s="53"/>
      <c r="V52" s="53"/>
      <c r="W52" s="53"/>
      <c r="X52" s="53"/>
      <c r="Y52" s="53"/>
      <c r="Z52" s="53"/>
      <c r="AA52" s="67">
        <v>19</v>
      </c>
      <c r="AB52" s="53" t="s">
        <v>83</v>
      </c>
    </row>
    <row r="53" spans="1:28">
      <c r="A53">
        <v>24</v>
      </c>
      <c r="B53" s="61" t="s">
        <v>300</v>
      </c>
      <c r="C53" s="62" t="s">
        <v>301</v>
      </c>
      <c r="D53" s="61" t="s">
        <v>137</v>
      </c>
      <c r="E53" s="63">
        <v>4.4053799999999997E-2</v>
      </c>
      <c r="F53" s="64"/>
      <c r="G53" s="64">
        <f>E53*F53</f>
        <v>0</v>
      </c>
      <c r="H53" s="65">
        <v>1.0583110200000001</v>
      </c>
      <c r="I53" s="65">
        <f>E53*H53</f>
        <v>4.6622622012876001E-2</v>
      </c>
      <c r="J53" s="65">
        <v>0</v>
      </c>
      <c r="K53" s="65">
        <f>E53*J53</f>
        <v>0</v>
      </c>
      <c r="L53" s="66">
        <v>30604.432550000001</v>
      </c>
      <c r="M53" s="66">
        <f>E53*L53</f>
        <v>1348.24155067119</v>
      </c>
      <c r="N53" s="66">
        <f>9640.722664</f>
        <v>9640.7226640000008</v>
      </c>
      <c r="O53" s="66">
        <f>E53*N53</f>
        <v>424.71046809532322</v>
      </c>
      <c r="P53" s="53" t="s">
        <v>293</v>
      </c>
      <c r="Q53" s="53"/>
      <c r="R53" s="53" t="s">
        <v>80</v>
      </c>
      <c r="S53" s="53" t="s">
        <v>302</v>
      </c>
      <c r="T53" s="53" t="s">
        <v>303</v>
      </c>
      <c r="U53" s="53"/>
      <c r="V53" s="53"/>
      <c r="W53" s="53"/>
      <c r="X53" s="53"/>
      <c r="Y53" s="53"/>
      <c r="Z53" s="53"/>
      <c r="AA53" s="67">
        <v>19</v>
      </c>
      <c r="AB53" s="53" t="s">
        <v>83</v>
      </c>
    </row>
    <row r="54" spans="1:28" ht="18.75" customHeight="1">
      <c r="A54" s="68" t="s">
        <v>13</v>
      </c>
      <c r="B54" s="60" t="s">
        <v>304</v>
      </c>
      <c r="C54" s="60"/>
      <c r="D54" s="60"/>
      <c r="E54" s="60"/>
      <c r="F54" s="60"/>
      <c r="G54" s="69">
        <f>SUMIF($P:$P,$Q54,G:G)</f>
        <v>0</v>
      </c>
      <c r="H54" s="60"/>
      <c r="I54" s="70">
        <f>SUMIF($P:$P,$Q54,I:I)</f>
        <v>5.405157872012877</v>
      </c>
      <c r="J54" s="60"/>
      <c r="K54" s="70">
        <f>SUMIF($P:$P,$Q54,K:K)</f>
        <v>0</v>
      </c>
      <c r="L54" s="60"/>
      <c r="M54" s="71">
        <f>SUMIF($P:$P,$Q54,M:M)</f>
        <v>8369.874915671191</v>
      </c>
      <c r="N54" s="60"/>
      <c r="O54" s="71">
        <f>SUMIF($P:$P,$Q54,O:O)</f>
        <v>7678.0961060953241</v>
      </c>
      <c r="P54" s="53" t="s">
        <v>13</v>
      </c>
      <c r="Q54" s="53" t="s">
        <v>293</v>
      </c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t="12.75" customHeight="1"/>
    <row r="56" spans="1:28" ht="18.75" customHeight="1">
      <c r="A56" s="60"/>
      <c r="B56" s="60" t="s">
        <v>154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1:28">
      <c r="A57">
        <v>25</v>
      </c>
      <c r="B57" s="61" t="s">
        <v>353</v>
      </c>
      <c r="C57" s="62" t="s">
        <v>354</v>
      </c>
      <c r="D57" s="61" t="s">
        <v>78</v>
      </c>
      <c r="E57" s="63">
        <v>28.04</v>
      </c>
      <c r="F57" s="64"/>
      <c r="G57" s="64">
        <f>E57*F57</f>
        <v>0</v>
      </c>
      <c r="H57" s="65">
        <v>0.36499999999999999</v>
      </c>
      <c r="I57" s="65">
        <f>E57*H57</f>
        <v>10.234599999999999</v>
      </c>
      <c r="J57" s="65">
        <v>0</v>
      </c>
      <c r="K57" s="65">
        <f>E57*J57</f>
        <v>0</v>
      </c>
      <c r="L57" s="66">
        <v>424.35</v>
      </c>
      <c r="M57" s="66">
        <f>E57*L57</f>
        <v>11898.773999999999</v>
      </c>
      <c r="N57" s="66">
        <f>76.86</f>
        <v>76.86</v>
      </c>
      <c r="O57" s="66">
        <f>E57*N57</f>
        <v>2155.1543999999999</v>
      </c>
      <c r="P57" s="53" t="s">
        <v>157</v>
      </c>
      <c r="Q57" s="53"/>
      <c r="R57" s="53" t="s">
        <v>80</v>
      </c>
      <c r="S57" s="53" t="s">
        <v>81</v>
      </c>
      <c r="T57" s="53" t="s">
        <v>82</v>
      </c>
      <c r="U57" s="53"/>
      <c r="V57" s="53"/>
      <c r="W57" s="53"/>
      <c r="X57" s="53"/>
      <c r="Y57" s="53"/>
      <c r="Z57" s="53"/>
      <c r="AA57" s="67">
        <v>19</v>
      </c>
      <c r="AB57" s="53" t="s">
        <v>83</v>
      </c>
    </row>
    <row r="58" spans="1:28">
      <c r="A58">
        <v>26</v>
      </c>
      <c r="B58" s="61" t="s">
        <v>232</v>
      </c>
      <c r="C58" s="62" t="s">
        <v>233</v>
      </c>
      <c r="D58" s="61" t="s">
        <v>86</v>
      </c>
      <c r="E58" s="63">
        <v>2.0415999999999999</v>
      </c>
      <c r="F58" s="64"/>
      <c r="G58" s="64">
        <f>E58*F58</f>
        <v>0</v>
      </c>
      <c r="H58" s="65">
        <v>2.355</v>
      </c>
      <c r="I58" s="65">
        <f>E58*H58</f>
        <v>4.8079679999999998</v>
      </c>
      <c r="J58" s="65">
        <v>0</v>
      </c>
      <c r="K58" s="65">
        <f>E58*J58</f>
        <v>0</v>
      </c>
      <c r="L58" s="66">
        <v>2381</v>
      </c>
      <c r="M58" s="66">
        <f>E58*L58</f>
        <v>4861.0495999999994</v>
      </c>
      <c r="N58" s="66">
        <f>384.09</f>
        <v>384.09</v>
      </c>
      <c r="O58" s="66">
        <f>E58*N58</f>
        <v>784.15814399999988</v>
      </c>
      <c r="P58" s="53" t="s">
        <v>157</v>
      </c>
      <c r="Q58" s="53"/>
      <c r="R58" s="53" t="s">
        <v>80</v>
      </c>
      <c r="S58" s="53" t="s">
        <v>81</v>
      </c>
      <c r="T58" s="53" t="s">
        <v>82</v>
      </c>
      <c r="U58" s="53"/>
      <c r="V58" s="53"/>
      <c r="W58" s="53"/>
      <c r="X58" s="53"/>
      <c r="Y58" s="53"/>
      <c r="Z58" s="53"/>
      <c r="AA58" s="67">
        <v>19</v>
      </c>
      <c r="AB58" s="53" t="s">
        <v>83</v>
      </c>
    </row>
    <row r="59" spans="1:28">
      <c r="A59">
        <v>27</v>
      </c>
      <c r="B59" s="61" t="s">
        <v>162</v>
      </c>
      <c r="C59" s="62" t="s">
        <v>163</v>
      </c>
      <c r="D59" s="61" t="s">
        <v>86</v>
      </c>
      <c r="E59" s="63">
        <v>1.7622</v>
      </c>
      <c r="F59" s="64"/>
      <c r="G59" s="64">
        <f>E59*F59</f>
        <v>0</v>
      </c>
      <c r="H59" s="65">
        <v>2.4870000000000001</v>
      </c>
      <c r="I59" s="65">
        <f>E59*H59</f>
        <v>4.3825913999999999</v>
      </c>
      <c r="J59" s="65">
        <v>0</v>
      </c>
      <c r="K59" s="65">
        <f>E59*J59</f>
        <v>0</v>
      </c>
      <c r="L59" s="66">
        <v>2981.03</v>
      </c>
      <c r="M59" s="66">
        <f>E59*L59</f>
        <v>5253.1710659999999</v>
      </c>
      <c r="N59" s="66">
        <f>562.32</f>
        <v>562.32000000000005</v>
      </c>
      <c r="O59" s="66">
        <f>E59*N59</f>
        <v>990.9203040000001</v>
      </c>
      <c r="P59" s="53" t="s">
        <v>157</v>
      </c>
      <c r="Q59" s="53"/>
      <c r="R59" s="53" t="s">
        <v>80</v>
      </c>
      <c r="S59" s="53" t="s">
        <v>81</v>
      </c>
      <c r="T59" s="53" t="s">
        <v>82</v>
      </c>
      <c r="U59" s="53"/>
      <c r="V59" s="53"/>
      <c r="W59" s="53"/>
      <c r="X59" s="53"/>
      <c r="Y59" s="53"/>
      <c r="Z59" s="53"/>
      <c r="AA59" s="67">
        <v>19</v>
      </c>
      <c r="AB59" s="53" t="s">
        <v>83</v>
      </c>
    </row>
    <row r="60" spans="1:28" ht="18.75" customHeight="1">
      <c r="A60" s="68" t="s">
        <v>13</v>
      </c>
      <c r="B60" s="60" t="s">
        <v>164</v>
      </c>
      <c r="C60" s="60"/>
      <c r="D60" s="60"/>
      <c r="E60" s="60"/>
      <c r="F60" s="60"/>
      <c r="G60" s="69">
        <f>SUMIF($P:$P,$Q60,G:G)</f>
        <v>0</v>
      </c>
      <c r="H60" s="60"/>
      <c r="I60" s="70">
        <f>SUMIF($P:$P,$Q60,I:I)</f>
        <v>19.425159399999998</v>
      </c>
      <c r="J60" s="60"/>
      <c r="K60" s="70">
        <f>SUMIF($P:$P,$Q60,K:K)</f>
        <v>0</v>
      </c>
      <c r="L60" s="60"/>
      <c r="M60" s="71">
        <f>SUMIF($P:$P,$Q60,M:M)</f>
        <v>22012.994665999999</v>
      </c>
      <c r="N60" s="60"/>
      <c r="O60" s="71">
        <f>SUMIF($P:$P,$Q60,O:O)</f>
        <v>3930.2328480000001</v>
      </c>
      <c r="P60" s="53" t="s">
        <v>13</v>
      </c>
      <c r="Q60" s="53" t="s">
        <v>157</v>
      </c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1:28" ht="12.75" customHeight="1"/>
    <row r="62" spans="1:28" ht="18.75" customHeight="1">
      <c r="A62" s="60"/>
      <c r="B62" s="60" t="s">
        <v>165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1:28">
      <c r="A63">
        <v>28</v>
      </c>
      <c r="B63" s="61" t="s">
        <v>355</v>
      </c>
      <c r="C63" s="62" t="s">
        <v>356</v>
      </c>
      <c r="D63" s="61" t="s">
        <v>78</v>
      </c>
      <c r="E63" s="63">
        <v>28.04</v>
      </c>
      <c r="F63" s="64"/>
      <c r="G63" s="64">
        <f>E63*F63</f>
        <v>0</v>
      </c>
      <c r="H63" s="65">
        <v>0.40300000000000002</v>
      </c>
      <c r="I63" s="65">
        <f>E63*H63</f>
        <v>11.30012</v>
      </c>
      <c r="J63" s="65">
        <v>0</v>
      </c>
      <c r="K63" s="65">
        <f>E63*J63</f>
        <v>0</v>
      </c>
      <c r="L63" s="66">
        <v>461.2</v>
      </c>
      <c r="M63" s="66">
        <f>E63*L63</f>
        <v>12932.047999999999</v>
      </c>
      <c r="N63" s="66">
        <f>425.19</f>
        <v>425.19</v>
      </c>
      <c r="O63" s="66">
        <f>E63*N63</f>
        <v>11922.327599999999</v>
      </c>
      <c r="P63" s="53" t="s">
        <v>168</v>
      </c>
      <c r="Q63" s="53"/>
      <c r="R63" s="53" t="s">
        <v>80</v>
      </c>
      <c r="S63" s="53" t="s">
        <v>81</v>
      </c>
      <c r="T63" s="53" t="s">
        <v>82</v>
      </c>
      <c r="U63" s="53"/>
      <c r="V63" s="53"/>
      <c r="W63" s="53"/>
      <c r="X63" s="53"/>
      <c r="Y63" s="53"/>
      <c r="Z63" s="53"/>
      <c r="AA63" s="67">
        <v>19</v>
      </c>
      <c r="AB63" s="53" t="s">
        <v>83</v>
      </c>
    </row>
    <row r="64" spans="1:28" ht="18.75" customHeight="1">
      <c r="A64" s="68" t="s">
        <v>13</v>
      </c>
      <c r="B64" s="60" t="s">
        <v>171</v>
      </c>
      <c r="C64" s="60"/>
      <c r="D64" s="60"/>
      <c r="E64" s="60"/>
      <c r="F64" s="60"/>
      <c r="G64" s="69">
        <f>SUMIF($P:$P,$Q64,G:G)</f>
        <v>0</v>
      </c>
      <c r="H64" s="60"/>
      <c r="I64" s="70">
        <f>SUMIF($P:$P,$Q64,I:I)</f>
        <v>11.30012</v>
      </c>
      <c r="J64" s="60"/>
      <c r="K64" s="70">
        <f>SUMIF($P:$P,$Q64,K:K)</f>
        <v>0</v>
      </c>
      <c r="L64" s="60"/>
      <c r="M64" s="71">
        <f>SUMIF($P:$P,$Q64,M:M)</f>
        <v>12932.047999999999</v>
      </c>
      <c r="N64" s="60"/>
      <c r="O64" s="71">
        <f>SUMIF($P:$P,$Q64,O:O)</f>
        <v>11922.327599999999</v>
      </c>
      <c r="P64" s="53" t="s">
        <v>13</v>
      </c>
      <c r="Q64" s="53" t="s">
        <v>168</v>
      </c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 ht="12.75" customHeight="1"/>
    <row r="66" spans="1:28" ht="18.75" customHeight="1">
      <c r="A66" s="60"/>
      <c r="B66" s="60" t="s">
        <v>323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1:28">
      <c r="A67">
        <v>29</v>
      </c>
      <c r="B67" s="61" t="s">
        <v>324</v>
      </c>
      <c r="C67" s="62" t="s">
        <v>325</v>
      </c>
      <c r="D67" s="61" t="s">
        <v>78</v>
      </c>
      <c r="E67" s="63">
        <v>44</v>
      </c>
      <c r="F67" s="64"/>
      <c r="G67" s="64">
        <f>E67*F67</f>
        <v>0</v>
      </c>
      <c r="H67" s="65">
        <v>0.53386</v>
      </c>
      <c r="I67" s="65">
        <f>E67*H67</f>
        <v>23.489840000000001</v>
      </c>
      <c r="J67" s="65">
        <v>0</v>
      </c>
      <c r="K67" s="65">
        <f>E67*J67</f>
        <v>0</v>
      </c>
      <c r="L67" s="66">
        <v>226.67</v>
      </c>
      <c r="M67" s="66">
        <f>E67*L67</f>
        <v>9973.48</v>
      </c>
      <c r="N67" s="66">
        <f>46.52</f>
        <v>46.52</v>
      </c>
      <c r="O67" s="66">
        <f>E67*N67</f>
        <v>2046.88</v>
      </c>
      <c r="P67" s="53" t="s">
        <v>326</v>
      </c>
      <c r="Q67" s="53"/>
      <c r="R67" s="53" t="s">
        <v>80</v>
      </c>
      <c r="S67" s="53" t="s">
        <v>81</v>
      </c>
      <c r="T67" s="53" t="s">
        <v>82</v>
      </c>
      <c r="U67" s="53"/>
      <c r="V67" s="53"/>
      <c r="W67" s="53"/>
      <c r="X67" s="53"/>
      <c r="Y67" s="53"/>
      <c r="Z67" s="53"/>
      <c r="AA67" s="67">
        <v>19</v>
      </c>
      <c r="AB67" s="53" t="s">
        <v>83</v>
      </c>
    </row>
    <row r="68" spans="1:28" ht="18.75" customHeight="1">
      <c r="A68" s="68" t="s">
        <v>13</v>
      </c>
      <c r="B68" s="60" t="s">
        <v>327</v>
      </c>
      <c r="C68" s="60"/>
      <c r="D68" s="60"/>
      <c r="E68" s="60"/>
      <c r="F68" s="60"/>
      <c r="G68" s="69">
        <f>SUMIF($P:$P,$Q68,G:G)</f>
        <v>0</v>
      </c>
      <c r="H68" s="60"/>
      <c r="I68" s="70">
        <f>SUMIF($P:$P,$Q68,I:I)</f>
        <v>23.489840000000001</v>
      </c>
      <c r="J68" s="60"/>
      <c r="K68" s="70">
        <f>SUMIF($P:$P,$Q68,K:K)</f>
        <v>0</v>
      </c>
      <c r="L68" s="60"/>
      <c r="M68" s="71">
        <f>SUMIF($P:$P,$Q68,M:M)</f>
        <v>9973.48</v>
      </c>
      <c r="N68" s="60"/>
      <c r="O68" s="71">
        <f>SUMIF($P:$P,$Q68,O:O)</f>
        <v>2046.88</v>
      </c>
      <c r="P68" s="53" t="s">
        <v>13</v>
      </c>
      <c r="Q68" s="53" t="s">
        <v>326</v>
      </c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ht="12.75" customHeight="1"/>
    <row r="70" spans="1:28" ht="18.75" customHeight="1">
      <c r="A70" s="60"/>
      <c r="B70" s="60" t="s">
        <v>254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1:28">
      <c r="A71">
        <v>30</v>
      </c>
      <c r="B71" s="61" t="s">
        <v>305</v>
      </c>
      <c r="C71" s="62" t="s">
        <v>306</v>
      </c>
      <c r="D71" s="61" t="s">
        <v>86</v>
      </c>
      <c r="E71" s="63">
        <v>12.560499999999999</v>
      </c>
      <c r="F71" s="64"/>
      <c r="G71" s="64">
        <f>E71*F71</f>
        <v>0</v>
      </c>
      <c r="H71" s="65">
        <v>2.5390000000000001</v>
      </c>
      <c r="I71" s="65">
        <f>E71*H71</f>
        <v>31.891109499999999</v>
      </c>
      <c r="J71" s="65">
        <v>0</v>
      </c>
      <c r="K71" s="65">
        <f>E71*J71</f>
        <v>0</v>
      </c>
      <c r="L71" s="66">
        <v>2436.98</v>
      </c>
      <c r="M71" s="66">
        <f>E71*L71</f>
        <v>30609.687289999998</v>
      </c>
      <c r="N71" s="66">
        <f>394.43</f>
        <v>394.43</v>
      </c>
      <c r="O71" s="66">
        <f>E71*N71</f>
        <v>4954.2380149999999</v>
      </c>
      <c r="P71" s="53" t="s">
        <v>257</v>
      </c>
      <c r="Q71" s="53"/>
      <c r="R71" s="53" t="s">
        <v>80</v>
      </c>
      <c r="S71" s="53" t="s">
        <v>81</v>
      </c>
      <c r="T71" s="53" t="s">
        <v>82</v>
      </c>
      <c r="U71" s="53"/>
      <c r="V71" s="53"/>
      <c r="W71" s="53"/>
      <c r="X71" s="53"/>
      <c r="Y71" s="53"/>
      <c r="Z71" s="53"/>
      <c r="AA71" s="67">
        <v>19</v>
      </c>
      <c r="AB71" s="53" t="s">
        <v>83</v>
      </c>
    </row>
    <row r="72" spans="1:28">
      <c r="A72">
        <v>31</v>
      </c>
      <c r="B72" s="61" t="s">
        <v>357</v>
      </c>
      <c r="C72" s="62" t="s">
        <v>358</v>
      </c>
      <c r="D72" s="61" t="s">
        <v>246</v>
      </c>
      <c r="E72" s="63">
        <v>12.6</v>
      </c>
      <c r="F72" s="64"/>
      <c r="G72" s="64">
        <f>E72*F72</f>
        <v>0</v>
      </c>
      <c r="H72" s="65">
        <v>1.696</v>
      </c>
      <c r="I72" s="65">
        <f>E72*H72</f>
        <v>21.369599999999998</v>
      </c>
      <c r="J72" s="65">
        <v>0</v>
      </c>
      <c r="K72" s="65">
        <f>E72*J72</f>
        <v>0</v>
      </c>
      <c r="L72" s="66">
        <v>2173.06</v>
      </c>
      <c r="M72" s="66">
        <f>E72*L72</f>
        <v>27380.555999999997</v>
      </c>
      <c r="N72" s="66">
        <f>821.61</f>
        <v>821.61</v>
      </c>
      <c r="O72" s="66">
        <f>E72*N72</f>
        <v>10352.286</v>
      </c>
      <c r="P72" s="53" t="s">
        <v>257</v>
      </c>
      <c r="Q72" s="53"/>
      <c r="R72" s="53" t="s">
        <v>80</v>
      </c>
      <c r="S72" s="53" t="s">
        <v>81</v>
      </c>
      <c r="T72" s="53" t="s">
        <v>82</v>
      </c>
      <c r="U72" s="53"/>
      <c r="V72" s="53"/>
      <c r="W72" s="53"/>
      <c r="X72" s="53"/>
      <c r="Y72" s="53"/>
      <c r="Z72" s="53"/>
      <c r="AA72" s="67">
        <v>19</v>
      </c>
      <c r="AB72" s="53" t="s">
        <v>83</v>
      </c>
    </row>
    <row r="73" spans="1:28">
      <c r="A73">
        <v>32</v>
      </c>
      <c r="B73" s="61" t="s">
        <v>359</v>
      </c>
      <c r="C73" s="62" t="s">
        <v>360</v>
      </c>
      <c r="D73" s="61" t="s">
        <v>240</v>
      </c>
      <c r="E73" s="63">
        <v>5</v>
      </c>
      <c r="F73" s="64"/>
      <c r="G73" s="64">
        <f>E73*F73</f>
        <v>0</v>
      </c>
      <c r="H73" s="65">
        <v>2.4950000000000001</v>
      </c>
      <c r="I73" s="65">
        <f>E73*H73</f>
        <v>12.475000000000001</v>
      </c>
      <c r="J73" s="65">
        <v>0</v>
      </c>
      <c r="K73" s="65">
        <f>E73*J73</f>
        <v>0</v>
      </c>
      <c r="L73" s="66">
        <v>10422.4</v>
      </c>
      <c r="M73" s="66">
        <f>E73*L73</f>
        <v>52112</v>
      </c>
      <c r="N73" s="66">
        <f>312.672</f>
        <v>312.67200000000003</v>
      </c>
      <c r="O73" s="66">
        <f>E73*N73</f>
        <v>1563.3600000000001</v>
      </c>
      <c r="P73" s="53" t="s">
        <v>257</v>
      </c>
      <c r="Q73" s="53"/>
      <c r="R73" s="53" t="s">
        <v>80</v>
      </c>
      <c r="S73" s="53" t="s">
        <v>258</v>
      </c>
      <c r="T73" s="53" t="s">
        <v>259</v>
      </c>
      <c r="U73" s="53"/>
      <c r="V73" s="53"/>
      <c r="W73" s="53"/>
      <c r="X73" s="53"/>
      <c r="Y73" s="53"/>
      <c r="Z73" s="53"/>
      <c r="AA73" s="67">
        <v>19</v>
      </c>
      <c r="AB73" s="53" t="s">
        <v>152</v>
      </c>
    </row>
    <row r="74" spans="1:28" ht="18.75" customHeight="1">
      <c r="A74" s="68" t="s">
        <v>13</v>
      </c>
      <c r="B74" s="60" t="s">
        <v>262</v>
      </c>
      <c r="C74" s="60"/>
      <c r="D74" s="60"/>
      <c r="E74" s="60"/>
      <c r="F74" s="60"/>
      <c r="G74" s="69">
        <f>SUMIF($P:$P,$Q74,G:G)</f>
        <v>0</v>
      </c>
      <c r="H74" s="60"/>
      <c r="I74" s="70">
        <f>SUMIF($P:$P,$Q74,I:I)</f>
        <v>65.735709499999999</v>
      </c>
      <c r="J74" s="60"/>
      <c r="K74" s="70">
        <f>SUMIF($P:$P,$Q74,K:K)</f>
        <v>0</v>
      </c>
      <c r="L74" s="60"/>
      <c r="M74" s="71">
        <f>SUMIF($P:$P,$Q74,M:M)</f>
        <v>110102.24329</v>
      </c>
      <c r="N74" s="60"/>
      <c r="O74" s="71">
        <f>SUMIF($P:$P,$Q74,O:O)</f>
        <v>16869.884015</v>
      </c>
      <c r="P74" s="53" t="s">
        <v>13</v>
      </c>
      <c r="Q74" s="53" t="s">
        <v>257</v>
      </c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spans="1:28" ht="12.75" customHeight="1"/>
    <row r="76" spans="1:28" ht="18.75" customHeight="1">
      <c r="A76" s="60"/>
      <c r="B76" s="60" t="s">
        <v>172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>
      <c r="A77">
        <v>33</v>
      </c>
      <c r="B77" s="61" t="s">
        <v>173</v>
      </c>
      <c r="C77" s="62" t="s">
        <v>174</v>
      </c>
      <c r="D77" s="61" t="s">
        <v>137</v>
      </c>
      <c r="E77" s="63">
        <f>Z77*IF(V77="cenik_cast",IF(U77="hmoty",SUMIF(T:T,Y77,I:I),IF(U77="cena_hmot",SUMIF(T:T,Y77,M:M)/1000,SUMIF(T:T,Y77,G:G)/1000)),IF(V77="cenik",IF(U77="hmoty",SUMIF(S:S,X77,I:I),IF(U77="cena_hmot",SUMIF(S:S,X77,M:M)/1000,SUMIF(S:S,X77,G:G)/1000)),IF(U77="hmoty",SUMIF(R:R,W77,I:I),IF(U77="cena_hmot",SUMIF(R:R,W77,M:M)/1000,SUMIF(R:R,W77,G:G)/1000))))</f>
        <v>125.44087519601285</v>
      </c>
      <c r="F77" s="64"/>
      <c r="G77" s="64">
        <f>E77*F77</f>
        <v>0</v>
      </c>
      <c r="H77" s="65">
        <v>0</v>
      </c>
      <c r="I77" s="65">
        <f>E77*H77</f>
        <v>0</v>
      </c>
      <c r="J77" s="65">
        <v>0</v>
      </c>
      <c r="K77" s="65">
        <f>E77*J77</f>
        <v>0</v>
      </c>
      <c r="L77" s="66">
        <v>0</v>
      </c>
      <c r="M77" s="66">
        <f>E77*L77</f>
        <v>0</v>
      </c>
      <c r="N77" s="66">
        <f>185.19</f>
        <v>185.19</v>
      </c>
      <c r="O77" s="66">
        <f>E77*N77</f>
        <v>23230.395677549619</v>
      </c>
      <c r="P77" s="53" t="s">
        <v>175</v>
      </c>
      <c r="Q77" s="53"/>
      <c r="R77" s="53"/>
      <c r="S77" s="53"/>
      <c r="T77" s="53"/>
      <c r="U77" s="53" t="s">
        <v>176</v>
      </c>
      <c r="V77" s="53" t="s">
        <v>263</v>
      </c>
      <c r="W77" s="53" t="s">
        <v>80</v>
      </c>
      <c r="X77" s="53" t="s">
        <v>302</v>
      </c>
      <c r="Y77" s="53" t="s">
        <v>303</v>
      </c>
      <c r="Z77" s="54">
        <v>1</v>
      </c>
      <c r="AA77" s="67">
        <v>19</v>
      </c>
      <c r="AB77" s="53" t="s">
        <v>83</v>
      </c>
    </row>
    <row r="78" spans="1:28" ht="18.75" customHeight="1">
      <c r="A78" s="68" t="s">
        <v>13</v>
      </c>
      <c r="B78" s="60" t="s">
        <v>178</v>
      </c>
      <c r="C78" s="60"/>
      <c r="D78" s="60"/>
      <c r="E78" s="60"/>
      <c r="F78" s="60"/>
      <c r="G78" s="69">
        <f>SUMIF($P:$P,$Q78,G:G)</f>
        <v>0</v>
      </c>
      <c r="H78" s="60"/>
      <c r="I78" s="70">
        <f>SUMIF($P:$P,$Q78,I:I)</f>
        <v>0</v>
      </c>
      <c r="J78" s="60"/>
      <c r="K78" s="70">
        <f>SUMIF($P:$P,$Q78,K:K)</f>
        <v>0</v>
      </c>
      <c r="L78" s="60"/>
      <c r="M78" s="71">
        <f>SUMIF($P:$P,$Q78,M:M)</f>
        <v>0</v>
      </c>
      <c r="N78" s="60"/>
      <c r="O78" s="71">
        <f>SUMIF($P:$P,$Q78,O:O)</f>
        <v>23230.395677549619</v>
      </c>
      <c r="P78" s="53" t="s">
        <v>13</v>
      </c>
      <c r="Q78" s="53" t="s">
        <v>175</v>
      </c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spans="1:28" ht="12.75" customHeight="1" thickBot="1"/>
    <row r="80" spans="1:28" ht="18.75" customHeight="1">
      <c r="A80" s="72" t="s">
        <v>13</v>
      </c>
      <c r="B80" s="73"/>
      <c r="C80" s="73"/>
      <c r="D80" s="73"/>
      <c r="E80" s="73"/>
      <c r="F80" s="73"/>
      <c r="G80" s="74">
        <f>SUMIF($P:$P,"S",G:G)</f>
        <v>0</v>
      </c>
      <c r="H80" s="73"/>
      <c r="I80" s="75">
        <f>SUMIF($P:$P,"S",I:I)</f>
        <v>125.44087519601288</v>
      </c>
      <c r="J80" s="73"/>
      <c r="K80" s="75">
        <f>SUMIF($P:$P,"S",K:K)</f>
        <v>0</v>
      </c>
      <c r="L80" s="73"/>
      <c r="M80" s="76">
        <f>SUMIF($P:$P,"S",M:M)</f>
        <v>164412.67935567116</v>
      </c>
      <c r="N80" s="73"/>
      <c r="O80" s="76">
        <f>SUMIF($P:$P,"S",O:O)</f>
        <v>154754.84066264494</v>
      </c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3" spans="1:5" ht="18.75" customHeight="1" thickBot="1">
      <c r="A83" s="77" t="s">
        <v>179</v>
      </c>
      <c r="B83" s="77"/>
      <c r="C83" s="77"/>
      <c r="D83" s="77"/>
      <c r="E83" s="77"/>
    </row>
    <row r="84" spans="1:5">
      <c r="B84" s="61" t="s">
        <v>182</v>
      </c>
      <c r="C84" s="78" t="s">
        <v>183</v>
      </c>
      <c r="D84" s="78"/>
      <c r="E84" s="64">
        <f>$G$15</f>
        <v>0</v>
      </c>
    </row>
    <row r="85" spans="1:5">
      <c r="B85" s="61" t="s">
        <v>184</v>
      </c>
      <c r="C85" s="79" t="s">
        <v>185</v>
      </c>
      <c r="D85" s="79"/>
      <c r="E85" s="64">
        <f>$G$19</f>
        <v>0</v>
      </c>
    </row>
    <row r="86" spans="1:5">
      <c r="B86" s="61" t="s">
        <v>264</v>
      </c>
      <c r="C86" s="79" t="s">
        <v>265</v>
      </c>
      <c r="D86" s="79"/>
      <c r="E86" s="64">
        <f>$G$26</f>
        <v>0</v>
      </c>
    </row>
    <row r="87" spans="1:5">
      <c r="B87" s="61" t="s">
        <v>186</v>
      </c>
      <c r="C87" s="79" t="s">
        <v>187</v>
      </c>
      <c r="D87" s="79"/>
      <c r="E87" s="64">
        <f>$G$32</f>
        <v>0</v>
      </c>
    </row>
    <row r="88" spans="1:5">
      <c r="B88" s="61" t="s">
        <v>188</v>
      </c>
      <c r="C88" s="79" t="s">
        <v>189</v>
      </c>
      <c r="D88" s="79"/>
      <c r="E88" s="64">
        <f>$G$42</f>
        <v>0</v>
      </c>
    </row>
    <row r="89" spans="1:5">
      <c r="B89" s="61" t="s">
        <v>190</v>
      </c>
      <c r="C89" s="79" t="s">
        <v>191</v>
      </c>
      <c r="D89" s="79"/>
      <c r="E89" s="64">
        <f>$G$46</f>
        <v>0</v>
      </c>
    </row>
    <row r="90" spans="1:5">
      <c r="B90" s="61" t="s">
        <v>311</v>
      </c>
      <c r="C90" s="79" t="s">
        <v>312</v>
      </c>
      <c r="D90" s="79"/>
      <c r="E90" s="64">
        <f>$G$54</f>
        <v>0</v>
      </c>
    </row>
    <row r="91" spans="1:5">
      <c r="B91" s="61" t="s">
        <v>192</v>
      </c>
      <c r="C91" s="79" t="s">
        <v>193</v>
      </c>
      <c r="D91" s="79"/>
      <c r="E91" s="64">
        <f>$G$60</f>
        <v>0</v>
      </c>
    </row>
    <row r="92" spans="1:5">
      <c r="B92" s="61" t="s">
        <v>194</v>
      </c>
      <c r="C92" s="79" t="s">
        <v>195</v>
      </c>
      <c r="D92" s="79"/>
      <c r="E92" s="64">
        <f>$G$64</f>
        <v>0</v>
      </c>
    </row>
    <row r="93" spans="1:5">
      <c r="B93" s="61" t="s">
        <v>336</v>
      </c>
      <c r="C93" s="79" t="s">
        <v>337</v>
      </c>
      <c r="D93" s="79"/>
      <c r="E93" s="64">
        <f>$G$68</f>
        <v>0</v>
      </c>
    </row>
    <row r="94" spans="1:5">
      <c r="B94" s="61" t="s">
        <v>268</v>
      </c>
      <c r="C94" s="79" t="s">
        <v>269</v>
      </c>
      <c r="D94" s="79"/>
      <c r="E94" s="64">
        <f>$G$74</f>
        <v>0</v>
      </c>
    </row>
    <row r="95" spans="1:5" ht="13.5" customHeight="1" thickBot="1">
      <c r="B95" s="61" t="s">
        <v>196</v>
      </c>
      <c r="C95" s="79" t="s">
        <v>197</v>
      </c>
      <c r="D95" s="79"/>
      <c r="E95" s="64">
        <f>$G$78</f>
        <v>0</v>
      </c>
    </row>
    <row r="96" spans="1:5" ht="18.75" customHeight="1">
      <c r="A96" s="72" t="s">
        <v>13</v>
      </c>
      <c r="B96" s="73"/>
      <c r="C96" s="73"/>
      <c r="D96" s="73"/>
      <c r="E96" s="74">
        <f>SUM($E$84:$E$95)</f>
        <v>0</v>
      </c>
    </row>
  </sheetData>
  <mergeCells count="30"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H8:I8"/>
    <mergeCell ref="J8:K8"/>
    <mergeCell ref="L8:M8"/>
    <mergeCell ref="N8:O8"/>
    <mergeCell ref="P8:AB8"/>
    <mergeCell ref="A83:E83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Normal="100" zoomScaleSheetLayoutView="100" workbookViewId="0">
      <selection activeCell="F12" sqref="F12:F13"/>
    </sheetView>
  </sheetViews>
  <sheetFormatPr defaultRowHeight="12.75"/>
  <cols>
    <col min="1" max="1" width="5.7109375" customWidth="1"/>
    <col min="2" max="2" width="14.7109375" customWidth="1"/>
    <col min="3" max="3" width="80.7109375" customWidth="1"/>
    <col min="4" max="4" width="8.5703125" customWidth="1"/>
    <col min="5" max="15" width="17.140625" customWidth="1"/>
    <col min="16" max="28" width="9.140625" hidden="1" customWidth="1"/>
  </cols>
  <sheetData>
    <row r="1" spans="1:28" ht="18.75" customHeight="1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3" t="s">
        <v>40</v>
      </c>
      <c r="Q1" s="54">
        <f>SUMIF($AB:$AB,"sp",$G:$G)</f>
        <v>0</v>
      </c>
      <c r="R1" s="54">
        <f>SUMIF($AB:$AB,"spec",$G:$G)</f>
        <v>0</v>
      </c>
      <c r="S1" s="54">
        <f>SUMIF($AB:$AB,"str",$G:$G)</f>
        <v>0</v>
      </c>
      <c r="T1" s="54">
        <f>SUMIF($AB:$AB,"hzs",$G:$G)</f>
        <v>0</v>
      </c>
      <c r="U1" s="54">
        <f>SUMIF($AB:$AB,"ost",$G:$G)</f>
        <v>0</v>
      </c>
      <c r="V1" s="53" t="s">
        <v>41</v>
      </c>
      <c r="W1" s="54">
        <f>SUMIF($AA:$AA,19,$G:$G)</f>
        <v>0</v>
      </c>
      <c r="X1" s="54">
        <f>SUMIF($AA:$AA,-1,$G:$G)</f>
        <v>0</v>
      </c>
      <c r="Y1" s="54">
        <f>SUMIF($AA:$AA,-1,$G:$G)</f>
        <v>0</v>
      </c>
      <c r="Z1" s="54">
        <f>SUMIF($AA:$AA,-1,$G:$G)</f>
        <v>0</v>
      </c>
    </row>
    <row r="2" spans="1:28" ht="12.75" customHeight="1">
      <c r="B2" s="3" t="s">
        <v>42</v>
      </c>
      <c r="C2" s="31" t="s">
        <v>43</v>
      </c>
      <c r="D2" s="32"/>
      <c r="E2" s="32"/>
      <c r="F2" s="32"/>
      <c r="G2" s="32"/>
    </row>
    <row r="3" spans="1:28" ht="12.75" customHeight="1">
      <c r="B3" s="3" t="s">
        <v>44</v>
      </c>
      <c r="C3" s="33" t="s">
        <v>7</v>
      </c>
      <c r="D3" s="34"/>
      <c r="E3" s="34"/>
      <c r="F3" s="34"/>
      <c r="G3" s="34"/>
      <c r="P3" s="53"/>
      <c r="Q3" s="54">
        <f>Q$1</f>
        <v>0</v>
      </c>
      <c r="R3" s="54">
        <f>R$1</f>
        <v>0</v>
      </c>
      <c r="S3" s="54">
        <f>S$1</f>
        <v>0</v>
      </c>
      <c r="T3" s="54">
        <f>T$1</f>
        <v>0</v>
      </c>
      <c r="U3" s="54">
        <f>U$1</f>
        <v>0</v>
      </c>
      <c r="V3" s="53"/>
      <c r="W3" s="54">
        <f>W$1</f>
        <v>0</v>
      </c>
      <c r="X3" s="54">
        <f>X$1</f>
        <v>0</v>
      </c>
      <c r="Y3" s="54">
        <f>Y$1</f>
        <v>0</v>
      </c>
      <c r="Z3" s="54">
        <f>Z$1</f>
        <v>0</v>
      </c>
    </row>
    <row r="4" spans="1:28" ht="12.75" customHeight="1">
      <c r="B4" s="3" t="s">
        <v>45</v>
      </c>
      <c r="C4" s="33" t="s">
        <v>338</v>
      </c>
      <c r="D4" s="34"/>
      <c r="E4" s="34"/>
      <c r="F4" s="34"/>
      <c r="G4" s="34"/>
    </row>
    <row r="5" spans="1:28" ht="12.75" customHeight="1">
      <c r="B5" s="3" t="s">
        <v>46</v>
      </c>
      <c r="C5" s="33" t="s">
        <v>342</v>
      </c>
      <c r="D5" s="34"/>
      <c r="E5" s="34"/>
      <c r="F5" s="34"/>
      <c r="G5" s="34"/>
    </row>
    <row r="6" spans="1:28" ht="12.75" customHeight="1">
      <c r="B6" s="3" t="s">
        <v>48</v>
      </c>
      <c r="C6" s="33" t="s">
        <v>27</v>
      </c>
      <c r="D6" s="34"/>
      <c r="E6" s="34"/>
      <c r="F6" s="34"/>
      <c r="G6" s="34"/>
    </row>
    <row r="8" spans="1:28" ht="11.25" customHeight="1" thickBot="1">
      <c r="A8" s="56" t="s">
        <v>49</v>
      </c>
      <c r="B8" s="56" t="s">
        <v>50</v>
      </c>
      <c r="C8" s="56" t="s">
        <v>51</v>
      </c>
      <c r="D8" s="56" t="s">
        <v>52</v>
      </c>
      <c r="E8" s="56" t="s">
        <v>53</v>
      </c>
      <c r="F8" s="57" t="s">
        <v>54</v>
      </c>
      <c r="G8" s="57"/>
      <c r="H8" s="57" t="s">
        <v>55</v>
      </c>
      <c r="I8" s="57"/>
      <c r="J8" s="57" t="s">
        <v>56</v>
      </c>
      <c r="K8" s="57"/>
      <c r="L8" s="57" t="s">
        <v>57</v>
      </c>
      <c r="M8" s="57"/>
      <c r="N8" s="57" t="s">
        <v>58</v>
      </c>
      <c r="O8" s="57"/>
      <c r="P8" s="59" t="s">
        <v>59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8" ht="11.25" customHeight="1" thickBot="1">
      <c r="A9" s="56"/>
      <c r="B9" s="56"/>
      <c r="C9" s="56"/>
      <c r="D9" s="56"/>
      <c r="E9" s="56"/>
      <c r="F9" s="55" t="s">
        <v>60</v>
      </c>
      <c r="G9" s="55" t="s">
        <v>61</v>
      </c>
      <c r="H9" s="55" t="s">
        <v>60</v>
      </c>
      <c r="I9" s="55" t="s">
        <v>61</v>
      </c>
      <c r="J9" s="55" t="s">
        <v>60</v>
      </c>
      <c r="K9" s="55" t="s">
        <v>61</v>
      </c>
      <c r="L9" s="55" t="s">
        <v>60</v>
      </c>
      <c r="M9" s="55" t="s">
        <v>61</v>
      </c>
      <c r="N9" s="55" t="s">
        <v>60</v>
      </c>
      <c r="O9" s="55" t="s">
        <v>61</v>
      </c>
      <c r="P9" s="58" t="s">
        <v>62</v>
      </c>
      <c r="Q9" s="58" t="s">
        <v>63</v>
      </c>
      <c r="R9" s="58" t="s">
        <v>64</v>
      </c>
      <c r="S9" s="58" t="s">
        <v>65</v>
      </c>
      <c r="T9" s="58" t="s">
        <v>66</v>
      </c>
      <c r="U9" s="58" t="s">
        <v>67</v>
      </c>
      <c r="V9" s="58" t="s">
        <v>68</v>
      </c>
      <c r="W9" s="58" t="s">
        <v>69</v>
      </c>
      <c r="X9" s="58" t="s">
        <v>70</v>
      </c>
      <c r="Y9" s="58" t="s">
        <v>71</v>
      </c>
      <c r="Z9" s="58" t="s">
        <v>72</v>
      </c>
      <c r="AA9" s="58" t="s">
        <v>73</v>
      </c>
      <c r="AB9" s="58" t="s">
        <v>74</v>
      </c>
    </row>
    <row r="10" spans="1:28" ht="12.75" customHeight="1"/>
    <row r="11" spans="1:28" ht="18.75" customHeight="1">
      <c r="A11" s="60"/>
      <c r="B11" s="60" t="s">
        <v>270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</row>
    <row r="12" spans="1:28">
      <c r="A12">
        <v>1</v>
      </c>
      <c r="B12" s="61" t="s">
        <v>313</v>
      </c>
      <c r="C12" s="62" t="s">
        <v>314</v>
      </c>
      <c r="D12" s="61" t="s">
        <v>246</v>
      </c>
      <c r="E12" s="63">
        <v>10</v>
      </c>
      <c r="F12" s="64"/>
      <c r="G12" s="64">
        <f>E12*F12</f>
        <v>0</v>
      </c>
      <c r="H12" s="65">
        <v>6.0000000000000002E-5</v>
      </c>
      <c r="I12" s="65">
        <f>E12*H12</f>
        <v>6.0000000000000006E-4</v>
      </c>
      <c r="J12" s="65">
        <v>0</v>
      </c>
      <c r="K12" s="65">
        <f>E12*J12</f>
        <v>0</v>
      </c>
      <c r="L12" s="66">
        <v>5.93</v>
      </c>
      <c r="M12" s="66">
        <f>E12*L12</f>
        <v>59.3</v>
      </c>
      <c r="N12" s="66">
        <f>159.13</f>
        <v>159.13</v>
      </c>
      <c r="O12" s="66">
        <f>E12*N12</f>
        <v>1591.3</v>
      </c>
      <c r="P12" s="53" t="s">
        <v>273</v>
      </c>
      <c r="Q12" s="53"/>
      <c r="R12" s="53" t="s">
        <v>274</v>
      </c>
      <c r="S12" s="53" t="s">
        <v>275</v>
      </c>
      <c r="T12" s="53" t="s">
        <v>276</v>
      </c>
      <c r="U12" s="53"/>
      <c r="V12" s="53"/>
      <c r="W12" s="53"/>
      <c r="X12" s="53"/>
      <c r="Y12" s="53"/>
      <c r="Z12" s="53"/>
      <c r="AA12" s="67">
        <v>19</v>
      </c>
      <c r="AB12" s="53" t="s">
        <v>83</v>
      </c>
    </row>
    <row r="13" spans="1:28" ht="25.5" customHeight="1">
      <c r="A13">
        <v>2</v>
      </c>
      <c r="B13" s="61" t="s">
        <v>315</v>
      </c>
      <c r="C13" s="62" t="s">
        <v>316</v>
      </c>
      <c r="D13" s="61" t="s">
        <v>317</v>
      </c>
      <c r="E13" s="63">
        <v>1</v>
      </c>
      <c r="F13" s="64"/>
      <c r="G13" s="64">
        <f>E13*F13</f>
        <v>0</v>
      </c>
      <c r="H13" s="65">
        <v>0</v>
      </c>
      <c r="I13" s="65">
        <f>E13*H13</f>
        <v>0</v>
      </c>
      <c r="J13" s="65">
        <v>0</v>
      </c>
      <c r="K13" s="65">
        <f>E13*J13</f>
        <v>0</v>
      </c>
      <c r="L13" s="66">
        <v>14300</v>
      </c>
      <c r="M13" s="66">
        <f>E13*L13</f>
        <v>14300</v>
      </c>
      <c r="N13" s="66">
        <f>0</f>
        <v>0</v>
      </c>
      <c r="O13" s="66">
        <f>E13*N13</f>
        <v>0</v>
      </c>
      <c r="P13" s="53" t="s">
        <v>273</v>
      </c>
      <c r="Q13" s="53"/>
      <c r="R13" s="53" t="s">
        <v>274</v>
      </c>
      <c r="S13" s="53" t="s">
        <v>279</v>
      </c>
      <c r="T13" s="53" t="s">
        <v>280</v>
      </c>
      <c r="U13" s="53"/>
      <c r="V13" s="53"/>
      <c r="W13" s="53"/>
      <c r="X13" s="53"/>
      <c r="Y13" s="53"/>
      <c r="Z13" s="53"/>
      <c r="AA13" s="67">
        <v>19</v>
      </c>
      <c r="AB13" s="53" t="s">
        <v>152</v>
      </c>
    </row>
    <row r="14" spans="1:28" ht="18.75" customHeight="1">
      <c r="A14" s="68" t="s">
        <v>13</v>
      </c>
      <c r="B14" s="60" t="s">
        <v>282</v>
      </c>
      <c r="C14" s="60"/>
      <c r="D14" s="60"/>
      <c r="E14" s="60"/>
      <c r="F14" s="60"/>
      <c r="G14" s="69">
        <f>SUMIF($P:$P,$Q14,G:G)</f>
        <v>0</v>
      </c>
      <c r="H14" s="60"/>
      <c r="I14" s="70">
        <f>SUMIF($P:$P,$Q14,I:I)</f>
        <v>6.0000000000000006E-4</v>
      </c>
      <c r="J14" s="60"/>
      <c r="K14" s="70">
        <f>SUMIF($P:$P,$Q14,K:K)</f>
        <v>0</v>
      </c>
      <c r="L14" s="60"/>
      <c r="M14" s="71">
        <f>SUMIF($P:$P,$Q14,M:M)</f>
        <v>14359.3</v>
      </c>
      <c r="N14" s="60"/>
      <c r="O14" s="71">
        <f>SUMIF($P:$P,$Q14,O:O)</f>
        <v>1591.3</v>
      </c>
      <c r="P14" s="53" t="s">
        <v>13</v>
      </c>
      <c r="Q14" s="53" t="s">
        <v>273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</row>
    <row r="15" spans="1:28" ht="12.75" customHeight="1" thickBot="1"/>
    <row r="16" spans="1:28" ht="18.75" customHeight="1">
      <c r="A16" s="72" t="s">
        <v>13</v>
      </c>
      <c r="B16" s="73"/>
      <c r="C16" s="73"/>
      <c r="D16" s="73"/>
      <c r="E16" s="73"/>
      <c r="F16" s="73"/>
      <c r="G16" s="74">
        <f>SUMIF($P:$P,"S",G:G)</f>
        <v>0</v>
      </c>
      <c r="H16" s="73"/>
      <c r="I16" s="75">
        <f>SUMIF($P:$P,"S",I:I)</f>
        <v>6.0000000000000006E-4</v>
      </c>
      <c r="J16" s="73"/>
      <c r="K16" s="75">
        <f>SUMIF($P:$P,"S",K:K)</f>
        <v>0</v>
      </c>
      <c r="L16" s="73"/>
      <c r="M16" s="76">
        <f>SUMIF($P:$P,"S",M:M)</f>
        <v>14359.3</v>
      </c>
      <c r="N16" s="73"/>
      <c r="O16" s="76">
        <f>SUMIF($P:$P,"S",O:O)</f>
        <v>1591.3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9" spans="1:5" ht="18.75" customHeight="1" thickBot="1">
      <c r="A19" s="77" t="s">
        <v>179</v>
      </c>
      <c r="B19" s="77"/>
      <c r="C19" s="77"/>
      <c r="D19" s="77"/>
      <c r="E19" s="77"/>
    </row>
    <row r="20" spans="1:5" ht="13.5" customHeight="1" thickBot="1">
      <c r="B20" s="61" t="s">
        <v>283</v>
      </c>
      <c r="C20" s="78" t="s">
        <v>284</v>
      </c>
      <c r="D20" s="78"/>
      <c r="E20" s="64">
        <f>$G$14</f>
        <v>0</v>
      </c>
    </row>
    <row r="21" spans="1:5" ht="18.75" customHeight="1">
      <c r="A21" s="72" t="s">
        <v>13</v>
      </c>
      <c r="B21" s="73"/>
      <c r="C21" s="73"/>
      <c r="D21" s="73"/>
      <c r="E21" s="74">
        <f>SUM($E$20:$E$20)</f>
        <v>0</v>
      </c>
    </row>
  </sheetData>
  <mergeCells count="19">
    <mergeCell ref="C20:D20"/>
    <mergeCell ref="H8:I8"/>
    <mergeCell ref="J8:K8"/>
    <mergeCell ref="L8:M8"/>
    <mergeCell ref="N8:O8"/>
    <mergeCell ref="P8:AB8"/>
    <mergeCell ref="A19:E19"/>
    <mergeCell ref="A8:A9"/>
    <mergeCell ref="B8:B9"/>
    <mergeCell ref="C8:C9"/>
    <mergeCell ref="D8:D9"/>
    <mergeCell ref="E8:E9"/>
    <mergeCell ref="F8:G8"/>
    <mergeCell ref="A1:O1"/>
    <mergeCell ref="C2:G2"/>
    <mergeCell ref="C3:G3"/>
    <mergeCell ref="C4:G4"/>
    <mergeCell ref="C5:G5"/>
    <mergeCell ref="C6:G6"/>
  </mergeCells>
  <pageMargins left="0.78740157499999996" right="0.59" top="0.984251969" bottom="0.984251969" header="0.4921259845" footer="0.4921259845"/>
  <pageSetup paperSize="9" scale="8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15</vt:i4>
      </vt:variant>
    </vt:vector>
  </HeadingPairs>
  <TitlesOfParts>
    <vt:vector size="30" baseType="lpstr">
      <vt:lpstr>Z KPU 072_78 RTS</vt:lpstr>
      <vt:lpstr>KPU 072_78 RTS_SO_021</vt:lpstr>
      <vt:lpstr>KPU 072_78 RTS_SO_021_čás_1-HSV</vt:lpstr>
      <vt:lpstr>KPU 072_78 RTS_SO_021_čás_2-HSV</vt:lpstr>
      <vt:lpstr>KPU 072_78 RTS_SO_021_čás_2-PSV</vt:lpstr>
      <vt:lpstr>KPU 072_78 RTS_SO_021_čás_3-HSV</vt:lpstr>
      <vt:lpstr>KPU 072_78 RTS_SO_021_čás_3-PSV</vt:lpstr>
      <vt:lpstr>KPU 072_78 RTS_SO_022</vt:lpstr>
      <vt:lpstr>KPU 072_78 RTS_SO_022_čás_4-HSV</vt:lpstr>
      <vt:lpstr>KPU 072_78 RTS_SO_022_čás_5-HSV</vt:lpstr>
      <vt:lpstr>KPU 072_78 RTS_SO_022_čás_5-PSV</vt:lpstr>
      <vt:lpstr>KPU 072_78 RTS_SO_023</vt:lpstr>
      <vt:lpstr>KPU 072_78 RTS_SO_023_čás_6-HSV</vt:lpstr>
      <vt:lpstr>KPU 072_78 RTS_SO_023_čás_7-HSV</vt:lpstr>
      <vt:lpstr>KPU 072_78 RTS_SO_023_čás_7-PSV</vt:lpstr>
      <vt:lpstr>'KPU 072_78 RTS_SO_021'!Oblast_tisku</vt:lpstr>
      <vt:lpstr>'KPU 072_78 RTS_SO_021_čás_1-HSV'!Oblast_tisku</vt:lpstr>
      <vt:lpstr>'KPU 072_78 RTS_SO_021_čás_2-HSV'!Oblast_tisku</vt:lpstr>
      <vt:lpstr>'KPU 072_78 RTS_SO_021_čás_2-PSV'!Oblast_tisku</vt:lpstr>
      <vt:lpstr>'KPU 072_78 RTS_SO_021_čás_3-HSV'!Oblast_tisku</vt:lpstr>
      <vt:lpstr>'KPU 072_78 RTS_SO_021_čás_3-PSV'!Oblast_tisku</vt:lpstr>
      <vt:lpstr>'KPU 072_78 RTS_SO_022'!Oblast_tisku</vt:lpstr>
      <vt:lpstr>'KPU 072_78 RTS_SO_022_čás_4-HSV'!Oblast_tisku</vt:lpstr>
      <vt:lpstr>'KPU 072_78 RTS_SO_022_čás_5-HSV'!Oblast_tisku</vt:lpstr>
      <vt:lpstr>'KPU 072_78 RTS_SO_022_čás_5-PSV'!Oblast_tisku</vt:lpstr>
      <vt:lpstr>'KPU 072_78 RTS_SO_023'!Oblast_tisku</vt:lpstr>
      <vt:lpstr>'KPU 072_78 RTS_SO_023_čás_6-HSV'!Oblast_tisku</vt:lpstr>
      <vt:lpstr>'KPU 072_78 RTS_SO_023_čás_7-HSV'!Oblast_tisku</vt:lpstr>
      <vt:lpstr>'KPU 072_78 RTS_SO_023_čás_7-PSV'!Oblast_tisku</vt:lpstr>
      <vt:lpstr>'Z KPU 072_78 RTS'!Oblast_tisku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Miroslava Lopraisová</cp:lastModifiedBy>
  <dcterms:created xsi:type="dcterms:W3CDTF">2010-01-30T20:14:57Z</dcterms:created>
  <dcterms:modified xsi:type="dcterms:W3CDTF">2012-10-08T13:46:10Z</dcterms:modified>
</cp:coreProperties>
</file>