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<sst xmlns="http://schemas.openxmlformats.org/spreadsheetml/2006/main" count="657" uniqueCount="268">
  <si>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</si>
  <si>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</si>
  <si>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</si>
  <si>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</si>
  <si>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</si>
  <si>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</si>
  <si>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</si>
  <si>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</si>
  <si>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</si>
  <si>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</si>
  <si>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</si>
  <si>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</si>
  <si>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</si>
  <si>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</si>
  <si>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</si>
  <si>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</si>
  <si>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</si>
  <si>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</si>
  <si>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</si>
  <si>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</si>
  <si>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</si>
  <si>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</si>
  <si>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</si>
  <si>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</si>
  <si>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</si>
  <si>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</si>
  <si>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</si>
  <si>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</si>
  <si>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</si>
  <si>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</si>
  <si>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</si>
  <si>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</si>
  <si>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</si>
  <si>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</si>
  <si>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</si>
  <si>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</si>
  <si>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</si>
  <si>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</si>
  <si>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</si>
  <si>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</si>
  <si>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</si>
  <si>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</si>
  <si>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</si>
  <si>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</si>
  <si>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</si>
  <si>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</si>
  <si>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Poznámka:</t>
  </si>
  <si>
    <t>Součástí položek uvedených ve výkazu výměr jsou veškeré s nimi spojené práce, které jsou zapotřebí pro provedení kompletní dodávky díla. A to i když nejsou zvlášt uvedeny ve výkazu výměr.To znamená, že veškeré položky patrné z výkazu,výkresů a tech.zpráv je třeba v nabídkové ceně doplnit a ocenit jako kompletně vykonané práce včetně materiálů,nářadí a strojů nutných k práci i když tyto nejsou ve výkazu výměr vypsány zvlášt. V případě, že má zhotovitel pochyby ohledně plánovaných položek ve výkazech,výkresech a tech.zpráv,má za povinost toto zdělit před odevzdáním nabídkové ceny. Zdělení před ukončením výběrového řízení se také týká správnosti výkazů (výpočtů) a všech součástí PD a rozpočtu. Při zpravování nabídky je nutno studovat výkaz výměr společně s PD. Po odevzdání nebude brán na zhotovitelem požadované položky na víc zřetel. Předkládaný materiál k ocenění je pouze výkazem výměr. Nabídková cena musí obsahovat veškeré položky nutné k dokončení díla-t.j. např. kompletní zařízení staveniště a režie výstavby v četně všech poplatků,přesun hmot,lešení,ochrana proti hluku a prašnosti,dodavatelská dokumentace pro výrobní přípravu stavby,náklady na požadavky DOSS jako např. pasportizace okolních staveb a chodníku,úklid stavby atd... U specifikací materiálů není-li uvedeno jinak je nutná konzultace s investorem-zohlednění jeko konkrétních požadavků.</t>
  </si>
  <si>
    <t>Kód</t>
  </si>
  <si>
    <t>139601102R00</t>
  </si>
  <si>
    <t>161101501R00</t>
  </si>
  <si>
    <t>162201203R00</t>
  </si>
  <si>
    <t>162701105R00</t>
  </si>
  <si>
    <t>167101201R00</t>
  </si>
  <si>
    <t>184807111R00</t>
  </si>
  <si>
    <t>184807112R00</t>
  </si>
  <si>
    <t>183101314R00</t>
  </si>
  <si>
    <t>184102211R00</t>
  </si>
  <si>
    <t>02652499</t>
  </si>
  <si>
    <t>184801121R00</t>
  </si>
  <si>
    <t>275313711R00</t>
  </si>
  <si>
    <t>311321825R00</t>
  </si>
  <si>
    <t>Varianta:</t>
  </si>
  <si>
    <t>317941121RU3</t>
  </si>
  <si>
    <t>767</t>
  </si>
  <si>
    <t>767vlastní/atip</t>
  </si>
  <si>
    <t>767995101R00</t>
  </si>
  <si>
    <t>783</t>
  </si>
  <si>
    <t>783 vlastní</t>
  </si>
  <si>
    <t>90</t>
  </si>
  <si>
    <t>900      R04</t>
  </si>
  <si>
    <t>95</t>
  </si>
  <si>
    <t>953981103R00</t>
  </si>
  <si>
    <t>31171700.A</t>
  </si>
  <si>
    <t>952 vlastní</t>
  </si>
  <si>
    <t>96</t>
  </si>
  <si>
    <t>965 vlastní</t>
  </si>
  <si>
    <t>H23</t>
  </si>
  <si>
    <t>998235011R00</t>
  </si>
  <si>
    <t>0</t>
  </si>
  <si>
    <t>VON 100</t>
  </si>
  <si>
    <t>NZM-vyrovnávací rampa</t>
  </si>
  <si>
    <t>novostavba, stavební část</t>
  </si>
  <si>
    <t>Kostelní 44, Praha 7</t>
  </si>
  <si>
    <t>Zkrácený popis / Varianta</t>
  </si>
  <si>
    <t>Rozměry</t>
  </si>
  <si>
    <t>Hloubené vykopávky</t>
  </si>
  <si>
    <t>Ruční výkop jam, rýh a šachet v hornině tř. 3</t>
  </si>
  <si>
    <t>Přemístění výkopku</t>
  </si>
  <si>
    <t>Svislé přemístění výkopku z hor. 1-4 ruční</t>
  </si>
  <si>
    <t>Vodorovné přemíst.výkopku, kolečko hor.1-4, do 10m</t>
  </si>
  <si>
    <t>Vodorovné přemístění výkopku z hor.1-4 do 10000 m</t>
  </si>
  <si>
    <t>Nakládání výkopku z hor.1 ÷ 4 - ručně</t>
  </si>
  <si>
    <t>Povrchové úpravy terénu</t>
  </si>
  <si>
    <t>Ochrana stromu bedněním - zřízení</t>
  </si>
  <si>
    <t>Ochrana stromu bedněním - odstranění</t>
  </si>
  <si>
    <t>Hloub. jamek s výměnou 100% půdy do 0,125 m3, 1:5</t>
  </si>
  <si>
    <t>Výsadba keře bez balu výšky do 1 m, v rovině</t>
  </si>
  <si>
    <t>Ošetřování vysazených dřevin soliterních, v rovině</t>
  </si>
  <si>
    <t>Základy</t>
  </si>
  <si>
    <t>Beton základových patek prostý C 25/30</t>
  </si>
  <si>
    <t>Železobeton nadzákladových zdí pohledový C 25/30</t>
  </si>
  <si>
    <t>horní hrana patek</t>
  </si>
  <si>
    <t>Zdi podpěrné a volné</t>
  </si>
  <si>
    <t>Osazení ocelových válcovaných nosníků do č.12</t>
  </si>
  <si>
    <t>Včetně dodávky profilu UPE č.12</t>
  </si>
  <si>
    <t>Konstrukce doplňkové stavební (zámečnické)</t>
  </si>
  <si>
    <t>Dodávka a montáž rampy</t>
  </si>
  <si>
    <t>Rampa je navržena ze tří spojených polích, samonosných, z ocelových rámů spojených svařováním do
statického celku, každý díl má svoji podporu. Rámy z ocelových prvků UPE 80-120mm, svařeno a opatřeno
základním antikorozním nátěrem a finálním nátěrem (např. polyuretanová barva) v odstínu podle stávající
rampy (cca RAL 7040 šedá).
Pochozí plocha je navržena z dílů pororoštu z kompozitních materiálů výšky 30mm, nehořlavé prvky
s drsněným protiskluzným povrchem v odstínu tmavě šedé. Madla ve výšce osově 900mm pro vozíčkáře a
650mm pro děti, podél zábradlí ve výši 150mm je ochranné madlo pro vozíky. Výplň zábradlí je z lankového
systému 6mm včetně typových napínáků a ukončujících prvků.</t>
  </si>
  <si>
    <t>Výroba a montáž kov. atypických konstr. do 5 kg</t>
  </si>
  <si>
    <t>kotevní plech</t>
  </si>
  <si>
    <t>Nátěry</t>
  </si>
  <si>
    <t>Nátěr UPE profilů- sloupků</t>
  </si>
  <si>
    <t>antikorozní + polyuretanová barva 2x, Ral dle rampy (7040 šedá)</t>
  </si>
  <si>
    <t>Nátěr - obnova nátěru - stávající zábradlí</t>
  </si>
  <si>
    <t>Hodinové zúčtovací sazby (HZS)</t>
  </si>
  <si>
    <t>HZS</t>
  </si>
  <si>
    <t>stavební dělník v tarifní třídě 7</t>
  </si>
  <si>
    <t>Různé dokončovací konstrukce a práce na pozemních stavbách</t>
  </si>
  <si>
    <t>Chemické kotvy do betonu, hl. 110 mm, M 12, ampule</t>
  </si>
  <si>
    <t>Pumpička vyfukovací (chemické kotvy)</t>
  </si>
  <si>
    <t>Doplnění nového sloupku 50/30 s nátěrem, hnědá</t>
  </si>
  <si>
    <t>u stávající podesty</t>
  </si>
  <si>
    <t>Doplnění nového T profilu 60/60 s nátěrem, hnědá</t>
  </si>
  <si>
    <t>Přivaření stávající části zábradlí</t>
  </si>
  <si>
    <t>Ochrana stávájící zdi při montáži rampy</t>
  </si>
  <si>
    <t>ochrana před oděrem a poškozením</t>
  </si>
  <si>
    <t>Bourání konstrukcí</t>
  </si>
  <si>
    <t>Bourání, demontáž stávajícího zábradlí podesty v místě napojení rampy</t>
  </si>
  <si>
    <t>odvoz, likvidace</t>
  </si>
  <si>
    <t>Plochy a úpravy území</t>
  </si>
  <si>
    <t>Přesun hmot pro nástupiště a rampy</t>
  </si>
  <si>
    <t>von</t>
  </si>
  <si>
    <t>Zařízení staveniště</t>
  </si>
  <si>
    <t>Poznámka k položce:obsahuje mobilní zařízení hygienácká, kancelářská a jiná související se stavební činností
"veškeré náklady a činnosti souvisej</t>
  </si>
  <si>
    <t>Zpracování a předložení harmonogramu prací před podpisem smlouvy</t>
  </si>
  <si>
    <t>Bezpečnostní zajištění stavby</t>
  </si>
  <si>
    <t>Dopravní opatření při provádění stavby</t>
  </si>
  <si>
    <t>Uklid závěrečný dotčené plochy po ukončení prací</t>
  </si>
  <si>
    <t>Projektová dokumentace skutečného provedení stavby,</t>
  </si>
  <si>
    <t>Projektová dokumentace  - výrobní výkresy</t>
  </si>
  <si>
    <t>Náklady na zmírnění vlivu hluku a prachu na okolní stavby a pozemky</t>
  </si>
  <si>
    <t>Geodetické práce před výstavbou a po výstavbě</t>
  </si>
  <si>
    <t>Fotodokumentace postupu provádění stavby</t>
  </si>
  <si>
    <t>Zkoušky bez rozlišení</t>
  </si>
  <si>
    <t>Ostatní náklady bez rozlišení - zábor veřejných prostor, poplatky</t>
  </si>
  <si>
    <t>Doba výstavby:</t>
  </si>
  <si>
    <t>Začátek výstavby:</t>
  </si>
  <si>
    <t>Konec výstavby:</t>
  </si>
  <si>
    <t>Zpracováno dne:</t>
  </si>
  <si>
    <t>03.11.2020</t>
  </si>
  <si>
    <t>MJ</t>
  </si>
  <si>
    <t>m3</t>
  </si>
  <si>
    <t>m2</t>
  </si>
  <si>
    <t>kus</t>
  </si>
  <si>
    <t>t</t>
  </si>
  <si>
    <t>kg</t>
  </si>
  <si>
    <t>kpl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</si>
  <si>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</si>
  <si>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</si>
  <si>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</si>
  <si>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</si>
  <si>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</si>
  <si>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</si>
  <si>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</si>
  <si>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</si>
  <si>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Národní zemědělské muzeum s.p.o.</t>
  </si>
  <si>
    <t>Ing arch Miroslav Vajtr</t>
  </si>
  <si>
    <t> </t>
  </si>
  <si>
    <t>Pejchalová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</si>
  <si>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</si>
  <si>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</si>
  <si>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</si>
  <si>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</si>
  <si>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</si>
  <si>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</si>
  <si>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</si>
  <si>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2020</t>
  </si>
  <si>
    <t>2018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</si>
  <si>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</si>
  <si>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</si>
  <si>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</si>
  <si>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</si>
  <si>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</si>
  <si>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</si>
  <si>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</si>
  <si>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</si>
  <si>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</si>
  <si>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</si>
  <si>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</si>
  <si>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</si>
  <si>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18_</t>
  </si>
  <si>
    <t>27_</t>
  </si>
  <si>
    <t>31_</t>
  </si>
  <si>
    <t>767_</t>
  </si>
  <si>
    <t>783_</t>
  </si>
  <si>
    <t>90_</t>
  </si>
  <si>
    <t>95_</t>
  </si>
  <si>
    <t>96_</t>
  </si>
  <si>
    <t>H23_</t>
  </si>
  <si>
    <t>0_</t>
  </si>
  <si>
    <t>1_</t>
  </si>
  <si>
    <t>2_</t>
  </si>
  <si>
    <t>3_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</si>
  <si>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</si>
  <si>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</si>
  <si>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</si>
  <si>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</si>
  <si>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</si>
  <si>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</si>
  <si>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</si>
  <si>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</si>
  <si>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</si>
  <si>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</si>
  <si>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</si>
  <si>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</si>
  <si>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</si>
  <si>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</si>
  <si>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</si>
  <si>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</si>
  <si>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</si>
  <si>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</si>
  <si>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</si>
  <si>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</si>
  <si>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</si>
  <si>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</si>
  <si>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</si>
  <si>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</si>
  <si>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</si>
  <si>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</si>
  <si>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</si>
  <si>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</si>
  <si>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</si>
  <si>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</si>
  <si>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</si>
  <si>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</si>
  <si>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</si>
  <si>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</si>
  <si>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</si>
  <si>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</si>
  <si>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</si>
  <si>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</si>
  <si>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</si>
  <si>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</si>
  <si>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</si>
  <si>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</si>
  <si>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</si>
  <si>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</si>
  <si>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</si>
  <si>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</si>
  <si>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</si>
  <si>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</si>
  <si>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</si>
  <si>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</si>
  <si>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</si>
  <si>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</si>
  <si>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</si>
  <si>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</si>
  <si>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</si>
  <si>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</si>
  <si>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</si>
  <si>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</si>
  <si>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</si>
  <si>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</si>
  <si>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</si>
  <si>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75075741/</t>
  </si>
  <si>
    <t>43941559/</t>
  </si>
  <si>
    <t>Bobkovišen - dodávka keře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</si>
</sst>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4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4" xfId="0" applyNumberFormat="1" applyFont="1" applyFill="1" applyBorder="1" applyAlignment="1" applyProtection="1">
      <alignment horizontal="right" vertical="center"/>
      <protection/>
    </xf>
    <xf numFmtId="49" fontId="14" fillId="0" borderId="34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" fontId="13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34" borderId="39" xfId="0" applyNumberFormat="1" applyFont="1" applyFill="1" applyBorder="1" applyAlignment="1" applyProtection="1">
      <alignment horizontal="left" vertical="center"/>
      <protection/>
    </xf>
    <xf numFmtId="0" fontId="13" fillId="34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3" xfId="0" applyNumberFormat="1" applyFont="1" applyFill="1" applyBorder="1" applyAlignment="1" applyProtection="1">
      <alignment horizontal="left" vertical="center"/>
      <protection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5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8"/>
  <sheetViews>
    <sheetView tabSelected="1" zoomScalePageLayoutView="0" workbookViewId="0" topLeftCell="A1">
      <pane ySplit="11" topLeftCell="A39" activePane="bottomLeft" state="frozen"/>
      <selection pane="topLeft" activeCell="A1" sqref="A1"/>
      <selection pane="bottomLeft" activeCell="C25" sqref="C25:E2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9.2812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4" width="12.140625" style="0" hidden="1" customWidth="1"/>
  </cols>
  <sheetData>
    <row r="1" spans="1:12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77" t="s">
        <v>1</v>
      </c>
      <c r="B2" s="78"/>
      <c r="C2" s="81" t="s">
        <v>81</v>
      </c>
      <c r="D2" s="83" t="s">
        <v>146</v>
      </c>
      <c r="E2" s="78"/>
      <c r="F2" s="83" t="s">
        <v>6</v>
      </c>
      <c r="G2" s="78"/>
      <c r="H2" s="84" t="s">
        <v>160</v>
      </c>
      <c r="I2" s="84" t="s">
        <v>166</v>
      </c>
      <c r="J2" s="78"/>
      <c r="K2" s="78"/>
      <c r="L2" s="85"/>
      <c r="M2" s="7"/>
    </row>
    <row r="3" spans="1:13" ht="12.75">
      <c r="A3" s="79"/>
      <c r="B3" s="80"/>
      <c r="C3" s="82"/>
      <c r="D3" s="80"/>
      <c r="E3" s="80"/>
      <c r="F3" s="80"/>
      <c r="G3" s="80"/>
      <c r="H3" s="80"/>
      <c r="I3" s="80"/>
      <c r="J3" s="80"/>
      <c r="K3" s="80"/>
      <c r="L3" s="86"/>
      <c r="M3" s="7"/>
    </row>
    <row r="4" spans="1:13" ht="12.75">
      <c r="A4" s="87" t="s">
        <v>2</v>
      </c>
      <c r="B4" s="80"/>
      <c r="C4" s="88" t="s">
        <v>82</v>
      </c>
      <c r="D4" s="89" t="s">
        <v>147</v>
      </c>
      <c r="E4" s="80"/>
      <c r="F4" s="89" t="s">
        <v>150</v>
      </c>
      <c r="G4" s="80"/>
      <c r="H4" s="88" t="s">
        <v>161</v>
      </c>
      <c r="I4" s="88" t="s">
        <v>167</v>
      </c>
      <c r="J4" s="80"/>
      <c r="K4" s="80"/>
      <c r="L4" s="86"/>
      <c r="M4" s="7"/>
    </row>
    <row r="5" spans="1:13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6"/>
      <c r="M5" s="7"/>
    </row>
    <row r="6" spans="1:13" ht="12.75">
      <c r="A6" s="87" t="s">
        <v>3</v>
      </c>
      <c r="B6" s="80"/>
      <c r="C6" s="88" t="s">
        <v>83</v>
      </c>
      <c r="D6" s="89" t="s">
        <v>148</v>
      </c>
      <c r="E6" s="80"/>
      <c r="F6" s="89" t="s">
        <v>6</v>
      </c>
      <c r="G6" s="80"/>
      <c r="H6" s="88" t="s">
        <v>162</v>
      </c>
      <c r="I6" s="89" t="s">
        <v>168</v>
      </c>
      <c r="J6" s="80"/>
      <c r="K6" s="80"/>
      <c r="L6" s="86"/>
      <c r="M6" s="7"/>
    </row>
    <row r="7" spans="1:13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6"/>
      <c r="M7" s="7"/>
    </row>
    <row r="8" spans="1:13" ht="12.75">
      <c r="A8" s="87" t="s">
        <v>4</v>
      </c>
      <c r="B8" s="80"/>
      <c r="C8" s="88" t="s">
        <v>6</v>
      </c>
      <c r="D8" s="89" t="s">
        <v>149</v>
      </c>
      <c r="E8" s="80"/>
      <c r="F8" s="89" t="s">
        <v>150</v>
      </c>
      <c r="G8" s="80"/>
      <c r="H8" s="88" t="s">
        <v>163</v>
      </c>
      <c r="I8" s="88" t="s">
        <v>169</v>
      </c>
      <c r="J8" s="80"/>
      <c r="K8" s="80"/>
      <c r="L8" s="86"/>
      <c r="M8" s="7"/>
    </row>
    <row r="9" spans="1:13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7"/>
    </row>
    <row r="10" spans="1:64" ht="12.75">
      <c r="A10" s="1" t="s">
        <v>5</v>
      </c>
      <c r="B10" s="11" t="s">
        <v>48</v>
      </c>
      <c r="C10" s="93" t="s">
        <v>84</v>
      </c>
      <c r="D10" s="94"/>
      <c r="E10" s="95"/>
      <c r="F10" s="11" t="s">
        <v>151</v>
      </c>
      <c r="G10" s="22" t="s">
        <v>159</v>
      </c>
      <c r="H10" s="26" t="s">
        <v>164</v>
      </c>
      <c r="I10" s="96" t="s">
        <v>170</v>
      </c>
      <c r="J10" s="97"/>
      <c r="K10" s="98"/>
      <c r="L10" s="31" t="s">
        <v>175</v>
      </c>
      <c r="M10" s="38"/>
      <c r="BK10" s="39" t="s">
        <v>211</v>
      </c>
      <c r="BL10" s="44" t="s">
        <v>214</v>
      </c>
    </row>
    <row r="11" spans="1:62" ht="12.75">
      <c r="A11" s="2" t="s">
        <v>6</v>
      </c>
      <c r="B11" s="12" t="s">
        <v>6</v>
      </c>
      <c r="C11" s="99" t="s">
        <v>85</v>
      </c>
      <c r="D11" s="100"/>
      <c r="E11" s="101"/>
      <c r="F11" s="12" t="s">
        <v>6</v>
      </c>
      <c r="G11" s="12" t="s">
        <v>6</v>
      </c>
      <c r="H11" s="27" t="s">
        <v>165</v>
      </c>
      <c r="I11" s="28" t="s">
        <v>171</v>
      </c>
      <c r="J11" s="29" t="s">
        <v>173</v>
      </c>
      <c r="K11" s="30" t="s">
        <v>174</v>
      </c>
      <c r="L11" s="32" t="s">
        <v>176</v>
      </c>
      <c r="M11" s="38"/>
      <c r="Z11" s="39" t="s">
        <v>180</v>
      </c>
      <c r="AA11" s="39" t="s">
        <v>181</v>
      </c>
      <c r="AB11" s="39" t="s">
        <v>182</v>
      </c>
      <c r="AC11" s="39" t="s">
        <v>183</v>
      </c>
      <c r="AD11" s="39" t="s">
        <v>184</v>
      </c>
      <c r="AE11" s="39" t="s">
        <v>185</v>
      </c>
      <c r="AF11" s="39" t="s">
        <v>186</v>
      </c>
      <c r="AG11" s="39" t="s">
        <v>187</v>
      </c>
      <c r="AH11" s="39" t="s">
        <v>188</v>
      </c>
      <c r="BH11" s="39" t="s">
        <v>208</v>
      </c>
      <c r="BI11" s="39" t="s">
        <v>209</v>
      </c>
      <c r="BJ11" s="39" t="s">
        <v>210</v>
      </c>
    </row>
    <row r="12" spans="1:47" ht="12.75">
      <c r="A12" s="3"/>
      <c r="B12" s="13" t="s">
        <v>19</v>
      </c>
      <c r="C12" s="102" t="s">
        <v>86</v>
      </c>
      <c r="D12" s="103"/>
      <c r="E12" s="103"/>
      <c r="F12" s="20" t="s">
        <v>6</v>
      </c>
      <c r="G12" s="20" t="s">
        <v>6</v>
      </c>
      <c r="H12" s="20" t="s">
        <v>6</v>
      </c>
      <c r="I12" s="45">
        <f>SUM(I13:I13)</f>
        <v>0</v>
      </c>
      <c r="J12" s="45">
        <f>SUM(J13:J13)</f>
        <v>0</v>
      </c>
      <c r="K12" s="45">
        <f>SUM(K13:K13)</f>
        <v>0</v>
      </c>
      <c r="L12" s="33"/>
      <c r="M12" s="7"/>
      <c r="AI12" s="39"/>
      <c r="AS12" s="46">
        <f>SUM(AJ13:AJ13)</f>
        <v>0</v>
      </c>
      <c r="AT12" s="46">
        <f>SUM(AK13:AK13)</f>
        <v>0</v>
      </c>
      <c r="AU12" s="46">
        <f>SUM(AL13:AL13)</f>
        <v>0</v>
      </c>
    </row>
    <row r="13" spans="1:64" ht="12.75">
      <c r="A13" s="4" t="s">
        <v>7</v>
      </c>
      <c r="B13" s="14" t="s">
        <v>49</v>
      </c>
      <c r="C13" s="104" t="s">
        <v>87</v>
      </c>
      <c r="D13" s="105"/>
      <c r="E13" s="105"/>
      <c r="F13" s="14" t="s">
        <v>152</v>
      </c>
      <c r="G13" s="23">
        <v>4.08</v>
      </c>
      <c r="H13" s="23">
        <v>0</v>
      </c>
      <c r="I13" s="23">
        <f>G13*AO13</f>
        <v>0</v>
      </c>
      <c r="J13" s="23">
        <f>G13*AP13</f>
        <v>0</v>
      </c>
      <c r="K13" s="23">
        <f>G13*H13</f>
        <v>0</v>
      </c>
      <c r="L13" s="34" t="s">
        <v>177</v>
      </c>
      <c r="M13" s="7"/>
      <c r="Z13" s="40">
        <f>IF(AQ13="5",BJ13,0)</f>
        <v>0</v>
      </c>
      <c r="AB13" s="40">
        <f>IF(AQ13="1",BH13,0)</f>
        <v>0</v>
      </c>
      <c r="AC13" s="40">
        <f>IF(AQ13="1",BI13,0)</f>
        <v>0</v>
      </c>
      <c r="AD13" s="40">
        <f>IF(AQ13="7",BH13,0)</f>
        <v>0</v>
      </c>
      <c r="AE13" s="40">
        <f>IF(AQ13="7",BI13,0)</f>
        <v>0</v>
      </c>
      <c r="AF13" s="40">
        <f>IF(AQ13="2",BH13,0)</f>
        <v>0</v>
      </c>
      <c r="AG13" s="40">
        <f>IF(AQ13="2",BI13,0)</f>
        <v>0</v>
      </c>
      <c r="AH13" s="40">
        <f>IF(AQ13="0",BJ13,0)</f>
        <v>0</v>
      </c>
      <c r="AI13" s="39"/>
      <c r="AJ13" s="23">
        <f>IF(AN13=0,K13,0)</f>
        <v>0</v>
      </c>
      <c r="AK13" s="23">
        <f>IF(AN13=15,K13,0)</f>
        <v>0</v>
      </c>
      <c r="AL13" s="23">
        <f>IF(AN13=21,K13,0)</f>
        <v>0</v>
      </c>
      <c r="AN13" s="40">
        <v>21</v>
      </c>
      <c r="AO13" s="40">
        <f>H13*0</f>
        <v>0</v>
      </c>
      <c r="AP13" s="40">
        <f>H13*(1-0)</f>
        <v>0</v>
      </c>
      <c r="AQ13" s="41" t="s">
        <v>7</v>
      </c>
      <c r="AV13" s="40">
        <f>AW13+AX13</f>
        <v>0</v>
      </c>
      <c r="AW13" s="40">
        <f>G13*AO13</f>
        <v>0</v>
      </c>
      <c r="AX13" s="40">
        <f>G13*AP13</f>
        <v>0</v>
      </c>
      <c r="AY13" s="43" t="s">
        <v>189</v>
      </c>
      <c r="AZ13" s="43" t="s">
        <v>201</v>
      </c>
      <c r="BA13" s="39" t="s">
        <v>207</v>
      </c>
      <c r="BC13" s="40">
        <f>AW13+AX13</f>
        <v>0</v>
      </c>
      <c r="BD13" s="40">
        <f>H13/(100-BE13)*100</f>
        <v>0</v>
      </c>
      <c r="BE13" s="40">
        <v>0</v>
      </c>
      <c r="BF13" s="40">
        <f>13</f>
        <v>13</v>
      </c>
      <c r="BH13" s="23">
        <f>G13*AO13</f>
        <v>0</v>
      </c>
      <c r="BI13" s="23">
        <f>G13*AP13</f>
        <v>0</v>
      </c>
      <c r="BJ13" s="23">
        <f>G13*H13</f>
        <v>0</v>
      </c>
      <c r="BK13" s="23" t="s">
        <v>212</v>
      </c>
      <c r="BL13" s="40">
        <v>13</v>
      </c>
    </row>
    <row r="14" spans="1:47" ht="12.75">
      <c r="A14" s="5"/>
      <c r="B14" s="15" t="s">
        <v>22</v>
      </c>
      <c r="C14" s="106" t="s">
        <v>88</v>
      </c>
      <c r="D14" s="107"/>
      <c r="E14" s="107"/>
      <c r="F14" s="21" t="s">
        <v>6</v>
      </c>
      <c r="G14" s="21" t="s">
        <v>6</v>
      </c>
      <c r="H14" s="21" t="s">
        <v>6</v>
      </c>
      <c r="I14" s="46">
        <f>SUM(I15:I18)</f>
        <v>0</v>
      </c>
      <c r="J14" s="46">
        <f>SUM(J15:J18)</f>
        <v>0</v>
      </c>
      <c r="K14" s="46">
        <f>SUM(K15:K18)</f>
        <v>0</v>
      </c>
      <c r="L14" s="35"/>
      <c r="M14" s="7"/>
      <c r="AI14" s="39"/>
      <c r="AS14" s="46">
        <f>SUM(AJ15:AJ18)</f>
        <v>0</v>
      </c>
      <c r="AT14" s="46">
        <f>SUM(AK15:AK18)</f>
        <v>0</v>
      </c>
      <c r="AU14" s="46">
        <f>SUM(AL15:AL18)</f>
        <v>0</v>
      </c>
    </row>
    <row r="15" spans="1:64" ht="12.75">
      <c r="A15" s="4" t="s">
        <v>8</v>
      </c>
      <c r="B15" s="14" t="s">
        <v>50</v>
      </c>
      <c r="C15" s="104" t="s">
        <v>89</v>
      </c>
      <c r="D15" s="105"/>
      <c r="E15" s="105"/>
      <c r="F15" s="14" t="s">
        <v>152</v>
      </c>
      <c r="G15" s="23">
        <v>4.08</v>
      </c>
      <c r="H15" s="23">
        <v>0</v>
      </c>
      <c r="I15" s="23">
        <f>G15*AO15</f>
        <v>0</v>
      </c>
      <c r="J15" s="23">
        <f>G15*AP15</f>
        <v>0</v>
      </c>
      <c r="K15" s="23">
        <f>G15*H15</f>
        <v>0</v>
      </c>
      <c r="L15" s="34" t="s">
        <v>177</v>
      </c>
      <c r="M15" s="7"/>
      <c r="Z15" s="40">
        <f>IF(AQ15="5",BJ15,0)</f>
        <v>0</v>
      </c>
      <c r="AB15" s="40">
        <f>IF(AQ15="1",BH15,0)</f>
        <v>0</v>
      </c>
      <c r="AC15" s="40">
        <f>IF(AQ15="1",BI15,0)</f>
        <v>0</v>
      </c>
      <c r="AD15" s="40">
        <f>IF(AQ15="7",BH15,0)</f>
        <v>0</v>
      </c>
      <c r="AE15" s="40">
        <f>IF(AQ15="7",BI15,0)</f>
        <v>0</v>
      </c>
      <c r="AF15" s="40">
        <f>IF(AQ15="2",BH15,0)</f>
        <v>0</v>
      </c>
      <c r="AG15" s="40">
        <f>IF(AQ15="2",BI15,0)</f>
        <v>0</v>
      </c>
      <c r="AH15" s="40">
        <f>IF(AQ15="0",BJ15,0)</f>
        <v>0</v>
      </c>
      <c r="AI15" s="39"/>
      <c r="AJ15" s="23">
        <f>IF(AN15=0,K15,0)</f>
        <v>0</v>
      </c>
      <c r="AK15" s="23">
        <f>IF(AN15=15,K15,0)</f>
        <v>0</v>
      </c>
      <c r="AL15" s="23">
        <f>IF(AN15=21,K15,0)</f>
        <v>0</v>
      </c>
      <c r="AN15" s="40">
        <v>21</v>
      </c>
      <c r="AO15" s="40">
        <f>H15*0</f>
        <v>0</v>
      </c>
      <c r="AP15" s="40">
        <f>H15*(1-0)</f>
        <v>0</v>
      </c>
      <c r="AQ15" s="41" t="s">
        <v>7</v>
      </c>
      <c r="AV15" s="40">
        <f>AW15+AX15</f>
        <v>0</v>
      </c>
      <c r="AW15" s="40">
        <f>G15*AO15</f>
        <v>0</v>
      </c>
      <c r="AX15" s="40">
        <f>G15*AP15</f>
        <v>0</v>
      </c>
      <c r="AY15" s="43" t="s">
        <v>190</v>
      </c>
      <c r="AZ15" s="43" t="s">
        <v>201</v>
      </c>
      <c r="BA15" s="39" t="s">
        <v>207</v>
      </c>
      <c r="BC15" s="40">
        <f>AW15+AX15</f>
        <v>0</v>
      </c>
      <c r="BD15" s="40">
        <f>H15/(100-BE15)*100</f>
        <v>0</v>
      </c>
      <c r="BE15" s="40">
        <v>0</v>
      </c>
      <c r="BF15" s="40">
        <f>15</f>
        <v>15</v>
      </c>
      <c r="BH15" s="23">
        <f>G15*AO15</f>
        <v>0</v>
      </c>
      <c r="BI15" s="23">
        <f>G15*AP15</f>
        <v>0</v>
      </c>
      <c r="BJ15" s="23">
        <f>G15*H15</f>
        <v>0</v>
      </c>
      <c r="BK15" s="23" t="s">
        <v>212</v>
      </c>
      <c r="BL15" s="40">
        <v>16</v>
      </c>
    </row>
    <row r="16" spans="1:64" ht="12.75">
      <c r="A16" s="4" t="s">
        <v>9</v>
      </c>
      <c r="B16" s="14" t="s">
        <v>51</v>
      </c>
      <c r="C16" s="104" t="s">
        <v>90</v>
      </c>
      <c r="D16" s="105"/>
      <c r="E16" s="105"/>
      <c r="F16" s="14" t="s">
        <v>152</v>
      </c>
      <c r="G16" s="23">
        <v>4.08</v>
      </c>
      <c r="H16" s="23">
        <v>0</v>
      </c>
      <c r="I16" s="23">
        <f>G16*AO16</f>
        <v>0</v>
      </c>
      <c r="J16" s="23">
        <f>G16*AP16</f>
        <v>0</v>
      </c>
      <c r="K16" s="23">
        <f>G16*H16</f>
        <v>0</v>
      </c>
      <c r="L16" s="34" t="s">
        <v>177</v>
      </c>
      <c r="M16" s="7"/>
      <c r="Z16" s="40">
        <f>IF(AQ16="5",BJ16,0)</f>
        <v>0</v>
      </c>
      <c r="AB16" s="40">
        <f>IF(AQ16="1",BH16,0)</f>
        <v>0</v>
      </c>
      <c r="AC16" s="40">
        <f>IF(AQ16="1",BI16,0)</f>
        <v>0</v>
      </c>
      <c r="AD16" s="40">
        <f>IF(AQ16="7",BH16,0)</f>
        <v>0</v>
      </c>
      <c r="AE16" s="40">
        <f>IF(AQ16="7",BI16,0)</f>
        <v>0</v>
      </c>
      <c r="AF16" s="40">
        <f>IF(AQ16="2",BH16,0)</f>
        <v>0</v>
      </c>
      <c r="AG16" s="40">
        <f>IF(AQ16="2",BI16,0)</f>
        <v>0</v>
      </c>
      <c r="AH16" s="40">
        <f>IF(AQ16="0",BJ16,0)</f>
        <v>0</v>
      </c>
      <c r="AI16" s="39"/>
      <c r="AJ16" s="23">
        <f>IF(AN16=0,K16,0)</f>
        <v>0</v>
      </c>
      <c r="AK16" s="23">
        <f>IF(AN16=15,K16,0)</f>
        <v>0</v>
      </c>
      <c r="AL16" s="23">
        <f>IF(AN16=21,K16,0)</f>
        <v>0</v>
      </c>
      <c r="AN16" s="40">
        <v>21</v>
      </c>
      <c r="AO16" s="40">
        <f>H16*0</f>
        <v>0</v>
      </c>
      <c r="AP16" s="40">
        <f>H16*(1-0)</f>
        <v>0</v>
      </c>
      <c r="AQ16" s="41" t="s">
        <v>7</v>
      </c>
      <c r="AV16" s="40">
        <f>AW16+AX16</f>
        <v>0</v>
      </c>
      <c r="AW16" s="40">
        <f>G16*AO16</f>
        <v>0</v>
      </c>
      <c r="AX16" s="40">
        <f>G16*AP16</f>
        <v>0</v>
      </c>
      <c r="AY16" s="43" t="s">
        <v>190</v>
      </c>
      <c r="AZ16" s="43" t="s">
        <v>201</v>
      </c>
      <c r="BA16" s="39" t="s">
        <v>207</v>
      </c>
      <c r="BC16" s="40">
        <f>AW16+AX16</f>
        <v>0</v>
      </c>
      <c r="BD16" s="40">
        <f>H16/(100-BE16)*100</f>
        <v>0</v>
      </c>
      <c r="BE16" s="40">
        <v>0</v>
      </c>
      <c r="BF16" s="40">
        <f>16</f>
        <v>16</v>
      </c>
      <c r="BH16" s="23">
        <f>G16*AO16</f>
        <v>0</v>
      </c>
      <c r="BI16" s="23">
        <f>G16*AP16</f>
        <v>0</v>
      </c>
      <c r="BJ16" s="23">
        <f>G16*H16</f>
        <v>0</v>
      </c>
      <c r="BK16" s="23" t="s">
        <v>212</v>
      </c>
      <c r="BL16" s="40">
        <v>16</v>
      </c>
    </row>
    <row r="17" spans="1:64" ht="12.75">
      <c r="A17" s="4" t="s">
        <v>10</v>
      </c>
      <c r="B17" s="14" t="s">
        <v>52</v>
      </c>
      <c r="C17" s="104" t="s">
        <v>91</v>
      </c>
      <c r="D17" s="105"/>
      <c r="E17" s="105"/>
      <c r="F17" s="14" t="s">
        <v>152</v>
      </c>
      <c r="G17" s="23">
        <v>4.08</v>
      </c>
      <c r="H17" s="23">
        <v>0</v>
      </c>
      <c r="I17" s="23">
        <f>G17*AO17</f>
        <v>0</v>
      </c>
      <c r="J17" s="23">
        <f>G17*AP17</f>
        <v>0</v>
      </c>
      <c r="K17" s="23">
        <f>G17*H17</f>
        <v>0</v>
      </c>
      <c r="L17" s="34" t="s">
        <v>177</v>
      </c>
      <c r="M17" s="7"/>
      <c r="Z17" s="40">
        <f>IF(AQ17="5",BJ17,0)</f>
        <v>0</v>
      </c>
      <c r="AB17" s="40">
        <f>IF(AQ17="1",BH17,0)</f>
        <v>0</v>
      </c>
      <c r="AC17" s="40">
        <f>IF(AQ17="1",BI17,0)</f>
        <v>0</v>
      </c>
      <c r="AD17" s="40">
        <f>IF(AQ17="7",BH17,0)</f>
        <v>0</v>
      </c>
      <c r="AE17" s="40">
        <f>IF(AQ17="7",BI17,0)</f>
        <v>0</v>
      </c>
      <c r="AF17" s="40">
        <f>IF(AQ17="2",BH17,0)</f>
        <v>0</v>
      </c>
      <c r="AG17" s="40">
        <f>IF(AQ17="2",BI17,0)</f>
        <v>0</v>
      </c>
      <c r="AH17" s="40">
        <f>IF(AQ17="0",BJ17,0)</f>
        <v>0</v>
      </c>
      <c r="AI17" s="39"/>
      <c r="AJ17" s="23">
        <f>IF(AN17=0,K17,0)</f>
        <v>0</v>
      </c>
      <c r="AK17" s="23">
        <f>IF(AN17=15,K17,0)</f>
        <v>0</v>
      </c>
      <c r="AL17" s="23">
        <f>IF(AN17=21,K17,0)</f>
        <v>0</v>
      </c>
      <c r="AN17" s="40">
        <v>21</v>
      </c>
      <c r="AO17" s="40">
        <f>H17*0</f>
        <v>0</v>
      </c>
      <c r="AP17" s="40">
        <f>H17*(1-0)</f>
        <v>0</v>
      </c>
      <c r="AQ17" s="41" t="s">
        <v>7</v>
      </c>
      <c r="AV17" s="40">
        <f>AW17+AX17</f>
        <v>0</v>
      </c>
      <c r="AW17" s="40">
        <f>G17*AO17</f>
        <v>0</v>
      </c>
      <c r="AX17" s="40">
        <f>G17*AP17</f>
        <v>0</v>
      </c>
      <c r="AY17" s="43" t="s">
        <v>190</v>
      </c>
      <c r="AZ17" s="43" t="s">
        <v>201</v>
      </c>
      <c r="BA17" s="39" t="s">
        <v>207</v>
      </c>
      <c r="BC17" s="40">
        <f>AW17+AX17</f>
        <v>0</v>
      </c>
      <c r="BD17" s="40">
        <f>H17/(100-BE17)*100</f>
        <v>0</v>
      </c>
      <c r="BE17" s="40">
        <v>0</v>
      </c>
      <c r="BF17" s="40">
        <f>17</f>
        <v>17</v>
      </c>
      <c r="BH17" s="23">
        <f>G17*AO17</f>
        <v>0</v>
      </c>
      <c r="BI17" s="23">
        <f>G17*AP17</f>
        <v>0</v>
      </c>
      <c r="BJ17" s="23">
        <f>G17*H17</f>
        <v>0</v>
      </c>
      <c r="BK17" s="23" t="s">
        <v>212</v>
      </c>
      <c r="BL17" s="40">
        <v>16</v>
      </c>
    </row>
    <row r="18" spans="1:64" ht="12.75">
      <c r="A18" s="4" t="s">
        <v>11</v>
      </c>
      <c r="B18" s="14" t="s">
        <v>53</v>
      </c>
      <c r="C18" s="104" t="s">
        <v>92</v>
      </c>
      <c r="D18" s="105"/>
      <c r="E18" s="105"/>
      <c r="F18" s="14" t="s">
        <v>152</v>
      </c>
      <c r="G18" s="23">
        <v>4.08</v>
      </c>
      <c r="H18" s="23">
        <v>0</v>
      </c>
      <c r="I18" s="23">
        <f>G18*AO18</f>
        <v>0</v>
      </c>
      <c r="J18" s="23">
        <f>G18*AP18</f>
        <v>0</v>
      </c>
      <c r="K18" s="23">
        <f>G18*H18</f>
        <v>0</v>
      </c>
      <c r="L18" s="34" t="s">
        <v>177</v>
      </c>
      <c r="M18" s="7"/>
      <c r="Z18" s="40">
        <f>IF(AQ18="5",BJ18,0)</f>
        <v>0</v>
      </c>
      <c r="AB18" s="40">
        <f>IF(AQ18="1",BH18,0)</f>
        <v>0</v>
      </c>
      <c r="AC18" s="40">
        <f>IF(AQ18="1",BI18,0)</f>
        <v>0</v>
      </c>
      <c r="AD18" s="40">
        <f>IF(AQ18="7",BH18,0)</f>
        <v>0</v>
      </c>
      <c r="AE18" s="40">
        <f>IF(AQ18="7",BI18,0)</f>
        <v>0</v>
      </c>
      <c r="AF18" s="40">
        <f>IF(AQ18="2",BH18,0)</f>
        <v>0</v>
      </c>
      <c r="AG18" s="40">
        <f>IF(AQ18="2",BI18,0)</f>
        <v>0</v>
      </c>
      <c r="AH18" s="40">
        <f>IF(AQ18="0",BJ18,0)</f>
        <v>0</v>
      </c>
      <c r="AI18" s="39"/>
      <c r="AJ18" s="23">
        <f>IF(AN18=0,K18,0)</f>
        <v>0</v>
      </c>
      <c r="AK18" s="23">
        <f>IF(AN18=15,K18,0)</f>
        <v>0</v>
      </c>
      <c r="AL18" s="23">
        <f>IF(AN18=21,K18,0)</f>
        <v>0</v>
      </c>
      <c r="AN18" s="40">
        <v>21</v>
      </c>
      <c r="AO18" s="40">
        <f>H18*0</f>
        <v>0</v>
      </c>
      <c r="AP18" s="40">
        <f>H18*(1-0)</f>
        <v>0</v>
      </c>
      <c r="AQ18" s="41" t="s">
        <v>7</v>
      </c>
      <c r="AV18" s="40">
        <f>AW18+AX18</f>
        <v>0</v>
      </c>
      <c r="AW18" s="40">
        <f>G18*AO18</f>
        <v>0</v>
      </c>
      <c r="AX18" s="40">
        <f>G18*AP18</f>
        <v>0</v>
      </c>
      <c r="AY18" s="43" t="s">
        <v>190</v>
      </c>
      <c r="AZ18" s="43" t="s">
        <v>201</v>
      </c>
      <c r="BA18" s="39" t="s">
        <v>207</v>
      </c>
      <c r="BC18" s="40">
        <f>AW18+AX18</f>
        <v>0</v>
      </c>
      <c r="BD18" s="40">
        <f>H18/(100-BE18)*100</f>
        <v>0</v>
      </c>
      <c r="BE18" s="40">
        <v>0</v>
      </c>
      <c r="BF18" s="40">
        <f>18</f>
        <v>18</v>
      </c>
      <c r="BH18" s="23">
        <f>G18*AO18</f>
        <v>0</v>
      </c>
      <c r="BI18" s="23">
        <f>G18*AP18</f>
        <v>0</v>
      </c>
      <c r="BJ18" s="23">
        <f>G18*H18</f>
        <v>0</v>
      </c>
      <c r="BK18" s="23" t="s">
        <v>212</v>
      </c>
      <c r="BL18" s="40">
        <v>16</v>
      </c>
    </row>
    <row r="19" spans="1:47" ht="12.75">
      <c r="A19" s="5"/>
      <c r="B19" s="15" t="s">
        <v>24</v>
      </c>
      <c r="C19" s="106" t="s">
        <v>93</v>
      </c>
      <c r="D19" s="107"/>
      <c r="E19" s="107"/>
      <c r="F19" s="21" t="s">
        <v>6</v>
      </c>
      <c r="G19" s="21" t="s">
        <v>6</v>
      </c>
      <c r="H19" s="21" t="s">
        <v>6</v>
      </c>
      <c r="I19" s="46">
        <f>SUM(I20:I25)</f>
        <v>0</v>
      </c>
      <c r="J19" s="46">
        <f>SUM(J20:J25)</f>
        <v>0</v>
      </c>
      <c r="K19" s="46">
        <f>SUM(K20:K25)</f>
        <v>0</v>
      </c>
      <c r="L19" s="35"/>
      <c r="M19" s="7"/>
      <c r="AI19" s="39"/>
      <c r="AS19" s="46">
        <f>SUM(AJ20:AJ25)</f>
        <v>0</v>
      </c>
      <c r="AT19" s="46">
        <f>SUM(AK20:AK25)</f>
        <v>0</v>
      </c>
      <c r="AU19" s="46">
        <f>SUM(AL20:AL25)</f>
        <v>0</v>
      </c>
    </row>
    <row r="20" spans="1:64" ht="12.75">
      <c r="A20" s="4" t="s">
        <v>12</v>
      </c>
      <c r="B20" s="14" t="s">
        <v>54</v>
      </c>
      <c r="C20" s="104" t="s">
        <v>94</v>
      </c>
      <c r="D20" s="105"/>
      <c r="E20" s="105"/>
      <c r="F20" s="14" t="s">
        <v>153</v>
      </c>
      <c r="G20" s="23">
        <v>53.65</v>
      </c>
      <c r="H20" s="23">
        <v>0</v>
      </c>
      <c r="I20" s="23">
        <f aca="true" t="shared" si="0" ref="I20:I25">G20*AO20</f>
        <v>0</v>
      </c>
      <c r="J20" s="23">
        <f aca="true" t="shared" si="1" ref="J20:J25">G20*AP20</f>
        <v>0</v>
      </c>
      <c r="K20" s="23">
        <f aca="true" t="shared" si="2" ref="K20:K25">G20*H20</f>
        <v>0</v>
      </c>
      <c r="L20" s="34" t="s">
        <v>177</v>
      </c>
      <c r="M20" s="7"/>
      <c r="Z20" s="40">
        <f aca="true" t="shared" si="3" ref="Z20:Z25">IF(AQ20="5",BJ20,0)</f>
        <v>0</v>
      </c>
      <c r="AB20" s="40">
        <f aca="true" t="shared" si="4" ref="AB20:AB25">IF(AQ20="1",BH20,0)</f>
        <v>0</v>
      </c>
      <c r="AC20" s="40">
        <f aca="true" t="shared" si="5" ref="AC20:AC25">IF(AQ20="1",BI20,0)</f>
        <v>0</v>
      </c>
      <c r="AD20" s="40">
        <f aca="true" t="shared" si="6" ref="AD20:AD25">IF(AQ20="7",BH20,0)</f>
        <v>0</v>
      </c>
      <c r="AE20" s="40">
        <f aca="true" t="shared" si="7" ref="AE20:AE25">IF(AQ20="7",BI20,0)</f>
        <v>0</v>
      </c>
      <c r="AF20" s="40">
        <f aca="true" t="shared" si="8" ref="AF20:AF25">IF(AQ20="2",BH20,0)</f>
        <v>0</v>
      </c>
      <c r="AG20" s="40">
        <f aca="true" t="shared" si="9" ref="AG20:AG25">IF(AQ20="2",BI20,0)</f>
        <v>0</v>
      </c>
      <c r="AH20" s="40">
        <f aca="true" t="shared" si="10" ref="AH20:AH25">IF(AQ20="0",BJ20,0)</f>
        <v>0</v>
      </c>
      <c r="AI20" s="39"/>
      <c r="AJ20" s="23">
        <f aca="true" t="shared" si="11" ref="AJ20:AJ25">IF(AN20=0,K20,0)</f>
        <v>0</v>
      </c>
      <c r="AK20" s="23">
        <f aca="true" t="shared" si="12" ref="AK20:AK25">IF(AN20=15,K20,0)</f>
        <v>0</v>
      </c>
      <c r="AL20" s="23">
        <f aca="true" t="shared" si="13" ref="AL20:AL25">IF(AN20=21,K20,0)</f>
        <v>0</v>
      </c>
      <c r="AN20" s="40">
        <v>21</v>
      </c>
      <c r="AO20" s="40">
        <f>H20*0.199439252336449</f>
        <v>0</v>
      </c>
      <c r="AP20" s="40">
        <f>H20*(1-0.199439252336449)</f>
        <v>0</v>
      </c>
      <c r="AQ20" s="41" t="s">
        <v>7</v>
      </c>
      <c r="AV20" s="40">
        <f aca="true" t="shared" si="14" ref="AV20:AV25">AW20+AX20</f>
        <v>0</v>
      </c>
      <c r="AW20" s="40">
        <f aca="true" t="shared" si="15" ref="AW20:AW25">G20*AO20</f>
        <v>0</v>
      </c>
      <c r="AX20" s="40">
        <f aca="true" t="shared" si="16" ref="AX20:AX25">G20*AP20</f>
        <v>0</v>
      </c>
      <c r="AY20" s="43" t="s">
        <v>191</v>
      </c>
      <c r="AZ20" s="43" t="s">
        <v>201</v>
      </c>
      <c r="BA20" s="39" t="s">
        <v>207</v>
      </c>
      <c r="BC20" s="40">
        <f aca="true" t="shared" si="17" ref="BC20:BC25">AW20+AX20</f>
        <v>0</v>
      </c>
      <c r="BD20" s="40">
        <f aca="true" t="shared" si="18" ref="BD20:BD25">H20/(100-BE20)*100</f>
        <v>0</v>
      </c>
      <c r="BE20" s="40">
        <v>0</v>
      </c>
      <c r="BF20" s="40">
        <f>20</f>
        <v>20</v>
      </c>
      <c r="BH20" s="23">
        <f aca="true" t="shared" si="19" ref="BH20:BH25">G20*AO20</f>
        <v>0</v>
      </c>
      <c r="BI20" s="23">
        <f aca="true" t="shared" si="20" ref="BI20:BI25">G20*AP20</f>
        <v>0</v>
      </c>
      <c r="BJ20" s="23">
        <f aca="true" t="shared" si="21" ref="BJ20:BJ25">G20*H20</f>
        <v>0</v>
      </c>
      <c r="BK20" s="23" t="s">
        <v>212</v>
      </c>
      <c r="BL20" s="40">
        <v>18</v>
      </c>
    </row>
    <row r="21" spans="1:64" ht="12.75">
      <c r="A21" s="4" t="s">
        <v>13</v>
      </c>
      <c r="B21" s="14" t="s">
        <v>55</v>
      </c>
      <c r="C21" s="104" t="s">
        <v>95</v>
      </c>
      <c r="D21" s="105"/>
      <c r="E21" s="105"/>
      <c r="F21" s="14" t="s">
        <v>153</v>
      </c>
      <c r="G21" s="23">
        <v>53.65</v>
      </c>
      <c r="H21" s="23">
        <v>0</v>
      </c>
      <c r="I21" s="23">
        <f t="shared" si="0"/>
        <v>0</v>
      </c>
      <c r="J21" s="23">
        <f t="shared" si="1"/>
        <v>0</v>
      </c>
      <c r="K21" s="23">
        <f t="shared" si="2"/>
        <v>0</v>
      </c>
      <c r="L21" s="34" t="s">
        <v>177</v>
      </c>
      <c r="M21" s="7"/>
      <c r="Z21" s="40">
        <f t="shared" si="3"/>
        <v>0</v>
      </c>
      <c r="AB21" s="40">
        <f t="shared" si="4"/>
        <v>0</v>
      </c>
      <c r="AC21" s="40">
        <f t="shared" si="5"/>
        <v>0</v>
      </c>
      <c r="AD21" s="40">
        <f t="shared" si="6"/>
        <v>0</v>
      </c>
      <c r="AE21" s="40">
        <f t="shared" si="7"/>
        <v>0</v>
      </c>
      <c r="AF21" s="40">
        <f t="shared" si="8"/>
        <v>0</v>
      </c>
      <c r="AG21" s="40">
        <f t="shared" si="9"/>
        <v>0</v>
      </c>
      <c r="AH21" s="40">
        <f t="shared" si="10"/>
        <v>0</v>
      </c>
      <c r="AI21" s="39"/>
      <c r="AJ21" s="23">
        <f t="shared" si="11"/>
        <v>0</v>
      </c>
      <c r="AK21" s="23">
        <f t="shared" si="12"/>
        <v>0</v>
      </c>
      <c r="AL21" s="23">
        <f t="shared" si="13"/>
        <v>0</v>
      </c>
      <c r="AN21" s="40">
        <v>21</v>
      </c>
      <c r="AO21" s="40">
        <f>H21*0</f>
        <v>0</v>
      </c>
      <c r="AP21" s="40">
        <f>H21*(1-0)</f>
        <v>0</v>
      </c>
      <c r="AQ21" s="41" t="s">
        <v>7</v>
      </c>
      <c r="AV21" s="40">
        <f t="shared" si="14"/>
        <v>0</v>
      </c>
      <c r="AW21" s="40">
        <f t="shared" si="15"/>
        <v>0</v>
      </c>
      <c r="AX21" s="40">
        <f t="shared" si="16"/>
        <v>0</v>
      </c>
      <c r="AY21" s="43" t="s">
        <v>191</v>
      </c>
      <c r="AZ21" s="43" t="s">
        <v>201</v>
      </c>
      <c r="BA21" s="39" t="s">
        <v>207</v>
      </c>
      <c r="BC21" s="40">
        <f t="shared" si="17"/>
        <v>0</v>
      </c>
      <c r="BD21" s="40">
        <f t="shared" si="18"/>
        <v>0</v>
      </c>
      <c r="BE21" s="40">
        <v>0</v>
      </c>
      <c r="BF21" s="40">
        <f>21</f>
        <v>21</v>
      </c>
      <c r="BH21" s="23">
        <f t="shared" si="19"/>
        <v>0</v>
      </c>
      <c r="BI21" s="23">
        <f t="shared" si="20"/>
        <v>0</v>
      </c>
      <c r="BJ21" s="23">
        <f t="shared" si="21"/>
        <v>0</v>
      </c>
      <c r="BK21" s="23" t="s">
        <v>212</v>
      </c>
      <c r="BL21" s="40">
        <v>18</v>
      </c>
    </row>
    <row r="22" spans="1:64" ht="12.75">
      <c r="A22" s="4" t="s">
        <v>14</v>
      </c>
      <c r="B22" s="14" t="s">
        <v>56</v>
      </c>
      <c r="C22" s="104" t="s">
        <v>96</v>
      </c>
      <c r="D22" s="105"/>
      <c r="E22" s="105"/>
      <c r="F22" s="14" t="s">
        <v>154</v>
      </c>
      <c r="G22" s="23">
        <v>1</v>
      </c>
      <c r="H22" s="23">
        <v>0</v>
      </c>
      <c r="I22" s="23">
        <f t="shared" si="0"/>
        <v>0</v>
      </c>
      <c r="J22" s="23">
        <f t="shared" si="1"/>
        <v>0</v>
      </c>
      <c r="K22" s="23">
        <f t="shared" si="2"/>
        <v>0</v>
      </c>
      <c r="L22" s="34" t="s">
        <v>177</v>
      </c>
      <c r="M22" s="7"/>
      <c r="Z22" s="40">
        <f t="shared" si="3"/>
        <v>0</v>
      </c>
      <c r="AB22" s="40">
        <f t="shared" si="4"/>
        <v>0</v>
      </c>
      <c r="AC22" s="40">
        <f t="shared" si="5"/>
        <v>0</v>
      </c>
      <c r="AD22" s="40">
        <f t="shared" si="6"/>
        <v>0</v>
      </c>
      <c r="AE22" s="40">
        <f t="shared" si="7"/>
        <v>0</v>
      </c>
      <c r="AF22" s="40">
        <f t="shared" si="8"/>
        <v>0</v>
      </c>
      <c r="AG22" s="40">
        <f t="shared" si="9"/>
        <v>0</v>
      </c>
      <c r="AH22" s="40">
        <f t="shared" si="10"/>
        <v>0</v>
      </c>
      <c r="AI22" s="39"/>
      <c r="AJ22" s="23">
        <f t="shared" si="11"/>
        <v>0</v>
      </c>
      <c r="AK22" s="23">
        <f t="shared" si="12"/>
        <v>0</v>
      </c>
      <c r="AL22" s="23">
        <f t="shared" si="13"/>
        <v>0</v>
      </c>
      <c r="AN22" s="40">
        <v>21</v>
      </c>
      <c r="AO22" s="40">
        <f>H22*0</f>
        <v>0</v>
      </c>
      <c r="AP22" s="40">
        <f>H22*(1-0)</f>
        <v>0</v>
      </c>
      <c r="AQ22" s="41" t="s">
        <v>7</v>
      </c>
      <c r="AV22" s="40">
        <f t="shared" si="14"/>
        <v>0</v>
      </c>
      <c r="AW22" s="40">
        <f t="shared" si="15"/>
        <v>0</v>
      </c>
      <c r="AX22" s="40">
        <f t="shared" si="16"/>
        <v>0</v>
      </c>
      <c r="AY22" s="43" t="s">
        <v>191</v>
      </c>
      <c r="AZ22" s="43" t="s">
        <v>201</v>
      </c>
      <c r="BA22" s="39" t="s">
        <v>207</v>
      </c>
      <c r="BC22" s="40">
        <f t="shared" si="17"/>
        <v>0</v>
      </c>
      <c r="BD22" s="40">
        <f t="shared" si="18"/>
        <v>0</v>
      </c>
      <c r="BE22" s="40">
        <v>0</v>
      </c>
      <c r="BF22" s="40">
        <f>22</f>
        <v>22</v>
      </c>
      <c r="BH22" s="23">
        <f t="shared" si="19"/>
        <v>0</v>
      </c>
      <c r="BI22" s="23">
        <f t="shared" si="20"/>
        <v>0</v>
      </c>
      <c r="BJ22" s="23">
        <f t="shared" si="21"/>
        <v>0</v>
      </c>
      <c r="BK22" s="23" t="s">
        <v>212</v>
      </c>
      <c r="BL22" s="40">
        <v>18</v>
      </c>
    </row>
    <row r="23" spans="1:64" ht="12.75">
      <c r="A23" s="4" t="s">
        <v>15</v>
      </c>
      <c r="B23" s="14" t="s">
        <v>57</v>
      </c>
      <c r="C23" s="104" t="s">
        <v>97</v>
      </c>
      <c r="D23" s="105"/>
      <c r="E23" s="105"/>
      <c r="F23" s="14" t="s">
        <v>154</v>
      </c>
      <c r="G23" s="23">
        <v>1</v>
      </c>
      <c r="H23" s="23">
        <v>0</v>
      </c>
      <c r="I23" s="23">
        <f t="shared" si="0"/>
        <v>0</v>
      </c>
      <c r="J23" s="23">
        <f t="shared" si="1"/>
        <v>0</v>
      </c>
      <c r="K23" s="23">
        <f t="shared" si="2"/>
        <v>0</v>
      </c>
      <c r="L23" s="34" t="s">
        <v>177</v>
      </c>
      <c r="M23" s="7"/>
      <c r="Z23" s="40">
        <f t="shared" si="3"/>
        <v>0</v>
      </c>
      <c r="AB23" s="40">
        <f t="shared" si="4"/>
        <v>0</v>
      </c>
      <c r="AC23" s="40">
        <f t="shared" si="5"/>
        <v>0</v>
      </c>
      <c r="AD23" s="40">
        <f t="shared" si="6"/>
        <v>0</v>
      </c>
      <c r="AE23" s="40">
        <f t="shared" si="7"/>
        <v>0</v>
      </c>
      <c r="AF23" s="40">
        <f t="shared" si="8"/>
        <v>0</v>
      </c>
      <c r="AG23" s="40">
        <f t="shared" si="9"/>
        <v>0</v>
      </c>
      <c r="AH23" s="40">
        <f t="shared" si="10"/>
        <v>0</v>
      </c>
      <c r="AI23" s="39"/>
      <c r="AJ23" s="23">
        <f t="shared" si="11"/>
        <v>0</v>
      </c>
      <c r="AK23" s="23">
        <f t="shared" si="12"/>
        <v>0</v>
      </c>
      <c r="AL23" s="23">
        <f t="shared" si="13"/>
        <v>0</v>
      </c>
      <c r="AN23" s="40">
        <v>21</v>
      </c>
      <c r="AO23" s="40">
        <f>H23*0.0318597184489997</f>
        <v>0</v>
      </c>
      <c r="AP23" s="40">
        <f>H23*(1-0.0318597184489997)</f>
        <v>0</v>
      </c>
      <c r="AQ23" s="41" t="s">
        <v>7</v>
      </c>
      <c r="AV23" s="40">
        <f t="shared" si="14"/>
        <v>0</v>
      </c>
      <c r="AW23" s="40">
        <f t="shared" si="15"/>
        <v>0</v>
      </c>
      <c r="AX23" s="40">
        <f t="shared" si="16"/>
        <v>0</v>
      </c>
      <c r="AY23" s="43" t="s">
        <v>191</v>
      </c>
      <c r="AZ23" s="43" t="s">
        <v>201</v>
      </c>
      <c r="BA23" s="39" t="s">
        <v>207</v>
      </c>
      <c r="BC23" s="40">
        <f t="shared" si="17"/>
        <v>0</v>
      </c>
      <c r="BD23" s="40">
        <f t="shared" si="18"/>
        <v>0</v>
      </c>
      <c r="BE23" s="40">
        <v>0</v>
      </c>
      <c r="BF23" s="40">
        <f>23</f>
        <v>23</v>
      </c>
      <c r="BH23" s="23">
        <f t="shared" si="19"/>
        <v>0</v>
      </c>
      <c r="BI23" s="23">
        <f t="shared" si="20"/>
        <v>0</v>
      </c>
      <c r="BJ23" s="23">
        <f t="shared" si="21"/>
        <v>0</v>
      </c>
      <c r="BK23" s="23" t="s">
        <v>212</v>
      </c>
      <c r="BL23" s="40">
        <v>18</v>
      </c>
    </row>
    <row r="24" spans="1:64" ht="12.75">
      <c r="A24" s="6" t="s">
        <v>16</v>
      </c>
      <c r="B24" s="16" t="s">
        <v>58</v>
      </c>
      <c r="C24" s="108" t="s">
        <v>267</v>
      </c>
      <c r="D24" s="109"/>
      <c r="E24" s="109"/>
      <c r="F24" s="16" t="s">
        <v>154</v>
      </c>
      <c r="G24" s="24">
        <v>1</v>
      </c>
      <c r="H24" s="24">
        <v>0</v>
      </c>
      <c r="I24" s="24">
        <f t="shared" si="0"/>
        <v>0</v>
      </c>
      <c r="J24" s="24">
        <f t="shared" si="1"/>
        <v>0</v>
      </c>
      <c r="K24" s="24">
        <f t="shared" si="2"/>
        <v>0</v>
      </c>
      <c r="L24" s="36" t="s">
        <v>177</v>
      </c>
      <c r="M24" s="7"/>
      <c r="Z24" s="40">
        <f t="shared" si="3"/>
        <v>0</v>
      </c>
      <c r="AB24" s="40">
        <f t="shared" si="4"/>
        <v>0</v>
      </c>
      <c r="AC24" s="40">
        <f t="shared" si="5"/>
        <v>0</v>
      </c>
      <c r="AD24" s="40">
        <f t="shared" si="6"/>
        <v>0</v>
      </c>
      <c r="AE24" s="40">
        <f t="shared" si="7"/>
        <v>0</v>
      </c>
      <c r="AF24" s="40">
        <f t="shared" si="8"/>
        <v>0</v>
      </c>
      <c r="AG24" s="40">
        <f t="shared" si="9"/>
        <v>0</v>
      </c>
      <c r="AH24" s="40">
        <f t="shared" si="10"/>
        <v>0</v>
      </c>
      <c r="AI24" s="39"/>
      <c r="AJ24" s="24">
        <f t="shared" si="11"/>
        <v>0</v>
      </c>
      <c r="AK24" s="24">
        <f t="shared" si="12"/>
        <v>0</v>
      </c>
      <c r="AL24" s="24">
        <f t="shared" si="13"/>
        <v>0</v>
      </c>
      <c r="AN24" s="40">
        <v>21</v>
      </c>
      <c r="AO24" s="40">
        <f>H24*1</f>
        <v>0</v>
      </c>
      <c r="AP24" s="40">
        <f>H24*(1-1)</f>
        <v>0</v>
      </c>
      <c r="AQ24" s="42" t="s">
        <v>7</v>
      </c>
      <c r="AV24" s="40">
        <f t="shared" si="14"/>
        <v>0</v>
      </c>
      <c r="AW24" s="40">
        <f t="shared" si="15"/>
        <v>0</v>
      </c>
      <c r="AX24" s="40">
        <f t="shared" si="16"/>
        <v>0</v>
      </c>
      <c r="AY24" s="43" t="s">
        <v>191</v>
      </c>
      <c r="AZ24" s="43" t="s">
        <v>201</v>
      </c>
      <c r="BA24" s="39" t="s">
        <v>207</v>
      </c>
      <c r="BC24" s="40">
        <f t="shared" si="17"/>
        <v>0</v>
      </c>
      <c r="BD24" s="40">
        <f t="shared" si="18"/>
        <v>0</v>
      </c>
      <c r="BE24" s="40">
        <v>0</v>
      </c>
      <c r="BF24" s="40">
        <f>24</f>
        <v>24</v>
      </c>
      <c r="BH24" s="24">
        <f t="shared" si="19"/>
        <v>0</v>
      </c>
      <c r="BI24" s="24">
        <f t="shared" si="20"/>
        <v>0</v>
      </c>
      <c r="BJ24" s="24">
        <f t="shared" si="21"/>
        <v>0</v>
      </c>
      <c r="BK24" s="24" t="s">
        <v>213</v>
      </c>
      <c r="BL24" s="40">
        <v>18</v>
      </c>
    </row>
    <row r="25" spans="1:64" ht="12.75">
      <c r="A25" s="4" t="s">
        <v>17</v>
      </c>
      <c r="B25" s="14" t="s">
        <v>59</v>
      </c>
      <c r="C25" s="104" t="s">
        <v>98</v>
      </c>
      <c r="D25" s="105"/>
      <c r="E25" s="105"/>
      <c r="F25" s="14" t="s">
        <v>154</v>
      </c>
      <c r="G25" s="23">
        <v>1</v>
      </c>
      <c r="H25" s="23">
        <v>0</v>
      </c>
      <c r="I25" s="23">
        <f t="shared" si="0"/>
        <v>0</v>
      </c>
      <c r="J25" s="23">
        <f t="shared" si="1"/>
        <v>0</v>
      </c>
      <c r="K25" s="23">
        <f t="shared" si="2"/>
        <v>0</v>
      </c>
      <c r="L25" s="34" t="s">
        <v>177</v>
      </c>
      <c r="M25" s="7"/>
      <c r="Z25" s="40">
        <f t="shared" si="3"/>
        <v>0</v>
      </c>
      <c r="AB25" s="40">
        <f t="shared" si="4"/>
        <v>0</v>
      </c>
      <c r="AC25" s="40">
        <f t="shared" si="5"/>
        <v>0</v>
      </c>
      <c r="AD25" s="40">
        <f t="shared" si="6"/>
        <v>0</v>
      </c>
      <c r="AE25" s="40">
        <f t="shared" si="7"/>
        <v>0</v>
      </c>
      <c r="AF25" s="40">
        <f t="shared" si="8"/>
        <v>0</v>
      </c>
      <c r="AG25" s="40">
        <f t="shared" si="9"/>
        <v>0</v>
      </c>
      <c r="AH25" s="40">
        <f t="shared" si="10"/>
        <v>0</v>
      </c>
      <c r="AI25" s="39"/>
      <c r="AJ25" s="23">
        <f t="shared" si="11"/>
        <v>0</v>
      </c>
      <c r="AK25" s="23">
        <f t="shared" si="12"/>
        <v>0</v>
      </c>
      <c r="AL25" s="23">
        <f t="shared" si="13"/>
        <v>0</v>
      </c>
      <c r="AN25" s="40">
        <v>21</v>
      </c>
      <c r="AO25" s="40">
        <f>H25*0</f>
        <v>0</v>
      </c>
      <c r="AP25" s="40">
        <f>H25*(1-0)</f>
        <v>0</v>
      </c>
      <c r="AQ25" s="41" t="s">
        <v>7</v>
      </c>
      <c r="AV25" s="40">
        <f t="shared" si="14"/>
        <v>0</v>
      </c>
      <c r="AW25" s="40">
        <f t="shared" si="15"/>
        <v>0</v>
      </c>
      <c r="AX25" s="40">
        <f t="shared" si="16"/>
        <v>0</v>
      </c>
      <c r="AY25" s="43" t="s">
        <v>191</v>
      </c>
      <c r="AZ25" s="43" t="s">
        <v>201</v>
      </c>
      <c r="BA25" s="39" t="s">
        <v>207</v>
      </c>
      <c r="BC25" s="40">
        <f t="shared" si="17"/>
        <v>0</v>
      </c>
      <c r="BD25" s="40">
        <f t="shared" si="18"/>
        <v>0</v>
      </c>
      <c r="BE25" s="40">
        <v>0</v>
      </c>
      <c r="BF25" s="40">
        <f>25</f>
        <v>25</v>
      </c>
      <c r="BH25" s="23">
        <f t="shared" si="19"/>
        <v>0</v>
      </c>
      <c r="BI25" s="23">
        <f t="shared" si="20"/>
        <v>0</v>
      </c>
      <c r="BJ25" s="23">
        <f t="shared" si="21"/>
        <v>0</v>
      </c>
      <c r="BK25" s="23" t="s">
        <v>212</v>
      </c>
      <c r="BL25" s="40">
        <v>18</v>
      </c>
    </row>
    <row r="26" spans="1:47" ht="12.75">
      <c r="A26" s="5"/>
      <c r="B26" s="15" t="s">
        <v>33</v>
      </c>
      <c r="C26" s="106" t="s">
        <v>99</v>
      </c>
      <c r="D26" s="107"/>
      <c r="E26" s="107"/>
      <c r="F26" s="21" t="s">
        <v>6</v>
      </c>
      <c r="G26" s="21" t="s">
        <v>6</v>
      </c>
      <c r="H26" s="21" t="s">
        <v>6</v>
      </c>
      <c r="I26" s="46">
        <f>SUM(I27:I28)</f>
        <v>0</v>
      </c>
      <c r="J26" s="46">
        <f>SUM(J27:J28)</f>
        <v>0</v>
      </c>
      <c r="K26" s="46">
        <f>SUM(K27:K28)</f>
        <v>0</v>
      </c>
      <c r="L26" s="35"/>
      <c r="M26" s="7"/>
      <c r="AI26" s="39"/>
      <c r="AS26" s="46">
        <f>SUM(AJ27:AJ28)</f>
        <v>0</v>
      </c>
      <c r="AT26" s="46">
        <f>SUM(AK27:AK28)</f>
        <v>0</v>
      </c>
      <c r="AU26" s="46">
        <f>SUM(AL27:AL28)</f>
        <v>0</v>
      </c>
    </row>
    <row r="27" spans="1:64" ht="12.75">
      <c r="A27" s="4" t="s">
        <v>18</v>
      </c>
      <c r="B27" s="14" t="s">
        <v>60</v>
      </c>
      <c r="C27" s="104" t="s">
        <v>100</v>
      </c>
      <c r="D27" s="105"/>
      <c r="E27" s="105"/>
      <c r="F27" s="14" t="s">
        <v>152</v>
      </c>
      <c r="G27" s="23">
        <v>3.672</v>
      </c>
      <c r="H27" s="23">
        <v>0</v>
      </c>
      <c r="I27" s="23">
        <f>G27*AO27</f>
        <v>0</v>
      </c>
      <c r="J27" s="23">
        <f>G27*AP27</f>
        <v>0</v>
      </c>
      <c r="K27" s="23">
        <f>G27*H27</f>
        <v>0</v>
      </c>
      <c r="L27" s="34" t="s">
        <v>177</v>
      </c>
      <c r="M27" s="7"/>
      <c r="Z27" s="40">
        <f>IF(AQ27="5",BJ27,0)</f>
        <v>0</v>
      </c>
      <c r="AB27" s="40">
        <f>IF(AQ27="1",BH27,0)</f>
        <v>0</v>
      </c>
      <c r="AC27" s="40">
        <f>IF(AQ27="1",BI27,0)</f>
        <v>0</v>
      </c>
      <c r="AD27" s="40">
        <f>IF(AQ27="7",BH27,0)</f>
        <v>0</v>
      </c>
      <c r="AE27" s="40">
        <f>IF(AQ27="7",BI27,0)</f>
        <v>0</v>
      </c>
      <c r="AF27" s="40">
        <f>IF(AQ27="2",BH27,0)</f>
        <v>0</v>
      </c>
      <c r="AG27" s="40">
        <f>IF(AQ27="2",BI27,0)</f>
        <v>0</v>
      </c>
      <c r="AH27" s="40">
        <f>IF(AQ27="0",BJ27,0)</f>
        <v>0</v>
      </c>
      <c r="AI27" s="39"/>
      <c r="AJ27" s="23">
        <f>IF(AN27=0,K27,0)</f>
        <v>0</v>
      </c>
      <c r="AK27" s="23">
        <f>IF(AN27=15,K27,0)</f>
        <v>0</v>
      </c>
      <c r="AL27" s="23">
        <f>IF(AN27=21,K27,0)</f>
        <v>0</v>
      </c>
      <c r="AN27" s="40">
        <v>21</v>
      </c>
      <c r="AO27" s="40">
        <f>H27*0.905199371432567</f>
        <v>0</v>
      </c>
      <c r="AP27" s="40">
        <f>H27*(1-0.905199371432567)</f>
        <v>0</v>
      </c>
      <c r="AQ27" s="41" t="s">
        <v>7</v>
      </c>
      <c r="AV27" s="40">
        <f>AW27+AX27</f>
        <v>0</v>
      </c>
      <c r="AW27" s="40">
        <f>G27*AO27</f>
        <v>0</v>
      </c>
      <c r="AX27" s="40">
        <f>G27*AP27</f>
        <v>0</v>
      </c>
      <c r="AY27" s="43" t="s">
        <v>192</v>
      </c>
      <c r="AZ27" s="43" t="s">
        <v>202</v>
      </c>
      <c r="BA27" s="39" t="s">
        <v>207</v>
      </c>
      <c r="BC27" s="40">
        <f>AW27+AX27</f>
        <v>0</v>
      </c>
      <c r="BD27" s="40">
        <f>H27/(100-BE27)*100</f>
        <v>0</v>
      </c>
      <c r="BE27" s="40">
        <v>0</v>
      </c>
      <c r="BF27" s="40">
        <f>27</f>
        <v>27</v>
      </c>
      <c r="BH27" s="23">
        <f>G27*AO27</f>
        <v>0</v>
      </c>
      <c r="BI27" s="23">
        <f>G27*AP27</f>
        <v>0</v>
      </c>
      <c r="BJ27" s="23">
        <f>G27*H27</f>
        <v>0</v>
      </c>
      <c r="BK27" s="23" t="s">
        <v>212</v>
      </c>
      <c r="BL27" s="40">
        <v>27</v>
      </c>
    </row>
    <row r="28" spans="1:64" ht="12.75">
      <c r="A28" s="4" t="s">
        <v>19</v>
      </c>
      <c r="B28" s="14" t="s">
        <v>61</v>
      </c>
      <c r="C28" s="104" t="s">
        <v>101</v>
      </c>
      <c r="D28" s="105"/>
      <c r="E28" s="105"/>
      <c r="F28" s="14" t="s">
        <v>152</v>
      </c>
      <c r="G28" s="23">
        <v>0.408</v>
      </c>
      <c r="H28" s="23">
        <v>0</v>
      </c>
      <c r="I28" s="23">
        <f>G28*AO28</f>
        <v>0</v>
      </c>
      <c r="J28" s="23">
        <f>G28*AP28</f>
        <v>0</v>
      </c>
      <c r="K28" s="23">
        <f>G28*H28</f>
        <v>0</v>
      </c>
      <c r="L28" s="34" t="s">
        <v>177</v>
      </c>
      <c r="M28" s="7"/>
      <c r="Z28" s="40">
        <f>IF(AQ28="5",BJ28,0)</f>
        <v>0</v>
      </c>
      <c r="AB28" s="40">
        <f>IF(AQ28="1",BH28,0)</f>
        <v>0</v>
      </c>
      <c r="AC28" s="40">
        <f>IF(AQ28="1",BI28,0)</f>
        <v>0</v>
      </c>
      <c r="AD28" s="40">
        <f>IF(AQ28="7",BH28,0)</f>
        <v>0</v>
      </c>
      <c r="AE28" s="40">
        <f>IF(AQ28="7",BI28,0)</f>
        <v>0</v>
      </c>
      <c r="AF28" s="40">
        <f>IF(AQ28="2",BH28,0)</f>
        <v>0</v>
      </c>
      <c r="AG28" s="40">
        <f>IF(AQ28="2",BI28,0)</f>
        <v>0</v>
      </c>
      <c r="AH28" s="40">
        <f>IF(AQ28="0",BJ28,0)</f>
        <v>0</v>
      </c>
      <c r="AI28" s="39"/>
      <c r="AJ28" s="23">
        <f>IF(AN28=0,K28,0)</f>
        <v>0</v>
      </c>
      <c r="AK28" s="23">
        <f>IF(AN28=15,K28,0)</f>
        <v>0</v>
      </c>
      <c r="AL28" s="23">
        <f>IF(AN28=21,K28,0)</f>
        <v>0</v>
      </c>
      <c r="AN28" s="40">
        <v>21</v>
      </c>
      <c r="AO28" s="40">
        <f>H28*0.824734992679356</f>
        <v>0</v>
      </c>
      <c r="AP28" s="40">
        <f>H28*(1-0.824734992679356)</f>
        <v>0</v>
      </c>
      <c r="AQ28" s="41" t="s">
        <v>7</v>
      </c>
      <c r="AV28" s="40">
        <f>AW28+AX28</f>
        <v>0</v>
      </c>
      <c r="AW28" s="40">
        <f>G28*AO28</f>
        <v>0</v>
      </c>
      <c r="AX28" s="40">
        <f>G28*AP28</f>
        <v>0</v>
      </c>
      <c r="AY28" s="43" t="s">
        <v>192</v>
      </c>
      <c r="AZ28" s="43" t="s">
        <v>202</v>
      </c>
      <c r="BA28" s="39" t="s">
        <v>207</v>
      </c>
      <c r="BC28" s="40">
        <f>AW28+AX28</f>
        <v>0</v>
      </c>
      <c r="BD28" s="40">
        <f>H28/(100-BE28)*100</f>
        <v>0</v>
      </c>
      <c r="BE28" s="40">
        <v>0</v>
      </c>
      <c r="BF28" s="40">
        <f>28</f>
        <v>28</v>
      </c>
      <c r="BH28" s="23">
        <f>G28*AO28</f>
        <v>0</v>
      </c>
      <c r="BI28" s="23">
        <f>G28*AP28</f>
        <v>0</v>
      </c>
      <c r="BJ28" s="23">
        <f>G28*H28</f>
        <v>0</v>
      </c>
      <c r="BK28" s="23" t="s">
        <v>212</v>
      </c>
      <c r="BL28" s="40">
        <v>27</v>
      </c>
    </row>
    <row r="29" spans="1:13" ht="12.75">
      <c r="A29" s="7"/>
      <c r="B29" s="17" t="s">
        <v>62</v>
      </c>
      <c r="C29" s="110" t="s">
        <v>102</v>
      </c>
      <c r="D29" s="111"/>
      <c r="E29" s="111"/>
      <c r="F29" s="111"/>
      <c r="G29" s="111"/>
      <c r="H29" s="111"/>
      <c r="I29" s="111"/>
      <c r="J29" s="111"/>
      <c r="K29" s="111"/>
      <c r="L29" s="112"/>
      <c r="M29" s="7"/>
    </row>
    <row r="30" spans="1:47" ht="12.75">
      <c r="A30" s="5"/>
      <c r="B30" s="15" t="s">
        <v>37</v>
      </c>
      <c r="C30" s="106" t="s">
        <v>103</v>
      </c>
      <c r="D30" s="107"/>
      <c r="E30" s="107"/>
      <c r="F30" s="21" t="s">
        <v>6</v>
      </c>
      <c r="G30" s="21" t="s">
        <v>6</v>
      </c>
      <c r="H30" s="21" t="s">
        <v>6</v>
      </c>
      <c r="I30" s="46">
        <f>SUM(I31:I31)</f>
        <v>0</v>
      </c>
      <c r="J30" s="46">
        <f>SUM(J31:J31)</f>
        <v>0</v>
      </c>
      <c r="K30" s="46">
        <f>SUM(K31:K31)</f>
        <v>0</v>
      </c>
      <c r="L30" s="35"/>
      <c r="M30" s="7"/>
      <c r="AI30" s="39"/>
      <c r="AS30" s="46">
        <f>SUM(AJ31:AJ31)</f>
        <v>0</v>
      </c>
      <c r="AT30" s="46">
        <f>SUM(AK31:AK31)</f>
        <v>0</v>
      </c>
      <c r="AU30" s="46">
        <f>SUM(AL31:AL31)</f>
        <v>0</v>
      </c>
    </row>
    <row r="31" spans="1:64" ht="12.75">
      <c r="A31" s="4" t="s">
        <v>20</v>
      </c>
      <c r="B31" s="14" t="s">
        <v>63</v>
      </c>
      <c r="C31" s="104" t="s">
        <v>104</v>
      </c>
      <c r="D31" s="105"/>
      <c r="E31" s="105"/>
      <c r="F31" s="14" t="s">
        <v>155</v>
      </c>
      <c r="G31" s="23">
        <v>0.05628</v>
      </c>
      <c r="H31" s="23">
        <v>0</v>
      </c>
      <c r="I31" s="23">
        <f>G31*AO31</f>
        <v>0</v>
      </c>
      <c r="J31" s="23">
        <f>G31*AP31</f>
        <v>0</v>
      </c>
      <c r="K31" s="23">
        <f>G31*H31</f>
        <v>0</v>
      </c>
      <c r="L31" s="34" t="s">
        <v>177</v>
      </c>
      <c r="M31" s="7"/>
      <c r="Z31" s="40">
        <f>IF(AQ31="5",BJ31,0)</f>
        <v>0</v>
      </c>
      <c r="AB31" s="40">
        <f>IF(AQ31="1",BH31,0)</f>
        <v>0</v>
      </c>
      <c r="AC31" s="40">
        <f>IF(AQ31="1",BI31,0)</f>
        <v>0</v>
      </c>
      <c r="AD31" s="40">
        <f>IF(AQ31="7",BH31,0)</f>
        <v>0</v>
      </c>
      <c r="AE31" s="40">
        <f>IF(AQ31="7",BI31,0)</f>
        <v>0</v>
      </c>
      <c r="AF31" s="40">
        <f>IF(AQ31="2",BH31,0)</f>
        <v>0</v>
      </c>
      <c r="AG31" s="40">
        <f>IF(AQ31="2",BI31,0)</f>
        <v>0</v>
      </c>
      <c r="AH31" s="40">
        <f>IF(AQ31="0",BJ31,0)</f>
        <v>0</v>
      </c>
      <c r="AI31" s="39"/>
      <c r="AJ31" s="23">
        <f>IF(AN31=0,K31,0)</f>
        <v>0</v>
      </c>
      <c r="AK31" s="23">
        <f>IF(AN31=15,K31,0)</f>
        <v>0</v>
      </c>
      <c r="AL31" s="23">
        <f>IF(AN31=21,K31,0)</f>
        <v>0</v>
      </c>
      <c r="AN31" s="40">
        <v>21</v>
      </c>
      <c r="AO31" s="40">
        <f>H31*0.706304010880889</f>
        <v>0</v>
      </c>
      <c r="AP31" s="40">
        <f>H31*(1-0.706304010880889)</f>
        <v>0</v>
      </c>
      <c r="AQ31" s="41" t="s">
        <v>7</v>
      </c>
      <c r="AV31" s="40">
        <f>AW31+AX31</f>
        <v>0</v>
      </c>
      <c r="AW31" s="40">
        <f>G31*AO31</f>
        <v>0</v>
      </c>
      <c r="AX31" s="40">
        <f>G31*AP31</f>
        <v>0</v>
      </c>
      <c r="AY31" s="43" t="s">
        <v>193</v>
      </c>
      <c r="AZ31" s="43" t="s">
        <v>203</v>
      </c>
      <c r="BA31" s="39" t="s">
        <v>207</v>
      </c>
      <c r="BC31" s="40">
        <f>AW31+AX31</f>
        <v>0</v>
      </c>
      <c r="BD31" s="40">
        <f>H31/(100-BE31)*100</f>
        <v>0</v>
      </c>
      <c r="BE31" s="40">
        <v>0</v>
      </c>
      <c r="BF31" s="40">
        <f>31</f>
        <v>31</v>
      </c>
      <c r="BH31" s="23">
        <f>G31*AO31</f>
        <v>0</v>
      </c>
      <c r="BI31" s="23">
        <f>G31*AP31</f>
        <v>0</v>
      </c>
      <c r="BJ31" s="23">
        <f>G31*H31</f>
        <v>0</v>
      </c>
      <c r="BK31" s="23" t="s">
        <v>212</v>
      </c>
      <c r="BL31" s="40">
        <v>31</v>
      </c>
    </row>
    <row r="32" spans="1:13" ht="12.75">
      <c r="A32" s="7"/>
      <c r="B32" s="17" t="s">
        <v>62</v>
      </c>
      <c r="C32" s="110" t="s">
        <v>105</v>
      </c>
      <c r="D32" s="111"/>
      <c r="E32" s="111"/>
      <c r="F32" s="111"/>
      <c r="G32" s="111"/>
      <c r="H32" s="111"/>
      <c r="I32" s="111"/>
      <c r="J32" s="111"/>
      <c r="K32" s="111"/>
      <c r="L32" s="112"/>
      <c r="M32" s="7"/>
    </row>
    <row r="33" spans="1:47" ht="12.75">
      <c r="A33" s="5"/>
      <c r="B33" s="15" t="s">
        <v>64</v>
      </c>
      <c r="C33" s="106" t="s">
        <v>106</v>
      </c>
      <c r="D33" s="107"/>
      <c r="E33" s="107"/>
      <c r="F33" s="21" t="s">
        <v>6</v>
      </c>
      <c r="G33" s="21" t="s">
        <v>6</v>
      </c>
      <c r="H33" s="21" t="s">
        <v>6</v>
      </c>
      <c r="I33" s="46">
        <f>SUM(I34:I36)</f>
        <v>0</v>
      </c>
      <c r="J33" s="46">
        <f>SUM(J34:J36)</f>
        <v>0</v>
      </c>
      <c r="K33" s="46">
        <f>SUM(K34:K36)</f>
        <v>0</v>
      </c>
      <c r="L33" s="35"/>
      <c r="M33" s="7"/>
      <c r="AI33" s="39"/>
      <c r="AS33" s="46">
        <f>SUM(AJ34:AJ36)</f>
        <v>0</v>
      </c>
      <c r="AT33" s="46">
        <f>SUM(AK34:AK36)</f>
        <v>0</v>
      </c>
      <c r="AU33" s="46">
        <f>SUM(AL34:AL36)</f>
        <v>0</v>
      </c>
    </row>
    <row r="34" spans="1:64" ht="12.75">
      <c r="A34" s="4" t="s">
        <v>21</v>
      </c>
      <c r="B34" s="14" t="s">
        <v>65</v>
      </c>
      <c r="C34" s="104" t="s">
        <v>107</v>
      </c>
      <c r="D34" s="105"/>
      <c r="E34" s="105"/>
      <c r="F34" s="14" t="s">
        <v>154</v>
      </c>
      <c r="G34" s="23">
        <v>1</v>
      </c>
      <c r="H34" s="23">
        <v>0</v>
      </c>
      <c r="I34" s="23">
        <f>G34*AO34</f>
        <v>0</v>
      </c>
      <c r="J34" s="23">
        <f>G34*AP34</f>
        <v>0</v>
      </c>
      <c r="K34" s="23">
        <f>G34*H34</f>
        <v>0</v>
      </c>
      <c r="L34" s="34" t="s">
        <v>177</v>
      </c>
      <c r="M34" s="7"/>
      <c r="Z34" s="40">
        <f>IF(AQ34="5",BJ34,0)</f>
        <v>0</v>
      </c>
      <c r="AB34" s="40">
        <f>IF(AQ34="1",BH34,0)</f>
        <v>0</v>
      </c>
      <c r="AC34" s="40">
        <f>IF(AQ34="1",BI34,0)</f>
        <v>0</v>
      </c>
      <c r="AD34" s="40">
        <f>IF(AQ34="7",BH34,0)</f>
        <v>0</v>
      </c>
      <c r="AE34" s="40">
        <f>IF(AQ34="7",BI34,0)</f>
        <v>0</v>
      </c>
      <c r="AF34" s="40">
        <f>IF(AQ34="2",BH34,0)</f>
        <v>0</v>
      </c>
      <c r="AG34" s="40">
        <f>IF(AQ34="2",BI34,0)</f>
        <v>0</v>
      </c>
      <c r="AH34" s="40">
        <f>IF(AQ34="0",BJ34,0)</f>
        <v>0</v>
      </c>
      <c r="AI34" s="39"/>
      <c r="AJ34" s="23">
        <f>IF(AN34=0,K34,0)</f>
        <v>0</v>
      </c>
      <c r="AK34" s="23">
        <f>IF(AN34=15,K34,0)</f>
        <v>0</v>
      </c>
      <c r="AL34" s="23">
        <f>IF(AN34=21,K34,0)</f>
        <v>0</v>
      </c>
      <c r="AN34" s="40">
        <v>21</v>
      </c>
      <c r="AO34" s="40">
        <f>H34*0</f>
        <v>0</v>
      </c>
      <c r="AP34" s="40">
        <f>H34*(1-0)</f>
        <v>0</v>
      </c>
      <c r="AQ34" s="41" t="s">
        <v>13</v>
      </c>
      <c r="AV34" s="40">
        <f>AW34+AX34</f>
        <v>0</v>
      </c>
      <c r="AW34" s="40">
        <f>G34*AO34</f>
        <v>0</v>
      </c>
      <c r="AX34" s="40">
        <f>G34*AP34</f>
        <v>0</v>
      </c>
      <c r="AY34" s="43" t="s">
        <v>194</v>
      </c>
      <c r="AZ34" s="43" t="s">
        <v>204</v>
      </c>
      <c r="BA34" s="39" t="s">
        <v>207</v>
      </c>
      <c r="BC34" s="40">
        <f>AW34+AX34</f>
        <v>0</v>
      </c>
      <c r="BD34" s="40">
        <f>H34/(100-BE34)*100</f>
        <v>0</v>
      </c>
      <c r="BE34" s="40">
        <v>0</v>
      </c>
      <c r="BF34" s="40">
        <f>34</f>
        <v>34</v>
      </c>
      <c r="BH34" s="23">
        <f>G34*AO34</f>
        <v>0</v>
      </c>
      <c r="BI34" s="23">
        <f>G34*AP34</f>
        <v>0</v>
      </c>
      <c r="BJ34" s="23">
        <f>G34*H34</f>
        <v>0</v>
      </c>
      <c r="BK34" s="23" t="s">
        <v>212</v>
      </c>
      <c r="BL34" s="40">
        <v>767</v>
      </c>
    </row>
    <row r="35" spans="1:13" ht="102" customHeight="1">
      <c r="A35" s="7"/>
      <c r="B35" s="17" t="s">
        <v>62</v>
      </c>
      <c r="C35" s="110" t="s">
        <v>108</v>
      </c>
      <c r="D35" s="111"/>
      <c r="E35" s="111"/>
      <c r="F35" s="111"/>
      <c r="G35" s="111"/>
      <c r="H35" s="111"/>
      <c r="I35" s="111"/>
      <c r="J35" s="111"/>
      <c r="K35" s="111"/>
      <c r="L35" s="112"/>
      <c r="M35" s="7"/>
    </row>
    <row r="36" spans="1:64" ht="12.75">
      <c r="A36" s="4" t="s">
        <v>22</v>
      </c>
      <c r="B36" s="14" t="s">
        <v>66</v>
      </c>
      <c r="C36" s="104" t="s">
        <v>109</v>
      </c>
      <c r="D36" s="105"/>
      <c r="E36" s="105"/>
      <c r="F36" s="14" t="s">
        <v>156</v>
      </c>
      <c r="G36" s="23">
        <v>43.95</v>
      </c>
      <c r="H36" s="23">
        <v>0</v>
      </c>
      <c r="I36" s="23">
        <f>G36*AO36</f>
        <v>0</v>
      </c>
      <c r="J36" s="23">
        <f>G36*AP36</f>
        <v>0</v>
      </c>
      <c r="K36" s="23">
        <f>G36*H36</f>
        <v>0</v>
      </c>
      <c r="L36" s="34" t="s">
        <v>177</v>
      </c>
      <c r="M36" s="7"/>
      <c r="Z36" s="40">
        <f>IF(AQ36="5",BJ36,0)</f>
        <v>0</v>
      </c>
      <c r="AB36" s="40">
        <f>IF(AQ36="1",BH36,0)</f>
        <v>0</v>
      </c>
      <c r="AC36" s="40">
        <f>IF(AQ36="1",BI36,0)</f>
        <v>0</v>
      </c>
      <c r="AD36" s="40">
        <f>IF(AQ36="7",BH36,0)</f>
        <v>0</v>
      </c>
      <c r="AE36" s="40">
        <f>IF(AQ36="7",BI36,0)</f>
        <v>0</v>
      </c>
      <c r="AF36" s="40">
        <f>IF(AQ36="2",BH36,0)</f>
        <v>0</v>
      </c>
      <c r="AG36" s="40">
        <f>IF(AQ36="2",BI36,0)</f>
        <v>0</v>
      </c>
      <c r="AH36" s="40">
        <f>IF(AQ36="0",BJ36,0)</f>
        <v>0</v>
      </c>
      <c r="AI36" s="39"/>
      <c r="AJ36" s="23">
        <f>IF(AN36=0,K36,0)</f>
        <v>0</v>
      </c>
      <c r="AK36" s="23">
        <f>IF(AN36=15,K36,0)</f>
        <v>0</v>
      </c>
      <c r="AL36" s="23">
        <f>IF(AN36=21,K36,0)</f>
        <v>0</v>
      </c>
      <c r="AN36" s="40">
        <v>21</v>
      </c>
      <c r="AO36" s="40">
        <f>H36*0.0756973588096516</f>
        <v>0</v>
      </c>
      <c r="AP36" s="40">
        <f>H36*(1-0.0756973588096516)</f>
        <v>0</v>
      </c>
      <c r="AQ36" s="41" t="s">
        <v>13</v>
      </c>
      <c r="AV36" s="40">
        <f>AW36+AX36</f>
        <v>0</v>
      </c>
      <c r="AW36" s="40">
        <f>G36*AO36</f>
        <v>0</v>
      </c>
      <c r="AX36" s="40">
        <f>G36*AP36</f>
        <v>0</v>
      </c>
      <c r="AY36" s="43" t="s">
        <v>194</v>
      </c>
      <c r="AZ36" s="43" t="s">
        <v>204</v>
      </c>
      <c r="BA36" s="39" t="s">
        <v>207</v>
      </c>
      <c r="BC36" s="40">
        <f>AW36+AX36</f>
        <v>0</v>
      </c>
      <c r="BD36" s="40">
        <f>H36/(100-BE36)*100</f>
        <v>0</v>
      </c>
      <c r="BE36" s="40">
        <v>0</v>
      </c>
      <c r="BF36" s="40">
        <f>36</f>
        <v>36</v>
      </c>
      <c r="BH36" s="23">
        <f>G36*AO36</f>
        <v>0</v>
      </c>
      <c r="BI36" s="23">
        <f>G36*AP36</f>
        <v>0</v>
      </c>
      <c r="BJ36" s="23">
        <f>G36*H36</f>
        <v>0</v>
      </c>
      <c r="BK36" s="23" t="s">
        <v>212</v>
      </c>
      <c r="BL36" s="40">
        <v>767</v>
      </c>
    </row>
    <row r="37" spans="1:13" ht="12.75">
      <c r="A37" s="7"/>
      <c r="B37" s="17" t="s">
        <v>62</v>
      </c>
      <c r="C37" s="110" t="s">
        <v>110</v>
      </c>
      <c r="D37" s="111"/>
      <c r="E37" s="111"/>
      <c r="F37" s="111"/>
      <c r="G37" s="111"/>
      <c r="H37" s="111"/>
      <c r="I37" s="111"/>
      <c r="J37" s="111"/>
      <c r="K37" s="111"/>
      <c r="L37" s="112"/>
      <c r="M37" s="7"/>
    </row>
    <row r="38" spans="1:47" ht="12.75">
      <c r="A38" s="5"/>
      <c r="B38" s="15" t="s">
        <v>67</v>
      </c>
      <c r="C38" s="106" t="s">
        <v>111</v>
      </c>
      <c r="D38" s="107"/>
      <c r="E38" s="107"/>
      <c r="F38" s="21" t="s">
        <v>6</v>
      </c>
      <c r="G38" s="21" t="s">
        <v>6</v>
      </c>
      <c r="H38" s="21" t="s">
        <v>6</v>
      </c>
      <c r="I38" s="46">
        <f>SUM(I39:I41)</f>
        <v>0</v>
      </c>
      <c r="J38" s="46">
        <f>SUM(J39:J41)</f>
        <v>0</v>
      </c>
      <c r="K38" s="46">
        <f>SUM(K39:K41)</f>
        <v>0</v>
      </c>
      <c r="L38" s="35"/>
      <c r="M38" s="7"/>
      <c r="AI38" s="39"/>
      <c r="AS38" s="46">
        <f>SUM(AJ39:AJ41)</f>
        <v>0</v>
      </c>
      <c r="AT38" s="46">
        <f>SUM(AK39:AK41)</f>
        <v>0</v>
      </c>
      <c r="AU38" s="46">
        <f>SUM(AL39:AL41)</f>
        <v>0</v>
      </c>
    </row>
    <row r="39" spans="1:64" ht="12.75">
      <c r="A39" s="4" t="s">
        <v>23</v>
      </c>
      <c r="B39" s="14" t="s">
        <v>68</v>
      </c>
      <c r="C39" s="104" t="s">
        <v>112</v>
      </c>
      <c r="D39" s="105"/>
      <c r="E39" s="105"/>
      <c r="F39" s="14" t="s">
        <v>157</v>
      </c>
      <c r="G39" s="23">
        <v>1</v>
      </c>
      <c r="H39" s="23">
        <v>0</v>
      </c>
      <c r="I39" s="23">
        <f>G39*AO39</f>
        <v>0</v>
      </c>
      <c r="J39" s="23">
        <f>G39*AP39</f>
        <v>0</v>
      </c>
      <c r="K39" s="23">
        <f>G39*H39</f>
        <v>0</v>
      </c>
      <c r="L39" s="34" t="s">
        <v>177</v>
      </c>
      <c r="M39" s="7"/>
      <c r="Z39" s="40">
        <f>IF(AQ39="5",BJ39,0)</f>
        <v>0</v>
      </c>
      <c r="AB39" s="40">
        <f>IF(AQ39="1",BH39,0)</f>
        <v>0</v>
      </c>
      <c r="AC39" s="40">
        <f>IF(AQ39="1",BI39,0)</f>
        <v>0</v>
      </c>
      <c r="AD39" s="40">
        <f>IF(AQ39="7",BH39,0)</f>
        <v>0</v>
      </c>
      <c r="AE39" s="40">
        <f>IF(AQ39="7",BI39,0)</f>
        <v>0</v>
      </c>
      <c r="AF39" s="40">
        <f>IF(AQ39="2",BH39,0)</f>
        <v>0</v>
      </c>
      <c r="AG39" s="40">
        <f>IF(AQ39="2",BI39,0)</f>
        <v>0</v>
      </c>
      <c r="AH39" s="40">
        <f>IF(AQ39="0",BJ39,0)</f>
        <v>0</v>
      </c>
      <c r="AI39" s="39"/>
      <c r="AJ39" s="23">
        <f>IF(AN39=0,K39,0)</f>
        <v>0</v>
      </c>
      <c r="AK39" s="23">
        <f>IF(AN39=15,K39,0)</f>
        <v>0</v>
      </c>
      <c r="AL39" s="23">
        <f>IF(AN39=21,K39,0)</f>
        <v>0</v>
      </c>
      <c r="AN39" s="40">
        <v>21</v>
      </c>
      <c r="AO39" s="40">
        <f>H39*0</f>
        <v>0</v>
      </c>
      <c r="AP39" s="40">
        <f>H39*(1-0)</f>
        <v>0</v>
      </c>
      <c r="AQ39" s="41" t="s">
        <v>13</v>
      </c>
      <c r="AV39" s="40">
        <f>AW39+AX39</f>
        <v>0</v>
      </c>
      <c r="AW39" s="40">
        <f>G39*AO39</f>
        <v>0</v>
      </c>
      <c r="AX39" s="40">
        <f>G39*AP39</f>
        <v>0</v>
      </c>
      <c r="AY39" s="43" t="s">
        <v>195</v>
      </c>
      <c r="AZ39" s="43" t="s">
        <v>205</v>
      </c>
      <c r="BA39" s="39" t="s">
        <v>207</v>
      </c>
      <c r="BC39" s="40">
        <f>AW39+AX39</f>
        <v>0</v>
      </c>
      <c r="BD39" s="40">
        <f>H39/(100-BE39)*100</f>
        <v>0</v>
      </c>
      <c r="BE39" s="40">
        <v>0</v>
      </c>
      <c r="BF39" s="40">
        <f>39</f>
        <v>39</v>
      </c>
      <c r="BH39" s="23">
        <f>G39*AO39</f>
        <v>0</v>
      </c>
      <c r="BI39" s="23">
        <f>G39*AP39</f>
        <v>0</v>
      </c>
      <c r="BJ39" s="23">
        <f>G39*H39</f>
        <v>0</v>
      </c>
      <c r="BK39" s="23" t="s">
        <v>212</v>
      </c>
      <c r="BL39" s="40">
        <v>783</v>
      </c>
    </row>
    <row r="40" spans="1:13" ht="12.75">
      <c r="A40" s="7"/>
      <c r="B40" s="17" t="s">
        <v>62</v>
      </c>
      <c r="C40" s="110" t="s">
        <v>113</v>
      </c>
      <c r="D40" s="111"/>
      <c r="E40" s="111"/>
      <c r="F40" s="111"/>
      <c r="G40" s="111"/>
      <c r="H40" s="111"/>
      <c r="I40" s="111"/>
      <c r="J40" s="111"/>
      <c r="K40" s="111"/>
      <c r="L40" s="112"/>
      <c r="M40" s="7"/>
    </row>
    <row r="41" spans="1:64" ht="12.75">
      <c r="A41" s="4" t="s">
        <v>24</v>
      </c>
      <c r="B41" s="14" t="s">
        <v>68</v>
      </c>
      <c r="C41" s="104" t="s">
        <v>114</v>
      </c>
      <c r="D41" s="105"/>
      <c r="E41" s="105"/>
      <c r="F41" s="14" t="s">
        <v>157</v>
      </c>
      <c r="G41" s="23">
        <v>1</v>
      </c>
      <c r="H41" s="23">
        <v>0</v>
      </c>
      <c r="I41" s="23">
        <f>G41*AO41</f>
        <v>0</v>
      </c>
      <c r="J41" s="23">
        <f>G41*AP41</f>
        <v>0</v>
      </c>
      <c r="K41" s="23">
        <f>G41*H41</f>
        <v>0</v>
      </c>
      <c r="L41" s="34" t="s">
        <v>177</v>
      </c>
      <c r="M41" s="7"/>
      <c r="Z41" s="40">
        <f>IF(AQ41="5",BJ41,0)</f>
        <v>0</v>
      </c>
      <c r="AB41" s="40">
        <f>IF(AQ41="1",BH41,0)</f>
        <v>0</v>
      </c>
      <c r="AC41" s="40">
        <f>IF(AQ41="1",BI41,0)</f>
        <v>0</v>
      </c>
      <c r="AD41" s="40">
        <f>IF(AQ41="7",BH41,0)</f>
        <v>0</v>
      </c>
      <c r="AE41" s="40">
        <f>IF(AQ41="7",BI41,0)</f>
        <v>0</v>
      </c>
      <c r="AF41" s="40">
        <f>IF(AQ41="2",BH41,0)</f>
        <v>0</v>
      </c>
      <c r="AG41" s="40">
        <f>IF(AQ41="2",BI41,0)</f>
        <v>0</v>
      </c>
      <c r="AH41" s="40">
        <f>IF(AQ41="0",BJ41,0)</f>
        <v>0</v>
      </c>
      <c r="AI41" s="39"/>
      <c r="AJ41" s="23">
        <f>IF(AN41=0,K41,0)</f>
        <v>0</v>
      </c>
      <c r="AK41" s="23">
        <f>IF(AN41=15,K41,0)</f>
        <v>0</v>
      </c>
      <c r="AL41" s="23">
        <f>IF(AN41=21,K41,0)</f>
        <v>0</v>
      </c>
      <c r="AN41" s="40">
        <v>21</v>
      </c>
      <c r="AO41" s="40">
        <f>H41*0</f>
        <v>0</v>
      </c>
      <c r="AP41" s="40">
        <f>H41*(1-0)</f>
        <v>0</v>
      </c>
      <c r="AQ41" s="41" t="s">
        <v>13</v>
      </c>
      <c r="AV41" s="40">
        <f>AW41+AX41</f>
        <v>0</v>
      </c>
      <c r="AW41" s="40">
        <f>G41*AO41</f>
        <v>0</v>
      </c>
      <c r="AX41" s="40">
        <f>G41*AP41</f>
        <v>0</v>
      </c>
      <c r="AY41" s="43" t="s">
        <v>195</v>
      </c>
      <c r="AZ41" s="43" t="s">
        <v>205</v>
      </c>
      <c r="BA41" s="39" t="s">
        <v>207</v>
      </c>
      <c r="BC41" s="40">
        <f>AW41+AX41</f>
        <v>0</v>
      </c>
      <c r="BD41" s="40">
        <f>H41/(100-BE41)*100</f>
        <v>0</v>
      </c>
      <c r="BE41" s="40">
        <v>0</v>
      </c>
      <c r="BF41" s="40">
        <f>41</f>
        <v>41</v>
      </c>
      <c r="BH41" s="23">
        <f>G41*AO41</f>
        <v>0</v>
      </c>
      <c r="BI41" s="23">
        <f>G41*AP41</f>
        <v>0</v>
      </c>
      <c r="BJ41" s="23">
        <f>G41*H41</f>
        <v>0</v>
      </c>
      <c r="BK41" s="23" t="s">
        <v>212</v>
      </c>
      <c r="BL41" s="40">
        <v>783</v>
      </c>
    </row>
    <row r="42" spans="1:13" ht="12.75">
      <c r="A42" s="7"/>
      <c r="B42" s="17" t="s">
        <v>62</v>
      </c>
      <c r="C42" s="110" t="s">
        <v>113</v>
      </c>
      <c r="D42" s="111"/>
      <c r="E42" s="111"/>
      <c r="F42" s="111"/>
      <c r="G42" s="111"/>
      <c r="H42" s="111"/>
      <c r="I42" s="111"/>
      <c r="J42" s="111"/>
      <c r="K42" s="111"/>
      <c r="L42" s="112"/>
      <c r="M42" s="7"/>
    </row>
    <row r="43" spans="1:47" ht="12.75">
      <c r="A43" s="5"/>
      <c r="B43" s="15" t="s">
        <v>69</v>
      </c>
      <c r="C43" s="106" t="s">
        <v>115</v>
      </c>
      <c r="D43" s="107"/>
      <c r="E43" s="107"/>
      <c r="F43" s="21" t="s">
        <v>6</v>
      </c>
      <c r="G43" s="21" t="s">
        <v>6</v>
      </c>
      <c r="H43" s="21" t="s">
        <v>6</v>
      </c>
      <c r="I43" s="46">
        <f>SUM(I44:I44)</f>
        <v>0</v>
      </c>
      <c r="J43" s="46">
        <f>SUM(J44:J44)</f>
        <v>0</v>
      </c>
      <c r="K43" s="46">
        <f>SUM(K44:K44)</f>
        <v>0</v>
      </c>
      <c r="L43" s="35"/>
      <c r="M43" s="7"/>
      <c r="AI43" s="39"/>
      <c r="AS43" s="46">
        <f>SUM(AJ44:AJ44)</f>
        <v>0</v>
      </c>
      <c r="AT43" s="46">
        <f>SUM(AK44:AK44)</f>
        <v>0</v>
      </c>
      <c r="AU43" s="46">
        <f>SUM(AL44:AL44)</f>
        <v>0</v>
      </c>
    </row>
    <row r="44" spans="1:64" ht="12.75">
      <c r="A44" s="4" t="s">
        <v>25</v>
      </c>
      <c r="B44" s="14" t="s">
        <v>70</v>
      </c>
      <c r="C44" s="104" t="s">
        <v>116</v>
      </c>
      <c r="D44" s="105"/>
      <c r="E44" s="105"/>
      <c r="F44" s="14" t="s">
        <v>158</v>
      </c>
      <c r="G44" s="23">
        <v>20</v>
      </c>
      <c r="H44" s="23">
        <v>0</v>
      </c>
      <c r="I44" s="23">
        <f>G44*AO44</f>
        <v>0</v>
      </c>
      <c r="J44" s="23">
        <f>G44*AP44</f>
        <v>0</v>
      </c>
      <c r="K44" s="23">
        <f>G44*H44</f>
        <v>0</v>
      </c>
      <c r="L44" s="34" t="s">
        <v>177</v>
      </c>
      <c r="M44" s="7"/>
      <c r="Z44" s="40">
        <f>IF(AQ44="5",BJ44,0)</f>
        <v>0</v>
      </c>
      <c r="AB44" s="40">
        <f>IF(AQ44="1",BH44,0)</f>
        <v>0</v>
      </c>
      <c r="AC44" s="40">
        <f>IF(AQ44="1",BI44,0)</f>
        <v>0</v>
      </c>
      <c r="AD44" s="40">
        <f>IF(AQ44="7",BH44,0)</f>
        <v>0</v>
      </c>
      <c r="AE44" s="40">
        <f>IF(AQ44="7",BI44,0)</f>
        <v>0</v>
      </c>
      <c r="AF44" s="40">
        <f>IF(AQ44="2",BH44,0)</f>
        <v>0</v>
      </c>
      <c r="AG44" s="40">
        <f>IF(AQ44="2",BI44,0)</f>
        <v>0</v>
      </c>
      <c r="AH44" s="40">
        <f>IF(AQ44="0",BJ44,0)</f>
        <v>0</v>
      </c>
      <c r="AI44" s="39"/>
      <c r="AJ44" s="23">
        <f>IF(AN44=0,K44,0)</f>
        <v>0</v>
      </c>
      <c r="AK44" s="23">
        <f>IF(AN44=15,K44,0)</f>
        <v>0</v>
      </c>
      <c r="AL44" s="23">
        <f>IF(AN44=21,K44,0)</f>
        <v>0</v>
      </c>
      <c r="AN44" s="40">
        <v>21</v>
      </c>
      <c r="AO44" s="40">
        <f>H44*0</f>
        <v>0</v>
      </c>
      <c r="AP44" s="40">
        <f>H44*(1-0)</f>
        <v>0</v>
      </c>
      <c r="AQ44" s="41" t="s">
        <v>7</v>
      </c>
      <c r="AV44" s="40">
        <f>AW44+AX44</f>
        <v>0</v>
      </c>
      <c r="AW44" s="40">
        <f>G44*AO44</f>
        <v>0</v>
      </c>
      <c r="AX44" s="40">
        <f>G44*AP44</f>
        <v>0</v>
      </c>
      <c r="AY44" s="43" t="s">
        <v>196</v>
      </c>
      <c r="AZ44" s="43" t="s">
        <v>206</v>
      </c>
      <c r="BA44" s="39" t="s">
        <v>207</v>
      </c>
      <c r="BC44" s="40">
        <f>AW44+AX44</f>
        <v>0</v>
      </c>
      <c r="BD44" s="40">
        <f>H44/(100-BE44)*100</f>
        <v>0</v>
      </c>
      <c r="BE44" s="40">
        <v>0</v>
      </c>
      <c r="BF44" s="40">
        <f>44</f>
        <v>44</v>
      </c>
      <c r="BH44" s="23">
        <f>G44*AO44</f>
        <v>0</v>
      </c>
      <c r="BI44" s="23">
        <f>G44*AP44</f>
        <v>0</v>
      </c>
      <c r="BJ44" s="23">
        <f>G44*H44</f>
        <v>0</v>
      </c>
      <c r="BK44" s="23" t="s">
        <v>212</v>
      </c>
      <c r="BL44" s="40">
        <v>90</v>
      </c>
    </row>
    <row r="45" spans="1:13" ht="12.75">
      <c r="A45" s="7"/>
      <c r="B45" s="17" t="s">
        <v>62</v>
      </c>
      <c r="C45" s="110" t="s">
        <v>117</v>
      </c>
      <c r="D45" s="111"/>
      <c r="E45" s="111"/>
      <c r="F45" s="111"/>
      <c r="G45" s="111"/>
      <c r="H45" s="111"/>
      <c r="I45" s="111"/>
      <c r="J45" s="111"/>
      <c r="K45" s="111"/>
      <c r="L45" s="112"/>
      <c r="M45" s="7"/>
    </row>
    <row r="46" spans="1:47" ht="12.75">
      <c r="A46" s="5"/>
      <c r="B46" s="15" t="s">
        <v>71</v>
      </c>
      <c r="C46" s="106" t="s">
        <v>118</v>
      </c>
      <c r="D46" s="107"/>
      <c r="E46" s="107"/>
      <c r="F46" s="21" t="s">
        <v>6</v>
      </c>
      <c r="G46" s="21" t="s">
        <v>6</v>
      </c>
      <c r="H46" s="21" t="s">
        <v>6</v>
      </c>
      <c r="I46" s="46">
        <f>SUM(I47:I55)</f>
        <v>0</v>
      </c>
      <c r="J46" s="46">
        <f>SUM(J47:J55)</f>
        <v>0</v>
      </c>
      <c r="K46" s="46">
        <f>SUM(K47:K55)</f>
        <v>0</v>
      </c>
      <c r="L46" s="35"/>
      <c r="M46" s="7"/>
      <c r="AI46" s="39"/>
      <c r="AS46" s="46">
        <f>SUM(AJ47:AJ55)</f>
        <v>0</v>
      </c>
      <c r="AT46" s="46">
        <f>SUM(AK47:AK55)</f>
        <v>0</v>
      </c>
      <c r="AU46" s="46">
        <f>SUM(AL47:AL55)</f>
        <v>0</v>
      </c>
    </row>
    <row r="47" spans="1:64" ht="12.75">
      <c r="A47" s="4" t="s">
        <v>26</v>
      </c>
      <c r="B47" s="14" t="s">
        <v>72</v>
      </c>
      <c r="C47" s="104" t="s">
        <v>119</v>
      </c>
      <c r="D47" s="105"/>
      <c r="E47" s="105"/>
      <c r="F47" s="14" t="s">
        <v>154</v>
      </c>
      <c r="G47" s="23">
        <v>20</v>
      </c>
      <c r="H47" s="23">
        <v>0</v>
      </c>
      <c r="I47" s="23">
        <f>G47*AO47</f>
        <v>0</v>
      </c>
      <c r="J47" s="23">
        <f>G47*AP47</f>
        <v>0</v>
      </c>
      <c r="K47" s="23">
        <f>G47*H47</f>
        <v>0</v>
      </c>
      <c r="L47" s="34" t="s">
        <v>177</v>
      </c>
      <c r="M47" s="7"/>
      <c r="Z47" s="40">
        <f>IF(AQ47="5",BJ47,0)</f>
        <v>0</v>
      </c>
      <c r="AB47" s="40">
        <f>IF(AQ47="1",BH47,0)</f>
        <v>0</v>
      </c>
      <c r="AC47" s="40">
        <f>IF(AQ47="1",BI47,0)</f>
        <v>0</v>
      </c>
      <c r="AD47" s="40">
        <f>IF(AQ47="7",BH47,0)</f>
        <v>0</v>
      </c>
      <c r="AE47" s="40">
        <f>IF(AQ47="7",BI47,0)</f>
        <v>0</v>
      </c>
      <c r="AF47" s="40">
        <f>IF(AQ47="2",BH47,0)</f>
        <v>0</v>
      </c>
      <c r="AG47" s="40">
        <f>IF(AQ47="2",BI47,0)</f>
        <v>0</v>
      </c>
      <c r="AH47" s="40">
        <f>IF(AQ47="0",BJ47,0)</f>
        <v>0</v>
      </c>
      <c r="AI47" s="39"/>
      <c r="AJ47" s="23">
        <f>IF(AN47=0,K47,0)</f>
        <v>0</v>
      </c>
      <c r="AK47" s="23">
        <f>IF(AN47=15,K47,0)</f>
        <v>0</v>
      </c>
      <c r="AL47" s="23">
        <f>IF(AN47=21,K47,0)</f>
        <v>0</v>
      </c>
      <c r="AN47" s="40">
        <v>21</v>
      </c>
      <c r="AO47" s="40">
        <f>H47*0.539762611275964</f>
        <v>0</v>
      </c>
      <c r="AP47" s="40">
        <f>H47*(1-0.539762611275964)</f>
        <v>0</v>
      </c>
      <c r="AQ47" s="41" t="s">
        <v>7</v>
      </c>
      <c r="AV47" s="40">
        <f>AW47+AX47</f>
        <v>0</v>
      </c>
      <c r="AW47" s="40">
        <f>G47*AO47</f>
        <v>0</v>
      </c>
      <c r="AX47" s="40">
        <f>G47*AP47</f>
        <v>0</v>
      </c>
      <c r="AY47" s="43" t="s">
        <v>197</v>
      </c>
      <c r="AZ47" s="43" t="s">
        <v>206</v>
      </c>
      <c r="BA47" s="39" t="s">
        <v>207</v>
      </c>
      <c r="BC47" s="40">
        <f>AW47+AX47</f>
        <v>0</v>
      </c>
      <c r="BD47" s="40">
        <f>H47/(100-BE47)*100</f>
        <v>0</v>
      </c>
      <c r="BE47" s="40">
        <v>0</v>
      </c>
      <c r="BF47" s="40">
        <f>47</f>
        <v>47</v>
      </c>
      <c r="BH47" s="23">
        <f>G47*AO47</f>
        <v>0</v>
      </c>
      <c r="BI47" s="23">
        <f>G47*AP47</f>
        <v>0</v>
      </c>
      <c r="BJ47" s="23">
        <f>G47*H47</f>
        <v>0</v>
      </c>
      <c r="BK47" s="23" t="s">
        <v>212</v>
      </c>
      <c r="BL47" s="40">
        <v>95</v>
      </c>
    </row>
    <row r="48" spans="1:64" ht="12.75">
      <c r="A48" s="6" t="s">
        <v>27</v>
      </c>
      <c r="B48" s="16" t="s">
        <v>73</v>
      </c>
      <c r="C48" s="108" t="s">
        <v>120</v>
      </c>
      <c r="D48" s="109"/>
      <c r="E48" s="109"/>
      <c r="F48" s="16" t="s">
        <v>154</v>
      </c>
      <c r="G48" s="24">
        <v>1</v>
      </c>
      <c r="H48" s="24">
        <v>0</v>
      </c>
      <c r="I48" s="24">
        <f>G48*AO48</f>
        <v>0</v>
      </c>
      <c r="J48" s="24">
        <f>G48*AP48</f>
        <v>0</v>
      </c>
      <c r="K48" s="24">
        <f>G48*H48</f>
        <v>0</v>
      </c>
      <c r="L48" s="36" t="s">
        <v>177</v>
      </c>
      <c r="M48" s="7"/>
      <c r="Z48" s="40">
        <f>IF(AQ48="5",BJ48,0)</f>
        <v>0</v>
      </c>
      <c r="AB48" s="40">
        <f>IF(AQ48="1",BH48,0)</f>
        <v>0</v>
      </c>
      <c r="AC48" s="40">
        <f>IF(AQ48="1",BI48,0)</f>
        <v>0</v>
      </c>
      <c r="AD48" s="40">
        <f>IF(AQ48="7",BH48,0)</f>
        <v>0</v>
      </c>
      <c r="AE48" s="40">
        <f>IF(AQ48="7",BI48,0)</f>
        <v>0</v>
      </c>
      <c r="AF48" s="40">
        <f>IF(AQ48="2",BH48,0)</f>
        <v>0</v>
      </c>
      <c r="AG48" s="40">
        <f>IF(AQ48="2",BI48,0)</f>
        <v>0</v>
      </c>
      <c r="AH48" s="40">
        <f>IF(AQ48="0",BJ48,0)</f>
        <v>0</v>
      </c>
      <c r="AI48" s="39"/>
      <c r="AJ48" s="24">
        <f>IF(AN48=0,K48,0)</f>
        <v>0</v>
      </c>
      <c r="AK48" s="24">
        <f>IF(AN48=15,K48,0)</f>
        <v>0</v>
      </c>
      <c r="AL48" s="24">
        <f>IF(AN48=21,K48,0)</f>
        <v>0</v>
      </c>
      <c r="AN48" s="40">
        <v>21</v>
      </c>
      <c r="AO48" s="40">
        <f>H48*1</f>
        <v>0</v>
      </c>
      <c r="AP48" s="40">
        <f>H48*(1-1)</f>
        <v>0</v>
      </c>
      <c r="AQ48" s="42" t="s">
        <v>7</v>
      </c>
      <c r="AV48" s="40">
        <f>AW48+AX48</f>
        <v>0</v>
      </c>
      <c r="AW48" s="40">
        <f>G48*AO48</f>
        <v>0</v>
      </c>
      <c r="AX48" s="40">
        <f>G48*AP48</f>
        <v>0</v>
      </c>
      <c r="AY48" s="43" t="s">
        <v>197</v>
      </c>
      <c r="AZ48" s="43" t="s">
        <v>206</v>
      </c>
      <c r="BA48" s="39" t="s">
        <v>207</v>
      </c>
      <c r="BC48" s="40">
        <f>AW48+AX48</f>
        <v>0</v>
      </c>
      <c r="BD48" s="40">
        <f>H48/(100-BE48)*100</f>
        <v>0</v>
      </c>
      <c r="BE48" s="40">
        <v>0</v>
      </c>
      <c r="BF48" s="40">
        <f>48</f>
        <v>48</v>
      </c>
      <c r="BH48" s="24">
        <f>G48*AO48</f>
        <v>0</v>
      </c>
      <c r="BI48" s="24">
        <f>G48*AP48</f>
        <v>0</v>
      </c>
      <c r="BJ48" s="24">
        <f>G48*H48</f>
        <v>0</v>
      </c>
      <c r="BK48" s="24" t="s">
        <v>213</v>
      </c>
      <c r="BL48" s="40">
        <v>95</v>
      </c>
    </row>
    <row r="49" spans="1:64" ht="12.75">
      <c r="A49" s="4" t="s">
        <v>28</v>
      </c>
      <c r="B49" s="14" t="s">
        <v>74</v>
      </c>
      <c r="C49" s="104" t="s">
        <v>121</v>
      </c>
      <c r="D49" s="105"/>
      <c r="E49" s="105"/>
      <c r="F49" s="14" t="s">
        <v>154</v>
      </c>
      <c r="G49" s="23">
        <v>1</v>
      </c>
      <c r="H49" s="23">
        <v>0</v>
      </c>
      <c r="I49" s="23">
        <f>G49*AO49</f>
        <v>0</v>
      </c>
      <c r="J49" s="23">
        <f>G49*AP49</f>
        <v>0</v>
      </c>
      <c r="K49" s="23">
        <f>G49*H49</f>
        <v>0</v>
      </c>
      <c r="L49" s="34" t="s">
        <v>177</v>
      </c>
      <c r="M49" s="7"/>
      <c r="Z49" s="40">
        <f>IF(AQ49="5",BJ49,0)</f>
        <v>0</v>
      </c>
      <c r="AB49" s="40">
        <f>IF(AQ49="1",BH49,0)</f>
        <v>0</v>
      </c>
      <c r="AC49" s="40">
        <f>IF(AQ49="1",BI49,0)</f>
        <v>0</v>
      </c>
      <c r="AD49" s="40">
        <f>IF(AQ49="7",BH49,0)</f>
        <v>0</v>
      </c>
      <c r="AE49" s="40">
        <f>IF(AQ49="7",BI49,0)</f>
        <v>0</v>
      </c>
      <c r="AF49" s="40">
        <f>IF(AQ49="2",BH49,0)</f>
        <v>0</v>
      </c>
      <c r="AG49" s="40">
        <f>IF(AQ49="2",BI49,0)</f>
        <v>0</v>
      </c>
      <c r="AH49" s="40">
        <f>IF(AQ49="0",BJ49,0)</f>
        <v>0</v>
      </c>
      <c r="AI49" s="39"/>
      <c r="AJ49" s="23">
        <f>IF(AN49=0,K49,0)</f>
        <v>0</v>
      </c>
      <c r="AK49" s="23">
        <f>IF(AN49=15,K49,0)</f>
        <v>0</v>
      </c>
      <c r="AL49" s="23">
        <f>IF(AN49=21,K49,0)</f>
        <v>0</v>
      </c>
      <c r="AN49" s="40">
        <v>21</v>
      </c>
      <c r="AO49" s="40">
        <f>H49*0</f>
        <v>0</v>
      </c>
      <c r="AP49" s="40">
        <f>H49*(1-0)</f>
        <v>0</v>
      </c>
      <c r="AQ49" s="41" t="s">
        <v>7</v>
      </c>
      <c r="AV49" s="40">
        <f>AW49+AX49</f>
        <v>0</v>
      </c>
      <c r="AW49" s="40">
        <f>G49*AO49</f>
        <v>0</v>
      </c>
      <c r="AX49" s="40">
        <f>G49*AP49</f>
        <v>0</v>
      </c>
      <c r="AY49" s="43" t="s">
        <v>197</v>
      </c>
      <c r="AZ49" s="43" t="s">
        <v>206</v>
      </c>
      <c r="BA49" s="39" t="s">
        <v>207</v>
      </c>
      <c r="BC49" s="40">
        <f>AW49+AX49</f>
        <v>0</v>
      </c>
      <c r="BD49" s="40">
        <f>H49/(100-BE49)*100</f>
        <v>0</v>
      </c>
      <c r="BE49" s="40">
        <v>0</v>
      </c>
      <c r="BF49" s="40">
        <f>49</f>
        <v>49</v>
      </c>
      <c r="BH49" s="23">
        <f>G49*AO49</f>
        <v>0</v>
      </c>
      <c r="BI49" s="23">
        <f>G49*AP49</f>
        <v>0</v>
      </c>
      <c r="BJ49" s="23">
        <f>G49*H49</f>
        <v>0</v>
      </c>
      <c r="BK49" s="23" t="s">
        <v>212</v>
      </c>
      <c r="BL49" s="40">
        <v>95</v>
      </c>
    </row>
    <row r="50" spans="1:13" ht="12.75">
      <c r="A50" s="7"/>
      <c r="B50" s="17" t="s">
        <v>62</v>
      </c>
      <c r="C50" s="110" t="s">
        <v>122</v>
      </c>
      <c r="D50" s="111"/>
      <c r="E50" s="111"/>
      <c r="F50" s="111"/>
      <c r="G50" s="111"/>
      <c r="H50" s="111"/>
      <c r="I50" s="111"/>
      <c r="J50" s="111"/>
      <c r="K50" s="111"/>
      <c r="L50" s="112"/>
      <c r="M50" s="7"/>
    </row>
    <row r="51" spans="1:64" ht="12.75">
      <c r="A51" s="4" t="s">
        <v>29</v>
      </c>
      <c r="B51" s="14" t="s">
        <v>74</v>
      </c>
      <c r="C51" s="104" t="s">
        <v>123</v>
      </c>
      <c r="D51" s="105"/>
      <c r="E51" s="105"/>
      <c r="F51" s="14" t="s">
        <v>154</v>
      </c>
      <c r="G51" s="23">
        <v>1</v>
      </c>
      <c r="H51" s="23">
        <v>0</v>
      </c>
      <c r="I51" s="23">
        <f>G51*AO51</f>
        <v>0</v>
      </c>
      <c r="J51" s="23">
        <f>G51*AP51</f>
        <v>0</v>
      </c>
      <c r="K51" s="23">
        <f>G51*H51</f>
        <v>0</v>
      </c>
      <c r="L51" s="34" t="s">
        <v>177</v>
      </c>
      <c r="M51" s="7"/>
      <c r="Z51" s="40">
        <f>IF(AQ51="5",BJ51,0)</f>
        <v>0</v>
      </c>
      <c r="AB51" s="40">
        <f>IF(AQ51="1",BH51,0)</f>
        <v>0</v>
      </c>
      <c r="AC51" s="40">
        <f>IF(AQ51="1",BI51,0)</f>
        <v>0</v>
      </c>
      <c r="AD51" s="40">
        <f>IF(AQ51="7",BH51,0)</f>
        <v>0</v>
      </c>
      <c r="AE51" s="40">
        <f>IF(AQ51="7",BI51,0)</f>
        <v>0</v>
      </c>
      <c r="AF51" s="40">
        <f>IF(AQ51="2",BH51,0)</f>
        <v>0</v>
      </c>
      <c r="AG51" s="40">
        <f>IF(AQ51="2",BI51,0)</f>
        <v>0</v>
      </c>
      <c r="AH51" s="40">
        <f>IF(AQ51="0",BJ51,0)</f>
        <v>0</v>
      </c>
      <c r="AI51" s="39"/>
      <c r="AJ51" s="23">
        <f>IF(AN51=0,K51,0)</f>
        <v>0</v>
      </c>
      <c r="AK51" s="23">
        <f>IF(AN51=15,K51,0)</f>
        <v>0</v>
      </c>
      <c r="AL51" s="23">
        <f>IF(AN51=21,K51,0)</f>
        <v>0</v>
      </c>
      <c r="AN51" s="40">
        <v>21</v>
      </c>
      <c r="AO51" s="40">
        <f>H51*0</f>
        <v>0</v>
      </c>
      <c r="AP51" s="40">
        <f>H51*(1-0)</f>
        <v>0</v>
      </c>
      <c r="AQ51" s="41" t="s">
        <v>7</v>
      </c>
      <c r="AV51" s="40">
        <f>AW51+AX51</f>
        <v>0</v>
      </c>
      <c r="AW51" s="40">
        <f>G51*AO51</f>
        <v>0</v>
      </c>
      <c r="AX51" s="40">
        <f>G51*AP51</f>
        <v>0</v>
      </c>
      <c r="AY51" s="43" t="s">
        <v>197</v>
      </c>
      <c r="AZ51" s="43" t="s">
        <v>206</v>
      </c>
      <c r="BA51" s="39" t="s">
        <v>207</v>
      </c>
      <c r="BC51" s="40">
        <f>AW51+AX51</f>
        <v>0</v>
      </c>
      <c r="BD51" s="40">
        <f>H51/(100-BE51)*100</f>
        <v>0</v>
      </c>
      <c r="BE51" s="40">
        <v>0</v>
      </c>
      <c r="BF51" s="40">
        <f>51</f>
        <v>51</v>
      </c>
      <c r="BH51" s="23">
        <f>G51*AO51</f>
        <v>0</v>
      </c>
      <c r="BI51" s="23">
        <f>G51*AP51</f>
        <v>0</v>
      </c>
      <c r="BJ51" s="23">
        <f>G51*H51</f>
        <v>0</v>
      </c>
      <c r="BK51" s="23" t="s">
        <v>212</v>
      </c>
      <c r="BL51" s="40">
        <v>95</v>
      </c>
    </row>
    <row r="52" spans="1:13" ht="12.75">
      <c r="A52" s="7"/>
      <c r="B52" s="17" t="s">
        <v>62</v>
      </c>
      <c r="C52" s="110" t="s">
        <v>122</v>
      </c>
      <c r="D52" s="111"/>
      <c r="E52" s="111"/>
      <c r="F52" s="111"/>
      <c r="G52" s="111"/>
      <c r="H52" s="111"/>
      <c r="I52" s="111"/>
      <c r="J52" s="111"/>
      <c r="K52" s="111"/>
      <c r="L52" s="112"/>
      <c r="M52" s="7"/>
    </row>
    <row r="53" spans="1:64" ht="12.75">
      <c r="A53" s="4" t="s">
        <v>30</v>
      </c>
      <c r="B53" s="14" t="s">
        <v>74</v>
      </c>
      <c r="C53" s="104" t="s">
        <v>124</v>
      </c>
      <c r="D53" s="105"/>
      <c r="E53" s="105"/>
      <c r="F53" s="14" t="s">
        <v>154</v>
      </c>
      <c r="G53" s="23">
        <v>1</v>
      </c>
      <c r="H53" s="23">
        <v>0</v>
      </c>
      <c r="I53" s="23">
        <f>G53*AO53</f>
        <v>0</v>
      </c>
      <c r="J53" s="23">
        <f>G53*AP53</f>
        <v>0</v>
      </c>
      <c r="K53" s="23">
        <f>G53*H53</f>
        <v>0</v>
      </c>
      <c r="L53" s="34" t="s">
        <v>177</v>
      </c>
      <c r="M53" s="7"/>
      <c r="Z53" s="40">
        <f>IF(AQ53="5",BJ53,0)</f>
        <v>0</v>
      </c>
      <c r="AB53" s="40">
        <f>IF(AQ53="1",BH53,0)</f>
        <v>0</v>
      </c>
      <c r="AC53" s="40">
        <f>IF(AQ53="1",BI53,0)</f>
        <v>0</v>
      </c>
      <c r="AD53" s="40">
        <f>IF(AQ53="7",BH53,0)</f>
        <v>0</v>
      </c>
      <c r="AE53" s="40">
        <f>IF(AQ53="7",BI53,0)</f>
        <v>0</v>
      </c>
      <c r="AF53" s="40">
        <f>IF(AQ53="2",BH53,0)</f>
        <v>0</v>
      </c>
      <c r="AG53" s="40">
        <f>IF(AQ53="2",BI53,0)</f>
        <v>0</v>
      </c>
      <c r="AH53" s="40">
        <f>IF(AQ53="0",BJ53,0)</f>
        <v>0</v>
      </c>
      <c r="AI53" s="39"/>
      <c r="AJ53" s="23">
        <f>IF(AN53=0,K53,0)</f>
        <v>0</v>
      </c>
      <c r="AK53" s="23">
        <f>IF(AN53=15,K53,0)</f>
        <v>0</v>
      </c>
      <c r="AL53" s="23">
        <f>IF(AN53=21,K53,0)</f>
        <v>0</v>
      </c>
      <c r="AN53" s="40">
        <v>21</v>
      </c>
      <c r="AO53" s="40">
        <f>H53*0</f>
        <v>0</v>
      </c>
      <c r="AP53" s="40">
        <f>H53*(1-0)</f>
        <v>0</v>
      </c>
      <c r="AQ53" s="41" t="s">
        <v>7</v>
      </c>
      <c r="AV53" s="40">
        <f>AW53+AX53</f>
        <v>0</v>
      </c>
      <c r="AW53" s="40">
        <f>G53*AO53</f>
        <v>0</v>
      </c>
      <c r="AX53" s="40">
        <f>G53*AP53</f>
        <v>0</v>
      </c>
      <c r="AY53" s="43" t="s">
        <v>197</v>
      </c>
      <c r="AZ53" s="43" t="s">
        <v>206</v>
      </c>
      <c r="BA53" s="39" t="s">
        <v>207</v>
      </c>
      <c r="BC53" s="40">
        <f>AW53+AX53</f>
        <v>0</v>
      </c>
      <c r="BD53" s="40">
        <f>H53/(100-BE53)*100</f>
        <v>0</v>
      </c>
      <c r="BE53" s="40">
        <v>0</v>
      </c>
      <c r="BF53" s="40">
        <f>53</f>
        <v>53</v>
      </c>
      <c r="BH53" s="23">
        <f>G53*AO53</f>
        <v>0</v>
      </c>
      <c r="BI53" s="23">
        <f>G53*AP53</f>
        <v>0</v>
      </c>
      <c r="BJ53" s="23">
        <f>G53*H53</f>
        <v>0</v>
      </c>
      <c r="BK53" s="23" t="s">
        <v>212</v>
      </c>
      <c r="BL53" s="40">
        <v>95</v>
      </c>
    </row>
    <row r="54" spans="1:13" ht="12.75">
      <c r="A54" s="7"/>
      <c r="B54" s="17" t="s">
        <v>62</v>
      </c>
      <c r="C54" s="110" t="s">
        <v>122</v>
      </c>
      <c r="D54" s="111"/>
      <c r="E54" s="111"/>
      <c r="F54" s="111"/>
      <c r="G54" s="111"/>
      <c r="H54" s="111"/>
      <c r="I54" s="111"/>
      <c r="J54" s="111"/>
      <c r="K54" s="111"/>
      <c r="L54" s="112"/>
      <c r="M54" s="7"/>
    </row>
    <row r="55" spans="1:64" ht="12.75">
      <c r="A55" s="4" t="s">
        <v>31</v>
      </c>
      <c r="B55" s="14" t="s">
        <v>74</v>
      </c>
      <c r="C55" s="104" t="s">
        <v>125</v>
      </c>
      <c r="D55" s="105"/>
      <c r="E55" s="105"/>
      <c r="F55" s="14" t="s">
        <v>154</v>
      </c>
      <c r="G55" s="23">
        <v>1</v>
      </c>
      <c r="H55" s="23">
        <v>0</v>
      </c>
      <c r="I55" s="23">
        <f>G55*AO55</f>
        <v>0</v>
      </c>
      <c r="J55" s="23">
        <f>G55*AP55</f>
        <v>0</v>
      </c>
      <c r="K55" s="23">
        <f>G55*H55</f>
        <v>0</v>
      </c>
      <c r="L55" s="34" t="s">
        <v>177</v>
      </c>
      <c r="M55" s="7"/>
      <c r="Z55" s="40">
        <f>IF(AQ55="5",BJ55,0)</f>
        <v>0</v>
      </c>
      <c r="AB55" s="40">
        <f>IF(AQ55="1",BH55,0)</f>
        <v>0</v>
      </c>
      <c r="AC55" s="40">
        <f>IF(AQ55="1",BI55,0)</f>
        <v>0</v>
      </c>
      <c r="AD55" s="40">
        <f>IF(AQ55="7",BH55,0)</f>
        <v>0</v>
      </c>
      <c r="AE55" s="40">
        <f>IF(AQ55="7",BI55,0)</f>
        <v>0</v>
      </c>
      <c r="AF55" s="40">
        <f>IF(AQ55="2",BH55,0)</f>
        <v>0</v>
      </c>
      <c r="AG55" s="40">
        <f>IF(AQ55="2",BI55,0)</f>
        <v>0</v>
      </c>
      <c r="AH55" s="40">
        <f>IF(AQ55="0",BJ55,0)</f>
        <v>0</v>
      </c>
      <c r="AI55" s="39"/>
      <c r="AJ55" s="23">
        <f>IF(AN55=0,K55,0)</f>
        <v>0</v>
      </c>
      <c r="AK55" s="23">
        <f>IF(AN55=15,K55,0)</f>
        <v>0</v>
      </c>
      <c r="AL55" s="23">
        <f>IF(AN55=21,K55,0)</f>
        <v>0</v>
      </c>
      <c r="AN55" s="40">
        <v>21</v>
      </c>
      <c r="AO55" s="40">
        <f>H55*0</f>
        <v>0</v>
      </c>
      <c r="AP55" s="40">
        <f>H55*(1-0)</f>
        <v>0</v>
      </c>
      <c r="AQ55" s="41" t="s">
        <v>7</v>
      </c>
      <c r="AV55" s="40">
        <f>AW55+AX55</f>
        <v>0</v>
      </c>
      <c r="AW55" s="40">
        <f>G55*AO55</f>
        <v>0</v>
      </c>
      <c r="AX55" s="40">
        <f>G55*AP55</f>
        <v>0</v>
      </c>
      <c r="AY55" s="43" t="s">
        <v>197</v>
      </c>
      <c r="AZ55" s="43" t="s">
        <v>206</v>
      </c>
      <c r="BA55" s="39" t="s">
        <v>207</v>
      </c>
      <c r="BC55" s="40">
        <f>AW55+AX55</f>
        <v>0</v>
      </c>
      <c r="BD55" s="40">
        <f>H55/(100-BE55)*100</f>
        <v>0</v>
      </c>
      <c r="BE55" s="40">
        <v>0</v>
      </c>
      <c r="BF55" s="40">
        <f>55</f>
        <v>55</v>
      </c>
      <c r="BH55" s="23">
        <f>G55*AO55</f>
        <v>0</v>
      </c>
      <c r="BI55" s="23">
        <f>G55*AP55</f>
        <v>0</v>
      </c>
      <c r="BJ55" s="23">
        <f>G55*H55</f>
        <v>0</v>
      </c>
      <c r="BK55" s="23" t="s">
        <v>212</v>
      </c>
      <c r="BL55" s="40">
        <v>95</v>
      </c>
    </row>
    <row r="56" spans="1:13" ht="12.75">
      <c r="A56" s="7"/>
      <c r="B56" s="17" t="s">
        <v>62</v>
      </c>
      <c r="C56" s="110" t="s">
        <v>126</v>
      </c>
      <c r="D56" s="111"/>
      <c r="E56" s="111"/>
      <c r="F56" s="111"/>
      <c r="G56" s="111"/>
      <c r="H56" s="111"/>
      <c r="I56" s="111"/>
      <c r="J56" s="111"/>
      <c r="K56" s="111"/>
      <c r="L56" s="112"/>
      <c r="M56" s="7"/>
    </row>
    <row r="57" spans="1:47" ht="12.75">
      <c r="A57" s="5"/>
      <c r="B57" s="15" t="s">
        <v>75</v>
      </c>
      <c r="C57" s="106" t="s">
        <v>127</v>
      </c>
      <c r="D57" s="107"/>
      <c r="E57" s="107"/>
      <c r="F57" s="21" t="s">
        <v>6</v>
      </c>
      <c r="G57" s="21" t="s">
        <v>6</v>
      </c>
      <c r="H57" s="21" t="s">
        <v>6</v>
      </c>
      <c r="I57" s="46">
        <f>SUM(I58:I58)</f>
        <v>0</v>
      </c>
      <c r="J57" s="46">
        <f>SUM(J58:J58)</f>
        <v>0</v>
      </c>
      <c r="K57" s="46">
        <f>SUM(K58:K58)</f>
        <v>0</v>
      </c>
      <c r="L57" s="35"/>
      <c r="M57" s="7"/>
      <c r="AI57" s="39"/>
      <c r="AS57" s="46">
        <f>SUM(AJ58:AJ58)</f>
        <v>0</v>
      </c>
      <c r="AT57" s="46">
        <f>SUM(AK58:AK58)</f>
        <v>0</v>
      </c>
      <c r="AU57" s="46">
        <f>SUM(AL58:AL58)</f>
        <v>0</v>
      </c>
    </row>
    <row r="58" spans="1:64" ht="12.75">
      <c r="A58" s="4" t="s">
        <v>32</v>
      </c>
      <c r="B58" s="14" t="s">
        <v>76</v>
      </c>
      <c r="C58" s="104" t="s">
        <v>128</v>
      </c>
      <c r="D58" s="105"/>
      <c r="E58" s="105"/>
      <c r="F58" s="14" t="s">
        <v>157</v>
      </c>
      <c r="G58" s="23">
        <v>1</v>
      </c>
      <c r="H58" s="23">
        <v>0</v>
      </c>
      <c r="I58" s="23">
        <f>G58*AO58</f>
        <v>0</v>
      </c>
      <c r="J58" s="23">
        <f>G58*AP58</f>
        <v>0</v>
      </c>
      <c r="K58" s="23">
        <f>G58*H58</f>
        <v>0</v>
      </c>
      <c r="L58" s="34" t="s">
        <v>177</v>
      </c>
      <c r="M58" s="7"/>
      <c r="Z58" s="40">
        <f>IF(AQ58="5",BJ58,0)</f>
        <v>0</v>
      </c>
      <c r="AB58" s="40">
        <f>IF(AQ58="1",BH58,0)</f>
        <v>0</v>
      </c>
      <c r="AC58" s="40">
        <f>IF(AQ58="1",BI58,0)</f>
        <v>0</v>
      </c>
      <c r="AD58" s="40">
        <f>IF(AQ58="7",BH58,0)</f>
        <v>0</v>
      </c>
      <c r="AE58" s="40">
        <f>IF(AQ58="7",BI58,0)</f>
        <v>0</v>
      </c>
      <c r="AF58" s="40">
        <f>IF(AQ58="2",BH58,0)</f>
        <v>0</v>
      </c>
      <c r="AG58" s="40">
        <f>IF(AQ58="2",BI58,0)</f>
        <v>0</v>
      </c>
      <c r="AH58" s="40">
        <f>IF(AQ58="0",BJ58,0)</f>
        <v>0</v>
      </c>
      <c r="AI58" s="39"/>
      <c r="AJ58" s="23">
        <f>IF(AN58=0,K58,0)</f>
        <v>0</v>
      </c>
      <c r="AK58" s="23">
        <f>IF(AN58=15,K58,0)</f>
        <v>0</v>
      </c>
      <c r="AL58" s="23">
        <f>IF(AN58=21,K58,0)</f>
        <v>0</v>
      </c>
      <c r="AN58" s="40">
        <v>21</v>
      </c>
      <c r="AO58" s="40">
        <f>H58*0</f>
        <v>0</v>
      </c>
      <c r="AP58" s="40">
        <f>H58*(1-0)</f>
        <v>0</v>
      </c>
      <c r="AQ58" s="41" t="s">
        <v>7</v>
      </c>
      <c r="AV58" s="40">
        <f>AW58+AX58</f>
        <v>0</v>
      </c>
      <c r="AW58" s="40">
        <f>G58*AO58</f>
        <v>0</v>
      </c>
      <c r="AX58" s="40">
        <f>G58*AP58</f>
        <v>0</v>
      </c>
      <c r="AY58" s="43" t="s">
        <v>198</v>
      </c>
      <c r="AZ58" s="43" t="s">
        <v>206</v>
      </c>
      <c r="BA58" s="39" t="s">
        <v>207</v>
      </c>
      <c r="BC58" s="40">
        <f>AW58+AX58</f>
        <v>0</v>
      </c>
      <c r="BD58" s="40">
        <f>H58/(100-BE58)*100</f>
        <v>0</v>
      </c>
      <c r="BE58" s="40">
        <v>0</v>
      </c>
      <c r="BF58" s="40">
        <f>58</f>
        <v>58</v>
      </c>
      <c r="BH58" s="23">
        <f>G58*AO58</f>
        <v>0</v>
      </c>
      <c r="BI58" s="23">
        <f>G58*AP58</f>
        <v>0</v>
      </c>
      <c r="BJ58" s="23">
        <f>G58*H58</f>
        <v>0</v>
      </c>
      <c r="BK58" s="23" t="s">
        <v>212</v>
      </c>
      <c r="BL58" s="40">
        <v>96</v>
      </c>
    </row>
    <row r="59" spans="1:13" ht="12.75">
      <c r="A59" s="7"/>
      <c r="B59" s="17" t="s">
        <v>62</v>
      </c>
      <c r="C59" s="110" t="s">
        <v>129</v>
      </c>
      <c r="D59" s="111"/>
      <c r="E59" s="111"/>
      <c r="F59" s="111"/>
      <c r="G59" s="111"/>
      <c r="H59" s="111"/>
      <c r="I59" s="111"/>
      <c r="J59" s="111"/>
      <c r="K59" s="111"/>
      <c r="L59" s="112"/>
      <c r="M59" s="7"/>
    </row>
    <row r="60" spans="1:47" ht="12.75">
      <c r="A60" s="5"/>
      <c r="B60" s="15" t="s">
        <v>77</v>
      </c>
      <c r="C60" s="106" t="s">
        <v>130</v>
      </c>
      <c r="D60" s="107"/>
      <c r="E60" s="107"/>
      <c r="F60" s="21" t="s">
        <v>6</v>
      </c>
      <c r="G60" s="21" t="s">
        <v>6</v>
      </c>
      <c r="H60" s="21" t="s">
        <v>6</v>
      </c>
      <c r="I60" s="46">
        <f>SUM(I61:I61)</f>
        <v>0</v>
      </c>
      <c r="J60" s="46">
        <f>SUM(J61:J61)</f>
        <v>0</v>
      </c>
      <c r="K60" s="46">
        <f>SUM(K61:K61)</f>
        <v>0</v>
      </c>
      <c r="L60" s="35"/>
      <c r="M60" s="7"/>
      <c r="AI60" s="39"/>
      <c r="AS60" s="46">
        <f>SUM(AJ61:AJ61)</f>
        <v>0</v>
      </c>
      <c r="AT60" s="46">
        <f>SUM(AK61:AK61)</f>
        <v>0</v>
      </c>
      <c r="AU60" s="46">
        <f>SUM(AL61:AL61)</f>
        <v>0</v>
      </c>
    </row>
    <row r="61" spans="1:64" ht="12.75">
      <c r="A61" s="4" t="s">
        <v>33</v>
      </c>
      <c r="B61" s="14" t="s">
        <v>78</v>
      </c>
      <c r="C61" s="104" t="s">
        <v>131</v>
      </c>
      <c r="D61" s="105"/>
      <c r="E61" s="105"/>
      <c r="F61" s="14" t="s">
        <v>155</v>
      </c>
      <c r="G61" s="23">
        <v>10.8763</v>
      </c>
      <c r="H61" s="23">
        <v>0</v>
      </c>
      <c r="I61" s="23">
        <f>G61*AO61</f>
        <v>0</v>
      </c>
      <c r="J61" s="23">
        <f>G61*AP61</f>
        <v>0</v>
      </c>
      <c r="K61" s="23">
        <f>G61*H61</f>
        <v>0</v>
      </c>
      <c r="L61" s="34" t="s">
        <v>177</v>
      </c>
      <c r="M61" s="7"/>
      <c r="Z61" s="40">
        <f>IF(AQ61="5",BJ61,0)</f>
        <v>0</v>
      </c>
      <c r="AB61" s="40">
        <f>IF(AQ61="1",BH61,0)</f>
        <v>0</v>
      </c>
      <c r="AC61" s="40">
        <f>IF(AQ61="1",BI61,0)</f>
        <v>0</v>
      </c>
      <c r="AD61" s="40">
        <f>IF(AQ61="7",BH61,0)</f>
        <v>0</v>
      </c>
      <c r="AE61" s="40">
        <f>IF(AQ61="7",BI61,0)</f>
        <v>0</v>
      </c>
      <c r="AF61" s="40">
        <f>IF(AQ61="2",BH61,0)</f>
        <v>0</v>
      </c>
      <c r="AG61" s="40">
        <f>IF(AQ61="2",BI61,0)</f>
        <v>0</v>
      </c>
      <c r="AH61" s="40">
        <f>IF(AQ61="0",BJ61,0)</f>
        <v>0</v>
      </c>
      <c r="AI61" s="39"/>
      <c r="AJ61" s="23">
        <f>IF(AN61=0,K61,0)</f>
        <v>0</v>
      </c>
      <c r="AK61" s="23">
        <f>IF(AN61=15,K61,0)</f>
        <v>0</v>
      </c>
      <c r="AL61" s="23">
        <f>IF(AN61=21,K61,0)</f>
        <v>0</v>
      </c>
      <c r="AN61" s="40">
        <v>21</v>
      </c>
      <c r="AO61" s="40">
        <f>H61*0</f>
        <v>0</v>
      </c>
      <c r="AP61" s="40">
        <f>H61*(1-0)</f>
        <v>0</v>
      </c>
      <c r="AQ61" s="41" t="s">
        <v>11</v>
      </c>
      <c r="AV61" s="40">
        <f>AW61+AX61</f>
        <v>0</v>
      </c>
      <c r="AW61" s="40">
        <f>G61*AO61</f>
        <v>0</v>
      </c>
      <c r="AX61" s="40">
        <f>G61*AP61</f>
        <v>0</v>
      </c>
      <c r="AY61" s="43" t="s">
        <v>199</v>
      </c>
      <c r="AZ61" s="43" t="s">
        <v>206</v>
      </c>
      <c r="BA61" s="39" t="s">
        <v>207</v>
      </c>
      <c r="BC61" s="40">
        <f>AW61+AX61</f>
        <v>0</v>
      </c>
      <c r="BD61" s="40">
        <f>H61/(100-BE61)*100</f>
        <v>0</v>
      </c>
      <c r="BE61" s="40">
        <v>0</v>
      </c>
      <c r="BF61" s="40">
        <f>61</f>
        <v>61</v>
      </c>
      <c r="BH61" s="23">
        <f>G61*AO61</f>
        <v>0</v>
      </c>
      <c r="BI61" s="23">
        <f>G61*AP61</f>
        <v>0</v>
      </c>
      <c r="BJ61" s="23">
        <f>G61*H61</f>
        <v>0</v>
      </c>
      <c r="BK61" s="23" t="s">
        <v>212</v>
      </c>
      <c r="BL61" s="40" t="s">
        <v>77</v>
      </c>
    </row>
    <row r="62" spans="1:47" ht="12.75">
      <c r="A62" s="5"/>
      <c r="B62" s="15" t="s">
        <v>79</v>
      </c>
      <c r="C62" s="106" t="s">
        <v>132</v>
      </c>
      <c r="D62" s="107"/>
      <c r="E62" s="107"/>
      <c r="F62" s="21" t="s">
        <v>6</v>
      </c>
      <c r="G62" s="21" t="s">
        <v>6</v>
      </c>
      <c r="H62" s="21" t="s">
        <v>6</v>
      </c>
      <c r="I62" s="46">
        <f>SUM(I63:I75)</f>
        <v>0</v>
      </c>
      <c r="J62" s="46">
        <f>SUM(J63:J75)</f>
        <v>0</v>
      </c>
      <c r="K62" s="46">
        <f>SUM(K63:K75)</f>
        <v>0</v>
      </c>
      <c r="L62" s="35"/>
      <c r="M62" s="7"/>
      <c r="AI62" s="39"/>
      <c r="AS62" s="46">
        <f>SUM(AJ63:AJ75)</f>
        <v>0</v>
      </c>
      <c r="AT62" s="46">
        <f>SUM(AK63:AK75)</f>
        <v>0</v>
      </c>
      <c r="AU62" s="46">
        <f>SUM(AL63:AL75)</f>
        <v>0</v>
      </c>
    </row>
    <row r="63" spans="1:64" ht="12.75">
      <c r="A63" s="4" t="s">
        <v>34</v>
      </c>
      <c r="B63" s="14" t="s">
        <v>80</v>
      </c>
      <c r="C63" s="104" t="s">
        <v>133</v>
      </c>
      <c r="D63" s="105"/>
      <c r="E63" s="105"/>
      <c r="F63" s="14" t="s">
        <v>154</v>
      </c>
      <c r="G63" s="23">
        <v>1</v>
      </c>
      <c r="H63" s="23">
        <v>0</v>
      </c>
      <c r="I63" s="23">
        <f>G63*AO63</f>
        <v>0</v>
      </c>
      <c r="J63" s="23">
        <f>G63*AP63</f>
        <v>0</v>
      </c>
      <c r="K63" s="23">
        <f>G63*H63</f>
        <v>0</v>
      </c>
      <c r="L63" s="34" t="s">
        <v>178</v>
      </c>
      <c r="M63" s="7"/>
      <c r="Z63" s="40">
        <f>IF(AQ63="5",BJ63,0)</f>
        <v>0</v>
      </c>
      <c r="AB63" s="40">
        <f>IF(AQ63="1",BH63,0)</f>
        <v>0</v>
      </c>
      <c r="AC63" s="40">
        <f>IF(AQ63="1",BI63,0)</f>
        <v>0</v>
      </c>
      <c r="AD63" s="40">
        <f>IF(AQ63="7",BH63,0)</f>
        <v>0</v>
      </c>
      <c r="AE63" s="40">
        <f>IF(AQ63="7",BI63,0)</f>
        <v>0</v>
      </c>
      <c r="AF63" s="40">
        <f>IF(AQ63="2",BH63,0)</f>
        <v>0</v>
      </c>
      <c r="AG63" s="40">
        <f>IF(AQ63="2",BI63,0)</f>
        <v>0</v>
      </c>
      <c r="AH63" s="40">
        <f>IF(AQ63="0",BJ63,0)</f>
        <v>0</v>
      </c>
      <c r="AI63" s="39"/>
      <c r="AJ63" s="23">
        <f>IF(AN63=0,K63,0)</f>
        <v>0</v>
      </c>
      <c r="AK63" s="23">
        <f>IF(AN63=15,K63,0)</f>
        <v>0</v>
      </c>
      <c r="AL63" s="23">
        <f>IF(AN63=21,K63,0)</f>
        <v>0</v>
      </c>
      <c r="AN63" s="40">
        <v>21</v>
      </c>
      <c r="AO63" s="40">
        <f>H63*1</f>
        <v>0</v>
      </c>
      <c r="AP63" s="40">
        <f>H63*(1-1)</f>
        <v>0</v>
      </c>
      <c r="AQ63" s="41" t="s">
        <v>7</v>
      </c>
      <c r="AV63" s="40">
        <f>AW63+AX63</f>
        <v>0</v>
      </c>
      <c r="AW63" s="40">
        <f>G63*AO63</f>
        <v>0</v>
      </c>
      <c r="AX63" s="40">
        <f>G63*AP63</f>
        <v>0</v>
      </c>
      <c r="AY63" s="43" t="s">
        <v>200</v>
      </c>
      <c r="AZ63" s="43" t="s">
        <v>200</v>
      </c>
      <c r="BA63" s="39" t="s">
        <v>207</v>
      </c>
      <c r="BC63" s="40">
        <f>AW63+AX63</f>
        <v>0</v>
      </c>
      <c r="BD63" s="40">
        <f>H63/(100-BE63)*100</f>
        <v>0</v>
      </c>
      <c r="BE63" s="40">
        <v>0</v>
      </c>
      <c r="BF63" s="40">
        <f>63</f>
        <v>63</v>
      </c>
      <c r="BH63" s="23">
        <f>G63*AO63</f>
        <v>0</v>
      </c>
      <c r="BI63" s="23">
        <f>G63*AP63</f>
        <v>0</v>
      </c>
      <c r="BJ63" s="23">
        <f>G63*H63</f>
        <v>0</v>
      </c>
      <c r="BK63" s="23" t="s">
        <v>212</v>
      </c>
      <c r="BL63" s="40">
        <v>0</v>
      </c>
    </row>
    <row r="64" spans="1:13" ht="51" customHeight="1">
      <c r="A64" s="7"/>
      <c r="B64" s="17" t="s">
        <v>62</v>
      </c>
      <c r="C64" s="110" t="s">
        <v>134</v>
      </c>
      <c r="D64" s="111"/>
      <c r="E64" s="111"/>
      <c r="F64" s="111"/>
      <c r="G64" s="111"/>
      <c r="H64" s="111"/>
      <c r="I64" s="111"/>
      <c r="J64" s="111"/>
      <c r="K64" s="111"/>
      <c r="L64" s="112"/>
      <c r="M64" s="7"/>
    </row>
    <row r="65" spans="1:64" ht="12.75">
      <c r="A65" s="6" t="s">
        <v>35</v>
      </c>
      <c r="B65" s="16" t="s">
        <v>80</v>
      </c>
      <c r="C65" s="108" t="s">
        <v>135</v>
      </c>
      <c r="D65" s="109"/>
      <c r="E65" s="109"/>
      <c r="F65" s="16" t="s">
        <v>154</v>
      </c>
      <c r="G65" s="24">
        <v>1</v>
      </c>
      <c r="H65" s="24">
        <v>0</v>
      </c>
      <c r="I65" s="24">
        <f aca="true" t="shared" si="22" ref="I65:I75">G65*AO65</f>
        <v>0</v>
      </c>
      <c r="J65" s="24">
        <f aca="true" t="shared" si="23" ref="J65:J75">G65*AP65</f>
        <v>0</v>
      </c>
      <c r="K65" s="24">
        <f aca="true" t="shared" si="24" ref="K65:K75">G65*H65</f>
        <v>0</v>
      </c>
      <c r="L65" s="36" t="s">
        <v>179</v>
      </c>
      <c r="M65" s="7"/>
      <c r="Z65" s="40">
        <f aca="true" t="shared" si="25" ref="Z65:Z75">IF(AQ65="5",BJ65,0)</f>
        <v>0</v>
      </c>
      <c r="AB65" s="40">
        <f aca="true" t="shared" si="26" ref="AB65:AB75">IF(AQ65="1",BH65,0)</f>
        <v>0</v>
      </c>
      <c r="AC65" s="40">
        <f aca="true" t="shared" si="27" ref="AC65:AC75">IF(AQ65="1",BI65,0)</f>
        <v>0</v>
      </c>
      <c r="AD65" s="40">
        <f aca="true" t="shared" si="28" ref="AD65:AD75">IF(AQ65="7",BH65,0)</f>
        <v>0</v>
      </c>
      <c r="AE65" s="40">
        <f aca="true" t="shared" si="29" ref="AE65:AE75">IF(AQ65="7",BI65,0)</f>
        <v>0</v>
      </c>
      <c r="AF65" s="40">
        <f aca="true" t="shared" si="30" ref="AF65:AF75">IF(AQ65="2",BH65,0)</f>
        <v>0</v>
      </c>
      <c r="AG65" s="40">
        <f aca="true" t="shared" si="31" ref="AG65:AG75">IF(AQ65="2",BI65,0)</f>
        <v>0</v>
      </c>
      <c r="AH65" s="40">
        <f aca="true" t="shared" si="32" ref="AH65:AH75">IF(AQ65="0",BJ65,0)</f>
        <v>0</v>
      </c>
      <c r="AI65" s="39"/>
      <c r="AJ65" s="24">
        <f aca="true" t="shared" si="33" ref="AJ65:AJ75">IF(AN65=0,K65,0)</f>
        <v>0</v>
      </c>
      <c r="AK65" s="24">
        <f aca="true" t="shared" si="34" ref="AK65:AK75">IF(AN65=15,K65,0)</f>
        <v>0</v>
      </c>
      <c r="AL65" s="24">
        <f aca="true" t="shared" si="35" ref="AL65:AL75">IF(AN65=21,K65,0)</f>
        <v>0</v>
      </c>
      <c r="AN65" s="40">
        <v>21</v>
      </c>
      <c r="AO65" s="40">
        <f aca="true" t="shared" si="36" ref="AO65:AO75">H65*1</f>
        <v>0</v>
      </c>
      <c r="AP65" s="40">
        <f aca="true" t="shared" si="37" ref="AP65:AP75">H65*(1-1)</f>
        <v>0</v>
      </c>
      <c r="AQ65" s="42" t="s">
        <v>7</v>
      </c>
      <c r="AV65" s="40">
        <f aca="true" t="shared" si="38" ref="AV65:AV75">AW65+AX65</f>
        <v>0</v>
      </c>
      <c r="AW65" s="40">
        <f aca="true" t="shared" si="39" ref="AW65:AW75">G65*AO65</f>
        <v>0</v>
      </c>
      <c r="AX65" s="40">
        <f aca="true" t="shared" si="40" ref="AX65:AX75">G65*AP65</f>
        <v>0</v>
      </c>
      <c r="AY65" s="43" t="s">
        <v>200</v>
      </c>
      <c r="AZ65" s="43" t="s">
        <v>200</v>
      </c>
      <c r="BA65" s="39" t="s">
        <v>207</v>
      </c>
      <c r="BC65" s="40">
        <f aca="true" t="shared" si="41" ref="BC65:BC75">AW65+AX65</f>
        <v>0</v>
      </c>
      <c r="BD65" s="40">
        <f aca="true" t="shared" si="42" ref="BD65:BD75">H65/(100-BE65)*100</f>
        <v>0</v>
      </c>
      <c r="BE65" s="40">
        <v>0</v>
      </c>
      <c r="BF65" s="40">
        <f>65</f>
        <v>65</v>
      </c>
      <c r="BH65" s="24">
        <f aca="true" t="shared" si="43" ref="BH65:BH75">G65*AO65</f>
        <v>0</v>
      </c>
      <c r="BI65" s="24">
        <f aca="true" t="shared" si="44" ref="BI65:BI75">G65*AP65</f>
        <v>0</v>
      </c>
      <c r="BJ65" s="24">
        <f aca="true" t="shared" si="45" ref="BJ65:BJ75">G65*H65</f>
        <v>0</v>
      </c>
      <c r="BK65" s="24" t="s">
        <v>213</v>
      </c>
      <c r="BL65" s="40">
        <v>0</v>
      </c>
    </row>
    <row r="66" spans="1:64" ht="12.75">
      <c r="A66" s="6" t="s">
        <v>36</v>
      </c>
      <c r="B66" s="16" t="s">
        <v>80</v>
      </c>
      <c r="C66" s="108" t="s">
        <v>136</v>
      </c>
      <c r="D66" s="109"/>
      <c r="E66" s="109"/>
      <c r="F66" s="16" t="s">
        <v>154</v>
      </c>
      <c r="G66" s="24">
        <v>1</v>
      </c>
      <c r="H66" s="24">
        <v>0</v>
      </c>
      <c r="I66" s="24">
        <f t="shared" si="22"/>
        <v>0</v>
      </c>
      <c r="J66" s="24">
        <f t="shared" si="23"/>
        <v>0</v>
      </c>
      <c r="K66" s="24">
        <f t="shared" si="24"/>
        <v>0</v>
      </c>
      <c r="L66" s="36" t="s">
        <v>179</v>
      </c>
      <c r="M66" s="7"/>
      <c r="Z66" s="40">
        <f t="shared" si="25"/>
        <v>0</v>
      </c>
      <c r="AB66" s="40">
        <f t="shared" si="26"/>
        <v>0</v>
      </c>
      <c r="AC66" s="40">
        <f t="shared" si="27"/>
        <v>0</v>
      </c>
      <c r="AD66" s="40">
        <f t="shared" si="28"/>
        <v>0</v>
      </c>
      <c r="AE66" s="40">
        <f t="shared" si="29"/>
        <v>0</v>
      </c>
      <c r="AF66" s="40">
        <f t="shared" si="30"/>
        <v>0</v>
      </c>
      <c r="AG66" s="40">
        <f t="shared" si="31"/>
        <v>0</v>
      </c>
      <c r="AH66" s="40">
        <f t="shared" si="32"/>
        <v>0</v>
      </c>
      <c r="AI66" s="39"/>
      <c r="AJ66" s="24">
        <f t="shared" si="33"/>
        <v>0</v>
      </c>
      <c r="AK66" s="24">
        <f t="shared" si="34"/>
        <v>0</v>
      </c>
      <c r="AL66" s="24">
        <f t="shared" si="35"/>
        <v>0</v>
      </c>
      <c r="AN66" s="40">
        <v>21</v>
      </c>
      <c r="AO66" s="40">
        <f t="shared" si="36"/>
        <v>0</v>
      </c>
      <c r="AP66" s="40">
        <f t="shared" si="37"/>
        <v>0</v>
      </c>
      <c r="AQ66" s="42" t="s">
        <v>7</v>
      </c>
      <c r="AV66" s="40">
        <f t="shared" si="38"/>
        <v>0</v>
      </c>
      <c r="AW66" s="40">
        <f t="shared" si="39"/>
        <v>0</v>
      </c>
      <c r="AX66" s="40">
        <f t="shared" si="40"/>
        <v>0</v>
      </c>
      <c r="AY66" s="43" t="s">
        <v>200</v>
      </c>
      <c r="AZ66" s="43" t="s">
        <v>200</v>
      </c>
      <c r="BA66" s="39" t="s">
        <v>207</v>
      </c>
      <c r="BC66" s="40">
        <f t="shared" si="41"/>
        <v>0</v>
      </c>
      <c r="BD66" s="40">
        <f t="shared" si="42"/>
        <v>0</v>
      </c>
      <c r="BE66" s="40">
        <v>0</v>
      </c>
      <c r="BF66" s="40">
        <f>66</f>
        <v>66</v>
      </c>
      <c r="BH66" s="24">
        <f t="shared" si="43"/>
        <v>0</v>
      </c>
      <c r="BI66" s="24">
        <f t="shared" si="44"/>
        <v>0</v>
      </c>
      <c r="BJ66" s="24">
        <f t="shared" si="45"/>
        <v>0</v>
      </c>
      <c r="BK66" s="24" t="s">
        <v>213</v>
      </c>
      <c r="BL66" s="40">
        <v>0</v>
      </c>
    </row>
    <row r="67" spans="1:64" ht="12.75">
      <c r="A67" s="6" t="s">
        <v>37</v>
      </c>
      <c r="B67" s="16" t="s">
        <v>80</v>
      </c>
      <c r="C67" s="108" t="s">
        <v>137</v>
      </c>
      <c r="D67" s="109"/>
      <c r="E67" s="109"/>
      <c r="F67" s="16" t="s">
        <v>154</v>
      </c>
      <c r="G67" s="24">
        <v>1</v>
      </c>
      <c r="H67" s="24">
        <v>0</v>
      </c>
      <c r="I67" s="24">
        <f t="shared" si="22"/>
        <v>0</v>
      </c>
      <c r="J67" s="24">
        <f t="shared" si="23"/>
        <v>0</v>
      </c>
      <c r="K67" s="24">
        <f t="shared" si="24"/>
        <v>0</v>
      </c>
      <c r="L67" s="36" t="s">
        <v>179</v>
      </c>
      <c r="M67" s="7"/>
      <c r="Z67" s="40">
        <f t="shared" si="25"/>
        <v>0</v>
      </c>
      <c r="AB67" s="40">
        <f t="shared" si="26"/>
        <v>0</v>
      </c>
      <c r="AC67" s="40">
        <f t="shared" si="27"/>
        <v>0</v>
      </c>
      <c r="AD67" s="40">
        <f t="shared" si="28"/>
        <v>0</v>
      </c>
      <c r="AE67" s="40">
        <f t="shared" si="29"/>
        <v>0</v>
      </c>
      <c r="AF67" s="40">
        <f t="shared" si="30"/>
        <v>0</v>
      </c>
      <c r="AG67" s="40">
        <f t="shared" si="31"/>
        <v>0</v>
      </c>
      <c r="AH67" s="40">
        <f t="shared" si="32"/>
        <v>0</v>
      </c>
      <c r="AI67" s="39"/>
      <c r="AJ67" s="24">
        <f t="shared" si="33"/>
        <v>0</v>
      </c>
      <c r="AK67" s="24">
        <f t="shared" si="34"/>
        <v>0</v>
      </c>
      <c r="AL67" s="24">
        <f t="shared" si="35"/>
        <v>0</v>
      </c>
      <c r="AN67" s="40">
        <v>21</v>
      </c>
      <c r="AO67" s="40">
        <f t="shared" si="36"/>
        <v>0</v>
      </c>
      <c r="AP67" s="40">
        <f t="shared" si="37"/>
        <v>0</v>
      </c>
      <c r="AQ67" s="42" t="s">
        <v>7</v>
      </c>
      <c r="AV67" s="40">
        <f t="shared" si="38"/>
        <v>0</v>
      </c>
      <c r="AW67" s="40">
        <f t="shared" si="39"/>
        <v>0</v>
      </c>
      <c r="AX67" s="40">
        <f t="shared" si="40"/>
        <v>0</v>
      </c>
      <c r="AY67" s="43" t="s">
        <v>200</v>
      </c>
      <c r="AZ67" s="43" t="s">
        <v>200</v>
      </c>
      <c r="BA67" s="39" t="s">
        <v>207</v>
      </c>
      <c r="BC67" s="40">
        <f t="shared" si="41"/>
        <v>0</v>
      </c>
      <c r="BD67" s="40">
        <f t="shared" si="42"/>
        <v>0</v>
      </c>
      <c r="BE67" s="40">
        <v>0</v>
      </c>
      <c r="BF67" s="40">
        <f>67</f>
        <v>67</v>
      </c>
      <c r="BH67" s="24">
        <f t="shared" si="43"/>
        <v>0</v>
      </c>
      <c r="BI67" s="24">
        <f t="shared" si="44"/>
        <v>0</v>
      </c>
      <c r="BJ67" s="24">
        <f t="shared" si="45"/>
        <v>0</v>
      </c>
      <c r="BK67" s="24" t="s">
        <v>213</v>
      </c>
      <c r="BL67" s="40">
        <v>0</v>
      </c>
    </row>
    <row r="68" spans="1:64" ht="12.75">
      <c r="A68" s="6" t="s">
        <v>38</v>
      </c>
      <c r="B68" s="16" t="s">
        <v>80</v>
      </c>
      <c r="C68" s="108" t="s">
        <v>138</v>
      </c>
      <c r="D68" s="109"/>
      <c r="E68" s="109"/>
      <c r="F68" s="16" t="s">
        <v>154</v>
      </c>
      <c r="G68" s="24">
        <v>1</v>
      </c>
      <c r="H68" s="24">
        <v>0</v>
      </c>
      <c r="I68" s="24">
        <f t="shared" si="22"/>
        <v>0</v>
      </c>
      <c r="J68" s="24">
        <f t="shared" si="23"/>
        <v>0</v>
      </c>
      <c r="K68" s="24">
        <f t="shared" si="24"/>
        <v>0</v>
      </c>
      <c r="L68" s="36" t="s">
        <v>179</v>
      </c>
      <c r="M68" s="7"/>
      <c r="Z68" s="40">
        <f t="shared" si="25"/>
        <v>0</v>
      </c>
      <c r="AB68" s="40">
        <f t="shared" si="26"/>
        <v>0</v>
      </c>
      <c r="AC68" s="40">
        <f t="shared" si="27"/>
        <v>0</v>
      </c>
      <c r="AD68" s="40">
        <f t="shared" si="28"/>
        <v>0</v>
      </c>
      <c r="AE68" s="40">
        <f t="shared" si="29"/>
        <v>0</v>
      </c>
      <c r="AF68" s="40">
        <f t="shared" si="30"/>
        <v>0</v>
      </c>
      <c r="AG68" s="40">
        <f t="shared" si="31"/>
        <v>0</v>
      </c>
      <c r="AH68" s="40">
        <f t="shared" si="32"/>
        <v>0</v>
      </c>
      <c r="AI68" s="39"/>
      <c r="AJ68" s="24">
        <f t="shared" si="33"/>
        <v>0</v>
      </c>
      <c r="AK68" s="24">
        <f t="shared" si="34"/>
        <v>0</v>
      </c>
      <c r="AL68" s="24">
        <f t="shared" si="35"/>
        <v>0</v>
      </c>
      <c r="AN68" s="40">
        <v>21</v>
      </c>
      <c r="AO68" s="40">
        <f t="shared" si="36"/>
        <v>0</v>
      </c>
      <c r="AP68" s="40">
        <f t="shared" si="37"/>
        <v>0</v>
      </c>
      <c r="AQ68" s="42" t="s">
        <v>7</v>
      </c>
      <c r="AV68" s="40">
        <f t="shared" si="38"/>
        <v>0</v>
      </c>
      <c r="AW68" s="40">
        <f t="shared" si="39"/>
        <v>0</v>
      </c>
      <c r="AX68" s="40">
        <f t="shared" si="40"/>
        <v>0</v>
      </c>
      <c r="AY68" s="43" t="s">
        <v>200</v>
      </c>
      <c r="AZ68" s="43" t="s">
        <v>200</v>
      </c>
      <c r="BA68" s="39" t="s">
        <v>207</v>
      </c>
      <c r="BC68" s="40">
        <f t="shared" si="41"/>
        <v>0</v>
      </c>
      <c r="BD68" s="40">
        <f t="shared" si="42"/>
        <v>0</v>
      </c>
      <c r="BE68" s="40">
        <v>0</v>
      </c>
      <c r="BF68" s="40">
        <f>68</f>
        <v>68</v>
      </c>
      <c r="BH68" s="24">
        <f t="shared" si="43"/>
        <v>0</v>
      </c>
      <c r="BI68" s="24">
        <f t="shared" si="44"/>
        <v>0</v>
      </c>
      <c r="BJ68" s="24">
        <f t="shared" si="45"/>
        <v>0</v>
      </c>
      <c r="BK68" s="24" t="s">
        <v>213</v>
      </c>
      <c r="BL68" s="40">
        <v>0</v>
      </c>
    </row>
    <row r="69" spans="1:64" ht="12.75">
      <c r="A69" s="6" t="s">
        <v>39</v>
      </c>
      <c r="B69" s="16" t="s">
        <v>80</v>
      </c>
      <c r="C69" s="108" t="s">
        <v>139</v>
      </c>
      <c r="D69" s="109"/>
      <c r="E69" s="109"/>
      <c r="F69" s="16" t="s">
        <v>154</v>
      </c>
      <c r="G69" s="24">
        <v>1</v>
      </c>
      <c r="H69" s="24">
        <v>0</v>
      </c>
      <c r="I69" s="24">
        <f t="shared" si="22"/>
        <v>0</v>
      </c>
      <c r="J69" s="24">
        <f t="shared" si="23"/>
        <v>0</v>
      </c>
      <c r="K69" s="24">
        <f t="shared" si="24"/>
        <v>0</v>
      </c>
      <c r="L69" s="36" t="s">
        <v>179</v>
      </c>
      <c r="M69" s="7"/>
      <c r="Z69" s="40">
        <f t="shared" si="25"/>
        <v>0</v>
      </c>
      <c r="AB69" s="40">
        <f t="shared" si="26"/>
        <v>0</v>
      </c>
      <c r="AC69" s="40">
        <f t="shared" si="27"/>
        <v>0</v>
      </c>
      <c r="AD69" s="40">
        <f t="shared" si="28"/>
        <v>0</v>
      </c>
      <c r="AE69" s="40">
        <f t="shared" si="29"/>
        <v>0</v>
      </c>
      <c r="AF69" s="40">
        <f t="shared" si="30"/>
        <v>0</v>
      </c>
      <c r="AG69" s="40">
        <f t="shared" si="31"/>
        <v>0</v>
      </c>
      <c r="AH69" s="40">
        <f t="shared" si="32"/>
        <v>0</v>
      </c>
      <c r="AI69" s="39"/>
      <c r="AJ69" s="24">
        <f t="shared" si="33"/>
        <v>0</v>
      </c>
      <c r="AK69" s="24">
        <f t="shared" si="34"/>
        <v>0</v>
      </c>
      <c r="AL69" s="24">
        <f t="shared" si="35"/>
        <v>0</v>
      </c>
      <c r="AN69" s="40">
        <v>21</v>
      </c>
      <c r="AO69" s="40">
        <f t="shared" si="36"/>
        <v>0</v>
      </c>
      <c r="AP69" s="40">
        <f t="shared" si="37"/>
        <v>0</v>
      </c>
      <c r="AQ69" s="42" t="s">
        <v>7</v>
      </c>
      <c r="AV69" s="40">
        <f t="shared" si="38"/>
        <v>0</v>
      </c>
      <c r="AW69" s="40">
        <f t="shared" si="39"/>
        <v>0</v>
      </c>
      <c r="AX69" s="40">
        <f t="shared" si="40"/>
        <v>0</v>
      </c>
      <c r="AY69" s="43" t="s">
        <v>200</v>
      </c>
      <c r="AZ69" s="43" t="s">
        <v>200</v>
      </c>
      <c r="BA69" s="39" t="s">
        <v>207</v>
      </c>
      <c r="BC69" s="40">
        <f t="shared" si="41"/>
        <v>0</v>
      </c>
      <c r="BD69" s="40">
        <f t="shared" si="42"/>
        <v>0</v>
      </c>
      <c r="BE69" s="40">
        <v>0</v>
      </c>
      <c r="BF69" s="40">
        <f>69</f>
        <v>69</v>
      </c>
      <c r="BH69" s="24">
        <f t="shared" si="43"/>
        <v>0</v>
      </c>
      <c r="BI69" s="24">
        <f t="shared" si="44"/>
        <v>0</v>
      </c>
      <c r="BJ69" s="24">
        <f t="shared" si="45"/>
        <v>0</v>
      </c>
      <c r="BK69" s="24" t="s">
        <v>213</v>
      </c>
      <c r="BL69" s="40">
        <v>0</v>
      </c>
    </row>
    <row r="70" spans="1:64" ht="12.75">
      <c r="A70" s="6" t="s">
        <v>40</v>
      </c>
      <c r="B70" s="16" t="s">
        <v>80</v>
      </c>
      <c r="C70" s="108" t="s">
        <v>140</v>
      </c>
      <c r="D70" s="109"/>
      <c r="E70" s="109"/>
      <c r="F70" s="16" t="s">
        <v>154</v>
      </c>
      <c r="G70" s="24">
        <v>1</v>
      </c>
      <c r="H70" s="24">
        <v>0</v>
      </c>
      <c r="I70" s="24">
        <f t="shared" si="22"/>
        <v>0</v>
      </c>
      <c r="J70" s="24">
        <f t="shared" si="23"/>
        <v>0</v>
      </c>
      <c r="K70" s="24">
        <f t="shared" si="24"/>
        <v>0</v>
      </c>
      <c r="L70" s="36" t="s">
        <v>179</v>
      </c>
      <c r="M70" s="7"/>
      <c r="Z70" s="40">
        <f t="shared" si="25"/>
        <v>0</v>
      </c>
      <c r="AB70" s="40">
        <f t="shared" si="26"/>
        <v>0</v>
      </c>
      <c r="AC70" s="40">
        <f t="shared" si="27"/>
        <v>0</v>
      </c>
      <c r="AD70" s="40">
        <f t="shared" si="28"/>
        <v>0</v>
      </c>
      <c r="AE70" s="40">
        <f t="shared" si="29"/>
        <v>0</v>
      </c>
      <c r="AF70" s="40">
        <f t="shared" si="30"/>
        <v>0</v>
      </c>
      <c r="AG70" s="40">
        <f t="shared" si="31"/>
        <v>0</v>
      </c>
      <c r="AH70" s="40">
        <f t="shared" si="32"/>
        <v>0</v>
      </c>
      <c r="AI70" s="39"/>
      <c r="AJ70" s="24">
        <f t="shared" si="33"/>
        <v>0</v>
      </c>
      <c r="AK70" s="24">
        <f t="shared" si="34"/>
        <v>0</v>
      </c>
      <c r="AL70" s="24">
        <f t="shared" si="35"/>
        <v>0</v>
      </c>
      <c r="AN70" s="40">
        <v>21</v>
      </c>
      <c r="AO70" s="40">
        <f t="shared" si="36"/>
        <v>0</v>
      </c>
      <c r="AP70" s="40">
        <f t="shared" si="37"/>
        <v>0</v>
      </c>
      <c r="AQ70" s="42" t="s">
        <v>7</v>
      </c>
      <c r="AV70" s="40">
        <f t="shared" si="38"/>
        <v>0</v>
      </c>
      <c r="AW70" s="40">
        <f t="shared" si="39"/>
        <v>0</v>
      </c>
      <c r="AX70" s="40">
        <f t="shared" si="40"/>
        <v>0</v>
      </c>
      <c r="AY70" s="43" t="s">
        <v>200</v>
      </c>
      <c r="AZ70" s="43" t="s">
        <v>200</v>
      </c>
      <c r="BA70" s="39" t="s">
        <v>207</v>
      </c>
      <c r="BC70" s="40">
        <f t="shared" si="41"/>
        <v>0</v>
      </c>
      <c r="BD70" s="40">
        <f t="shared" si="42"/>
        <v>0</v>
      </c>
      <c r="BE70" s="40">
        <v>0</v>
      </c>
      <c r="BF70" s="40">
        <f>70</f>
        <v>70</v>
      </c>
      <c r="BH70" s="24">
        <f t="shared" si="43"/>
        <v>0</v>
      </c>
      <c r="BI70" s="24">
        <f t="shared" si="44"/>
        <v>0</v>
      </c>
      <c r="BJ70" s="24">
        <f t="shared" si="45"/>
        <v>0</v>
      </c>
      <c r="BK70" s="24" t="s">
        <v>213</v>
      </c>
      <c r="BL70" s="40">
        <v>0</v>
      </c>
    </row>
    <row r="71" spans="1:64" ht="12.75">
      <c r="A71" s="6" t="s">
        <v>41</v>
      </c>
      <c r="B71" s="16" t="s">
        <v>80</v>
      </c>
      <c r="C71" s="108" t="s">
        <v>141</v>
      </c>
      <c r="D71" s="109"/>
      <c r="E71" s="109"/>
      <c r="F71" s="16" t="s">
        <v>154</v>
      </c>
      <c r="G71" s="24">
        <v>1</v>
      </c>
      <c r="H71" s="24">
        <v>0</v>
      </c>
      <c r="I71" s="24">
        <f t="shared" si="22"/>
        <v>0</v>
      </c>
      <c r="J71" s="24">
        <f t="shared" si="23"/>
        <v>0</v>
      </c>
      <c r="K71" s="24">
        <f t="shared" si="24"/>
        <v>0</v>
      </c>
      <c r="L71" s="36" t="s">
        <v>179</v>
      </c>
      <c r="M71" s="7"/>
      <c r="Z71" s="40">
        <f t="shared" si="25"/>
        <v>0</v>
      </c>
      <c r="AB71" s="40">
        <f t="shared" si="26"/>
        <v>0</v>
      </c>
      <c r="AC71" s="40">
        <f t="shared" si="27"/>
        <v>0</v>
      </c>
      <c r="AD71" s="40">
        <f t="shared" si="28"/>
        <v>0</v>
      </c>
      <c r="AE71" s="40">
        <f t="shared" si="29"/>
        <v>0</v>
      </c>
      <c r="AF71" s="40">
        <f t="shared" si="30"/>
        <v>0</v>
      </c>
      <c r="AG71" s="40">
        <f t="shared" si="31"/>
        <v>0</v>
      </c>
      <c r="AH71" s="40">
        <f t="shared" si="32"/>
        <v>0</v>
      </c>
      <c r="AI71" s="39"/>
      <c r="AJ71" s="24">
        <f t="shared" si="33"/>
        <v>0</v>
      </c>
      <c r="AK71" s="24">
        <f t="shared" si="34"/>
        <v>0</v>
      </c>
      <c r="AL71" s="24">
        <f t="shared" si="35"/>
        <v>0</v>
      </c>
      <c r="AN71" s="40">
        <v>21</v>
      </c>
      <c r="AO71" s="40">
        <f t="shared" si="36"/>
        <v>0</v>
      </c>
      <c r="AP71" s="40">
        <f t="shared" si="37"/>
        <v>0</v>
      </c>
      <c r="AQ71" s="42" t="s">
        <v>7</v>
      </c>
      <c r="AV71" s="40">
        <f t="shared" si="38"/>
        <v>0</v>
      </c>
      <c r="AW71" s="40">
        <f t="shared" si="39"/>
        <v>0</v>
      </c>
      <c r="AX71" s="40">
        <f t="shared" si="40"/>
        <v>0</v>
      </c>
      <c r="AY71" s="43" t="s">
        <v>200</v>
      </c>
      <c r="AZ71" s="43" t="s">
        <v>200</v>
      </c>
      <c r="BA71" s="39" t="s">
        <v>207</v>
      </c>
      <c r="BC71" s="40">
        <f t="shared" si="41"/>
        <v>0</v>
      </c>
      <c r="BD71" s="40">
        <f t="shared" si="42"/>
        <v>0</v>
      </c>
      <c r="BE71" s="40">
        <v>0</v>
      </c>
      <c r="BF71" s="40">
        <f>71</f>
        <v>71</v>
      </c>
      <c r="BH71" s="24">
        <f t="shared" si="43"/>
        <v>0</v>
      </c>
      <c r="BI71" s="24">
        <f t="shared" si="44"/>
        <v>0</v>
      </c>
      <c r="BJ71" s="24">
        <f t="shared" si="45"/>
        <v>0</v>
      </c>
      <c r="BK71" s="24" t="s">
        <v>213</v>
      </c>
      <c r="BL71" s="40">
        <v>0</v>
      </c>
    </row>
    <row r="72" spans="1:64" ht="12.75">
      <c r="A72" s="6" t="s">
        <v>42</v>
      </c>
      <c r="B72" s="16" t="s">
        <v>80</v>
      </c>
      <c r="C72" s="108" t="s">
        <v>142</v>
      </c>
      <c r="D72" s="109"/>
      <c r="E72" s="109"/>
      <c r="F72" s="16" t="s">
        <v>154</v>
      </c>
      <c r="G72" s="24">
        <v>1</v>
      </c>
      <c r="H72" s="24">
        <v>0</v>
      </c>
      <c r="I72" s="24">
        <f t="shared" si="22"/>
        <v>0</v>
      </c>
      <c r="J72" s="24">
        <f t="shared" si="23"/>
        <v>0</v>
      </c>
      <c r="K72" s="24">
        <f t="shared" si="24"/>
        <v>0</v>
      </c>
      <c r="L72" s="36" t="s">
        <v>179</v>
      </c>
      <c r="M72" s="7"/>
      <c r="Z72" s="40">
        <f t="shared" si="25"/>
        <v>0</v>
      </c>
      <c r="AB72" s="40">
        <f t="shared" si="26"/>
        <v>0</v>
      </c>
      <c r="AC72" s="40">
        <f t="shared" si="27"/>
        <v>0</v>
      </c>
      <c r="AD72" s="40">
        <f t="shared" si="28"/>
        <v>0</v>
      </c>
      <c r="AE72" s="40">
        <f t="shared" si="29"/>
        <v>0</v>
      </c>
      <c r="AF72" s="40">
        <f t="shared" si="30"/>
        <v>0</v>
      </c>
      <c r="AG72" s="40">
        <f t="shared" si="31"/>
        <v>0</v>
      </c>
      <c r="AH72" s="40">
        <f t="shared" si="32"/>
        <v>0</v>
      </c>
      <c r="AI72" s="39"/>
      <c r="AJ72" s="24">
        <f t="shared" si="33"/>
        <v>0</v>
      </c>
      <c r="AK72" s="24">
        <f t="shared" si="34"/>
        <v>0</v>
      </c>
      <c r="AL72" s="24">
        <f t="shared" si="35"/>
        <v>0</v>
      </c>
      <c r="AN72" s="40">
        <v>21</v>
      </c>
      <c r="AO72" s="40">
        <f t="shared" si="36"/>
        <v>0</v>
      </c>
      <c r="AP72" s="40">
        <f t="shared" si="37"/>
        <v>0</v>
      </c>
      <c r="AQ72" s="42" t="s">
        <v>7</v>
      </c>
      <c r="AV72" s="40">
        <f t="shared" si="38"/>
        <v>0</v>
      </c>
      <c r="AW72" s="40">
        <f t="shared" si="39"/>
        <v>0</v>
      </c>
      <c r="AX72" s="40">
        <f t="shared" si="40"/>
        <v>0</v>
      </c>
      <c r="AY72" s="43" t="s">
        <v>200</v>
      </c>
      <c r="AZ72" s="43" t="s">
        <v>200</v>
      </c>
      <c r="BA72" s="39" t="s">
        <v>207</v>
      </c>
      <c r="BC72" s="40">
        <f t="shared" si="41"/>
        <v>0</v>
      </c>
      <c r="BD72" s="40">
        <f t="shared" si="42"/>
        <v>0</v>
      </c>
      <c r="BE72" s="40">
        <v>0</v>
      </c>
      <c r="BF72" s="40">
        <f>72</f>
        <v>72</v>
      </c>
      <c r="BH72" s="24">
        <f t="shared" si="43"/>
        <v>0</v>
      </c>
      <c r="BI72" s="24">
        <f t="shared" si="44"/>
        <v>0</v>
      </c>
      <c r="BJ72" s="24">
        <f t="shared" si="45"/>
        <v>0</v>
      </c>
      <c r="BK72" s="24" t="s">
        <v>213</v>
      </c>
      <c r="BL72" s="40">
        <v>0</v>
      </c>
    </row>
    <row r="73" spans="1:64" ht="12.75">
      <c r="A73" s="6" t="s">
        <v>43</v>
      </c>
      <c r="B73" s="16" t="s">
        <v>80</v>
      </c>
      <c r="C73" s="108" t="s">
        <v>143</v>
      </c>
      <c r="D73" s="109"/>
      <c r="E73" s="109"/>
      <c r="F73" s="16" t="s">
        <v>154</v>
      </c>
      <c r="G73" s="24">
        <v>1</v>
      </c>
      <c r="H73" s="24">
        <v>0</v>
      </c>
      <c r="I73" s="24">
        <f t="shared" si="22"/>
        <v>0</v>
      </c>
      <c r="J73" s="24">
        <f t="shared" si="23"/>
        <v>0</v>
      </c>
      <c r="K73" s="24">
        <f t="shared" si="24"/>
        <v>0</v>
      </c>
      <c r="L73" s="36" t="s">
        <v>179</v>
      </c>
      <c r="M73" s="7"/>
      <c r="Z73" s="40">
        <f t="shared" si="25"/>
        <v>0</v>
      </c>
      <c r="AB73" s="40">
        <f t="shared" si="26"/>
        <v>0</v>
      </c>
      <c r="AC73" s="40">
        <f t="shared" si="27"/>
        <v>0</v>
      </c>
      <c r="AD73" s="40">
        <f t="shared" si="28"/>
        <v>0</v>
      </c>
      <c r="AE73" s="40">
        <f t="shared" si="29"/>
        <v>0</v>
      </c>
      <c r="AF73" s="40">
        <f t="shared" si="30"/>
        <v>0</v>
      </c>
      <c r="AG73" s="40">
        <f t="shared" si="31"/>
        <v>0</v>
      </c>
      <c r="AH73" s="40">
        <f t="shared" si="32"/>
        <v>0</v>
      </c>
      <c r="AI73" s="39"/>
      <c r="AJ73" s="24">
        <f t="shared" si="33"/>
        <v>0</v>
      </c>
      <c r="AK73" s="24">
        <f t="shared" si="34"/>
        <v>0</v>
      </c>
      <c r="AL73" s="24">
        <f t="shared" si="35"/>
        <v>0</v>
      </c>
      <c r="AN73" s="40">
        <v>21</v>
      </c>
      <c r="AO73" s="40">
        <f t="shared" si="36"/>
        <v>0</v>
      </c>
      <c r="AP73" s="40">
        <f t="shared" si="37"/>
        <v>0</v>
      </c>
      <c r="AQ73" s="42" t="s">
        <v>7</v>
      </c>
      <c r="AV73" s="40">
        <f t="shared" si="38"/>
        <v>0</v>
      </c>
      <c r="AW73" s="40">
        <f t="shared" si="39"/>
        <v>0</v>
      </c>
      <c r="AX73" s="40">
        <f t="shared" si="40"/>
        <v>0</v>
      </c>
      <c r="AY73" s="43" t="s">
        <v>200</v>
      </c>
      <c r="AZ73" s="43" t="s">
        <v>200</v>
      </c>
      <c r="BA73" s="39" t="s">
        <v>207</v>
      </c>
      <c r="BC73" s="40">
        <f t="shared" si="41"/>
        <v>0</v>
      </c>
      <c r="BD73" s="40">
        <f t="shared" si="42"/>
        <v>0</v>
      </c>
      <c r="BE73" s="40">
        <v>0</v>
      </c>
      <c r="BF73" s="40">
        <f>73</f>
        <v>73</v>
      </c>
      <c r="BH73" s="24">
        <f t="shared" si="43"/>
        <v>0</v>
      </c>
      <c r="BI73" s="24">
        <f t="shared" si="44"/>
        <v>0</v>
      </c>
      <c r="BJ73" s="24">
        <f t="shared" si="45"/>
        <v>0</v>
      </c>
      <c r="BK73" s="24" t="s">
        <v>213</v>
      </c>
      <c r="BL73" s="40">
        <v>0</v>
      </c>
    </row>
    <row r="74" spans="1:64" ht="12.75">
      <c r="A74" s="6" t="s">
        <v>44</v>
      </c>
      <c r="B74" s="16" t="s">
        <v>80</v>
      </c>
      <c r="C74" s="108" t="s">
        <v>144</v>
      </c>
      <c r="D74" s="109"/>
      <c r="E74" s="109"/>
      <c r="F74" s="16" t="s">
        <v>154</v>
      </c>
      <c r="G74" s="24">
        <v>1</v>
      </c>
      <c r="H74" s="24">
        <v>0</v>
      </c>
      <c r="I74" s="24">
        <f t="shared" si="22"/>
        <v>0</v>
      </c>
      <c r="J74" s="24">
        <f t="shared" si="23"/>
        <v>0</v>
      </c>
      <c r="K74" s="24">
        <f t="shared" si="24"/>
        <v>0</v>
      </c>
      <c r="L74" s="36" t="s">
        <v>179</v>
      </c>
      <c r="M74" s="7"/>
      <c r="Z74" s="40">
        <f t="shared" si="25"/>
        <v>0</v>
      </c>
      <c r="AB74" s="40">
        <f t="shared" si="26"/>
        <v>0</v>
      </c>
      <c r="AC74" s="40">
        <f t="shared" si="27"/>
        <v>0</v>
      </c>
      <c r="AD74" s="40">
        <f t="shared" si="28"/>
        <v>0</v>
      </c>
      <c r="AE74" s="40">
        <f t="shared" si="29"/>
        <v>0</v>
      </c>
      <c r="AF74" s="40">
        <f t="shared" si="30"/>
        <v>0</v>
      </c>
      <c r="AG74" s="40">
        <f t="shared" si="31"/>
        <v>0</v>
      </c>
      <c r="AH74" s="40">
        <f t="shared" si="32"/>
        <v>0</v>
      </c>
      <c r="AI74" s="39"/>
      <c r="AJ74" s="24">
        <f t="shared" si="33"/>
        <v>0</v>
      </c>
      <c r="AK74" s="24">
        <f t="shared" si="34"/>
        <v>0</v>
      </c>
      <c r="AL74" s="24">
        <f t="shared" si="35"/>
        <v>0</v>
      </c>
      <c r="AN74" s="40">
        <v>21</v>
      </c>
      <c r="AO74" s="40">
        <f t="shared" si="36"/>
        <v>0</v>
      </c>
      <c r="AP74" s="40">
        <f t="shared" si="37"/>
        <v>0</v>
      </c>
      <c r="AQ74" s="42" t="s">
        <v>7</v>
      </c>
      <c r="AV74" s="40">
        <f t="shared" si="38"/>
        <v>0</v>
      </c>
      <c r="AW74" s="40">
        <f t="shared" si="39"/>
        <v>0</v>
      </c>
      <c r="AX74" s="40">
        <f t="shared" si="40"/>
        <v>0</v>
      </c>
      <c r="AY74" s="43" t="s">
        <v>200</v>
      </c>
      <c r="AZ74" s="43" t="s">
        <v>200</v>
      </c>
      <c r="BA74" s="39" t="s">
        <v>207</v>
      </c>
      <c r="BC74" s="40">
        <f t="shared" si="41"/>
        <v>0</v>
      </c>
      <c r="BD74" s="40">
        <f t="shared" si="42"/>
        <v>0</v>
      </c>
      <c r="BE74" s="40">
        <v>0</v>
      </c>
      <c r="BF74" s="40">
        <f>74</f>
        <v>74</v>
      </c>
      <c r="BH74" s="24">
        <f t="shared" si="43"/>
        <v>0</v>
      </c>
      <c r="BI74" s="24">
        <f t="shared" si="44"/>
        <v>0</v>
      </c>
      <c r="BJ74" s="24">
        <f t="shared" si="45"/>
        <v>0</v>
      </c>
      <c r="BK74" s="24" t="s">
        <v>213</v>
      </c>
      <c r="BL74" s="40">
        <v>0</v>
      </c>
    </row>
    <row r="75" spans="1:64" ht="12.75">
      <c r="A75" s="8" t="s">
        <v>45</v>
      </c>
      <c r="B75" s="18" t="s">
        <v>80</v>
      </c>
      <c r="C75" s="113" t="s">
        <v>145</v>
      </c>
      <c r="D75" s="114"/>
      <c r="E75" s="114"/>
      <c r="F75" s="18" t="s">
        <v>154</v>
      </c>
      <c r="G75" s="25">
        <v>1</v>
      </c>
      <c r="H75" s="25">
        <v>0</v>
      </c>
      <c r="I75" s="25">
        <f t="shared" si="22"/>
        <v>0</v>
      </c>
      <c r="J75" s="25">
        <f t="shared" si="23"/>
        <v>0</v>
      </c>
      <c r="K75" s="25">
        <f t="shared" si="24"/>
        <v>0</v>
      </c>
      <c r="L75" s="37" t="s">
        <v>179</v>
      </c>
      <c r="M75" s="7"/>
      <c r="Z75" s="40">
        <f t="shared" si="25"/>
        <v>0</v>
      </c>
      <c r="AB75" s="40">
        <f t="shared" si="26"/>
        <v>0</v>
      </c>
      <c r="AC75" s="40">
        <f t="shared" si="27"/>
        <v>0</v>
      </c>
      <c r="AD75" s="40">
        <f t="shared" si="28"/>
        <v>0</v>
      </c>
      <c r="AE75" s="40">
        <f t="shared" si="29"/>
        <v>0</v>
      </c>
      <c r="AF75" s="40">
        <f t="shared" si="30"/>
        <v>0</v>
      </c>
      <c r="AG75" s="40">
        <f t="shared" si="31"/>
        <v>0</v>
      </c>
      <c r="AH75" s="40">
        <f t="shared" si="32"/>
        <v>0</v>
      </c>
      <c r="AI75" s="39"/>
      <c r="AJ75" s="24">
        <f t="shared" si="33"/>
        <v>0</v>
      </c>
      <c r="AK75" s="24">
        <f t="shared" si="34"/>
        <v>0</v>
      </c>
      <c r="AL75" s="24">
        <f t="shared" si="35"/>
        <v>0</v>
      </c>
      <c r="AN75" s="40">
        <v>21</v>
      </c>
      <c r="AO75" s="40">
        <f t="shared" si="36"/>
        <v>0</v>
      </c>
      <c r="AP75" s="40">
        <f t="shared" si="37"/>
        <v>0</v>
      </c>
      <c r="AQ75" s="42" t="s">
        <v>7</v>
      </c>
      <c r="AV75" s="40">
        <f t="shared" si="38"/>
        <v>0</v>
      </c>
      <c r="AW75" s="40">
        <f t="shared" si="39"/>
        <v>0</v>
      </c>
      <c r="AX75" s="40">
        <f t="shared" si="40"/>
        <v>0</v>
      </c>
      <c r="AY75" s="43" t="s">
        <v>200</v>
      </c>
      <c r="AZ75" s="43" t="s">
        <v>200</v>
      </c>
      <c r="BA75" s="39" t="s">
        <v>207</v>
      </c>
      <c r="BC75" s="40">
        <f t="shared" si="41"/>
        <v>0</v>
      </c>
      <c r="BD75" s="40">
        <f t="shared" si="42"/>
        <v>0</v>
      </c>
      <c r="BE75" s="40">
        <v>0</v>
      </c>
      <c r="BF75" s="40">
        <f>75</f>
        <v>75</v>
      </c>
      <c r="BH75" s="24">
        <f t="shared" si="43"/>
        <v>0</v>
      </c>
      <c r="BI75" s="24">
        <f t="shared" si="44"/>
        <v>0</v>
      </c>
      <c r="BJ75" s="24">
        <f t="shared" si="45"/>
        <v>0</v>
      </c>
      <c r="BK75" s="24" t="s">
        <v>213</v>
      </c>
      <c r="BL75" s="40">
        <v>0</v>
      </c>
    </row>
    <row r="76" spans="1:12" ht="12.75">
      <c r="A76" s="9"/>
      <c r="B76" s="9"/>
      <c r="C76" s="9"/>
      <c r="D76" s="9"/>
      <c r="E76" s="9"/>
      <c r="F76" s="9"/>
      <c r="G76" s="9"/>
      <c r="H76" s="9"/>
      <c r="I76" s="115" t="s">
        <v>172</v>
      </c>
      <c r="J76" s="116"/>
      <c r="K76" s="47">
        <f>K12+K14+K19+K26+K30+K33+K38+K43+K46+K57+K60+K62</f>
        <v>0</v>
      </c>
      <c r="L76" s="9"/>
    </row>
    <row r="77" ht="11.25" customHeight="1">
      <c r="A77" s="10" t="s">
        <v>46</v>
      </c>
    </row>
    <row r="78" spans="1:12" ht="89.25" customHeight="1">
      <c r="A78" s="88" t="s">
        <v>47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</row>
  </sheetData>
  <sheetProtection/>
  <mergeCells count="94">
    <mergeCell ref="C75:E75"/>
    <mergeCell ref="I76:J76"/>
    <mergeCell ref="A78:L78"/>
    <mergeCell ref="C69:E69"/>
    <mergeCell ref="C70:E70"/>
    <mergeCell ref="C71:E71"/>
    <mergeCell ref="C72:E72"/>
    <mergeCell ref="C73:E73"/>
    <mergeCell ref="C74:E74"/>
    <mergeCell ref="C63:E63"/>
    <mergeCell ref="C64:L64"/>
    <mergeCell ref="C65:E65"/>
    <mergeCell ref="C66:E66"/>
    <mergeCell ref="C67:E67"/>
    <mergeCell ref="C68:E68"/>
    <mergeCell ref="C57:E57"/>
    <mergeCell ref="C58:E58"/>
    <mergeCell ref="C59:L59"/>
    <mergeCell ref="C60:E60"/>
    <mergeCell ref="C61:E61"/>
    <mergeCell ref="C62:E62"/>
    <mergeCell ref="C51:E51"/>
    <mergeCell ref="C52:L52"/>
    <mergeCell ref="C53:E53"/>
    <mergeCell ref="C54:L54"/>
    <mergeCell ref="C55:E55"/>
    <mergeCell ref="C56:L56"/>
    <mergeCell ref="C45:L45"/>
    <mergeCell ref="C46:E46"/>
    <mergeCell ref="C47:E47"/>
    <mergeCell ref="C48:E48"/>
    <mergeCell ref="C49:E49"/>
    <mergeCell ref="C50:L50"/>
    <mergeCell ref="C39:E39"/>
    <mergeCell ref="C40:L40"/>
    <mergeCell ref="C41:E41"/>
    <mergeCell ref="C42:L42"/>
    <mergeCell ref="C43:E43"/>
    <mergeCell ref="C44:E44"/>
    <mergeCell ref="C33:E33"/>
    <mergeCell ref="C34:E34"/>
    <mergeCell ref="C35:L35"/>
    <mergeCell ref="C36:E36"/>
    <mergeCell ref="C37:L37"/>
    <mergeCell ref="C38:E38"/>
    <mergeCell ref="C27:E27"/>
    <mergeCell ref="C28:E28"/>
    <mergeCell ref="C29:L29"/>
    <mergeCell ref="C30:E30"/>
    <mergeCell ref="C31:E31"/>
    <mergeCell ref="C32:L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215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81" t="str">
        <f>'Stavební rozpočet'!C2</f>
        <v>NZM-vyrovnávací rampa</v>
      </c>
      <c r="C2" s="116"/>
      <c r="D2" s="84" t="s">
        <v>160</v>
      </c>
      <c r="E2" s="84" t="str">
        <f>'Stavební rozpočet'!I2</f>
        <v>Národní zemědělské muzeum s.p.o.</v>
      </c>
      <c r="F2" s="78"/>
      <c r="G2" s="85"/>
      <c r="H2" s="7"/>
    </row>
    <row r="3" spans="1:8" ht="12.75">
      <c r="A3" s="79"/>
      <c r="B3" s="82"/>
      <c r="C3" s="82"/>
      <c r="D3" s="80"/>
      <c r="E3" s="80"/>
      <c r="F3" s="80"/>
      <c r="G3" s="86"/>
      <c r="H3" s="7"/>
    </row>
    <row r="4" spans="1:8" ht="12.75">
      <c r="A4" s="87" t="s">
        <v>2</v>
      </c>
      <c r="B4" s="88" t="str">
        <f>'Stavební rozpočet'!C4</f>
        <v>novostavba, stavební část</v>
      </c>
      <c r="C4" s="80"/>
      <c r="D4" s="88" t="s">
        <v>161</v>
      </c>
      <c r="E4" s="88" t="str">
        <f>'Stavební rozpočet'!I4</f>
        <v>Ing arch Miroslav Vajtr</v>
      </c>
      <c r="F4" s="80"/>
      <c r="G4" s="86"/>
      <c r="H4" s="7"/>
    </row>
    <row r="5" spans="1:8" ht="12.75">
      <c r="A5" s="79"/>
      <c r="B5" s="80"/>
      <c r="C5" s="80"/>
      <c r="D5" s="80"/>
      <c r="E5" s="80"/>
      <c r="F5" s="80"/>
      <c r="G5" s="86"/>
      <c r="H5" s="7"/>
    </row>
    <row r="6" spans="1:8" ht="12.75">
      <c r="A6" s="87" t="s">
        <v>3</v>
      </c>
      <c r="B6" s="88" t="str">
        <f>'Stavební rozpočet'!C6</f>
        <v>Kostelní 44, Praha 7</v>
      </c>
      <c r="C6" s="80"/>
      <c r="D6" s="88" t="s">
        <v>162</v>
      </c>
      <c r="E6" s="88" t="str">
        <f>'Stavební rozpočet'!I6</f>
        <v> </v>
      </c>
      <c r="F6" s="80"/>
      <c r="G6" s="86"/>
      <c r="H6" s="7"/>
    </row>
    <row r="7" spans="1:8" ht="12.75">
      <c r="A7" s="79"/>
      <c r="B7" s="80"/>
      <c r="C7" s="80"/>
      <c r="D7" s="80"/>
      <c r="E7" s="80"/>
      <c r="F7" s="80"/>
      <c r="G7" s="86"/>
      <c r="H7" s="7"/>
    </row>
    <row r="8" spans="1:8" ht="12.75">
      <c r="A8" s="87" t="s">
        <v>163</v>
      </c>
      <c r="B8" s="88" t="str">
        <f>'Stavební rozpočet'!I8</f>
        <v>Pejchalová</v>
      </c>
      <c r="C8" s="80"/>
      <c r="D8" s="89" t="s">
        <v>149</v>
      </c>
      <c r="E8" s="88" t="str">
        <f>'Stavební rozpočet'!F8</f>
        <v>03.11.2020</v>
      </c>
      <c r="F8" s="80"/>
      <c r="G8" s="86"/>
      <c r="H8" s="7"/>
    </row>
    <row r="9" spans="1:8" ht="12.75">
      <c r="A9" s="90"/>
      <c r="B9" s="91"/>
      <c r="C9" s="91"/>
      <c r="D9" s="91"/>
      <c r="E9" s="91"/>
      <c r="F9" s="91"/>
      <c r="G9" s="92"/>
      <c r="H9" s="7"/>
    </row>
    <row r="10" spans="1:8" ht="12.75">
      <c r="A10" s="48" t="s">
        <v>216</v>
      </c>
      <c r="B10" s="51" t="s">
        <v>48</v>
      </c>
      <c r="C10" s="117" t="s">
        <v>217</v>
      </c>
      <c r="D10" s="118"/>
      <c r="E10" s="53" t="s">
        <v>218</v>
      </c>
      <c r="F10" s="53" t="s">
        <v>219</v>
      </c>
      <c r="G10" s="53" t="s">
        <v>220</v>
      </c>
      <c r="H10" s="7"/>
    </row>
    <row r="11" spans="1:9" ht="12.75">
      <c r="A11" s="49"/>
      <c r="B11" s="52" t="s">
        <v>19</v>
      </c>
      <c r="C11" s="119" t="s">
        <v>86</v>
      </c>
      <c r="D11" s="120"/>
      <c r="E11" s="55">
        <f>'Stavební rozpočet'!I12</f>
        <v>0</v>
      </c>
      <c r="F11" s="55">
        <f>'Stavební rozpočet'!J12</f>
        <v>0</v>
      </c>
      <c r="G11" s="55">
        <f>'Stavební rozpočet'!K12</f>
        <v>0</v>
      </c>
      <c r="H11" s="40" t="s">
        <v>221</v>
      </c>
      <c r="I11" s="40">
        <f aca="true" t="shared" si="0" ref="I11:I22">IF(H11="F",0,G11)</f>
        <v>0</v>
      </c>
    </row>
    <row r="12" spans="1:9" ht="12.75">
      <c r="A12" s="50"/>
      <c r="B12" s="19" t="s">
        <v>22</v>
      </c>
      <c r="C12" s="89" t="s">
        <v>88</v>
      </c>
      <c r="D12" s="80"/>
      <c r="E12" s="40">
        <f>'Stavební rozpočet'!I14</f>
        <v>0</v>
      </c>
      <c r="F12" s="40">
        <f>'Stavební rozpočet'!J14</f>
        <v>0</v>
      </c>
      <c r="G12" s="40">
        <f>'Stavební rozpočet'!K14</f>
        <v>0</v>
      </c>
      <c r="H12" s="40" t="s">
        <v>221</v>
      </c>
      <c r="I12" s="40">
        <f t="shared" si="0"/>
        <v>0</v>
      </c>
    </row>
    <row r="13" spans="1:9" ht="12.75">
      <c r="A13" s="50"/>
      <c r="B13" s="19" t="s">
        <v>24</v>
      </c>
      <c r="C13" s="89" t="s">
        <v>93</v>
      </c>
      <c r="D13" s="80"/>
      <c r="E13" s="40">
        <f>'Stavební rozpočet'!I19</f>
        <v>0</v>
      </c>
      <c r="F13" s="40">
        <f>'Stavební rozpočet'!J19</f>
        <v>0</v>
      </c>
      <c r="G13" s="40">
        <f>'Stavební rozpočet'!K19</f>
        <v>0</v>
      </c>
      <c r="H13" s="40" t="s">
        <v>221</v>
      </c>
      <c r="I13" s="40">
        <f t="shared" si="0"/>
        <v>0</v>
      </c>
    </row>
    <row r="14" spans="1:9" ht="12.75">
      <c r="A14" s="50"/>
      <c r="B14" s="19" t="s">
        <v>33</v>
      </c>
      <c r="C14" s="89" t="s">
        <v>99</v>
      </c>
      <c r="D14" s="80"/>
      <c r="E14" s="40">
        <f>'Stavební rozpočet'!I26</f>
        <v>0</v>
      </c>
      <c r="F14" s="40">
        <f>'Stavební rozpočet'!J26</f>
        <v>0</v>
      </c>
      <c r="G14" s="40">
        <f>'Stavební rozpočet'!K26</f>
        <v>0</v>
      </c>
      <c r="H14" s="40" t="s">
        <v>221</v>
      </c>
      <c r="I14" s="40">
        <f t="shared" si="0"/>
        <v>0</v>
      </c>
    </row>
    <row r="15" spans="1:9" ht="12.75">
      <c r="A15" s="50"/>
      <c r="B15" s="19" t="s">
        <v>37</v>
      </c>
      <c r="C15" s="89" t="s">
        <v>103</v>
      </c>
      <c r="D15" s="80"/>
      <c r="E15" s="40">
        <f>'Stavební rozpočet'!I30</f>
        <v>0</v>
      </c>
      <c r="F15" s="40">
        <f>'Stavební rozpočet'!J30</f>
        <v>0</v>
      </c>
      <c r="G15" s="40">
        <f>'Stavební rozpočet'!K30</f>
        <v>0</v>
      </c>
      <c r="H15" s="40" t="s">
        <v>221</v>
      </c>
      <c r="I15" s="40">
        <f t="shared" si="0"/>
        <v>0</v>
      </c>
    </row>
    <row r="16" spans="1:9" ht="12.75">
      <c r="A16" s="50"/>
      <c r="B16" s="19" t="s">
        <v>64</v>
      </c>
      <c r="C16" s="89" t="s">
        <v>106</v>
      </c>
      <c r="D16" s="80"/>
      <c r="E16" s="40">
        <f>'Stavební rozpočet'!I33</f>
        <v>0</v>
      </c>
      <c r="F16" s="40">
        <f>'Stavební rozpočet'!J33</f>
        <v>0</v>
      </c>
      <c r="G16" s="40">
        <f>'Stavební rozpočet'!K33</f>
        <v>0</v>
      </c>
      <c r="H16" s="40" t="s">
        <v>221</v>
      </c>
      <c r="I16" s="40">
        <f t="shared" si="0"/>
        <v>0</v>
      </c>
    </row>
    <row r="17" spans="1:9" ht="12.75">
      <c r="A17" s="50"/>
      <c r="B17" s="19" t="s">
        <v>67</v>
      </c>
      <c r="C17" s="89" t="s">
        <v>111</v>
      </c>
      <c r="D17" s="80"/>
      <c r="E17" s="40">
        <f>'Stavební rozpočet'!I38</f>
        <v>0</v>
      </c>
      <c r="F17" s="40">
        <f>'Stavební rozpočet'!J38</f>
        <v>0</v>
      </c>
      <c r="G17" s="40">
        <f>'Stavební rozpočet'!K38</f>
        <v>0</v>
      </c>
      <c r="H17" s="40" t="s">
        <v>221</v>
      </c>
      <c r="I17" s="40">
        <f t="shared" si="0"/>
        <v>0</v>
      </c>
    </row>
    <row r="18" spans="1:9" ht="12.75">
      <c r="A18" s="50"/>
      <c r="B18" s="19" t="s">
        <v>69</v>
      </c>
      <c r="C18" s="89" t="s">
        <v>115</v>
      </c>
      <c r="D18" s="80"/>
      <c r="E18" s="40">
        <f>'Stavební rozpočet'!I43</f>
        <v>0</v>
      </c>
      <c r="F18" s="40">
        <f>'Stavební rozpočet'!J43</f>
        <v>0</v>
      </c>
      <c r="G18" s="40">
        <f>'Stavební rozpočet'!K43</f>
        <v>0</v>
      </c>
      <c r="H18" s="40" t="s">
        <v>221</v>
      </c>
      <c r="I18" s="40">
        <f t="shared" si="0"/>
        <v>0</v>
      </c>
    </row>
    <row r="19" spans="1:9" ht="12.75">
      <c r="A19" s="50"/>
      <c r="B19" s="19" t="s">
        <v>71</v>
      </c>
      <c r="C19" s="89" t="s">
        <v>118</v>
      </c>
      <c r="D19" s="80"/>
      <c r="E19" s="40">
        <f>'Stavební rozpočet'!I46</f>
        <v>0</v>
      </c>
      <c r="F19" s="40">
        <f>'Stavební rozpočet'!J46</f>
        <v>0</v>
      </c>
      <c r="G19" s="40">
        <f>'Stavební rozpočet'!K46</f>
        <v>0</v>
      </c>
      <c r="H19" s="40" t="s">
        <v>221</v>
      </c>
      <c r="I19" s="40">
        <f t="shared" si="0"/>
        <v>0</v>
      </c>
    </row>
    <row r="20" spans="1:9" ht="12.75">
      <c r="A20" s="50"/>
      <c r="B20" s="19" t="s">
        <v>75</v>
      </c>
      <c r="C20" s="89" t="s">
        <v>127</v>
      </c>
      <c r="D20" s="80"/>
      <c r="E20" s="40">
        <f>'Stavební rozpočet'!I57</f>
        <v>0</v>
      </c>
      <c r="F20" s="40">
        <f>'Stavební rozpočet'!J57</f>
        <v>0</v>
      </c>
      <c r="G20" s="40">
        <f>'Stavební rozpočet'!K57</f>
        <v>0</v>
      </c>
      <c r="H20" s="40" t="s">
        <v>221</v>
      </c>
      <c r="I20" s="40">
        <f t="shared" si="0"/>
        <v>0</v>
      </c>
    </row>
    <row r="21" spans="1:9" ht="12.75">
      <c r="A21" s="50"/>
      <c r="B21" s="19" t="s">
        <v>77</v>
      </c>
      <c r="C21" s="89" t="s">
        <v>130</v>
      </c>
      <c r="D21" s="80"/>
      <c r="E21" s="40">
        <f>'Stavební rozpočet'!I60</f>
        <v>0</v>
      </c>
      <c r="F21" s="40">
        <f>'Stavební rozpočet'!J60</f>
        <v>0</v>
      </c>
      <c r="G21" s="40">
        <f>'Stavební rozpočet'!K60</f>
        <v>0</v>
      </c>
      <c r="H21" s="40" t="s">
        <v>221</v>
      </c>
      <c r="I21" s="40">
        <f t="shared" si="0"/>
        <v>0</v>
      </c>
    </row>
    <row r="22" spans="1:9" ht="12.75">
      <c r="A22" s="50"/>
      <c r="B22" s="19" t="s">
        <v>79</v>
      </c>
      <c r="C22" s="89" t="s">
        <v>132</v>
      </c>
      <c r="D22" s="80"/>
      <c r="E22" s="40">
        <f>'Stavební rozpočet'!I62</f>
        <v>0</v>
      </c>
      <c r="F22" s="40">
        <f>'Stavební rozpočet'!J62</f>
        <v>0</v>
      </c>
      <c r="G22" s="40">
        <f>'Stavební rozpočet'!K62</f>
        <v>0</v>
      </c>
      <c r="H22" s="40" t="s">
        <v>221</v>
      </c>
      <c r="I22" s="40">
        <f t="shared" si="0"/>
        <v>0</v>
      </c>
    </row>
    <row r="23" spans="6:7" ht="12.75">
      <c r="F23" s="54" t="s">
        <v>172</v>
      </c>
      <c r="G23" s="56">
        <f>SUM(I11:I22)</f>
        <v>0</v>
      </c>
    </row>
  </sheetData>
  <sheetProtection/>
  <mergeCells count="30">
    <mergeCell ref="C22:D22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237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NZM-vyrovnávací rampa</v>
      </c>
      <c r="D2" s="116"/>
      <c r="E2" s="84" t="s">
        <v>160</v>
      </c>
      <c r="F2" s="84" t="str">
        <f>'Stavební rozpočet'!I2</f>
        <v>Národní zemědělské muzeum s.p.o.</v>
      </c>
      <c r="G2" s="78"/>
      <c r="H2" s="84" t="s">
        <v>261</v>
      </c>
      <c r="I2" s="122" t="s">
        <v>265</v>
      </c>
      <c r="J2" s="7"/>
    </row>
    <row r="3" spans="1:10" ht="12.75">
      <c r="A3" s="79"/>
      <c r="B3" s="80"/>
      <c r="C3" s="82"/>
      <c r="D3" s="82"/>
      <c r="E3" s="80"/>
      <c r="F3" s="80"/>
      <c r="G3" s="80"/>
      <c r="H3" s="80"/>
      <c r="I3" s="86"/>
      <c r="J3" s="7"/>
    </row>
    <row r="4" spans="1:10" ht="12.75">
      <c r="A4" s="87" t="s">
        <v>2</v>
      </c>
      <c r="B4" s="80"/>
      <c r="C4" s="88" t="str">
        <f>'Stavební rozpočet'!C4</f>
        <v>novostavba, stavební část</v>
      </c>
      <c r="D4" s="80"/>
      <c r="E4" s="88" t="s">
        <v>161</v>
      </c>
      <c r="F4" s="88" t="str">
        <f>'Stavební rozpočet'!I4</f>
        <v>Ing arch Miroslav Vajtr</v>
      </c>
      <c r="G4" s="80"/>
      <c r="H4" s="88" t="s">
        <v>261</v>
      </c>
      <c r="I4" s="123" t="s">
        <v>266</v>
      </c>
      <c r="J4" s="7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7"/>
    </row>
    <row r="6" spans="1:10" ht="12.75">
      <c r="A6" s="87" t="s">
        <v>3</v>
      </c>
      <c r="B6" s="80"/>
      <c r="C6" s="88" t="str">
        <f>'Stavební rozpočet'!C6</f>
        <v>Kostelní 44, Praha 7</v>
      </c>
      <c r="D6" s="80"/>
      <c r="E6" s="88" t="s">
        <v>162</v>
      </c>
      <c r="F6" s="88" t="str">
        <f>'Stavební rozpočet'!I6</f>
        <v> </v>
      </c>
      <c r="G6" s="80"/>
      <c r="H6" s="88" t="s">
        <v>261</v>
      </c>
      <c r="I6" s="123"/>
      <c r="J6" s="7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7"/>
    </row>
    <row r="8" spans="1:10" ht="12.75">
      <c r="A8" s="87" t="s">
        <v>147</v>
      </c>
      <c r="B8" s="80"/>
      <c r="C8" s="88" t="str">
        <f>'Stavební rozpočet'!F4</f>
        <v>03.11.2020</v>
      </c>
      <c r="D8" s="80"/>
      <c r="E8" s="88" t="s">
        <v>148</v>
      </c>
      <c r="F8" s="88" t="str">
        <f>'Stavební rozpočet'!F6</f>
        <v> </v>
      </c>
      <c r="G8" s="80"/>
      <c r="H8" s="89" t="s">
        <v>262</v>
      </c>
      <c r="I8" s="123" t="s">
        <v>45</v>
      </c>
      <c r="J8" s="7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7"/>
    </row>
    <row r="10" spans="1:10" ht="12.75">
      <c r="A10" s="87" t="s">
        <v>4</v>
      </c>
      <c r="B10" s="80"/>
      <c r="C10" s="88" t="str">
        <f>'Stavební rozpočet'!C8</f>
        <v> </v>
      </c>
      <c r="D10" s="80"/>
      <c r="E10" s="88" t="s">
        <v>163</v>
      </c>
      <c r="F10" s="88" t="str">
        <f>'Stavební rozpočet'!I8</f>
        <v>Pejchalová</v>
      </c>
      <c r="G10" s="80"/>
      <c r="H10" s="89" t="s">
        <v>263</v>
      </c>
      <c r="I10" s="126" t="str">
        <f>'Stavební rozpočet'!F8</f>
        <v>03.11.2020</v>
      </c>
      <c r="J10" s="7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7"/>
      <c r="J11" s="7"/>
    </row>
    <row r="12" spans="1:9" ht="23.25" customHeight="1">
      <c r="A12" s="128" t="s">
        <v>222</v>
      </c>
      <c r="B12" s="129"/>
      <c r="C12" s="129"/>
      <c r="D12" s="129"/>
      <c r="E12" s="129"/>
      <c r="F12" s="129"/>
      <c r="G12" s="129"/>
      <c r="H12" s="129"/>
      <c r="I12" s="129"/>
    </row>
    <row r="13" spans="1:10" ht="26.25" customHeight="1">
      <c r="A13" s="58" t="s">
        <v>223</v>
      </c>
      <c r="B13" s="130" t="s">
        <v>235</v>
      </c>
      <c r="C13" s="131"/>
      <c r="D13" s="58" t="s">
        <v>238</v>
      </c>
      <c r="E13" s="130" t="s">
        <v>247</v>
      </c>
      <c r="F13" s="131"/>
      <c r="G13" s="58" t="s">
        <v>248</v>
      </c>
      <c r="H13" s="130" t="s">
        <v>264</v>
      </c>
      <c r="I13" s="131"/>
      <c r="J13" s="7"/>
    </row>
    <row r="14" spans="1:10" ht="15" customHeight="1">
      <c r="A14" s="59" t="s">
        <v>224</v>
      </c>
      <c r="B14" s="63" t="s">
        <v>236</v>
      </c>
      <c r="C14" s="67">
        <f>SUM('Stavební rozpočet'!AB12:AB75)</f>
        <v>0</v>
      </c>
      <c r="D14" s="132" t="s">
        <v>239</v>
      </c>
      <c r="E14" s="133"/>
      <c r="F14" s="67">
        <v>0</v>
      </c>
      <c r="G14" s="132" t="s">
        <v>133</v>
      </c>
      <c r="H14" s="133"/>
      <c r="I14" s="67">
        <v>0</v>
      </c>
      <c r="J14" s="7"/>
    </row>
    <row r="15" spans="1:10" ht="15" customHeight="1">
      <c r="A15" s="60"/>
      <c r="B15" s="63" t="s">
        <v>173</v>
      </c>
      <c r="C15" s="67">
        <f>SUM('Stavební rozpočet'!AC12:AC75)</f>
        <v>0</v>
      </c>
      <c r="D15" s="132" t="s">
        <v>240</v>
      </c>
      <c r="E15" s="133"/>
      <c r="F15" s="67">
        <v>0</v>
      </c>
      <c r="G15" s="132" t="s">
        <v>249</v>
      </c>
      <c r="H15" s="133"/>
      <c r="I15" s="67">
        <v>0</v>
      </c>
      <c r="J15" s="7"/>
    </row>
    <row r="16" spans="1:10" ht="15" customHeight="1">
      <c r="A16" s="59" t="s">
        <v>225</v>
      </c>
      <c r="B16" s="63" t="s">
        <v>236</v>
      </c>
      <c r="C16" s="67">
        <f>SUM('Stavební rozpočet'!AD12:AD75)</f>
        <v>0</v>
      </c>
      <c r="D16" s="132" t="s">
        <v>241</v>
      </c>
      <c r="E16" s="133"/>
      <c r="F16" s="67">
        <v>0</v>
      </c>
      <c r="G16" s="132" t="s">
        <v>250</v>
      </c>
      <c r="H16" s="133"/>
      <c r="I16" s="67">
        <v>0</v>
      </c>
      <c r="J16" s="7"/>
    </row>
    <row r="17" spans="1:10" ht="15" customHeight="1">
      <c r="A17" s="60"/>
      <c r="B17" s="63" t="s">
        <v>173</v>
      </c>
      <c r="C17" s="67">
        <f>SUM('Stavební rozpočet'!AE12:AE75)</f>
        <v>0</v>
      </c>
      <c r="D17" s="132"/>
      <c r="E17" s="133"/>
      <c r="F17" s="68"/>
      <c r="G17" s="132" t="s">
        <v>251</v>
      </c>
      <c r="H17" s="133"/>
      <c r="I17" s="67">
        <v>0</v>
      </c>
      <c r="J17" s="7"/>
    </row>
    <row r="18" spans="1:10" ht="15" customHeight="1">
      <c r="A18" s="59" t="s">
        <v>226</v>
      </c>
      <c r="B18" s="63" t="s">
        <v>236</v>
      </c>
      <c r="C18" s="67">
        <f>SUM('Stavební rozpočet'!AF12:AF75)</f>
        <v>0</v>
      </c>
      <c r="D18" s="132"/>
      <c r="E18" s="133"/>
      <c r="F18" s="68"/>
      <c r="G18" s="132" t="s">
        <v>252</v>
      </c>
      <c r="H18" s="133"/>
      <c r="I18" s="67">
        <v>0</v>
      </c>
      <c r="J18" s="7"/>
    </row>
    <row r="19" spans="1:10" ht="15" customHeight="1">
      <c r="A19" s="60"/>
      <c r="B19" s="63" t="s">
        <v>173</v>
      </c>
      <c r="C19" s="67">
        <f>SUM('Stavební rozpočet'!AG12:AG75)</f>
        <v>0</v>
      </c>
      <c r="D19" s="132"/>
      <c r="E19" s="133"/>
      <c r="F19" s="68"/>
      <c r="G19" s="132" t="s">
        <v>253</v>
      </c>
      <c r="H19" s="133"/>
      <c r="I19" s="67">
        <v>0</v>
      </c>
      <c r="J19" s="7"/>
    </row>
    <row r="20" spans="1:10" ht="15" customHeight="1">
      <c r="A20" s="134" t="s">
        <v>227</v>
      </c>
      <c r="B20" s="135"/>
      <c r="C20" s="67">
        <f>SUM('Stavební rozpočet'!AH12:AH75)</f>
        <v>0</v>
      </c>
      <c r="D20" s="132"/>
      <c r="E20" s="133"/>
      <c r="F20" s="68"/>
      <c r="G20" s="132"/>
      <c r="H20" s="133"/>
      <c r="I20" s="68"/>
      <c r="J20" s="7"/>
    </row>
    <row r="21" spans="1:10" ht="15" customHeight="1">
      <c r="A21" s="134" t="s">
        <v>228</v>
      </c>
      <c r="B21" s="135"/>
      <c r="C21" s="67">
        <f>SUM('Stavební rozpočet'!Z12:Z75)</f>
        <v>0</v>
      </c>
      <c r="D21" s="132"/>
      <c r="E21" s="133"/>
      <c r="F21" s="68"/>
      <c r="G21" s="132"/>
      <c r="H21" s="133"/>
      <c r="I21" s="68"/>
      <c r="J21" s="7"/>
    </row>
    <row r="22" spans="1:10" ht="16.5" customHeight="1">
      <c r="A22" s="134" t="s">
        <v>229</v>
      </c>
      <c r="B22" s="135"/>
      <c r="C22" s="67">
        <f>SUM(C14:C21)</f>
        <v>0</v>
      </c>
      <c r="D22" s="134" t="s">
        <v>242</v>
      </c>
      <c r="E22" s="135"/>
      <c r="F22" s="67">
        <f>SUM(F14:F21)</f>
        <v>0</v>
      </c>
      <c r="G22" s="134" t="s">
        <v>254</v>
      </c>
      <c r="H22" s="135"/>
      <c r="I22" s="67">
        <f>SUM(I14:I21)</f>
        <v>0</v>
      </c>
      <c r="J22" s="7"/>
    </row>
    <row r="23" spans="1:10" ht="15" customHeight="1">
      <c r="A23" s="9"/>
      <c r="B23" s="9"/>
      <c r="C23" s="65"/>
      <c r="D23" s="134" t="s">
        <v>243</v>
      </c>
      <c r="E23" s="135"/>
      <c r="F23" s="69">
        <v>0</v>
      </c>
      <c r="G23" s="134" t="s">
        <v>255</v>
      </c>
      <c r="H23" s="135"/>
      <c r="I23" s="67">
        <v>0</v>
      </c>
      <c r="J23" s="7"/>
    </row>
    <row r="24" spans="4:9" ht="15" customHeight="1">
      <c r="D24" s="9"/>
      <c r="E24" s="9"/>
      <c r="F24" s="70"/>
      <c r="G24" s="134" t="s">
        <v>256</v>
      </c>
      <c r="H24" s="135"/>
      <c r="I24" s="72"/>
    </row>
    <row r="25" spans="6:10" ht="15" customHeight="1">
      <c r="F25" s="71"/>
      <c r="G25" s="134" t="s">
        <v>257</v>
      </c>
      <c r="H25" s="135"/>
      <c r="I25" s="67">
        <v>0</v>
      </c>
      <c r="J25" s="7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6" t="s">
        <v>230</v>
      </c>
      <c r="B27" s="137"/>
      <c r="C27" s="73">
        <f>SUM('Stavební rozpočet'!AJ12:AJ75)</f>
        <v>0</v>
      </c>
      <c r="D27" s="66"/>
      <c r="E27" s="57"/>
      <c r="F27" s="57"/>
      <c r="G27" s="57"/>
      <c r="H27" s="57"/>
      <c r="I27" s="57"/>
    </row>
    <row r="28" spans="1:10" ht="15" customHeight="1">
      <c r="A28" s="136" t="s">
        <v>231</v>
      </c>
      <c r="B28" s="137"/>
      <c r="C28" s="73">
        <f>SUM('Stavební rozpočet'!AK12:AK75)</f>
        <v>0</v>
      </c>
      <c r="D28" s="136" t="s">
        <v>244</v>
      </c>
      <c r="E28" s="137"/>
      <c r="F28" s="73">
        <f>ROUND(C28*(15/100),2)</f>
        <v>0</v>
      </c>
      <c r="G28" s="136" t="s">
        <v>258</v>
      </c>
      <c r="H28" s="137"/>
      <c r="I28" s="73">
        <f>SUM(C27:C29)</f>
        <v>0</v>
      </c>
      <c r="J28" s="7"/>
    </row>
    <row r="29" spans="1:10" ht="15" customHeight="1">
      <c r="A29" s="136" t="s">
        <v>232</v>
      </c>
      <c r="B29" s="137"/>
      <c r="C29" s="73">
        <f>SUM('Stavební rozpočet'!AL12:AL75)+(F22+I22+F23+I23+I24+I25)</f>
        <v>0</v>
      </c>
      <c r="D29" s="136" t="s">
        <v>245</v>
      </c>
      <c r="E29" s="137"/>
      <c r="F29" s="73">
        <f>ROUND(C29*(21/100),2)</f>
        <v>0</v>
      </c>
      <c r="G29" s="136" t="s">
        <v>259</v>
      </c>
      <c r="H29" s="137"/>
      <c r="I29" s="73">
        <f>SUM(F28:F29)+I28</f>
        <v>0</v>
      </c>
      <c r="J29" s="7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8" t="s">
        <v>233</v>
      </c>
      <c r="B31" s="139"/>
      <c r="C31" s="140"/>
      <c r="D31" s="138" t="s">
        <v>246</v>
      </c>
      <c r="E31" s="139"/>
      <c r="F31" s="140"/>
      <c r="G31" s="138" t="s">
        <v>260</v>
      </c>
      <c r="H31" s="139"/>
      <c r="I31" s="140"/>
      <c r="J31" s="38"/>
    </row>
    <row r="32" spans="1:10" ht="14.25" customHeight="1">
      <c r="A32" s="141"/>
      <c r="B32" s="142"/>
      <c r="C32" s="143"/>
      <c r="D32" s="141"/>
      <c r="E32" s="142"/>
      <c r="F32" s="143"/>
      <c r="G32" s="141"/>
      <c r="H32" s="142"/>
      <c r="I32" s="143"/>
      <c r="J32" s="38"/>
    </row>
    <row r="33" spans="1:10" ht="14.25" customHeight="1">
      <c r="A33" s="141"/>
      <c r="B33" s="142"/>
      <c r="C33" s="143"/>
      <c r="D33" s="141"/>
      <c r="E33" s="142"/>
      <c r="F33" s="143"/>
      <c r="G33" s="141"/>
      <c r="H33" s="142"/>
      <c r="I33" s="143"/>
      <c r="J33" s="38"/>
    </row>
    <row r="34" spans="1:10" ht="14.25" customHeight="1">
      <c r="A34" s="141"/>
      <c r="B34" s="142"/>
      <c r="C34" s="143"/>
      <c r="D34" s="141"/>
      <c r="E34" s="142"/>
      <c r="F34" s="143"/>
      <c r="G34" s="141"/>
      <c r="H34" s="142"/>
      <c r="I34" s="143"/>
      <c r="J34" s="38"/>
    </row>
    <row r="35" spans="1:10" ht="14.25" customHeight="1">
      <c r="A35" s="144" t="s">
        <v>234</v>
      </c>
      <c r="B35" s="145"/>
      <c r="C35" s="146"/>
      <c r="D35" s="144" t="s">
        <v>234</v>
      </c>
      <c r="E35" s="145"/>
      <c r="F35" s="146"/>
      <c r="G35" s="144" t="s">
        <v>234</v>
      </c>
      <c r="H35" s="145"/>
      <c r="I35" s="146"/>
      <c r="J35" s="38"/>
    </row>
    <row r="36" spans="1:9" ht="11.25" customHeight="1">
      <c r="A36" s="62" t="s">
        <v>46</v>
      </c>
      <c r="B36" s="64"/>
      <c r="C36" s="64"/>
      <c r="D36" s="64"/>
      <c r="E36" s="64"/>
      <c r="F36" s="64"/>
      <c r="G36" s="64"/>
      <c r="H36" s="64"/>
      <c r="I36" s="64"/>
    </row>
    <row r="37" spans="1:9" ht="115.5" customHeight="1">
      <c r="A37" s="88" t="s">
        <v>47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Evička</dc:creator>
  <cp:keywords/>
  <dc:description/>
  <cp:lastModifiedBy>Valešová Jana</cp:lastModifiedBy>
  <dcterms:created xsi:type="dcterms:W3CDTF">2020-11-06T16:40:33Z</dcterms:created>
  <dcterms:modified xsi:type="dcterms:W3CDTF">2021-01-06T09:48:28Z</dcterms:modified>
  <cp:category/>
  <cp:version/>
  <cp:contentType/>
  <cp:contentStatus/>
</cp:coreProperties>
</file>