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oWvEzIBUZ1ydXvixb787Yd9ZUH82126wck1tdoxiNU70TCtORgRIev8gTeqLpr23HsZBznB3MOSHP6CLE20R3A==" workbookSpinCount="100000" workbookSaltValue="8+n2B4K3AJSvy0+wKYdzvw==" lockStructure="1"/>
  <bookViews>
    <workbookView xWindow="0" yWindow="600" windowWidth="23040" windowHeight="12360" activeTab="3"/>
  </bookViews>
  <sheets>
    <sheet name="Krycí list rozpočtu" sheetId="4" r:id="rId1"/>
    <sheet name="Stavební rozpočet" sheetId="1" r:id="rId2"/>
    <sheet name="Stavební rozpočet - součet" sheetId="2" r:id="rId3"/>
    <sheet name="VORN" sheetId="5" r:id="rId4"/>
  </sheets>
  <definedNames>
    <definedName name="vorn_sum">'VORN'!#REF!</definedName>
  </definedNames>
  <calcPr calcId="162913"/>
</workbook>
</file>

<file path=xl/sharedStrings.xml><?xml version="1.0" encoding="utf-8"?>
<sst xmlns="http://schemas.openxmlformats.org/spreadsheetml/2006/main" count="1880" uniqueCount="711">
  <si>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</si>
  <si>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</si>
  <si>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</si>
  <si>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</si>
  <si>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</si>
  <si>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</si>
  <si>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</si>
  <si>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</si>
  <si>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</si>
  <si>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</si>
  <si>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</si>
  <si>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</si>
  <si>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</si>
  <si>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</si>
  <si>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</si>
  <si>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</si>
  <si>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</si>
  <si>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</si>
  <si>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</si>
  <si>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</si>
  <si>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</si>
  <si>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</si>
  <si>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</si>
  <si>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</si>
  <si>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</si>
  <si>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</si>
  <si>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</si>
  <si>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</si>
  <si>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</si>
  <si>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</si>
  <si>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</si>
  <si>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</si>
  <si>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</si>
  <si>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</si>
  <si>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</si>
  <si>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</si>
  <si>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</si>
  <si>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</si>
  <si>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</si>
  <si>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</si>
  <si>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</si>
  <si>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</si>
  <si>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</si>
  <si>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</si>
  <si>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</si>
  <si>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</si>
  <si>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</si>
  <si>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</si>
  <si>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</si>
  <si>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</si>
  <si>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</si>
  <si>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</si>
  <si>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</si>
  <si>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</si>
  <si>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</si>
  <si>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</si>
  <si>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</si>
  <si>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</si>
  <si>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</si>
  <si>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</si>
  <si>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</si>
  <si>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</si>
  <si>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</si>
  <si>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</si>
  <si>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</si>
  <si>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</si>
  <si>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</si>
  <si>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</si>
  <si>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</si>
  <si>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</si>
  <si>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</si>
  <si>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</si>
  <si>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</si>
  <si>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</si>
  <si>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</si>
  <si>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</si>
  <si>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</si>
  <si>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</si>
  <si>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</si>
  <si>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</si>
  <si>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</si>
  <si>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</si>
  <si>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</si>
  <si>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</si>
  <si>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</si>
  <si>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</si>
  <si>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</si>
  <si>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</si>
  <si>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</si>
  <si>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</si>
  <si>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</si>
  <si>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</si>
  <si>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</si>
  <si>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</si>
  <si>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</si>
  <si>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</si>
  <si>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</si>
  <si>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</si>
  <si>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</si>
  <si>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</si>
  <si>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</si>
  <si>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</si>
  <si>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</si>
  <si>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</si>
  <si>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</si>
  <si>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</si>
  <si>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</si>
  <si>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</si>
  <si>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</si>
  <si>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</si>
  <si>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</si>
  <si>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</si>
  <si>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</si>
  <si>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</si>
  <si>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</si>
  <si>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</si>
  <si>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</si>
  <si>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</si>
  <si>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</si>
  <si>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</si>
  <si>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</si>
  <si>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</si>
  <si>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</si>
  <si>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</si>
  <si>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</si>
  <si>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</si>
  <si>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</si>
  <si>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</si>
  <si>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</si>
  <si>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</si>
  <si>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</si>
  <si>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</si>
  <si>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</si>
  <si>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</si>
  <si>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</si>
  <si>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</si>
  <si>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</si>
  <si>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</si>
  <si>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133</t>
  </si>
  <si>
    <t>134</t>
  </si>
  <si>
    <t>Poznámka:</t>
  </si>
  <si>
    <t>Podrobná specifikace ostatních rozpočtových nákladů (ORN) a nákladů spojených s umístěním stavby (NUS) je uvedena na samostatné příloze</t>
  </si>
  <si>
    <t>Kód</t>
  </si>
  <si>
    <t>111201101R00</t>
  </si>
  <si>
    <t>112101104R00</t>
  </si>
  <si>
    <t>112101122R00</t>
  </si>
  <si>
    <t>115001106R00</t>
  </si>
  <si>
    <t>115101201R00</t>
  </si>
  <si>
    <t>115001103R00</t>
  </si>
  <si>
    <t>115108111R00</t>
  </si>
  <si>
    <t>113105111R00</t>
  </si>
  <si>
    <t>113107410R00</t>
  </si>
  <si>
    <t>113107320R00</t>
  </si>
  <si>
    <t>121103111R00</t>
  </si>
  <si>
    <t>122201101R00</t>
  </si>
  <si>
    <t>122201109R00</t>
  </si>
  <si>
    <t>122301101R00</t>
  </si>
  <si>
    <t>122401101R00</t>
  </si>
  <si>
    <t>122501101R00</t>
  </si>
  <si>
    <t>133100020RAA</t>
  </si>
  <si>
    <t>133100010RAA</t>
  </si>
  <si>
    <t>132301110R00</t>
  </si>
  <si>
    <t>162201102R00</t>
  </si>
  <si>
    <t>175101101RT2</t>
  </si>
  <si>
    <t>171102105R00</t>
  </si>
  <si>
    <t>175100020RAC</t>
  </si>
  <si>
    <t>979081111R00</t>
  </si>
  <si>
    <t>979012112R00</t>
  </si>
  <si>
    <t>184807111R00</t>
  </si>
  <si>
    <t>184807112R00</t>
  </si>
  <si>
    <t>182101101R00</t>
  </si>
  <si>
    <t>212810010RAC</t>
  </si>
  <si>
    <t>231951131R00</t>
  </si>
  <si>
    <t>275321611R00</t>
  </si>
  <si>
    <t>275351215R00</t>
  </si>
  <si>
    <t>275351216R00</t>
  </si>
  <si>
    <t>275361214R00</t>
  </si>
  <si>
    <t>275361314R00</t>
  </si>
  <si>
    <t>274941024R00</t>
  </si>
  <si>
    <t>278381146R00</t>
  </si>
  <si>
    <t>289970111R00</t>
  </si>
  <si>
    <t>317351105R00</t>
  </si>
  <si>
    <t>317351106R00</t>
  </si>
  <si>
    <t>317321118R00</t>
  </si>
  <si>
    <t>317361214R00</t>
  </si>
  <si>
    <t>327213232R00</t>
  </si>
  <si>
    <t>334361314R00</t>
  </si>
  <si>
    <t>334351111R00</t>
  </si>
  <si>
    <t>334351211R00</t>
  </si>
  <si>
    <t>334352111R00</t>
  </si>
  <si>
    <t>334352211R00</t>
  </si>
  <si>
    <t>334323218R00</t>
  </si>
  <si>
    <t>334361114R00</t>
  </si>
  <si>
    <t>341941024R00</t>
  </si>
  <si>
    <t>348942111R00</t>
  </si>
  <si>
    <t>348185111R00</t>
  </si>
  <si>
    <t>348185211R00</t>
  </si>
  <si>
    <t>411941024R00</t>
  </si>
  <si>
    <t>421321118R00</t>
  </si>
  <si>
    <t>421361114R00</t>
  </si>
  <si>
    <t>421351111R00</t>
  </si>
  <si>
    <t>421351211R00</t>
  </si>
  <si>
    <t>421361314R00</t>
  </si>
  <si>
    <t>423121111R00</t>
  </si>
  <si>
    <t>423321118R00</t>
  </si>
  <si>
    <t>423353111R00</t>
  </si>
  <si>
    <t>423353211R00</t>
  </si>
  <si>
    <t>458501111R00</t>
  </si>
  <si>
    <t>458591111R00</t>
  </si>
  <si>
    <t>464451114R00</t>
  </si>
  <si>
    <t>465928121R00</t>
  </si>
  <si>
    <t>465511511R00</t>
  </si>
  <si>
    <t>465511123R00</t>
  </si>
  <si>
    <t>465511127R00</t>
  </si>
  <si>
    <t>564851111RT3</t>
  </si>
  <si>
    <t>561121111R00</t>
  </si>
  <si>
    <t>564762111R00</t>
  </si>
  <si>
    <t>577112123RT3</t>
  </si>
  <si>
    <t>577113115RT3</t>
  </si>
  <si>
    <t>573231110R00</t>
  </si>
  <si>
    <t>573231111R00</t>
  </si>
  <si>
    <t>571907111R00</t>
  </si>
  <si>
    <t>594411111RT2</t>
  </si>
  <si>
    <t>599632111R00</t>
  </si>
  <si>
    <t>597661111R00</t>
  </si>
  <si>
    <t>711</t>
  </si>
  <si>
    <t>711321132R00</t>
  </si>
  <si>
    <t>711341564R00</t>
  </si>
  <si>
    <t>711111001RT1</t>
  </si>
  <si>
    <t>711141559RZ3</t>
  </si>
  <si>
    <t>728</t>
  </si>
  <si>
    <t>728114818R00</t>
  </si>
  <si>
    <t>767</t>
  </si>
  <si>
    <t>767900090RAA</t>
  </si>
  <si>
    <t>767900090RAD</t>
  </si>
  <si>
    <t>767996803R00</t>
  </si>
  <si>
    <t>767900090RAB</t>
  </si>
  <si>
    <t>782</t>
  </si>
  <si>
    <t>782991100R00</t>
  </si>
  <si>
    <t>871353121RT2</t>
  </si>
  <si>
    <t>871433121R00</t>
  </si>
  <si>
    <t>894410010RAA</t>
  </si>
  <si>
    <t>911331143RA0</t>
  </si>
  <si>
    <t>917862111RT8</t>
  </si>
  <si>
    <t>918101111R00</t>
  </si>
  <si>
    <t>935112111R00</t>
  </si>
  <si>
    <t>935112911R00</t>
  </si>
  <si>
    <t>938902204R00</t>
  </si>
  <si>
    <t>938903111R00</t>
  </si>
  <si>
    <t>936561111R00</t>
  </si>
  <si>
    <t>945953111R00</t>
  </si>
  <si>
    <t>945953811R00</t>
  </si>
  <si>
    <t>962025151R00</t>
  </si>
  <si>
    <t>963041211R00</t>
  </si>
  <si>
    <t>960211251R00</t>
  </si>
  <si>
    <t>966006132R00</t>
  </si>
  <si>
    <t>961021112R00</t>
  </si>
  <si>
    <t>964072341R00</t>
  </si>
  <si>
    <t>964061121R00</t>
  </si>
  <si>
    <t>966075141R00</t>
  </si>
  <si>
    <t>979086213R00</t>
  </si>
  <si>
    <t>M22</t>
  </si>
  <si>
    <t>220261104R00</t>
  </si>
  <si>
    <t>M46</t>
  </si>
  <si>
    <t>460030081R00</t>
  </si>
  <si>
    <t>002VD</t>
  </si>
  <si>
    <t>62856101</t>
  </si>
  <si>
    <t>11163630</t>
  </si>
  <si>
    <t>11163450.A</t>
  </si>
  <si>
    <t>59217012</t>
  </si>
  <si>
    <t>59227001</t>
  </si>
  <si>
    <t>13384340</t>
  </si>
  <si>
    <t>998212111R00</t>
  </si>
  <si>
    <t>2861339824</t>
  </si>
  <si>
    <t>MVE Litice, rekonstrukce mostu přes odpadní koryto</t>
  </si>
  <si>
    <t>rekonstrukce mostu</t>
  </si>
  <si>
    <t>Litice</t>
  </si>
  <si>
    <t>Zkrácený popis</t>
  </si>
  <si>
    <t>Rozměry</t>
  </si>
  <si>
    <t>Přípravné a přidružené práce</t>
  </si>
  <si>
    <t>Odstranění křovin i s kořeny na ploše do 1000 m2</t>
  </si>
  <si>
    <t>Kácení stromů listnatých o průměru kmene 70-90 cm</t>
  </si>
  <si>
    <t>Kácení stromů jehličnatých o průměru kmene 30-50cm</t>
  </si>
  <si>
    <t>Převedení vody potrubím o průměru do DN 900mm</t>
  </si>
  <si>
    <t>Čerpání vody na výšku do 10 m, přítok do 500 l/min</t>
  </si>
  <si>
    <t>Převedení vody potrubím o průměru do DN 200 mm</t>
  </si>
  <si>
    <t>Pohotovost záložního čerpadla na výšku do 20 m</t>
  </si>
  <si>
    <t>Rozebrání dlažeb z lomového kamene na sucho</t>
  </si>
  <si>
    <t>Odstranění podkladu nad 50 m2,kam.těžené tl.10 cm</t>
  </si>
  <si>
    <t>Odstranění podkladu pl. 50 m2,kam.těžené tl.20 cm</t>
  </si>
  <si>
    <t>Odkopávky a prokopávky</t>
  </si>
  <si>
    <t>Skrývka zemin v rovině a sklonu 1:5</t>
  </si>
  <si>
    <t>Odkopávky nezapažené v hor. 3 do 100 m3 SO201</t>
  </si>
  <si>
    <t>Příplatek za lepivost - odkopávky v hor. 3</t>
  </si>
  <si>
    <t>Odkopávky nezapažené v hor. 4 do 100 m3</t>
  </si>
  <si>
    <t>Odkopávky nezapažené v hor. 5 do 100 m3</t>
  </si>
  <si>
    <t>Odkopávky nezapažené v hor.6 do 100 m3</t>
  </si>
  <si>
    <t>Odkopávky nezapažené v hor. 3 do 100 m3 SO 200</t>
  </si>
  <si>
    <t>Odkopávky nezapažené v hor. 3 do 100 m3 SO202</t>
  </si>
  <si>
    <t>Hloubené vykopávky</t>
  </si>
  <si>
    <t>Hloubení šachet, pažení a rozepření, v hornině 5-7</t>
  </si>
  <si>
    <t>Hloubení šachet, pažení a rozepření, v hornině 1-4</t>
  </si>
  <si>
    <t>Hloubení rýh š.do 60 cm v hor.4 do 50 m3,STROJNĚ -odpadní potrubí</t>
  </si>
  <si>
    <t>Přemístění výkopku</t>
  </si>
  <si>
    <t>Vodorovné přemístění výkopku z hor.1-4 do 50 m</t>
  </si>
  <si>
    <t>Konstrukce ze zemin</t>
  </si>
  <si>
    <t>Obsyp potrubí bez prohození sypaniny</t>
  </si>
  <si>
    <t>Uložení sypaniny do násypů, zhutn, na 103% PS</t>
  </si>
  <si>
    <t>Obsyp potrubí štěrkopískem</t>
  </si>
  <si>
    <t>Odvoz suti a vybour. hmot na skládku,včetně naložení,složení a dopravy</t>
  </si>
  <si>
    <t>Svislá doprava suti na výšku do 3,5 m</t>
  </si>
  <si>
    <t>Povrchové úpravy terénu</t>
  </si>
  <si>
    <t>Ochrana stromu bedněním - zřízení</t>
  </si>
  <si>
    <t>Ochrana stromu bedněním - odstranění</t>
  </si>
  <si>
    <t>Svahování v zářezech v hor. 1 - 4</t>
  </si>
  <si>
    <t>Úprava podloží a základové spáry</t>
  </si>
  <si>
    <t>Trativody z PVC drenážních flexibilních trubek</t>
  </si>
  <si>
    <t>Štětové stěny</t>
  </si>
  <si>
    <t>Kleštiny pro beraněné stěny ze dřeva, demontáž</t>
  </si>
  <si>
    <t>Základy</t>
  </si>
  <si>
    <t>Železobeton základových patek C 30/37 OPĚRY</t>
  </si>
  <si>
    <t>Bednění stěn základových patek - zřízení OPĚRY</t>
  </si>
  <si>
    <t>Bednění stěn základových patek - odstranění OPĚRY</t>
  </si>
  <si>
    <t>Železobeton základových patek C 30/37 KŘÍDLA</t>
  </si>
  <si>
    <t>Bednění stěn základových patek - zřízení KŘÍDLA</t>
  </si>
  <si>
    <t>Bednění stěn základových patek - odstranění KŘÍDLA</t>
  </si>
  <si>
    <t>Výztuž základových patek do 12mm z oceli 10505 (R)</t>
  </si>
  <si>
    <t>Výztuž základ. patek nad 12 mm z oceli 10 505 (R)</t>
  </si>
  <si>
    <t>Svary betonář. oceli zákl. pásů, D tyče do 22 mm</t>
  </si>
  <si>
    <t>Základ pod stroje plochy do 0,50 m2 z bet. C 25/30- odvodňovací žlab</t>
  </si>
  <si>
    <t>Zpevňování hornin a konstrukcí</t>
  </si>
  <si>
    <t>Vrstva geotextilie Geofiltex 300g/m2</t>
  </si>
  <si>
    <t>Zdi podpěrné a volné</t>
  </si>
  <si>
    <t>Bednění říms - zřízení</t>
  </si>
  <si>
    <t>Bednění říms - odstranění</t>
  </si>
  <si>
    <t>Římsy ze železového betonu C 30/37</t>
  </si>
  <si>
    <t>Výztuž říms ze železobetonu z oceli 10 505 (R)</t>
  </si>
  <si>
    <t>Zdi přehradní a opěrné</t>
  </si>
  <si>
    <t>Zdi nadzák.opěrné z lom.kam.rubové,se spár., MC 10</t>
  </si>
  <si>
    <t>Sloupy a pilíře, stožáry a rámové stojky</t>
  </si>
  <si>
    <t>Výztuž mostních opěr nad 12 mm z oceli 10 505(R)</t>
  </si>
  <si>
    <t>Bednění opěr,pilířů a prahů výšky do 20 m, zřízení</t>
  </si>
  <si>
    <t>Bednění opěr,pilířů a prahů v. do 20 m, odstranění</t>
  </si>
  <si>
    <t>Bednění stěn do 20 m, tloušťky 45 cm, zřízení</t>
  </si>
  <si>
    <t>Bednění stěn do 20 m, do tloušťky 45 cm,odstranění</t>
  </si>
  <si>
    <t>Stěny z BŽ z cem.portlandských C30/37 tl. do 45 cm</t>
  </si>
  <si>
    <t>Výztuž mostních opěr do 12 mm, z oceli 10 505(R)</t>
  </si>
  <si>
    <t>Stěny a příčky</t>
  </si>
  <si>
    <t>Svary betonář. oceli dílců nosných,D tyče do 22 mm</t>
  </si>
  <si>
    <t>Zábradlí ocel. s osazením do bet.bloků,ze 2 trubek</t>
  </si>
  <si>
    <t>Zábradlí dřevěné dočasné, zřízení</t>
  </si>
  <si>
    <t>Zábradlí dřevěné dočasné, odstranění</t>
  </si>
  <si>
    <t>Stropy a stropní konstrukce (pro pozemní stavby)</t>
  </si>
  <si>
    <t>Svary bet.oceli stropní konstr.plošné tl. do 22 mm</t>
  </si>
  <si>
    <t>Vodorovné nosné konstrukce (pro inženýrské stavby)</t>
  </si>
  <si>
    <t>Mostní konstrukce, desky nebo klenby z ŽB, C 30/37</t>
  </si>
  <si>
    <t>Výztuž mostních desek ŽB,PřB do 12mm,ocel 10505(R)</t>
  </si>
  <si>
    <t>Bednění konstrukcí deskových, bez náběhu - zřízení</t>
  </si>
  <si>
    <t>Bednění konstrukcí deskových - odstranění</t>
  </si>
  <si>
    <t>Výztuž most. desek PřB přes 12 mm,ocel 10 505(R)</t>
  </si>
  <si>
    <t>Osazení prefa. nosníků z ŽB v celku hmot. do 5 t</t>
  </si>
  <si>
    <t>Mostní konstrukce, nosníky trámové z ŽB, C 30/37</t>
  </si>
  <si>
    <t>Bednění čel mostních konstrukcí - zřízení</t>
  </si>
  <si>
    <t>Bednění čel mostních konstrukcí - odstranění</t>
  </si>
  <si>
    <t>Podkladní a vedlejší konstrukce (kromě vozovek a železničního svršku)</t>
  </si>
  <si>
    <t>Výplň za opěrami z kameniva se zhutněním</t>
  </si>
  <si>
    <t>Zřízení výplně za opěrami a protimraz.klínů z jílu</t>
  </si>
  <si>
    <t>Zpevněné plochy (kromě vozovek a železničního svršku)</t>
  </si>
  <si>
    <t>Prolití vrstvy z lomového kamene cem. maltou MC 25</t>
  </si>
  <si>
    <t>Kladení melior. žlabů do dna, do 60 kg, spáry MCs</t>
  </si>
  <si>
    <t>Dlažba z lom. kam. do MC do 20 m2 vysp. MCs, 20 cm</t>
  </si>
  <si>
    <t>Dlažba z lom.kam. suchá nad 20 m2 bez výpl., 30 cm</t>
  </si>
  <si>
    <t>Dlažba z kamene suchá s vyk.,výplň spár kam. 20 cm</t>
  </si>
  <si>
    <t>Podkladní vrstvy komunikací, letišť a ploch</t>
  </si>
  <si>
    <t>Podklad ze štěrkodrti po zhutnění tloušťky 15 cm</t>
  </si>
  <si>
    <t>Podklad z mechanicky zpevněné zeminy tl. 15 cm</t>
  </si>
  <si>
    <t>Podklad z kam.drceného 32-63 s výplň.kamen. 20 cm</t>
  </si>
  <si>
    <t>Kryty pozemních komunikací, letišť a ploch z kameniva nebo živičné</t>
  </si>
  <si>
    <t>Beton asfalt. ACO 11 S modifik. š.nad 3 m, tl.4 cm</t>
  </si>
  <si>
    <t>Beton asfalt. ACO 16 S modif.obrus. š.do 3 m, 6 cm</t>
  </si>
  <si>
    <t>Postřik živičný spojovací z emulze 0,3-0,5 kg/m2</t>
  </si>
  <si>
    <t>Postřik živičný spojovací z emulze 0,5-0,7 kg/m2</t>
  </si>
  <si>
    <t>Posyp krytu kamenivem drceným do 35 kg/m2</t>
  </si>
  <si>
    <t>Kryty pozemních komunikací, letišť a ploch dlážděných (předlažby)</t>
  </si>
  <si>
    <t>Dlažba z lomového kamene,lože z MC do 5 cm</t>
  </si>
  <si>
    <t>Výplň spár dlažby z lomového kamene MC se zatřením</t>
  </si>
  <si>
    <t>Rigol dlážděn.do lože C-/7,5 tl.10cm kostky drobné</t>
  </si>
  <si>
    <t>Izolace proti vodě</t>
  </si>
  <si>
    <t>Izolace mostovek za horka nátěr modifik.asfaltem</t>
  </si>
  <si>
    <t>Izolace mostovek pásy přitavením NAIP</t>
  </si>
  <si>
    <t>Izolace proti vlhkosti vodor. nátěr ALP za studena</t>
  </si>
  <si>
    <t>Izolace proti vlhk. vodorovná pásy přitavením</t>
  </si>
  <si>
    <t>Vzduchotechnika</t>
  </si>
  <si>
    <t>Demontáž potrubí plastového kruhového do d 800 mm, vtaženo na kanalizaci</t>
  </si>
  <si>
    <t>Konstrukce doplňkové stavební (zámečnické)</t>
  </si>
  <si>
    <t>Demontáž atypických ocelových konstrukcí</t>
  </si>
  <si>
    <t>Demontáž atypických ocelových konstr. do 250 kg</t>
  </si>
  <si>
    <t>Obklady z přírodního a konglomerovaného kamene</t>
  </si>
  <si>
    <t>Výplň dilatační spáry šířky do 2 cm</t>
  </si>
  <si>
    <t>Potrubí z trub plastických, skleněných a čedičových</t>
  </si>
  <si>
    <t>Montáž trub z plastu, gumový kroužek, DN 200</t>
  </si>
  <si>
    <t>Montáž trub z plastu, gumový kroužek, DN 800</t>
  </si>
  <si>
    <t>Ostatní konstrukce a práce na trubním vedení</t>
  </si>
  <si>
    <t>Šachta z betonových dílců pro DN 200</t>
  </si>
  <si>
    <t>Doplňující konstrukce a práce na pozemních komunikacích a zpevněných plochách</t>
  </si>
  <si>
    <t>Svodidlo a zábradlí mostní ZSNH4 zadržení H2</t>
  </si>
  <si>
    <t>Osazení stojat. obrub.bet. s opěrou,lože z C 12/15</t>
  </si>
  <si>
    <t>Lože pod obrubníky nebo obruby dlažeb z C 12/15</t>
  </si>
  <si>
    <t>Různé dokončovací konstrukce a práce inženýrských staveb</t>
  </si>
  <si>
    <t>Osazení přík.žlabu do C8/10 tl.10cm z tvárnic 50cm</t>
  </si>
  <si>
    <t>Příplatek za každý 1cm lože nad 10 cm beton</t>
  </si>
  <si>
    <t>Čištění příkopů zpev.š.nad 40cm,objem do 0,15 m3/m</t>
  </si>
  <si>
    <t>Vysekání spár hl. 70 mm v dlažbě z lom. kamene</t>
  </si>
  <si>
    <t>Podkladní a krycí vrstva z kameniva, propustků</t>
  </si>
  <si>
    <t>Lešení a stavební výtahy</t>
  </si>
  <si>
    <t>Montáž zavěšeného lešení pod bednění mostní římsy</t>
  </si>
  <si>
    <t>Demontáž zavěšeného lešení pod bednění most. římsy</t>
  </si>
  <si>
    <t>Bourání konstrukcí</t>
  </si>
  <si>
    <t>Bourání pilířů kamenných</t>
  </si>
  <si>
    <t>Bourání mostních nosných konstr. z betonu prostého</t>
  </si>
  <si>
    <t>Bourání konstrukcí zděných z kamene nebo cihel</t>
  </si>
  <si>
    <t>Odstranění doprav.značek se sloupky, s bet.patkami</t>
  </si>
  <si>
    <t>Bourání mostních základů z kamene</t>
  </si>
  <si>
    <t>Vybourání nosníků ze zdi smíšené dl. 6 m, 55 kg/m</t>
  </si>
  <si>
    <t>Uvolnění zhlaví trámu, zeď kamen, průřezu 0,03 m2</t>
  </si>
  <si>
    <t>Odstranění mostního kovového zábradlí vcelku</t>
  </si>
  <si>
    <t>Prorážení otvorů a ostatní bourací práce</t>
  </si>
  <si>
    <t>Nakládání vybouraných hmot na dopravní prostředek včetně třídění pro další použití</t>
  </si>
  <si>
    <t>Odvoz suti a vybour. hmot na skládku po přebrání, včetně dopravy, naložení a složení</t>
  </si>
  <si>
    <t>Montáže sdělovací a zabezpečovací techniky</t>
  </si>
  <si>
    <t>Konstrukce ocelová pro zařízení do 100 kg - žárově zinkovaná + nátěr</t>
  </si>
  <si>
    <t>Zemní práce při montážích</t>
  </si>
  <si>
    <t>Řezání spáry v asfaltu nebo betonu</t>
  </si>
  <si>
    <t>Ostatní materiál</t>
  </si>
  <si>
    <t>MOSTNÍ PRAFABRIKÁT D_P</t>
  </si>
  <si>
    <t>Pás modifikovaný asfalt certifikovaný pro mostovky</t>
  </si>
  <si>
    <t>Zálivka asfaltová certifikace pro mosty</t>
  </si>
  <si>
    <t>lak asfaltový penetrační po 9 kg</t>
  </si>
  <si>
    <t>Obrubník silniční betonový 150x300x1000 mm</t>
  </si>
  <si>
    <t>Žlabovka betonová 155x295,5x665 mm přírodní</t>
  </si>
  <si>
    <t>Tyč průřezu U 160, střední, jakost oceli S235</t>
  </si>
  <si>
    <t>Doba výstavby:</t>
  </si>
  <si>
    <t>Začátek výstavby:</t>
  </si>
  <si>
    <t>Konec výstavby:</t>
  </si>
  <si>
    <t>Zpracováno dne:</t>
  </si>
  <si>
    <t>06.10.2020</t>
  </si>
  <si>
    <t>MJ</t>
  </si>
  <si>
    <t>m2</t>
  </si>
  <si>
    <t>kus</t>
  </si>
  <si>
    <t>m</t>
  </si>
  <si>
    <t>h</t>
  </si>
  <si>
    <t>den</t>
  </si>
  <si>
    <t>m3</t>
  </si>
  <si>
    <t>t</t>
  </si>
  <si>
    <t>kg</t>
  </si>
  <si>
    <t>ks</t>
  </si>
  <si>
    <t>Množství</t>
  </si>
  <si>
    <t>Objednatel:</t>
  </si>
  <si>
    <t>Projektant:</t>
  </si>
  <si>
    <t>Zhotovitel:</t>
  </si>
  <si>
    <t>Zpracoval:</t>
  </si>
  <si>
    <t>Cena/MJ</t>
  </si>
  <si>
    <t>(Kč)</t>
  </si>
  <si>
    <t>KUCIÁN statika s.r.o.</t>
  </si>
  <si>
    <t>dle výběrového řízení</t>
  </si>
  <si>
    <t>Ing. Jaromír Kucián</t>
  </si>
  <si>
    <t>Náklady (Kč)</t>
  </si>
  <si>
    <t>Dodávka</t>
  </si>
  <si>
    <t>Celkem:</t>
  </si>
  <si>
    <t>Montáž</t>
  </si>
  <si>
    <t>Celkem</t>
  </si>
  <si>
    <t>Cenová</t>
  </si>
  <si>
    <t>soustava</t>
  </si>
  <si>
    <t>RTS 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</si>
  <si>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</si>
  <si>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</si>
  <si>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</si>
  <si>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</si>
  <si>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</si>
  <si>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</si>
  <si>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</si>
  <si>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</si>
  <si>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</si>
  <si>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</si>
  <si>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</si>
  <si>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</si>
  <si>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</si>
  <si>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16_</t>
  </si>
  <si>
    <t>17_</t>
  </si>
  <si>
    <t>18_</t>
  </si>
  <si>
    <t>21_</t>
  </si>
  <si>
    <t>23_</t>
  </si>
  <si>
    <t>27_</t>
  </si>
  <si>
    <t>28_</t>
  </si>
  <si>
    <t>31_</t>
  </si>
  <si>
    <t>32_</t>
  </si>
  <si>
    <t>33_</t>
  </si>
  <si>
    <t>34_</t>
  </si>
  <si>
    <t>41_</t>
  </si>
  <si>
    <t>42_</t>
  </si>
  <si>
    <t>45_</t>
  </si>
  <si>
    <t>46_</t>
  </si>
  <si>
    <t>56_</t>
  </si>
  <si>
    <t>57_</t>
  </si>
  <si>
    <t>59_</t>
  </si>
  <si>
    <t>711_</t>
  </si>
  <si>
    <t>728_</t>
  </si>
  <si>
    <t>767_</t>
  </si>
  <si>
    <t>782_</t>
  </si>
  <si>
    <t>87_</t>
  </si>
  <si>
    <t>89_</t>
  </si>
  <si>
    <t>91_</t>
  </si>
  <si>
    <t>93_</t>
  </si>
  <si>
    <t>94_</t>
  </si>
  <si>
    <t>96_</t>
  </si>
  <si>
    <t>97_</t>
  </si>
  <si>
    <t>M22_</t>
  </si>
  <si>
    <t>M46_</t>
  </si>
  <si>
    <t>Z99999_</t>
  </si>
  <si>
    <t>1_</t>
  </si>
  <si>
    <t>2_</t>
  </si>
  <si>
    <t>3_</t>
  </si>
  <si>
    <t>4_</t>
  </si>
  <si>
    <t>5_</t>
  </si>
  <si>
    <t>71_</t>
  </si>
  <si>
    <t>72_</t>
  </si>
  <si>
    <t>76_</t>
  </si>
  <si>
    <t>78_</t>
  </si>
  <si>
    <t>8_</t>
  </si>
  <si>
    <t>9_</t>
  </si>
  <si>
    <t>Z_</t>
  </si>
  <si>
    <t>_</t>
  </si>
  <si>
    <t>100020</t>
  </si>
  <si>
    <t>100019</t>
  </si>
  <si>
    <t>100021</t>
  </si>
  <si>
    <t>100026</t>
  </si>
  <si>
    <t>100028</t>
  </si>
  <si>
    <t>100015</t>
  </si>
  <si>
    <t>100023</t>
  </si>
  <si>
    <t>100033</t>
  </si>
  <si>
    <t>100008</t>
  </si>
  <si>
    <t>100037</t>
  </si>
  <si>
    <t>100016</t>
  </si>
  <si>
    <t>100025</t>
  </si>
  <si>
    <t>100007</t>
  </si>
  <si>
    <t>100013</t>
  </si>
  <si>
    <t>100012</t>
  </si>
  <si>
    <t>100006</t>
  </si>
  <si>
    <t>100010</t>
  </si>
  <si>
    <t>100011</t>
  </si>
  <si>
    <t>100018</t>
  </si>
  <si>
    <t>100017</t>
  </si>
  <si>
    <t>100001</t>
  </si>
  <si>
    <t>100014</t>
  </si>
  <si>
    <t>100038</t>
  </si>
  <si>
    <t>100034</t>
  </si>
  <si>
    <t>100030</t>
  </si>
  <si>
    <t>100027</t>
  </si>
  <si>
    <t>100031</t>
  </si>
  <si>
    <t>100005</t>
  </si>
  <si>
    <t>100003</t>
  </si>
  <si>
    <t>100009</t>
  </si>
  <si>
    <t>100035</t>
  </si>
  <si>
    <t>100036</t>
  </si>
  <si>
    <t>100024</t>
  </si>
  <si>
    <t>100029</t>
  </si>
  <si>
    <t>MAT</t>
  </si>
  <si>
    <t>WORK</t>
  </si>
  <si>
    <t>CELK</t>
  </si>
  <si>
    <t>Slepý stavební rozpočet - rekapitulace</t>
  </si>
  <si>
    <t>Objekt</t>
  </si>
  <si>
    <t>Náklady (Kč) - dodávka</t>
  </si>
  <si>
    <t>Náklady (Kč) - Montáž</t>
  </si>
  <si>
    <t>Náklady (Kč) - celkem</t>
  </si>
  <si>
    <t>T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</si>
  <si>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</si>
  <si>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</si>
  <si>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</si>
  <si>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</si>
  <si>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</si>
  <si>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</si>
  <si>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</si>
  <si>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</si>
  <si>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</si>
  <si>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</si>
  <si>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</si>
  <si>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</si>
  <si>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</si>
  <si>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</si>
  <si>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</si>
  <si>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</si>
  <si>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</si>
  <si>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</si>
  <si>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</si>
  <si>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</si>
  <si>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</si>
  <si>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</si>
  <si>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</si>
  <si>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</si>
  <si>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</si>
  <si>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</si>
  <si>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</si>
  <si>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</si>
  <si>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</si>
  <si>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</si>
  <si>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</si>
  <si>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</si>
  <si>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</si>
  <si>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</si>
  <si>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</si>
  <si>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</si>
  <si>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</si>
  <si>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</si>
  <si>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</si>
  <si>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08055475/CZ08055475</t>
  </si>
  <si>
    <t>VÝKAZ VÝMĚR</t>
  </si>
  <si>
    <t xml:space="preserve">Stavba:   Vedlejší a ostatní náklady </t>
  </si>
  <si>
    <t>MVE Litice nad Orlicí, rekonstrukce mostu přes odpadní koryto</t>
  </si>
  <si>
    <t xml:space="preserve">Objekt:   </t>
  </si>
  <si>
    <t xml:space="preserve">Část:   </t>
  </si>
  <si>
    <t>Vedlejší a ostatní náklady</t>
  </si>
  <si>
    <t xml:space="preserve">JKSO:   </t>
  </si>
  <si>
    <t>Datum:   23.10.2020</t>
  </si>
  <si>
    <t>P.Č.</t>
  </si>
  <si>
    <t>KCN</t>
  </si>
  <si>
    <t>Kód položky</t>
  </si>
  <si>
    <t>Popis</t>
  </si>
  <si>
    <t>Množství celkem</t>
  </si>
  <si>
    <t>Jednotková cena zadání</t>
  </si>
  <si>
    <t>Celková cena zadání</t>
  </si>
  <si>
    <t>OST</t>
  </si>
  <si>
    <t xml:space="preserve">Vedlejší a ostatní rozpočtové náklady   </t>
  </si>
  <si>
    <t xml:space="preserve">Vedlejší rozpočtové náklady   </t>
  </si>
  <si>
    <t>R</t>
  </si>
  <si>
    <t>011</t>
  </si>
  <si>
    <t xml:space="preserve">Zajištění kompletního zařízení staveniště a jeho připojení na sítě   </t>
  </si>
  <si>
    <t>soubor</t>
  </si>
  <si>
    <t xml:space="preserve">- zajištění místnosti pro TDI v ZS vč. jejího vybavení   </t>
  </si>
  <si>
    <t xml:space="preserve">- zajištění ohlášení všech staveb zařízení staveniště dle §104 odst. (2) zákona č. 183/2006 Sb.   </t>
  </si>
  <si>
    <t xml:space="preserve">- zajištění oplocení prostoru ZS, jeho napojení na inž. sítě   </t>
  </si>
  <si>
    <t xml:space="preserve">- zajištění následné likvidace všech objektů ZS včetně připojení na sítě   </t>
  </si>
  <si>
    <t xml:space="preserve">- zajištění zřízení a odstranění dočasných komunikací, sjezdů a nájezdů pro realizaci stavby   </t>
  </si>
  <si>
    <t xml:space="preserve">- zajištění ostrahy stavby a staveniště po dobu realizace stavby   </t>
  </si>
  <si>
    <t xml:space="preserve">- zajištění podmínek pro použití přístupových komunikací dotčených stavbou s příslušnými vlastníky či správci a zajištění jejich splnění   </t>
  </si>
  <si>
    <t xml:space="preserve">- zřízení čistících zón před výjezdem z obvodu staveniště   </t>
  </si>
  <si>
    <t xml:space="preserve">- provedení takových opatření, aby plochy obvodu staveniště nebyly znečištěny ropnými látkami a jinými podobnými produkty   </t>
  </si>
  <si>
    <t xml:space="preserve">- provedení takových opatření, aby nebyly překročeny limity prašnosti a hlučnosti dané obecně závaznou vyhláškou   </t>
  </si>
  <si>
    <t xml:space="preserve">- zajištění péče o nepředané objekty a konstrukce stavby, jejich ošetřování a zimní opatření   </t>
  </si>
  <si>
    <t xml:space="preserve">- zajištění ochrany veškeré zeleně v prostoru staveniště a v jeho bezprostřední blízkosti pro poškození během realizace stavby   </t>
  </si>
  <si>
    <t>0112</t>
  </si>
  <si>
    <t xml:space="preserve">Zajištění obnovy asfaltové komunikace   </t>
  </si>
  <si>
    <t xml:space="preserve">"obnova stávající přílehlé komunikace při jejím případném porušení"   </t>
  </si>
  <si>
    <t>02</t>
  </si>
  <si>
    <t xml:space="preserve">Projektová dokumentace - ostatní náklady   </t>
  </si>
  <si>
    <t>0210</t>
  </si>
  <si>
    <t>Vypracování Plánu opatření pro případ havárie vč. odsouhlasení správcem povodí a příslušnou ORP.</t>
  </si>
  <si>
    <t>0221</t>
  </si>
  <si>
    <t xml:space="preserve">Zpracování povodňového plánu stavby dle §71 zákona č. 254/2001 Sb. včetně zajištění schválení příslušnými orgány správy a Povodím Labe, státní podnik   </t>
  </si>
  <si>
    <t>023</t>
  </si>
  <si>
    <t xml:space="preserve">Vypracování projektu skutečného provedení díla   </t>
  </si>
  <si>
    <t>026</t>
  </si>
  <si>
    <t xml:space="preserve">Zpracování realizační dokumentace zhotovitele, dílenských výkresů, technologických předpisů   </t>
  </si>
  <si>
    <t>03</t>
  </si>
  <si>
    <t xml:space="preserve">Geodetické práce a vytýčení - ostatní náklady   </t>
  </si>
  <si>
    <t>031</t>
  </si>
  <si>
    <t xml:space="preserve">Vypracování geodetického zaměření skutečného stavu   </t>
  </si>
  <si>
    <t>032</t>
  </si>
  <si>
    <t xml:space="preserve">Zpracování geometrických plánů   </t>
  </si>
  <si>
    <t xml:space="preserve">- geometrických plánů pro účely majetkoprávního vypořádání s majiteli dotčených pozemků   </t>
  </si>
  <si>
    <t xml:space="preserve">- geometrických plánů pro zřízení věcných břemen   </t>
  </si>
  <si>
    <t xml:space="preserve">- zajištění odsouhlasení geometrických plánů příslušným katastrálním úřadem   </t>
  </si>
  <si>
    <t>035</t>
  </si>
  <si>
    <t xml:space="preserve">Zajištění veškerých geodetických prací souvisejících s realizací díla   </t>
  </si>
  <si>
    <t>09</t>
  </si>
  <si>
    <t xml:space="preserve">Ostatní náklady   </t>
  </si>
  <si>
    <t>037</t>
  </si>
  <si>
    <t xml:space="preserve">Zajištění písemných souhlasných vyjádření všech dotčených vlastníků a případných uživatelů všech pozemků dotčených stavbou s jejich konečnou úpravou po dokončení prací   </t>
  </si>
  <si>
    <t>092</t>
  </si>
  <si>
    <t xml:space="preserve">Zajištění souhlasů se zvláštním užíváním komunikací   </t>
  </si>
  <si>
    <t>0931</t>
  </si>
  <si>
    <t xml:space="preserve">Provedení pasportizace stávajících nemovitostí (vč. pozemků) a jejich příslušenství, zajištění fotodokumentace stávajícího stavu přístupových komunikací   </t>
  </si>
  <si>
    <t>094</t>
  </si>
  <si>
    <t xml:space="preserve">Zajištění vytýčení veškerých podzemních zařízení   </t>
  </si>
  <si>
    <t>095</t>
  </si>
  <si>
    <t xml:space="preserve">Zajištění šetření o podzemních sítích vč. zajištění nových vyjádření v případě, že před realizací pozbyly platnosti   </t>
  </si>
  <si>
    <t>0992</t>
  </si>
  <si>
    <t xml:space="preserve">Zajištění průzkumu staveniště zaměřeného na výskyt zvláště chráněných živočichů a rostlin a jejich odborného transferu   </t>
  </si>
  <si>
    <t>09920</t>
  </si>
  <si>
    <t xml:space="preserve">Odborné odlovení rybí obsádky z prostoru staveniště   </t>
  </si>
  <si>
    <t>0993</t>
  </si>
  <si>
    <t xml:space="preserve">Zajištění dopravně inženýrských opatření   </t>
  </si>
  <si>
    <t xml:space="preserve">- zajištění dopravně inženýrských opatření   </t>
  </si>
  <si>
    <t xml:space="preserve">- zajištění zřízení a likvidace dopravního značení včetně případné světelné signalizace   </t>
  </si>
  <si>
    <t xml:space="preserve">- zajištění vydání dopravně inženýrského rozhodnutí   </t>
  </si>
  <si>
    <t>0994</t>
  </si>
  <si>
    <t xml:space="preserve">Zajištění veškerých předepsaných rozborů, atestů, zkoušek a revizí dle příslušných norem a dalších předpisů a nařízení platných v ČR, kterými bude prokázáno dosažení předepsané kvality a parametrů dokončeného díla   </t>
  </si>
  <si>
    <t>0996</t>
  </si>
  <si>
    <t>0997</t>
  </si>
  <si>
    <t>09991</t>
  </si>
  <si>
    <t xml:space="preserve">Zajištění fotodokumentace veškerých konstrukcí, které budou v průběhu výstavby skryty nebo zakryty   </t>
  </si>
  <si>
    <t xml:space="preserve">Celkem   </t>
  </si>
  <si>
    <t>Povodí Labe, státní podnik</t>
  </si>
  <si>
    <t>Kč</t>
  </si>
  <si>
    <t xml:space="preserve">Úprava kontrolního a zkušebního plánu stavby   </t>
  </si>
  <si>
    <t>Hradec Králové</t>
  </si>
  <si>
    <t>Kucián statika s.r.o.</t>
  </si>
  <si>
    <t>Víta Nejedlého 951</t>
  </si>
  <si>
    <t>Pardubice</t>
  </si>
  <si>
    <t>Přesun hmot, mosty zděné, monolitické</t>
  </si>
  <si>
    <t>Trubka kanalizační PE-HD ROL SN 16  DN 800  l=3 m, obstarání a zpětný odkup</t>
  </si>
  <si>
    <t xml:space="preserve">Vypracování mostního listu a zajištění hlavní mostní prohlídky před uvedením do provozu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</si>
</sst>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24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theme="1"/>
      <name val="Calibri"/>
      <family val="2"/>
      <scheme val="minor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rgb="FF000000"/>
      <name val="Arial"/>
      <family val="2"/>
    </font>
    <font>
      <b/>
      <u val="single"/>
      <sz val="8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FF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1" fillId="0" borderId="0" xfId="0" applyFont="1" applyAlignment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1" fillId="0" borderId="7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" fontId="5" fillId="3" borderId="0" xfId="0" applyNumberFormat="1" applyFont="1" applyFill="1" applyBorder="1" applyAlignment="1" applyProtection="1">
      <alignment horizontal="right" vertical="center"/>
      <protection locked="0"/>
    </xf>
    <xf numFmtId="49" fontId="4" fillId="2" borderId="0" xfId="0" applyNumberFormat="1" applyFont="1" applyFill="1" applyBorder="1" applyAlignment="1" applyProtection="1">
      <alignment horizontal="left" vertical="center"/>
      <protection locked="0"/>
    </xf>
    <xf numFmtId="4" fontId="6" fillId="3" borderId="0" xfId="0" applyNumberFormat="1" applyFont="1" applyFill="1" applyBorder="1" applyAlignment="1" applyProtection="1">
      <alignment horizontal="right" vertical="center"/>
      <protection locked="0"/>
    </xf>
    <xf numFmtId="4" fontId="6" fillId="3" borderId="4" xfId="0" applyNumberFormat="1" applyFont="1" applyFill="1" applyBorder="1" applyAlignment="1" applyProtection="1">
      <alignment horizontal="righ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8" fillId="2" borderId="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8" fillId="2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4" xfId="0" applyNumberFormat="1" applyFont="1" applyFill="1" applyBorder="1" applyAlignment="1" applyProtection="1">
      <alignment horizontal="righ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2" borderId="3" xfId="0" applyNumberFormat="1" applyFont="1" applyFill="1" applyBorder="1" applyAlignment="1" applyProtection="1">
      <alignment horizontal="right" vertical="center"/>
      <protection/>
    </xf>
    <xf numFmtId="4" fontId="8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1" fillId="0" borderId="3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0" fillId="4" borderId="20" xfId="0" applyNumberFormat="1" applyFont="1" applyFill="1" applyBorder="1" applyAlignment="1" applyProtection="1">
      <alignment horizontal="center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12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49" fontId="12" fillId="0" borderId="20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1" fillId="4" borderId="28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4" fillId="5" borderId="0" xfId="0" applyFont="1" applyFill="1" applyAlignment="1" applyProtection="1">
      <alignment horizontal="left"/>
      <protection/>
    </xf>
    <xf numFmtId="0" fontId="15" fillId="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 locked="0"/>
    </xf>
    <xf numFmtId="0" fontId="16" fillId="5" borderId="0" xfId="0" applyFont="1" applyFill="1" applyAlignment="1" applyProtection="1">
      <alignment horizontal="left"/>
      <protection/>
    </xf>
    <xf numFmtId="0" fontId="17" fillId="5" borderId="0" xfId="0" applyFont="1" applyFill="1" applyAlignment="1" applyProtection="1">
      <alignment horizontal="left"/>
      <protection/>
    </xf>
    <xf numFmtId="0" fontId="18" fillId="0" borderId="0" xfId="0" applyFont="1" applyAlignment="1" applyProtection="1">
      <alignment/>
      <protection/>
    </xf>
    <xf numFmtId="0" fontId="19" fillId="5" borderId="0" xfId="0" applyFont="1" applyFill="1" applyAlignment="1" applyProtection="1">
      <alignment horizontal="left"/>
      <protection/>
    </xf>
    <xf numFmtId="0" fontId="20" fillId="5" borderId="0" xfId="0" applyFont="1" applyFill="1" applyAlignment="1" applyProtection="1">
      <alignment horizontal="left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 horizontal="left"/>
      <protection/>
    </xf>
    <xf numFmtId="39" fontId="16" fillId="0" borderId="0" xfId="0" applyNumberFormat="1" applyFont="1" applyFill="1" applyAlignment="1" applyProtection="1">
      <alignment horizontal="right"/>
      <protection locked="0"/>
    </xf>
    <xf numFmtId="39" fontId="21" fillId="0" borderId="0" xfId="0" applyNumberFormat="1" applyFont="1" applyFill="1" applyAlignment="1" applyProtection="1">
      <alignment horizontal="right"/>
      <protection locked="0"/>
    </xf>
    <xf numFmtId="39" fontId="23" fillId="0" borderId="0" xfId="0" applyNumberFormat="1" applyFont="1" applyFill="1" applyAlignment="1" applyProtection="1">
      <alignment horizontal="right"/>
      <protection locked="0"/>
    </xf>
    <xf numFmtId="39" fontId="0" fillId="0" borderId="0" xfId="0" applyNumberFormat="1" applyFill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37" fontId="16" fillId="0" borderId="0" xfId="0" applyNumberFormat="1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 wrapText="1"/>
      <protection/>
    </xf>
    <xf numFmtId="164" fontId="16" fillId="0" borderId="0" xfId="0" applyNumberFormat="1" applyFont="1" applyFill="1" applyAlignment="1" applyProtection="1">
      <alignment horizontal="right"/>
      <protection/>
    </xf>
    <xf numFmtId="37" fontId="21" fillId="0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 horizontal="left" wrapText="1"/>
      <protection/>
    </xf>
    <xf numFmtId="164" fontId="21" fillId="0" borderId="0" xfId="0" applyNumberFormat="1" applyFont="1" applyFill="1" applyAlignment="1" applyProtection="1">
      <alignment horizontal="right"/>
      <protection/>
    </xf>
    <xf numFmtId="37" fontId="19" fillId="0" borderId="30" xfId="0" applyNumberFormat="1" applyFont="1" applyFill="1" applyBorder="1" applyAlignment="1" applyProtection="1">
      <alignment horizontal="right"/>
      <protection/>
    </xf>
    <xf numFmtId="0" fontId="19" fillId="0" borderId="31" xfId="0" applyFont="1" applyFill="1" applyBorder="1" applyAlignment="1" applyProtection="1">
      <alignment horizontal="left" wrapText="1"/>
      <protection/>
    </xf>
    <xf numFmtId="164" fontId="19" fillId="0" borderId="31" xfId="0" applyNumberFormat="1" applyFont="1" applyFill="1" applyBorder="1" applyAlignment="1" applyProtection="1">
      <alignment horizontal="right"/>
      <protection/>
    </xf>
    <xf numFmtId="37" fontId="15" fillId="0" borderId="32" xfId="0" applyNumberFormat="1" applyFont="1" applyFill="1" applyBorder="1" applyAlignment="1" applyProtection="1">
      <alignment horizontal="right"/>
      <protection/>
    </xf>
    <xf numFmtId="0" fontId="15" fillId="0" borderId="33" xfId="0" applyFont="1" applyFill="1" applyBorder="1" applyAlignment="1" applyProtection="1">
      <alignment horizontal="left" wrapText="1"/>
      <protection/>
    </xf>
    <xf numFmtId="164" fontId="15" fillId="0" borderId="33" xfId="0" applyNumberFormat="1" applyFont="1" applyFill="1" applyBorder="1" applyAlignment="1" applyProtection="1">
      <alignment horizontal="right"/>
      <protection/>
    </xf>
    <xf numFmtId="37" fontId="15" fillId="0" borderId="34" xfId="0" applyNumberFormat="1" applyFont="1" applyFill="1" applyBorder="1" applyAlignment="1" applyProtection="1">
      <alignment horizontal="right"/>
      <protection/>
    </xf>
    <xf numFmtId="0" fontId="15" fillId="0" borderId="35" xfId="0" applyFont="1" applyFill="1" applyBorder="1" applyAlignment="1" applyProtection="1">
      <alignment horizontal="left" wrapText="1"/>
      <protection/>
    </xf>
    <xf numFmtId="164" fontId="15" fillId="0" borderId="35" xfId="0" applyNumberFormat="1" applyFont="1" applyFill="1" applyBorder="1" applyAlignment="1" applyProtection="1">
      <alignment horizontal="right"/>
      <protection/>
    </xf>
    <xf numFmtId="37" fontId="15" fillId="0" borderId="36" xfId="0" applyNumberFormat="1" applyFont="1" applyFill="1" applyBorder="1" applyAlignment="1" applyProtection="1">
      <alignment horizontal="right"/>
      <protection/>
    </xf>
    <xf numFmtId="0" fontId="15" fillId="0" borderId="37" xfId="0" applyFont="1" applyFill="1" applyBorder="1" applyAlignment="1" applyProtection="1">
      <alignment horizontal="left" wrapText="1"/>
      <protection/>
    </xf>
    <xf numFmtId="164" fontId="15" fillId="0" borderId="37" xfId="0" applyNumberFormat="1" applyFont="1" applyFill="1" applyBorder="1" applyAlignment="1" applyProtection="1">
      <alignment horizontal="right"/>
      <protection/>
    </xf>
    <xf numFmtId="37" fontId="15" fillId="0" borderId="30" xfId="0" applyNumberFormat="1" applyFont="1" applyFill="1" applyBorder="1" applyAlignment="1" applyProtection="1">
      <alignment horizontal="right"/>
      <protection/>
    </xf>
    <xf numFmtId="0" fontId="15" fillId="0" borderId="31" xfId="0" applyFont="1" applyFill="1" applyBorder="1" applyAlignment="1" applyProtection="1">
      <alignment horizontal="left" wrapText="1"/>
      <protection/>
    </xf>
    <xf numFmtId="164" fontId="15" fillId="0" borderId="31" xfId="0" applyNumberFormat="1" applyFont="1" applyFill="1" applyBorder="1" applyAlignment="1" applyProtection="1">
      <alignment horizontal="right"/>
      <protection/>
    </xf>
    <xf numFmtId="37" fontId="19" fillId="0" borderId="32" xfId="0" applyNumberFormat="1" applyFont="1" applyFill="1" applyBorder="1" applyAlignment="1" applyProtection="1">
      <alignment horizontal="right"/>
      <protection/>
    </xf>
    <xf numFmtId="0" fontId="19" fillId="0" borderId="33" xfId="0" applyFont="1" applyFill="1" applyBorder="1" applyAlignment="1" applyProtection="1">
      <alignment horizontal="left" wrapText="1"/>
      <protection/>
    </xf>
    <xf numFmtId="0" fontId="22" fillId="0" borderId="0" xfId="0" applyFont="1" applyAlignment="1" applyProtection="1">
      <alignment vertical="top"/>
      <protection/>
    </xf>
    <xf numFmtId="164" fontId="19" fillId="0" borderId="33" xfId="0" applyNumberFormat="1" applyFont="1" applyFill="1" applyBorder="1" applyAlignment="1" applyProtection="1">
      <alignment horizontal="right"/>
      <protection/>
    </xf>
    <xf numFmtId="37" fontId="19" fillId="0" borderId="34" xfId="0" applyNumberFormat="1" applyFont="1" applyFill="1" applyBorder="1" applyAlignment="1" applyProtection="1">
      <alignment horizontal="right"/>
      <protection/>
    </xf>
    <xf numFmtId="0" fontId="19" fillId="0" borderId="35" xfId="0" applyFont="1" applyFill="1" applyBorder="1" applyAlignment="1" applyProtection="1">
      <alignment horizontal="left" wrapText="1"/>
      <protection/>
    </xf>
    <xf numFmtId="164" fontId="19" fillId="0" borderId="35" xfId="0" applyNumberFormat="1" applyFont="1" applyFill="1" applyBorder="1" applyAlignment="1" applyProtection="1">
      <alignment horizontal="right"/>
      <protection/>
    </xf>
    <xf numFmtId="37" fontId="19" fillId="0" borderId="36" xfId="0" applyNumberFormat="1" applyFont="1" applyFill="1" applyBorder="1" applyAlignment="1" applyProtection="1">
      <alignment horizontal="right"/>
      <protection/>
    </xf>
    <xf numFmtId="0" fontId="19" fillId="0" borderId="37" xfId="0" applyFont="1" applyFill="1" applyBorder="1" applyAlignment="1" applyProtection="1">
      <alignment horizontal="left" wrapText="1"/>
      <protection/>
    </xf>
    <xf numFmtId="164" fontId="19" fillId="0" borderId="37" xfId="0" applyNumberFormat="1" applyFont="1" applyFill="1" applyBorder="1" applyAlignment="1" applyProtection="1">
      <alignment horizontal="right"/>
      <protection/>
    </xf>
    <xf numFmtId="37" fontId="23" fillId="0" borderId="0" xfId="0" applyNumberFormat="1" applyFont="1" applyFill="1" applyAlignment="1" applyProtection="1">
      <alignment horizontal="right"/>
      <protection/>
    </xf>
    <xf numFmtId="0" fontId="23" fillId="0" borderId="0" xfId="0" applyFont="1" applyFill="1" applyAlignment="1" applyProtection="1">
      <alignment horizontal="left" wrapText="1"/>
      <protection/>
    </xf>
    <xf numFmtId="164" fontId="23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ill="1" applyAlignment="1" applyProtection="1">
      <alignment horizontal="right" vertical="top"/>
      <protection/>
    </xf>
    <xf numFmtId="0" fontId="0" fillId="0" borderId="0" xfId="0" applyFill="1" applyAlignment="1" applyProtection="1">
      <alignment horizontal="left" vertical="top" wrapText="1"/>
      <protection/>
    </xf>
    <xf numFmtId="164" fontId="0" fillId="0" borderId="0" xfId="0" applyNumberFormat="1" applyFill="1" applyAlignment="1" applyProtection="1">
      <alignment horizontal="right" vertical="top"/>
      <protection/>
    </xf>
    <xf numFmtId="37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4" fontId="0" fillId="0" borderId="0" xfId="0" applyNumberFormat="1" applyAlignment="1" applyProtection="1">
      <alignment horizontal="right" vertical="top"/>
      <protection/>
    </xf>
    <xf numFmtId="39" fontId="21" fillId="0" borderId="0" xfId="0" applyNumberFormat="1" applyFont="1" applyFill="1" applyAlignment="1" applyProtection="1">
      <alignment horizontal="right"/>
      <protection/>
    </xf>
    <xf numFmtId="39" fontId="15" fillId="0" borderId="33" xfId="0" applyNumberFormat="1" applyFont="1" applyFill="1" applyBorder="1" applyAlignment="1" applyProtection="1">
      <alignment horizontal="right"/>
      <protection/>
    </xf>
    <xf numFmtId="39" fontId="15" fillId="0" borderId="35" xfId="0" applyNumberFormat="1" applyFont="1" applyFill="1" applyBorder="1" applyAlignment="1" applyProtection="1">
      <alignment horizontal="right"/>
      <protection/>
    </xf>
    <xf numFmtId="39" fontId="15" fillId="0" borderId="37" xfId="0" applyNumberFormat="1" applyFont="1" applyFill="1" applyBorder="1" applyAlignment="1" applyProtection="1">
      <alignment horizontal="right"/>
      <protection/>
    </xf>
    <xf numFmtId="39" fontId="15" fillId="0" borderId="31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Alignment="1">
      <alignment vertical="center"/>
    </xf>
    <xf numFmtId="39" fontId="19" fillId="6" borderId="31" xfId="0" applyNumberFormat="1" applyFont="1" applyFill="1" applyBorder="1" applyAlignment="1" applyProtection="1">
      <alignment horizontal="right"/>
      <protection locked="0"/>
    </xf>
    <xf numFmtId="39" fontId="19" fillId="6" borderId="33" xfId="0" applyNumberFormat="1" applyFont="1" applyFill="1" applyBorder="1" applyAlignment="1" applyProtection="1">
      <alignment horizontal="right"/>
      <protection locked="0"/>
    </xf>
    <xf numFmtId="39" fontId="19" fillId="6" borderId="35" xfId="0" applyNumberFormat="1" applyFont="1" applyFill="1" applyBorder="1" applyAlignment="1" applyProtection="1">
      <alignment horizontal="right"/>
      <protection locked="0"/>
    </xf>
    <xf numFmtId="39" fontId="19" fillId="6" borderId="37" xfId="0" applyNumberFormat="1" applyFont="1" applyFill="1" applyBorder="1" applyAlignment="1" applyProtection="1">
      <alignment horizontal="right"/>
      <protection locked="0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 wrapText="1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Fill="1" applyBorder="1" applyAlignment="1" applyProtection="1">
      <alignment horizontal="left" vertical="center"/>
      <protection/>
    </xf>
    <xf numFmtId="0" fontId="13" fillId="0" borderId="28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28" xfId="0" applyNumberFormat="1" applyFont="1" applyFill="1" applyBorder="1" applyAlignment="1" applyProtection="1">
      <alignment horizontal="left" vertical="center"/>
      <protection/>
    </xf>
    <xf numFmtId="49" fontId="11" fillId="0" borderId="41" xfId="0" applyNumberFormat="1" applyFont="1" applyFill="1" applyBorder="1" applyAlignment="1" applyProtection="1">
      <alignment horizontal="left" vertical="center"/>
      <protection/>
    </xf>
    <xf numFmtId="0" fontId="11" fillId="0" borderId="28" xfId="0" applyNumberFormat="1" applyFont="1" applyFill="1" applyBorder="1" applyAlignment="1" applyProtection="1">
      <alignment horizontal="left" vertical="center"/>
      <protection/>
    </xf>
    <xf numFmtId="49" fontId="11" fillId="4" borderId="41" xfId="0" applyNumberFormat="1" applyFont="1" applyFill="1" applyBorder="1" applyAlignment="1" applyProtection="1">
      <alignment horizontal="left" vertical="center"/>
      <protection/>
    </xf>
    <xf numFmtId="0" fontId="11" fillId="4" borderId="40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/>
    </xf>
    <xf numFmtId="0" fontId="12" fillId="0" borderId="3" xfId="0" applyNumberFormat="1" applyFont="1" applyFill="1" applyBorder="1" applyAlignment="1" applyProtection="1">
      <alignment horizontal="left" vertical="center"/>
      <protection/>
    </xf>
    <xf numFmtId="0" fontId="12" fillId="0" borderId="43" xfId="0" applyNumberFormat="1" applyFont="1" applyFill="1" applyBorder="1" applyAlignment="1" applyProtection="1">
      <alignment horizontal="left" vertical="center"/>
      <protection/>
    </xf>
    <xf numFmtId="49" fontId="12" fillId="0" borderId="42" xfId="0" applyNumberFormat="1" applyFont="1" applyFill="1" applyBorder="1" applyAlignment="1" applyProtection="1">
      <alignment horizontal="left" vertical="center"/>
      <protection locked="0"/>
    </xf>
    <xf numFmtId="0" fontId="12" fillId="0" borderId="3" xfId="0" applyNumberFormat="1" applyFont="1" applyFill="1" applyBorder="1" applyAlignment="1" applyProtection="1">
      <alignment horizontal="left" vertical="center"/>
      <protection locked="0"/>
    </xf>
    <xf numFmtId="0" fontId="12" fillId="0" borderId="43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44" xfId="0" applyNumberFormat="1" applyFont="1" applyFill="1" applyBorder="1" applyAlignment="1" applyProtection="1">
      <alignment horizontal="left" vertical="center"/>
      <protection locked="0"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7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 locked="0"/>
    </xf>
    <xf numFmtId="0" fontId="12" fillId="0" borderId="46" xfId="0" applyNumberFormat="1" applyFont="1" applyFill="1" applyBorder="1" applyAlignment="1" applyProtection="1">
      <alignment horizontal="left" vertical="center"/>
      <protection locked="0"/>
    </xf>
    <xf numFmtId="0" fontId="12" fillId="0" borderId="47" xfId="0" applyNumberFormat="1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3" borderId="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0" xfId="0" applyNumberFormat="1" applyFont="1" applyFill="1" applyBorder="1" applyAlignment="1" applyProtection="1">
      <alignment horizontal="left" vertical="center"/>
      <protection locked="0"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3" borderId="46" xfId="0" applyNumberFormat="1" applyFont="1" applyFill="1" applyBorder="1" applyAlignment="1" applyProtection="1">
      <alignment horizontal="left" vertical="center"/>
      <protection locked="0"/>
    </xf>
    <xf numFmtId="0" fontId="1" fillId="3" borderId="49" xfId="0" applyNumberFormat="1" applyFont="1" applyFill="1" applyBorder="1" applyAlignment="1" applyProtection="1">
      <alignment horizontal="left" vertical="center"/>
      <protection locked="0"/>
    </xf>
    <xf numFmtId="49" fontId="3" fillId="0" borderId="5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26" xfId="0" applyNumberFormat="1" applyFont="1" applyFill="1" applyBorder="1" applyAlignment="1" applyProtection="1">
      <alignment horizontal="left" vertical="center"/>
      <protection/>
    </xf>
    <xf numFmtId="49" fontId="3" fillId="0" borderId="51" xfId="0" applyNumberFormat="1" applyFont="1" applyFill="1" applyBorder="1" applyAlignment="1" applyProtection="1">
      <alignment horizontal="center" vertical="center"/>
      <protection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49" fontId="8" fillId="2" borderId="3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left" vertical="center"/>
      <protection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0" fontId="6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3" fillId="0" borderId="54" xfId="0" applyNumberFormat="1" applyFont="1" applyFill="1" applyBorder="1" applyAlignment="1" applyProtection="1">
      <alignment horizontal="left" vertical="center"/>
      <protection/>
    </xf>
    <xf numFmtId="0" fontId="3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0</xdr:row>
      <xdr:rowOff>895350</xdr:rowOff>
    </xdr:to>
    <xdr:pic>
      <xdr:nvPicPr>
        <xdr:cNvPr id="409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858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657225</xdr:colOff>
      <xdr:row>0</xdr:row>
      <xdr:rowOff>895350</xdr:rowOff>
    </xdr:to>
    <xdr:pic>
      <xdr:nvPicPr>
        <xdr:cNvPr id="102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895350</xdr:rowOff>
    </xdr:to>
    <xdr:pic>
      <xdr:nvPicPr>
        <xdr:cNvPr id="205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667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 topLeftCell="A1">
      <selection activeCell="I8" sqref="I8:I9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3.15" customHeight="1">
      <c r="A1" s="66"/>
      <c r="B1" s="50"/>
      <c r="C1" s="133" t="s">
        <v>589</v>
      </c>
      <c r="D1" s="134"/>
      <c r="E1" s="134"/>
      <c r="F1" s="134"/>
      <c r="G1" s="134"/>
      <c r="H1" s="134"/>
      <c r="I1" s="134"/>
    </row>
    <row r="2" spans="1:10" ht="12.75">
      <c r="A2" s="135" t="s">
        <v>1</v>
      </c>
      <c r="B2" s="136"/>
      <c r="C2" s="139" t="str">
        <f>'Stavební rozpočet'!C2</f>
        <v>MVE Litice, rekonstrukce mostu přes odpadní koryto</v>
      </c>
      <c r="D2" s="140"/>
      <c r="E2" s="142" t="s">
        <v>457</v>
      </c>
      <c r="F2" s="142" t="str">
        <f>'Stavební rozpočet'!I2</f>
        <v>Povodí Labe, státní podnik</v>
      </c>
      <c r="G2" s="136"/>
      <c r="H2" s="142" t="s">
        <v>610</v>
      </c>
      <c r="I2" s="143"/>
      <c r="J2" s="36"/>
    </row>
    <row r="3" spans="1:10" ht="12.75">
      <c r="A3" s="137"/>
      <c r="B3" s="138"/>
      <c r="C3" s="141"/>
      <c r="D3" s="141"/>
      <c r="E3" s="138"/>
      <c r="F3" s="138"/>
      <c r="G3" s="138"/>
      <c r="H3" s="138"/>
      <c r="I3" s="144"/>
      <c r="J3" s="36"/>
    </row>
    <row r="4" spans="1:10" ht="12.75">
      <c r="A4" s="146" t="s">
        <v>2</v>
      </c>
      <c r="B4" s="138"/>
      <c r="C4" s="147" t="str">
        <f>'Stavební rozpočet'!C4</f>
        <v>rekonstrukce mostu</v>
      </c>
      <c r="D4" s="138"/>
      <c r="E4" s="147" t="s">
        <v>458</v>
      </c>
      <c r="F4" s="147" t="str">
        <f>'Stavební rozpočet'!I4</f>
        <v>KUCIÁN statika s.r.o.</v>
      </c>
      <c r="G4" s="138"/>
      <c r="H4" s="147" t="s">
        <v>610</v>
      </c>
      <c r="I4" s="145" t="s">
        <v>614</v>
      </c>
      <c r="J4" s="36"/>
    </row>
    <row r="5" spans="1:10" ht="12.75">
      <c r="A5" s="137"/>
      <c r="B5" s="138"/>
      <c r="C5" s="138"/>
      <c r="D5" s="138"/>
      <c r="E5" s="138"/>
      <c r="F5" s="138"/>
      <c r="G5" s="138"/>
      <c r="H5" s="138"/>
      <c r="I5" s="144"/>
      <c r="J5" s="36"/>
    </row>
    <row r="6" spans="1:10" ht="12.75">
      <c r="A6" s="146" t="s">
        <v>3</v>
      </c>
      <c r="B6" s="138"/>
      <c r="C6" s="147" t="str">
        <f>'Stavební rozpočet'!C6</f>
        <v>Litice</v>
      </c>
      <c r="D6" s="138"/>
      <c r="E6" s="147" t="s">
        <v>459</v>
      </c>
      <c r="F6" s="147" t="str">
        <f>'Stavební rozpočet'!I6</f>
        <v>dle výběrového řízení</v>
      </c>
      <c r="G6" s="138"/>
      <c r="H6" s="147" t="s">
        <v>610</v>
      </c>
      <c r="I6" s="145"/>
      <c r="J6" s="36"/>
    </row>
    <row r="7" spans="1:10" ht="12.75">
      <c r="A7" s="137"/>
      <c r="B7" s="138"/>
      <c r="C7" s="138"/>
      <c r="D7" s="138"/>
      <c r="E7" s="138"/>
      <c r="F7" s="138"/>
      <c r="G7" s="138"/>
      <c r="H7" s="138"/>
      <c r="I7" s="144"/>
      <c r="J7" s="36"/>
    </row>
    <row r="8" spans="1:10" ht="12.75">
      <c r="A8" s="146" t="s">
        <v>442</v>
      </c>
      <c r="B8" s="138"/>
      <c r="C8" s="147" t="str">
        <f>'Stavební rozpočet'!F4</f>
        <v>06.10.2020</v>
      </c>
      <c r="D8" s="138"/>
      <c r="E8" s="147" t="s">
        <v>443</v>
      </c>
      <c r="F8" s="147" t="str">
        <f>'Stavební rozpočet'!F6</f>
        <v xml:space="preserve"> </v>
      </c>
      <c r="G8" s="138"/>
      <c r="H8" s="150" t="s">
        <v>611</v>
      </c>
      <c r="I8" s="145" t="s">
        <v>139</v>
      </c>
      <c r="J8" s="36"/>
    </row>
    <row r="9" spans="1:10" ht="12.75">
      <c r="A9" s="137"/>
      <c r="B9" s="138"/>
      <c r="C9" s="138"/>
      <c r="D9" s="138"/>
      <c r="E9" s="138"/>
      <c r="F9" s="138"/>
      <c r="G9" s="138"/>
      <c r="H9" s="138"/>
      <c r="I9" s="144"/>
      <c r="J9" s="36"/>
    </row>
    <row r="10" spans="1:10" ht="12.75">
      <c r="A10" s="146" t="s">
        <v>4</v>
      </c>
      <c r="B10" s="138"/>
      <c r="C10" s="147" t="str">
        <f>'Stavební rozpočet'!C8</f>
        <v xml:space="preserve"> </v>
      </c>
      <c r="D10" s="138"/>
      <c r="E10" s="147" t="s">
        <v>460</v>
      </c>
      <c r="F10" s="147" t="str">
        <f>'Stavební rozpočet'!I8</f>
        <v>Ing. Jaromír Kucián</v>
      </c>
      <c r="G10" s="138"/>
      <c r="H10" s="150" t="s">
        <v>612</v>
      </c>
      <c r="I10" s="151" t="str">
        <f>'Stavební rozpočet'!F8</f>
        <v>06.10.2020</v>
      </c>
      <c r="J10" s="36"/>
    </row>
    <row r="11" spans="1:10" ht="12.75">
      <c r="A11" s="148"/>
      <c r="B11" s="149"/>
      <c r="C11" s="149"/>
      <c r="D11" s="149"/>
      <c r="E11" s="149"/>
      <c r="F11" s="149"/>
      <c r="G11" s="149"/>
      <c r="H11" s="149"/>
      <c r="I11" s="152"/>
      <c r="J11" s="36"/>
    </row>
    <row r="12" spans="1:9" ht="23.45" customHeight="1">
      <c r="A12" s="153" t="s">
        <v>575</v>
      </c>
      <c r="B12" s="154"/>
      <c r="C12" s="154"/>
      <c r="D12" s="154"/>
      <c r="E12" s="154"/>
      <c r="F12" s="154"/>
      <c r="G12" s="154"/>
      <c r="H12" s="154"/>
      <c r="I12" s="154"/>
    </row>
    <row r="13" spans="1:10" ht="26.45" customHeight="1">
      <c r="A13" s="51" t="s">
        <v>576</v>
      </c>
      <c r="B13" s="155" t="s">
        <v>587</v>
      </c>
      <c r="C13" s="156"/>
      <c r="D13" s="51" t="s">
        <v>590</v>
      </c>
      <c r="E13" s="155" t="s">
        <v>599</v>
      </c>
      <c r="F13" s="156"/>
      <c r="G13" s="51" t="s">
        <v>600</v>
      </c>
      <c r="H13" s="155" t="s">
        <v>613</v>
      </c>
      <c r="I13" s="156"/>
      <c r="J13" s="36"/>
    </row>
    <row r="14" spans="1:10" ht="15.2" customHeight="1">
      <c r="A14" s="52" t="s">
        <v>577</v>
      </c>
      <c r="B14" s="56" t="s">
        <v>588</v>
      </c>
      <c r="C14" s="60">
        <f>SUM('Stavební rozpočet'!AB12:AB179)</f>
        <v>0</v>
      </c>
      <c r="D14" s="157" t="s">
        <v>591</v>
      </c>
      <c r="E14" s="158"/>
      <c r="F14" s="60"/>
      <c r="G14" s="157" t="s">
        <v>601</v>
      </c>
      <c r="H14" s="158"/>
      <c r="I14" s="60">
        <f>VORN!H12</f>
        <v>0</v>
      </c>
      <c r="J14" s="36"/>
    </row>
    <row r="15" spans="1:10" ht="15.2" customHeight="1">
      <c r="A15" s="53"/>
      <c r="B15" s="56" t="s">
        <v>469</v>
      </c>
      <c r="C15" s="60">
        <f>SUM('Stavební rozpočet'!AC12:AC179)</f>
        <v>0</v>
      </c>
      <c r="D15" s="157" t="s">
        <v>592</v>
      </c>
      <c r="E15" s="158"/>
      <c r="F15" s="60"/>
      <c r="G15" s="157" t="s">
        <v>602</v>
      </c>
      <c r="H15" s="158"/>
      <c r="I15" s="60"/>
      <c r="J15" s="36"/>
    </row>
    <row r="16" spans="1:10" ht="15.2" customHeight="1">
      <c r="A16" s="52" t="s">
        <v>578</v>
      </c>
      <c r="B16" s="56" t="s">
        <v>588</v>
      </c>
      <c r="C16" s="60">
        <f>SUM('Stavební rozpočet'!AD12:AD179)</f>
        <v>0</v>
      </c>
      <c r="D16" s="157" t="s">
        <v>593</v>
      </c>
      <c r="E16" s="158"/>
      <c r="F16" s="60"/>
      <c r="G16" s="157" t="s">
        <v>603</v>
      </c>
      <c r="H16" s="158"/>
      <c r="I16" s="60"/>
      <c r="J16" s="36"/>
    </row>
    <row r="17" spans="1:10" ht="15.2" customHeight="1">
      <c r="A17" s="53"/>
      <c r="B17" s="56" t="s">
        <v>469</v>
      </c>
      <c r="C17" s="60">
        <f>SUM('Stavební rozpočet'!AE12:AE179)</f>
        <v>0</v>
      </c>
      <c r="D17" s="157"/>
      <c r="E17" s="158"/>
      <c r="F17" s="61"/>
      <c r="G17" s="157" t="s">
        <v>604</v>
      </c>
      <c r="H17" s="158"/>
      <c r="I17" s="60"/>
      <c r="J17" s="36"/>
    </row>
    <row r="18" spans="1:10" ht="15.2" customHeight="1">
      <c r="A18" s="52" t="s">
        <v>579</v>
      </c>
      <c r="B18" s="56" t="s">
        <v>588</v>
      </c>
      <c r="C18" s="60">
        <f>SUM('Stavební rozpočet'!AF12:AF179)</f>
        <v>0</v>
      </c>
      <c r="D18" s="157"/>
      <c r="E18" s="158"/>
      <c r="F18" s="61"/>
      <c r="G18" s="157" t="s">
        <v>605</v>
      </c>
      <c r="H18" s="158"/>
      <c r="I18" s="60">
        <f>VORN!H55-VORN!H12</f>
        <v>0</v>
      </c>
      <c r="J18" s="36"/>
    </row>
    <row r="19" spans="1:10" ht="15.2" customHeight="1">
      <c r="A19" s="53"/>
      <c r="B19" s="56" t="s">
        <v>469</v>
      </c>
      <c r="C19" s="60">
        <f>SUM('Stavební rozpočet'!AG12:AG179)</f>
        <v>0</v>
      </c>
      <c r="D19" s="157"/>
      <c r="E19" s="158"/>
      <c r="F19" s="61"/>
      <c r="G19" s="157"/>
      <c r="H19" s="158"/>
      <c r="I19" s="60"/>
      <c r="J19" s="36"/>
    </row>
    <row r="20" spans="1:10" ht="15.2" customHeight="1">
      <c r="A20" s="159" t="s">
        <v>433</v>
      </c>
      <c r="B20" s="160"/>
      <c r="C20" s="60">
        <f>SUM('Stavební rozpočet'!AH12:AH179)</f>
        <v>0</v>
      </c>
      <c r="D20" s="157"/>
      <c r="E20" s="158"/>
      <c r="F20" s="61"/>
      <c r="G20" s="157"/>
      <c r="H20" s="158"/>
      <c r="I20" s="61"/>
      <c r="J20" s="36"/>
    </row>
    <row r="21" spans="1:10" ht="15.2" customHeight="1">
      <c r="A21" s="159" t="s">
        <v>580</v>
      </c>
      <c r="B21" s="160"/>
      <c r="C21" s="60">
        <f>SUM('Stavební rozpočet'!Z12:Z179)</f>
        <v>0</v>
      </c>
      <c r="D21" s="157"/>
      <c r="E21" s="158"/>
      <c r="F21" s="61"/>
      <c r="G21" s="157"/>
      <c r="H21" s="158"/>
      <c r="I21" s="61"/>
      <c r="J21" s="36"/>
    </row>
    <row r="22" spans="1:10" ht="16.7" customHeight="1">
      <c r="A22" s="159" t="s">
        <v>581</v>
      </c>
      <c r="B22" s="160"/>
      <c r="C22" s="60">
        <f>SUM(C14:C21)</f>
        <v>0</v>
      </c>
      <c r="D22" s="159" t="s">
        <v>594</v>
      </c>
      <c r="E22" s="160"/>
      <c r="F22" s="60"/>
      <c r="G22" s="159" t="s">
        <v>606</v>
      </c>
      <c r="H22" s="160"/>
      <c r="I22" s="60">
        <f>SUM(I14:I21)</f>
        <v>0</v>
      </c>
      <c r="J22" s="36"/>
    </row>
    <row r="23" spans="1:10" ht="15.2" customHeight="1">
      <c r="A23" s="8"/>
      <c r="B23" s="8"/>
      <c r="C23" s="58"/>
      <c r="D23" s="159" t="s">
        <v>595</v>
      </c>
      <c r="E23" s="160"/>
      <c r="F23" s="62"/>
      <c r="G23" s="159"/>
      <c r="H23" s="160"/>
      <c r="I23" s="60"/>
      <c r="J23" s="36"/>
    </row>
    <row r="24" spans="4:10" ht="15.2" customHeight="1">
      <c r="D24" s="8"/>
      <c r="E24" s="8"/>
      <c r="F24" s="63"/>
      <c r="G24" s="159"/>
      <c r="H24" s="160"/>
      <c r="I24" s="60"/>
      <c r="J24" s="36"/>
    </row>
    <row r="25" spans="6:10" ht="15.2" customHeight="1">
      <c r="F25" s="64"/>
      <c r="G25" s="159"/>
      <c r="H25" s="160"/>
      <c r="I25" s="60"/>
      <c r="J25" s="36"/>
    </row>
    <row r="26" spans="1:9" ht="12.75">
      <c r="A26" s="50"/>
      <c r="B26" s="50"/>
      <c r="C26" s="50"/>
      <c r="G26" s="8"/>
      <c r="H26" s="8"/>
      <c r="I26" s="8"/>
    </row>
    <row r="27" spans="1:9" ht="15.2" customHeight="1">
      <c r="A27" s="161" t="s">
        <v>582</v>
      </c>
      <c r="B27" s="162"/>
      <c r="C27" s="65">
        <f>SUM('Stavební rozpočet'!AJ12:AJ179)</f>
        <v>0</v>
      </c>
      <c r="D27" s="59"/>
      <c r="E27" s="50"/>
      <c r="F27" s="50"/>
      <c r="G27" s="50"/>
      <c r="H27" s="50"/>
      <c r="I27" s="50"/>
    </row>
    <row r="28" spans="1:10" ht="15.2" customHeight="1">
      <c r="A28" s="161" t="s">
        <v>583</v>
      </c>
      <c r="B28" s="162"/>
      <c r="C28" s="65">
        <f>SUM('Stavební rozpočet'!AK12:AK179)</f>
        <v>0</v>
      </c>
      <c r="D28" s="161" t="s">
        <v>596</v>
      </c>
      <c r="E28" s="162"/>
      <c r="F28" s="65">
        <f>ROUND(C28*(15/100),2)</f>
        <v>0</v>
      </c>
      <c r="G28" s="161" t="s">
        <v>607</v>
      </c>
      <c r="H28" s="162"/>
      <c r="I28" s="65">
        <f>SUM(C27:C29)</f>
        <v>0</v>
      </c>
      <c r="J28" s="36"/>
    </row>
    <row r="29" spans="1:10" ht="15.2" customHeight="1">
      <c r="A29" s="161" t="s">
        <v>584</v>
      </c>
      <c r="B29" s="162"/>
      <c r="C29" s="65">
        <f>SUM('Stavební rozpočet'!AL12:AL179)+(F22+I22+F23+I23+I24+I25)</f>
        <v>0</v>
      </c>
      <c r="D29" s="161" t="s">
        <v>597</v>
      </c>
      <c r="E29" s="162"/>
      <c r="F29" s="65">
        <f>ROUND(C29*(21/100),2)</f>
        <v>0</v>
      </c>
      <c r="G29" s="161" t="s">
        <v>608</v>
      </c>
      <c r="H29" s="162"/>
      <c r="I29" s="65">
        <f>SUM(F28:F29)+I28</f>
        <v>0</v>
      </c>
      <c r="J29" s="36"/>
    </row>
    <row r="30" spans="1:9" ht="12.75">
      <c r="A30" s="54"/>
      <c r="B30" s="54"/>
      <c r="C30" s="54"/>
      <c r="D30" s="54"/>
      <c r="E30" s="54"/>
      <c r="F30" s="54"/>
      <c r="G30" s="54"/>
      <c r="H30" s="54"/>
      <c r="I30" s="54"/>
    </row>
    <row r="31" spans="1:10" ht="14.45" customHeight="1">
      <c r="A31" s="163" t="s">
        <v>585</v>
      </c>
      <c r="B31" s="164"/>
      <c r="C31" s="165"/>
      <c r="D31" s="163" t="s">
        <v>598</v>
      </c>
      <c r="E31" s="164"/>
      <c r="F31" s="165"/>
      <c r="G31" s="166" t="s">
        <v>609</v>
      </c>
      <c r="H31" s="167"/>
      <c r="I31" s="168"/>
      <c r="J31" s="37"/>
    </row>
    <row r="32" spans="1:10" ht="14.45" customHeight="1">
      <c r="A32" s="169" t="s">
        <v>705</v>
      </c>
      <c r="B32" s="170"/>
      <c r="C32" s="171"/>
      <c r="D32" s="169" t="s">
        <v>701</v>
      </c>
      <c r="E32" s="170"/>
      <c r="F32" s="171"/>
      <c r="G32" s="172"/>
      <c r="H32" s="173"/>
      <c r="I32" s="174"/>
      <c r="J32" s="37"/>
    </row>
    <row r="33" spans="1:10" ht="14.45" customHeight="1">
      <c r="A33" s="169" t="s">
        <v>707</v>
      </c>
      <c r="B33" s="170"/>
      <c r="C33" s="171"/>
      <c r="D33" s="169" t="s">
        <v>706</v>
      </c>
      <c r="E33" s="170"/>
      <c r="F33" s="171"/>
      <c r="G33" s="172"/>
      <c r="H33" s="173"/>
      <c r="I33" s="174"/>
      <c r="J33" s="37"/>
    </row>
    <row r="34" spans="1:10" ht="14.45" customHeight="1">
      <c r="A34" s="169"/>
      <c r="B34" s="170"/>
      <c r="C34" s="171"/>
      <c r="D34" s="169" t="s">
        <v>704</v>
      </c>
      <c r="E34" s="170"/>
      <c r="F34" s="171"/>
      <c r="G34" s="172"/>
      <c r="H34" s="173"/>
      <c r="I34" s="174"/>
      <c r="J34" s="37"/>
    </row>
    <row r="35" spans="1:10" ht="14.45" customHeight="1">
      <c r="A35" s="175" t="s">
        <v>586</v>
      </c>
      <c r="B35" s="176"/>
      <c r="C35" s="177"/>
      <c r="D35" s="175" t="s">
        <v>586</v>
      </c>
      <c r="E35" s="176"/>
      <c r="F35" s="177"/>
      <c r="G35" s="178" t="s">
        <v>586</v>
      </c>
      <c r="H35" s="179"/>
      <c r="I35" s="180"/>
      <c r="J35" s="37"/>
    </row>
    <row r="36" spans="1:9" ht="11.25" customHeight="1">
      <c r="A36" s="55" t="s">
        <v>140</v>
      </c>
      <c r="B36" s="57"/>
      <c r="C36" s="57"/>
      <c r="D36" s="57"/>
      <c r="E36" s="57"/>
      <c r="F36" s="57"/>
      <c r="G36" s="57"/>
      <c r="H36" s="57"/>
      <c r="I36" s="57"/>
    </row>
    <row r="37" spans="1:9" ht="12.75">
      <c r="A37" s="147" t="s">
        <v>141</v>
      </c>
      <c r="B37" s="138"/>
      <c r="C37" s="138"/>
      <c r="D37" s="138"/>
      <c r="E37" s="138"/>
      <c r="F37" s="138"/>
      <c r="G37" s="138"/>
      <c r="H37" s="138"/>
      <c r="I37" s="138"/>
    </row>
  </sheetData>
  <sheetProtection algorithmName="SHA-512" hashValue="i9ZhTmNFuqQ0Jc4yn73EntHTU7zAj41Je81nRbgGjqjF5LWrsDiYustrQvzXfdOSjX9WrEpCQY3RwpQhhW/OFw==" saltValue="qZLVAX4jEIiZuIiMz9eXKw==" spinCount="100000" sheet="1" objects="1" scenarios="1"/>
  <mergeCells count="83"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  <mergeCell ref="A31:C31"/>
    <mergeCell ref="D31:F31"/>
    <mergeCell ref="G31:I31"/>
    <mergeCell ref="A32:C32"/>
    <mergeCell ref="D32:F32"/>
    <mergeCell ref="G32:I32"/>
    <mergeCell ref="A28:B28"/>
    <mergeCell ref="D28:E28"/>
    <mergeCell ref="G28:H28"/>
    <mergeCell ref="A29:B29"/>
    <mergeCell ref="D29:E29"/>
    <mergeCell ref="G29:H29"/>
    <mergeCell ref="D23:E23"/>
    <mergeCell ref="G23:H23"/>
    <mergeCell ref="G24:H24"/>
    <mergeCell ref="G25:H25"/>
    <mergeCell ref="A27:B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82"/>
  <sheetViews>
    <sheetView workbookViewId="0" topLeftCell="A1">
      <pane ySplit="11" topLeftCell="A169" activePane="bottomLeft" state="frozen"/>
      <selection pane="topLeft" activeCell="L24" sqref="L24"/>
      <selection pane="bottomLeft" activeCell="C180" sqref="C180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70.8515625" style="0" customWidth="1"/>
    <col min="6" max="6" width="4.28125" style="0" customWidth="1"/>
    <col min="7" max="7" width="12.8515625" style="0" customWidth="1"/>
    <col min="8" max="8" width="12.00390625" style="0" customWidth="1"/>
    <col min="9" max="11" width="14.28125" style="0" customWidth="1"/>
    <col min="12" max="12" width="11.7109375" style="0" customWidth="1"/>
    <col min="25" max="62" width="12.140625" style="0" hidden="1" customWidth="1"/>
  </cols>
  <sheetData>
    <row r="1" spans="1:12" ht="73.15" customHeight="1">
      <c r="A1" s="181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3" ht="12.75">
      <c r="A2" s="135" t="s">
        <v>1</v>
      </c>
      <c r="B2" s="136"/>
      <c r="C2" s="139" t="s">
        <v>274</v>
      </c>
      <c r="D2" s="182" t="s">
        <v>441</v>
      </c>
      <c r="E2" s="136"/>
      <c r="F2" s="182" t="s">
        <v>6</v>
      </c>
      <c r="G2" s="136"/>
      <c r="H2" s="183" t="s">
        <v>457</v>
      </c>
      <c r="I2" s="183" t="s">
        <v>701</v>
      </c>
      <c r="J2" s="136"/>
      <c r="K2" s="136"/>
      <c r="L2" s="185"/>
      <c r="M2" s="36"/>
    </row>
    <row r="3" spans="1:13" ht="12.75">
      <c r="A3" s="137"/>
      <c r="B3" s="138"/>
      <c r="C3" s="141"/>
      <c r="D3" s="138"/>
      <c r="E3" s="138"/>
      <c r="F3" s="138"/>
      <c r="G3" s="138"/>
      <c r="H3" s="184"/>
      <c r="I3" s="184"/>
      <c r="J3" s="138"/>
      <c r="K3" s="138"/>
      <c r="L3" s="144"/>
      <c r="M3" s="36"/>
    </row>
    <row r="4" spans="1:13" ht="12.75">
      <c r="A4" s="146" t="s">
        <v>2</v>
      </c>
      <c r="B4" s="138"/>
      <c r="C4" s="147" t="s">
        <v>275</v>
      </c>
      <c r="D4" s="150" t="s">
        <v>442</v>
      </c>
      <c r="E4" s="138"/>
      <c r="F4" s="150" t="s">
        <v>445</v>
      </c>
      <c r="G4" s="138"/>
      <c r="H4" s="186" t="s">
        <v>458</v>
      </c>
      <c r="I4" s="186" t="s">
        <v>463</v>
      </c>
      <c r="J4" s="138"/>
      <c r="K4" s="138"/>
      <c r="L4" s="144"/>
      <c r="M4" s="36"/>
    </row>
    <row r="5" spans="1:13" ht="12.75">
      <c r="A5" s="137"/>
      <c r="B5" s="138"/>
      <c r="C5" s="138"/>
      <c r="D5" s="138"/>
      <c r="E5" s="138"/>
      <c r="F5" s="138"/>
      <c r="G5" s="138"/>
      <c r="H5" s="184"/>
      <c r="I5" s="184"/>
      <c r="J5" s="138"/>
      <c r="K5" s="138"/>
      <c r="L5" s="144"/>
      <c r="M5" s="36"/>
    </row>
    <row r="6" spans="1:13" ht="12.75">
      <c r="A6" s="146" t="s">
        <v>3</v>
      </c>
      <c r="B6" s="138"/>
      <c r="C6" s="147" t="s">
        <v>276</v>
      </c>
      <c r="D6" s="150" t="s">
        <v>443</v>
      </c>
      <c r="E6" s="138"/>
      <c r="F6" s="150" t="s">
        <v>6</v>
      </c>
      <c r="G6" s="138"/>
      <c r="H6" s="186" t="s">
        <v>459</v>
      </c>
      <c r="I6" s="186" t="s">
        <v>464</v>
      </c>
      <c r="J6" s="138"/>
      <c r="K6" s="184"/>
      <c r="L6" s="187"/>
      <c r="M6" s="36"/>
    </row>
    <row r="7" spans="1:13" ht="12.75">
      <c r="A7" s="137"/>
      <c r="B7" s="138"/>
      <c r="C7" s="138"/>
      <c r="D7" s="138"/>
      <c r="E7" s="138"/>
      <c r="F7" s="138"/>
      <c r="G7" s="138"/>
      <c r="H7" s="184"/>
      <c r="I7" s="184"/>
      <c r="J7" s="138"/>
      <c r="K7" s="184"/>
      <c r="L7" s="187"/>
      <c r="M7" s="36"/>
    </row>
    <row r="8" spans="1:13" ht="12.75">
      <c r="A8" s="146" t="s">
        <v>4</v>
      </c>
      <c r="B8" s="138"/>
      <c r="C8" s="147" t="s">
        <v>6</v>
      </c>
      <c r="D8" s="150" t="s">
        <v>444</v>
      </c>
      <c r="E8" s="138"/>
      <c r="F8" s="150" t="s">
        <v>445</v>
      </c>
      <c r="G8" s="138"/>
      <c r="H8" s="186" t="s">
        <v>460</v>
      </c>
      <c r="I8" s="186" t="s">
        <v>465</v>
      </c>
      <c r="J8" s="138"/>
      <c r="K8" s="184"/>
      <c r="L8" s="187"/>
      <c r="M8" s="36"/>
    </row>
    <row r="9" spans="1:13" ht="12.75">
      <c r="A9" s="188"/>
      <c r="B9" s="189"/>
      <c r="C9" s="189"/>
      <c r="D9" s="189"/>
      <c r="E9" s="189"/>
      <c r="F9" s="189"/>
      <c r="G9" s="189"/>
      <c r="H9" s="190"/>
      <c r="I9" s="190"/>
      <c r="J9" s="189"/>
      <c r="K9" s="190"/>
      <c r="L9" s="191"/>
      <c r="M9" s="36"/>
    </row>
    <row r="10" spans="1:13" ht="12.75">
      <c r="A10" s="1" t="s">
        <v>5</v>
      </c>
      <c r="B10" s="10" t="s">
        <v>142</v>
      </c>
      <c r="C10" s="192" t="s">
        <v>277</v>
      </c>
      <c r="D10" s="193"/>
      <c r="E10" s="194"/>
      <c r="F10" s="10" t="s">
        <v>446</v>
      </c>
      <c r="G10" s="15" t="s">
        <v>456</v>
      </c>
      <c r="H10" s="19" t="s">
        <v>461</v>
      </c>
      <c r="I10" s="195" t="s">
        <v>466</v>
      </c>
      <c r="J10" s="196"/>
      <c r="K10" s="197"/>
      <c r="L10" s="29" t="s">
        <v>471</v>
      </c>
      <c r="M10" s="37"/>
    </row>
    <row r="11" spans="1:62" ht="12.75">
      <c r="A11" s="2" t="s">
        <v>6</v>
      </c>
      <c r="B11" s="11" t="s">
        <v>6</v>
      </c>
      <c r="C11" s="198" t="s">
        <v>278</v>
      </c>
      <c r="D11" s="199"/>
      <c r="E11" s="200"/>
      <c r="F11" s="11" t="s">
        <v>6</v>
      </c>
      <c r="G11" s="11" t="s">
        <v>6</v>
      </c>
      <c r="H11" s="20" t="s">
        <v>462</v>
      </c>
      <c r="I11" s="26" t="s">
        <v>467</v>
      </c>
      <c r="J11" s="27" t="s">
        <v>469</v>
      </c>
      <c r="K11" s="28" t="s">
        <v>470</v>
      </c>
      <c r="L11" s="30" t="s">
        <v>472</v>
      </c>
      <c r="M11" s="37"/>
      <c r="Z11" s="33" t="s">
        <v>474</v>
      </c>
      <c r="AA11" s="33" t="s">
        <v>475</v>
      </c>
      <c r="AB11" s="33" t="s">
        <v>476</v>
      </c>
      <c r="AC11" s="33" t="s">
        <v>477</v>
      </c>
      <c r="AD11" s="33" t="s">
        <v>478</v>
      </c>
      <c r="AE11" s="33" t="s">
        <v>479</v>
      </c>
      <c r="AF11" s="33" t="s">
        <v>480</v>
      </c>
      <c r="AG11" s="33" t="s">
        <v>481</v>
      </c>
      <c r="AH11" s="33" t="s">
        <v>482</v>
      </c>
      <c r="BH11" s="33" t="s">
        <v>566</v>
      </c>
      <c r="BI11" s="33" t="s">
        <v>567</v>
      </c>
      <c r="BJ11" s="33" t="s">
        <v>568</v>
      </c>
    </row>
    <row r="12" spans="1:47" ht="12.75">
      <c r="A12" s="3"/>
      <c r="B12" s="12" t="s">
        <v>17</v>
      </c>
      <c r="C12" s="201" t="s">
        <v>279</v>
      </c>
      <c r="D12" s="202"/>
      <c r="E12" s="202"/>
      <c r="F12" s="3" t="s">
        <v>6</v>
      </c>
      <c r="G12" s="3" t="s">
        <v>6</v>
      </c>
      <c r="H12" s="21" t="s">
        <v>6</v>
      </c>
      <c r="I12" s="40">
        <f>SUM(I13:I22)</f>
        <v>0</v>
      </c>
      <c r="J12" s="40">
        <f>SUM(J13:J22)</f>
        <v>0</v>
      </c>
      <c r="K12" s="40">
        <f>SUM(K13:K22)</f>
        <v>0</v>
      </c>
      <c r="L12" s="31"/>
      <c r="AI12" s="33"/>
      <c r="AS12" s="41">
        <f>SUM(AJ13:AJ22)</f>
        <v>0</v>
      </c>
      <c r="AT12" s="41">
        <f>SUM(AK13:AK22)</f>
        <v>0</v>
      </c>
      <c r="AU12" s="41">
        <f>SUM(AL13:AL22)</f>
        <v>0</v>
      </c>
    </row>
    <row r="13" spans="1:62" ht="12.75">
      <c r="A13" s="4" t="s">
        <v>7</v>
      </c>
      <c r="B13" s="4" t="s">
        <v>143</v>
      </c>
      <c r="C13" s="203" t="s">
        <v>280</v>
      </c>
      <c r="D13" s="204"/>
      <c r="E13" s="204"/>
      <c r="F13" s="4" t="s">
        <v>447</v>
      </c>
      <c r="G13" s="16">
        <v>126.8</v>
      </c>
      <c r="H13" s="22">
        <v>0</v>
      </c>
      <c r="I13" s="16">
        <f aca="true" t="shared" si="0" ref="I13:I22">G13*AO13</f>
        <v>0</v>
      </c>
      <c r="J13" s="16">
        <f aca="true" t="shared" si="1" ref="J13:J22">G13*AP13</f>
        <v>0</v>
      </c>
      <c r="K13" s="16">
        <f aca="true" t="shared" si="2" ref="K13:K22">G13*H13</f>
        <v>0</v>
      </c>
      <c r="L13" s="32" t="s">
        <v>473</v>
      </c>
      <c r="Z13" s="38">
        <f aca="true" t="shared" si="3" ref="Z13:Z22">IF(AQ13="5",BJ13,0)</f>
        <v>0</v>
      </c>
      <c r="AB13" s="38">
        <f aca="true" t="shared" si="4" ref="AB13:AB22">IF(AQ13="1",BH13,0)</f>
        <v>0</v>
      </c>
      <c r="AC13" s="38">
        <f aca="true" t="shared" si="5" ref="AC13:AC22">IF(AQ13="1",BI13,0)</f>
        <v>0</v>
      </c>
      <c r="AD13" s="38">
        <f aca="true" t="shared" si="6" ref="AD13:AD22">IF(AQ13="7",BH13,0)</f>
        <v>0</v>
      </c>
      <c r="AE13" s="38">
        <f aca="true" t="shared" si="7" ref="AE13:AE22">IF(AQ13="7",BI13,0)</f>
        <v>0</v>
      </c>
      <c r="AF13" s="38">
        <f aca="true" t="shared" si="8" ref="AF13:AF22">IF(AQ13="2",BH13,0)</f>
        <v>0</v>
      </c>
      <c r="AG13" s="38">
        <f aca="true" t="shared" si="9" ref="AG13:AG22">IF(AQ13="2",BI13,0)</f>
        <v>0</v>
      </c>
      <c r="AH13" s="38">
        <f aca="true" t="shared" si="10" ref="AH13:AH22">IF(AQ13="0",BJ13,0)</f>
        <v>0</v>
      </c>
      <c r="AI13" s="33"/>
      <c r="AJ13" s="16">
        <f aca="true" t="shared" si="11" ref="AJ13:AJ22">IF(AN13=0,K13,0)</f>
        <v>0</v>
      </c>
      <c r="AK13" s="16">
        <f aca="true" t="shared" si="12" ref="AK13:AK22">IF(AN13=15,K13,0)</f>
        <v>0</v>
      </c>
      <c r="AL13" s="16">
        <f aca="true" t="shared" si="13" ref="AL13:AL22">IF(AN13=21,K13,0)</f>
        <v>0</v>
      </c>
      <c r="AN13" s="38">
        <v>21</v>
      </c>
      <c r="AO13" s="38">
        <f>H13*0</f>
        <v>0</v>
      </c>
      <c r="AP13" s="38">
        <f>H13*(1-0)</f>
        <v>0</v>
      </c>
      <c r="AQ13" s="32" t="s">
        <v>7</v>
      </c>
      <c r="AV13" s="38">
        <f aca="true" t="shared" si="14" ref="AV13:AV22">AW13+AX13</f>
        <v>0</v>
      </c>
      <c r="AW13" s="38">
        <f aca="true" t="shared" si="15" ref="AW13:AW22">G13*AO13</f>
        <v>0</v>
      </c>
      <c r="AX13" s="38">
        <f aca="true" t="shared" si="16" ref="AX13:AX22">G13*AP13</f>
        <v>0</v>
      </c>
      <c r="AY13" s="39" t="s">
        <v>484</v>
      </c>
      <c r="AZ13" s="39" t="s">
        <v>519</v>
      </c>
      <c r="BA13" s="33" t="s">
        <v>531</v>
      </c>
      <c r="BB13" s="33" t="s">
        <v>532</v>
      </c>
      <c r="BC13" s="38">
        <f aca="true" t="shared" si="17" ref="BC13:BC22">AW13+AX13</f>
        <v>0</v>
      </c>
      <c r="BD13" s="38">
        <f aca="true" t="shared" si="18" ref="BD13:BD22">H13/(100-BE13)*100</f>
        <v>0</v>
      </c>
      <c r="BE13" s="38">
        <v>0</v>
      </c>
      <c r="BF13" s="38">
        <f>13</f>
        <v>13</v>
      </c>
      <c r="BH13" s="16">
        <f aca="true" t="shared" si="19" ref="BH13:BH22">G13*AO13</f>
        <v>0</v>
      </c>
      <c r="BI13" s="16">
        <f aca="true" t="shared" si="20" ref="BI13:BI22">G13*AP13</f>
        <v>0</v>
      </c>
      <c r="BJ13" s="16">
        <f aca="true" t="shared" si="21" ref="BJ13:BJ22">G13*H13</f>
        <v>0</v>
      </c>
    </row>
    <row r="14" spans="1:62" ht="12.75">
      <c r="A14" s="4" t="s">
        <v>8</v>
      </c>
      <c r="B14" s="4" t="s">
        <v>144</v>
      </c>
      <c r="C14" s="203" t="s">
        <v>281</v>
      </c>
      <c r="D14" s="204"/>
      <c r="E14" s="204"/>
      <c r="F14" s="4" t="s">
        <v>448</v>
      </c>
      <c r="G14" s="16">
        <v>1</v>
      </c>
      <c r="H14" s="22">
        <v>0</v>
      </c>
      <c r="I14" s="16">
        <f t="shared" si="0"/>
        <v>0</v>
      </c>
      <c r="J14" s="16">
        <f t="shared" si="1"/>
        <v>0</v>
      </c>
      <c r="K14" s="16">
        <f t="shared" si="2"/>
        <v>0</v>
      </c>
      <c r="L14" s="32" t="s">
        <v>473</v>
      </c>
      <c r="Z14" s="38">
        <f t="shared" si="3"/>
        <v>0</v>
      </c>
      <c r="AB14" s="38">
        <f t="shared" si="4"/>
        <v>0</v>
      </c>
      <c r="AC14" s="38">
        <f t="shared" si="5"/>
        <v>0</v>
      </c>
      <c r="AD14" s="38">
        <f t="shared" si="6"/>
        <v>0</v>
      </c>
      <c r="AE14" s="38">
        <f t="shared" si="7"/>
        <v>0</v>
      </c>
      <c r="AF14" s="38">
        <f t="shared" si="8"/>
        <v>0</v>
      </c>
      <c r="AG14" s="38">
        <f t="shared" si="9"/>
        <v>0</v>
      </c>
      <c r="AH14" s="38">
        <f t="shared" si="10"/>
        <v>0</v>
      </c>
      <c r="AI14" s="33"/>
      <c r="AJ14" s="16">
        <f t="shared" si="11"/>
        <v>0</v>
      </c>
      <c r="AK14" s="16">
        <f t="shared" si="12"/>
        <v>0</v>
      </c>
      <c r="AL14" s="16">
        <f t="shared" si="13"/>
        <v>0</v>
      </c>
      <c r="AN14" s="38">
        <v>21</v>
      </c>
      <c r="AO14" s="38">
        <f>H14*0</f>
        <v>0</v>
      </c>
      <c r="AP14" s="38">
        <f>H14*(1-0)</f>
        <v>0</v>
      </c>
      <c r="AQ14" s="32" t="s">
        <v>7</v>
      </c>
      <c r="AV14" s="38">
        <f t="shared" si="14"/>
        <v>0</v>
      </c>
      <c r="AW14" s="38">
        <f t="shared" si="15"/>
        <v>0</v>
      </c>
      <c r="AX14" s="38">
        <f t="shared" si="16"/>
        <v>0</v>
      </c>
      <c r="AY14" s="39" t="s">
        <v>484</v>
      </c>
      <c r="AZ14" s="39" t="s">
        <v>519</v>
      </c>
      <c r="BA14" s="33" t="s">
        <v>531</v>
      </c>
      <c r="BB14" s="33" t="s">
        <v>532</v>
      </c>
      <c r="BC14" s="38">
        <f t="shared" si="17"/>
        <v>0</v>
      </c>
      <c r="BD14" s="38">
        <f t="shared" si="18"/>
        <v>0</v>
      </c>
      <c r="BE14" s="38">
        <v>0</v>
      </c>
      <c r="BF14" s="38">
        <f>14</f>
        <v>14</v>
      </c>
      <c r="BH14" s="16">
        <f t="shared" si="19"/>
        <v>0</v>
      </c>
      <c r="BI14" s="16">
        <f t="shared" si="20"/>
        <v>0</v>
      </c>
      <c r="BJ14" s="16">
        <f t="shared" si="21"/>
        <v>0</v>
      </c>
    </row>
    <row r="15" spans="1:62" ht="12.75">
      <c r="A15" s="4" t="s">
        <v>9</v>
      </c>
      <c r="B15" s="4" t="s">
        <v>145</v>
      </c>
      <c r="C15" s="203" t="s">
        <v>282</v>
      </c>
      <c r="D15" s="204"/>
      <c r="E15" s="204"/>
      <c r="F15" s="4" t="s">
        <v>448</v>
      </c>
      <c r="G15" s="16">
        <v>1</v>
      </c>
      <c r="H15" s="22">
        <v>0</v>
      </c>
      <c r="I15" s="16">
        <f t="shared" si="0"/>
        <v>0</v>
      </c>
      <c r="J15" s="16">
        <f t="shared" si="1"/>
        <v>0</v>
      </c>
      <c r="K15" s="16">
        <f t="shared" si="2"/>
        <v>0</v>
      </c>
      <c r="L15" s="32" t="s">
        <v>473</v>
      </c>
      <c r="Z15" s="38">
        <f t="shared" si="3"/>
        <v>0</v>
      </c>
      <c r="AB15" s="38">
        <f t="shared" si="4"/>
        <v>0</v>
      </c>
      <c r="AC15" s="38">
        <f t="shared" si="5"/>
        <v>0</v>
      </c>
      <c r="AD15" s="38">
        <f t="shared" si="6"/>
        <v>0</v>
      </c>
      <c r="AE15" s="38">
        <f t="shared" si="7"/>
        <v>0</v>
      </c>
      <c r="AF15" s="38">
        <f t="shared" si="8"/>
        <v>0</v>
      </c>
      <c r="AG15" s="38">
        <f t="shared" si="9"/>
        <v>0</v>
      </c>
      <c r="AH15" s="38">
        <f t="shared" si="10"/>
        <v>0</v>
      </c>
      <c r="AI15" s="33"/>
      <c r="AJ15" s="16">
        <f t="shared" si="11"/>
        <v>0</v>
      </c>
      <c r="AK15" s="16">
        <f t="shared" si="12"/>
        <v>0</v>
      </c>
      <c r="AL15" s="16">
        <f t="shared" si="13"/>
        <v>0</v>
      </c>
      <c r="AN15" s="38">
        <v>21</v>
      </c>
      <c r="AO15" s="38">
        <f>H15*0</f>
        <v>0</v>
      </c>
      <c r="AP15" s="38">
        <f>H15*(1-0)</f>
        <v>0</v>
      </c>
      <c r="AQ15" s="32" t="s">
        <v>7</v>
      </c>
      <c r="AV15" s="38">
        <f t="shared" si="14"/>
        <v>0</v>
      </c>
      <c r="AW15" s="38">
        <f t="shared" si="15"/>
        <v>0</v>
      </c>
      <c r="AX15" s="38">
        <f t="shared" si="16"/>
        <v>0</v>
      </c>
      <c r="AY15" s="39" t="s">
        <v>484</v>
      </c>
      <c r="AZ15" s="39" t="s">
        <v>519</v>
      </c>
      <c r="BA15" s="33" t="s">
        <v>531</v>
      </c>
      <c r="BB15" s="33" t="s">
        <v>532</v>
      </c>
      <c r="BC15" s="38">
        <f t="shared" si="17"/>
        <v>0</v>
      </c>
      <c r="BD15" s="38">
        <f t="shared" si="18"/>
        <v>0</v>
      </c>
      <c r="BE15" s="38">
        <v>0</v>
      </c>
      <c r="BF15" s="38">
        <f>15</f>
        <v>15</v>
      </c>
      <c r="BH15" s="16">
        <f t="shared" si="19"/>
        <v>0</v>
      </c>
      <c r="BI15" s="16">
        <f t="shared" si="20"/>
        <v>0</v>
      </c>
      <c r="BJ15" s="16">
        <f t="shared" si="21"/>
        <v>0</v>
      </c>
    </row>
    <row r="16" spans="1:62" ht="12.75">
      <c r="A16" s="4" t="s">
        <v>10</v>
      </c>
      <c r="B16" s="4" t="s">
        <v>146</v>
      </c>
      <c r="C16" s="203" t="s">
        <v>283</v>
      </c>
      <c r="D16" s="204"/>
      <c r="E16" s="204"/>
      <c r="F16" s="4" t="s">
        <v>449</v>
      </c>
      <c r="G16" s="16">
        <v>9</v>
      </c>
      <c r="H16" s="22">
        <v>0</v>
      </c>
      <c r="I16" s="16">
        <f t="shared" si="0"/>
        <v>0</v>
      </c>
      <c r="J16" s="16">
        <f t="shared" si="1"/>
        <v>0</v>
      </c>
      <c r="K16" s="16">
        <f t="shared" si="2"/>
        <v>0</v>
      </c>
      <c r="L16" s="32" t="s">
        <v>473</v>
      </c>
      <c r="Z16" s="38">
        <f t="shared" si="3"/>
        <v>0</v>
      </c>
      <c r="AB16" s="38">
        <f t="shared" si="4"/>
        <v>0</v>
      </c>
      <c r="AC16" s="38">
        <f t="shared" si="5"/>
        <v>0</v>
      </c>
      <c r="AD16" s="38">
        <f t="shared" si="6"/>
        <v>0</v>
      </c>
      <c r="AE16" s="38">
        <f t="shared" si="7"/>
        <v>0</v>
      </c>
      <c r="AF16" s="38">
        <f t="shared" si="8"/>
        <v>0</v>
      </c>
      <c r="AG16" s="38">
        <f t="shared" si="9"/>
        <v>0</v>
      </c>
      <c r="AH16" s="38">
        <f t="shared" si="10"/>
        <v>0</v>
      </c>
      <c r="AI16" s="33"/>
      <c r="AJ16" s="16">
        <f t="shared" si="11"/>
        <v>0</v>
      </c>
      <c r="AK16" s="16">
        <f t="shared" si="12"/>
        <v>0</v>
      </c>
      <c r="AL16" s="16">
        <f t="shared" si="13"/>
        <v>0</v>
      </c>
      <c r="AN16" s="38">
        <v>21</v>
      </c>
      <c r="AO16" s="38">
        <f>H16*0.445232876712329</f>
        <v>0</v>
      </c>
      <c r="AP16" s="38">
        <f>H16*(1-0.445232876712329)</f>
        <v>0</v>
      </c>
      <c r="AQ16" s="32" t="s">
        <v>7</v>
      </c>
      <c r="AV16" s="38">
        <f t="shared" si="14"/>
        <v>0</v>
      </c>
      <c r="AW16" s="38">
        <f t="shared" si="15"/>
        <v>0</v>
      </c>
      <c r="AX16" s="38">
        <f t="shared" si="16"/>
        <v>0</v>
      </c>
      <c r="AY16" s="39" t="s">
        <v>484</v>
      </c>
      <c r="AZ16" s="39" t="s">
        <v>519</v>
      </c>
      <c r="BA16" s="33" t="s">
        <v>531</v>
      </c>
      <c r="BB16" s="33" t="s">
        <v>532</v>
      </c>
      <c r="BC16" s="38">
        <f t="shared" si="17"/>
        <v>0</v>
      </c>
      <c r="BD16" s="38">
        <f t="shared" si="18"/>
        <v>0</v>
      </c>
      <c r="BE16" s="38">
        <v>0</v>
      </c>
      <c r="BF16" s="38">
        <f>16</f>
        <v>16</v>
      </c>
      <c r="BH16" s="16">
        <f t="shared" si="19"/>
        <v>0</v>
      </c>
      <c r="BI16" s="16">
        <f t="shared" si="20"/>
        <v>0</v>
      </c>
      <c r="BJ16" s="16">
        <f t="shared" si="21"/>
        <v>0</v>
      </c>
    </row>
    <row r="17" spans="1:62" ht="12.75">
      <c r="A17" s="4" t="s">
        <v>11</v>
      </c>
      <c r="B17" s="4" t="s">
        <v>147</v>
      </c>
      <c r="C17" s="203" t="s">
        <v>284</v>
      </c>
      <c r="D17" s="204"/>
      <c r="E17" s="204"/>
      <c r="F17" s="4" t="s">
        <v>450</v>
      </c>
      <c r="G17" s="16">
        <v>840</v>
      </c>
      <c r="H17" s="22">
        <v>0</v>
      </c>
      <c r="I17" s="16">
        <f t="shared" si="0"/>
        <v>0</v>
      </c>
      <c r="J17" s="16">
        <f t="shared" si="1"/>
        <v>0</v>
      </c>
      <c r="K17" s="16">
        <f t="shared" si="2"/>
        <v>0</v>
      </c>
      <c r="L17" s="32" t="s">
        <v>473</v>
      </c>
      <c r="Z17" s="38">
        <f t="shared" si="3"/>
        <v>0</v>
      </c>
      <c r="AB17" s="38">
        <f t="shared" si="4"/>
        <v>0</v>
      </c>
      <c r="AC17" s="38">
        <f t="shared" si="5"/>
        <v>0</v>
      </c>
      <c r="AD17" s="38">
        <f t="shared" si="6"/>
        <v>0</v>
      </c>
      <c r="AE17" s="38">
        <f t="shared" si="7"/>
        <v>0</v>
      </c>
      <c r="AF17" s="38">
        <f t="shared" si="8"/>
        <v>0</v>
      </c>
      <c r="AG17" s="38">
        <f t="shared" si="9"/>
        <v>0</v>
      </c>
      <c r="AH17" s="38">
        <f t="shared" si="10"/>
        <v>0</v>
      </c>
      <c r="AI17" s="33"/>
      <c r="AJ17" s="16">
        <f t="shared" si="11"/>
        <v>0</v>
      </c>
      <c r="AK17" s="16">
        <f t="shared" si="12"/>
        <v>0</v>
      </c>
      <c r="AL17" s="16">
        <f t="shared" si="13"/>
        <v>0</v>
      </c>
      <c r="AN17" s="38">
        <v>21</v>
      </c>
      <c r="AO17" s="38">
        <f>H17*0</f>
        <v>0</v>
      </c>
      <c r="AP17" s="38">
        <f>H17*(1-0)</f>
        <v>0</v>
      </c>
      <c r="AQ17" s="32" t="s">
        <v>7</v>
      </c>
      <c r="AV17" s="38">
        <f t="shared" si="14"/>
        <v>0</v>
      </c>
      <c r="AW17" s="38">
        <f t="shared" si="15"/>
        <v>0</v>
      </c>
      <c r="AX17" s="38">
        <f t="shared" si="16"/>
        <v>0</v>
      </c>
      <c r="AY17" s="39" t="s">
        <v>484</v>
      </c>
      <c r="AZ17" s="39" t="s">
        <v>519</v>
      </c>
      <c r="BA17" s="33" t="s">
        <v>531</v>
      </c>
      <c r="BB17" s="33" t="s">
        <v>532</v>
      </c>
      <c r="BC17" s="38">
        <f t="shared" si="17"/>
        <v>0</v>
      </c>
      <c r="BD17" s="38">
        <f t="shared" si="18"/>
        <v>0</v>
      </c>
      <c r="BE17" s="38">
        <v>0</v>
      </c>
      <c r="BF17" s="38">
        <f>17</f>
        <v>17</v>
      </c>
      <c r="BH17" s="16">
        <f t="shared" si="19"/>
        <v>0</v>
      </c>
      <c r="BI17" s="16">
        <f t="shared" si="20"/>
        <v>0</v>
      </c>
      <c r="BJ17" s="16">
        <f t="shared" si="21"/>
        <v>0</v>
      </c>
    </row>
    <row r="18" spans="1:62" ht="12.75">
      <c r="A18" s="4" t="s">
        <v>12</v>
      </c>
      <c r="B18" s="4" t="s">
        <v>148</v>
      </c>
      <c r="C18" s="203" t="s">
        <v>285</v>
      </c>
      <c r="D18" s="204"/>
      <c r="E18" s="204"/>
      <c r="F18" s="4" t="s">
        <v>449</v>
      </c>
      <c r="G18" s="16">
        <v>35</v>
      </c>
      <c r="H18" s="22">
        <v>0</v>
      </c>
      <c r="I18" s="16">
        <f t="shared" si="0"/>
        <v>0</v>
      </c>
      <c r="J18" s="16">
        <f t="shared" si="1"/>
        <v>0</v>
      </c>
      <c r="K18" s="16">
        <f t="shared" si="2"/>
        <v>0</v>
      </c>
      <c r="L18" s="32" t="s">
        <v>473</v>
      </c>
      <c r="Z18" s="38">
        <f t="shared" si="3"/>
        <v>0</v>
      </c>
      <c r="AB18" s="38">
        <f t="shared" si="4"/>
        <v>0</v>
      </c>
      <c r="AC18" s="38">
        <f t="shared" si="5"/>
        <v>0</v>
      </c>
      <c r="AD18" s="38">
        <f t="shared" si="6"/>
        <v>0</v>
      </c>
      <c r="AE18" s="38">
        <f t="shared" si="7"/>
        <v>0</v>
      </c>
      <c r="AF18" s="38">
        <f t="shared" si="8"/>
        <v>0</v>
      </c>
      <c r="AG18" s="38">
        <f t="shared" si="9"/>
        <v>0</v>
      </c>
      <c r="AH18" s="38">
        <f t="shared" si="10"/>
        <v>0</v>
      </c>
      <c r="AI18" s="33"/>
      <c r="AJ18" s="16">
        <f t="shared" si="11"/>
        <v>0</v>
      </c>
      <c r="AK18" s="16">
        <f t="shared" si="12"/>
        <v>0</v>
      </c>
      <c r="AL18" s="16">
        <f t="shared" si="13"/>
        <v>0</v>
      </c>
      <c r="AN18" s="38">
        <v>21</v>
      </c>
      <c r="AO18" s="38">
        <f>H18*0.453897637795276</f>
        <v>0</v>
      </c>
      <c r="AP18" s="38">
        <f>H18*(1-0.453897637795276)</f>
        <v>0</v>
      </c>
      <c r="AQ18" s="32" t="s">
        <v>7</v>
      </c>
      <c r="AV18" s="38">
        <f t="shared" si="14"/>
        <v>0</v>
      </c>
      <c r="AW18" s="38">
        <f t="shared" si="15"/>
        <v>0</v>
      </c>
      <c r="AX18" s="38">
        <f t="shared" si="16"/>
        <v>0</v>
      </c>
      <c r="AY18" s="39" t="s">
        <v>484</v>
      </c>
      <c r="AZ18" s="39" t="s">
        <v>519</v>
      </c>
      <c r="BA18" s="33" t="s">
        <v>531</v>
      </c>
      <c r="BB18" s="33" t="s">
        <v>532</v>
      </c>
      <c r="BC18" s="38">
        <f t="shared" si="17"/>
        <v>0</v>
      </c>
      <c r="BD18" s="38">
        <f t="shared" si="18"/>
        <v>0</v>
      </c>
      <c r="BE18" s="38">
        <v>0</v>
      </c>
      <c r="BF18" s="38">
        <f>18</f>
        <v>18</v>
      </c>
      <c r="BH18" s="16">
        <f t="shared" si="19"/>
        <v>0</v>
      </c>
      <c r="BI18" s="16">
        <f t="shared" si="20"/>
        <v>0</v>
      </c>
      <c r="BJ18" s="16">
        <f t="shared" si="21"/>
        <v>0</v>
      </c>
    </row>
    <row r="19" spans="1:62" ht="12.75">
      <c r="A19" s="4" t="s">
        <v>13</v>
      </c>
      <c r="B19" s="4" t="s">
        <v>149</v>
      </c>
      <c r="C19" s="203" t="s">
        <v>286</v>
      </c>
      <c r="D19" s="204"/>
      <c r="E19" s="204"/>
      <c r="F19" s="4" t="s">
        <v>451</v>
      </c>
      <c r="G19" s="16">
        <v>35</v>
      </c>
      <c r="H19" s="22">
        <v>0</v>
      </c>
      <c r="I19" s="16">
        <f t="shared" si="0"/>
        <v>0</v>
      </c>
      <c r="J19" s="16">
        <f t="shared" si="1"/>
        <v>0</v>
      </c>
      <c r="K19" s="16">
        <f t="shared" si="2"/>
        <v>0</v>
      </c>
      <c r="L19" s="32" t="s">
        <v>473</v>
      </c>
      <c r="Z19" s="38">
        <f t="shared" si="3"/>
        <v>0</v>
      </c>
      <c r="AB19" s="38">
        <f t="shared" si="4"/>
        <v>0</v>
      </c>
      <c r="AC19" s="38">
        <f t="shared" si="5"/>
        <v>0</v>
      </c>
      <c r="AD19" s="38">
        <f t="shared" si="6"/>
        <v>0</v>
      </c>
      <c r="AE19" s="38">
        <f t="shared" si="7"/>
        <v>0</v>
      </c>
      <c r="AF19" s="38">
        <f t="shared" si="8"/>
        <v>0</v>
      </c>
      <c r="AG19" s="38">
        <f t="shared" si="9"/>
        <v>0</v>
      </c>
      <c r="AH19" s="38">
        <f t="shared" si="10"/>
        <v>0</v>
      </c>
      <c r="AI19" s="33"/>
      <c r="AJ19" s="16">
        <f t="shared" si="11"/>
        <v>0</v>
      </c>
      <c r="AK19" s="16">
        <f t="shared" si="12"/>
        <v>0</v>
      </c>
      <c r="AL19" s="16">
        <f t="shared" si="13"/>
        <v>0</v>
      </c>
      <c r="AN19" s="38">
        <v>21</v>
      </c>
      <c r="AO19" s="38">
        <f>H19*0</f>
        <v>0</v>
      </c>
      <c r="AP19" s="38">
        <f>H19*(1-0)</f>
        <v>0</v>
      </c>
      <c r="AQ19" s="32" t="s">
        <v>7</v>
      </c>
      <c r="AV19" s="38">
        <f t="shared" si="14"/>
        <v>0</v>
      </c>
      <c r="AW19" s="38">
        <f t="shared" si="15"/>
        <v>0</v>
      </c>
      <c r="AX19" s="38">
        <f t="shared" si="16"/>
        <v>0</v>
      </c>
      <c r="AY19" s="39" t="s">
        <v>484</v>
      </c>
      <c r="AZ19" s="39" t="s">
        <v>519</v>
      </c>
      <c r="BA19" s="33" t="s">
        <v>531</v>
      </c>
      <c r="BB19" s="33" t="s">
        <v>532</v>
      </c>
      <c r="BC19" s="38">
        <f t="shared" si="17"/>
        <v>0</v>
      </c>
      <c r="BD19" s="38">
        <f t="shared" si="18"/>
        <v>0</v>
      </c>
      <c r="BE19" s="38">
        <v>0</v>
      </c>
      <c r="BF19" s="38">
        <f>19</f>
        <v>19</v>
      </c>
      <c r="BH19" s="16">
        <f t="shared" si="19"/>
        <v>0</v>
      </c>
      <c r="BI19" s="16">
        <f t="shared" si="20"/>
        <v>0</v>
      </c>
      <c r="BJ19" s="16">
        <f t="shared" si="21"/>
        <v>0</v>
      </c>
    </row>
    <row r="20" spans="1:62" ht="12.75">
      <c r="A20" s="4" t="s">
        <v>14</v>
      </c>
      <c r="B20" s="4" t="s">
        <v>150</v>
      </c>
      <c r="C20" s="203" t="s">
        <v>287</v>
      </c>
      <c r="D20" s="204"/>
      <c r="E20" s="204"/>
      <c r="F20" s="4" t="s">
        <v>447</v>
      </c>
      <c r="G20" s="16">
        <v>98.45</v>
      </c>
      <c r="H20" s="22">
        <v>0</v>
      </c>
      <c r="I20" s="16">
        <f t="shared" si="0"/>
        <v>0</v>
      </c>
      <c r="J20" s="16">
        <f t="shared" si="1"/>
        <v>0</v>
      </c>
      <c r="K20" s="16">
        <f t="shared" si="2"/>
        <v>0</v>
      </c>
      <c r="L20" s="32" t="s">
        <v>473</v>
      </c>
      <c r="Z20" s="38">
        <f t="shared" si="3"/>
        <v>0</v>
      </c>
      <c r="AB20" s="38">
        <f t="shared" si="4"/>
        <v>0</v>
      </c>
      <c r="AC20" s="38">
        <f t="shared" si="5"/>
        <v>0</v>
      </c>
      <c r="AD20" s="38">
        <f t="shared" si="6"/>
        <v>0</v>
      </c>
      <c r="AE20" s="38">
        <f t="shared" si="7"/>
        <v>0</v>
      </c>
      <c r="AF20" s="38">
        <f t="shared" si="8"/>
        <v>0</v>
      </c>
      <c r="AG20" s="38">
        <f t="shared" si="9"/>
        <v>0</v>
      </c>
      <c r="AH20" s="38">
        <f t="shared" si="10"/>
        <v>0</v>
      </c>
      <c r="AI20" s="33"/>
      <c r="AJ20" s="16">
        <f t="shared" si="11"/>
        <v>0</v>
      </c>
      <c r="AK20" s="16">
        <f t="shared" si="12"/>
        <v>0</v>
      </c>
      <c r="AL20" s="16">
        <f t="shared" si="13"/>
        <v>0</v>
      </c>
      <c r="AN20" s="38">
        <v>21</v>
      </c>
      <c r="AO20" s="38">
        <f>H20*0</f>
        <v>0</v>
      </c>
      <c r="AP20" s="38">
        <f>H20*(1-0)</f>
        <v>0</v>
      </c>
      <c r="AQ20" s="32" t="s">
        <v>7</v>
      </c>
      <c r="AV20" s="38">
        <f t="shared" si="14"/>
        <v>0</v>
      </c>
      <c r="AW20" s="38">
        <f t="shared" si="15"/>
        <v>0</v>
      </c>
      <c r="AX20" s="38">
        <f t="shared" si="16"/>
        <v>0</v>
      </c>
      <c r="AY20" s="39" t="s">
        <v>484</v>
      </c>
      <c r="AZ20" s="39" t="s">
        <v>519</v>
      </c>
      <c r="BA20" s="33" t="s">
        <v>531</v>
      </c>
      <c r="BB20" s="33" t="s">
        <v>532</v>
      </c>
      <c r="BC20" s="38">
        <f t="shared" si="17"/>
        <v>0</v>
      </c>
      <c r="BD20" s="38">
        <f t="shared" si="18"/>
        <v>0</v>
      </c>
      <c r="BE20" s="38">
        <v>0</v>
      </c>
      <c r="BF20" s="38">
        <f>20</f>
        <v>20</v>
      </c>
      <c r="BH20" s="16">
        <f t="shared" si="19"/>
        <v>0</v>
      </c>
      <c r="BI20" s="16">
        <f t="shared" si="20"/>
        <v>0</v>
      </c>
      <c r="BJ20" s="16">
        <f t="shared" si="21"/>
        <v>0</v>
      </c>
    </row>
    <row r="21" spans="1:62" ht="12.75">
      <c r="A21" s="4" t="s">
        <v>15</v>
      </c>
      <c r="B21" s="4" t="s">
        <v>151</v>
      </c>
      <c r="C21" s="203" t="s">
        <v>288</v>
      </c>
      <c r="D21" s="204"/>
      <c r="E21" s="204"/>
      <c r="F21" s="4" t="s">
        <v>447</v>
      </c>
      <c r="G21" s="16">
        <v>85</v>
      </c>
      <c r="H21" s="22">
        <v>0</v>
      </c>
      <c r="I21" s="16">
        <f t="shared" si="0"/>
        <v>0</v>
      </c>
      <c r="J21" s="16">
        <f t="shared" si="1"/>
        <v>0</v>
      </c>
      <c r="K21" s="16">
        <f t="shared" si="2"/>
        <v>0</v>
      </c>
      <c r="L21" s="32" t="s">
        <v>473</v>
      </c>
      <c r="Z21" s="38">
        <f t="shared" si="3"/>
        <v>0</v>
      </c>
      <c r="AB21" s="38">
        <f t="shared" si="4"/>
        <v>0</v>
      </c>
      <c r="AC21" s="38">
        <f t="shared" si="5"/>
        <v>0</v>
      </c>
      <c r="AD21" s="38">
        <f t="shared" si="6"/>
        <v>0</v>
      </c>
      <c r="AE21" s="38">
        <f t="shared" si="7"/>
        <v>0</v>
      </c>
      <c r="AF21" s="38">
        <f t="shared" si="8"/>
        <v>0</v>
      </c>
      <c r="AG21" s="38">
        <f t="shared" si="9"/>
        <v>0</v>
      </c>
      <c r="AH21" s="38">
        <f t="shared" si="10"/>
        <v>0</v>
      </c>
      <c r="AI21" s="33"/>
      <c r="AJ21" s="16">
        <f t="shared" si="11"/>
        <v>0</v>
      </c>
      <c r="AK21" s="16">
        <f t="shared" si="12"/>
        <v>0</v>
      </c>
      <c r="AL21" s="16">
        <f t="shared" si="13"/>
        <v>0</v>
      </c>
      <c r="AN21" s="38">
        <v>21</v>
      </c>
      <c r="AO21" s="38">
        <f>H21*0</f>
        <v>0</v>
      </c>
      <c r="AP21" s="38">
        <f>H21*(1-0)</f>
        <v>0</v>
      </c>
      <c r="AQ21" s="32" t="s">
        <v>7</v>
      </c>
      <c r="AV21" s="38">
        <f t="shared" si="14"/>
        <v>0</v>
      </c>
      <c r="AW21" s="38">
        <f t="shared" si="15"/>
        <v>0</v>
      </c>
      <c r="AX21" s="38">
        <f t="shared" si="16"/>
        <v>0</v>
      </c>
      <c r="AY21" s="39" t="s">
        <v>484</v>
      </c>
      <c r="AZ21" s="39" t="s">
        <v>519</v>
      </c>
      <c r="BA21" s="33" t="s">
        <v>531</v>
      </c>
      <c r="BB21" s="33" t="s">
        <v>532</v>
      </c>
      <c r="BC21" s="38">
        <f t="shared" si="17"/>
        <v>0</v>
      </c>
      <c r="BD21" s="38">
        <f t="shared" si="18"/>
        <v>0</v>
      </c>
      <c r="BE21" s="38">
        <v>0</v>
      </c>
      <c r="BF21" s="38">
        <f>21</f>
        <v>21</v>
      </c>
      <c r="BH21" s="16">
        <f t="shared" si="19"/>
        <v>0</v>
      </c>
      <c r="BI21" s="16">
        <f t="shared" si="20"/>
        <v>0</v>
      </c>
      <c r="BJ21" s="16">
        <f t="shared" si="21"/>
        <v>0</v>
      </c>
    </row>
    <row r="22" spans="1:62" ht="12.75">
      <c r="A22" s="4" t="s">
        <v>16</v>
      </c>
      <c r="B22" s="4" t="s">
        <v>152</v>
      </c>
      <c r="C22" s="203" t="s">
        <v>289</v>
      </c>
      <c r="D22" s="204"/>
      <c r="E22" s="204"/>
      <c r="F22" s="4" t="s">
        <v>447</v>
      </c>
      <c r="G22" s="16">
        <v>153.9</v>
      </c>
      <c r="H22" s="22">
        <v>0</v>
      </c>
      <c r="I22" s="16">
        <f t="shared" si="0"/>
        <v>0</v>
      </c>
      <c r="J22" s="16">
        <f t="shared" si="1"/>
        <v>0</v>
      </c>
      <c r="K22" s="16">
        <f t="shared" si="2"/>
        <v>0</v>
      </c>
      <c r="L22" s="32" t="s">
        <v>473</v>
      </c>
      <c r="Z22" s="38">
        <f t="shared" si="3"/>
        <v>0</v>
      </c>
      <c r="AB22" s="38">
        <f t="shared" si="4"/>
        <v>0</v>
      </c>
      <c r="AC22" s="38">
        <f t="shared" si="5"/>
        <v>0</v>
      </c>
      <c r="AD22" s="38">
        <f t="shared" si="6"/>
        <v>0</v>
      </c>
      <c r="AE22" s="38">
        <f t="shared" si="7"/>
        <v>0</v>
      </c>
      <c r="AF22" s="38">
        <f t="shared" si="8"/>
        <v>0</v>
      </c>
      <c r="AG22" s="38">
        <f t="shared" si="9"/>
        <v>0</v>
      </c>
      <c r="AH22" s="38">
        <f t="shared" si="10"/>
        <v>0</v>
      </c>
      <c r="AI22" s="33"/>
      <c r="AJ22" s="16">
        <f t="shared" si="11"/>
        <v>0</v>
      </c>
      <c r="AK22" s="16">
        <f t="shared" si="12"/>
        <v>0</v>
      </c>
      <c r="AL22" s="16">
        <f t="shared" si="13"/>
        <v>0</v>
      </c>
      <c r="AN22" s="38">
        <v>21</v>
      </c>
      <c r="AO22" s="38">
        <f>H22*0</f>
        <v>0</v>
      </c>
      <c r="AP22" s="38">
        <f>H22*(1-0)</f>
        <v>0</v>
      </c>
      <c r="AQ22" s="32" t="s">
        <v>7</v>
      </c>
      <c r="AV22" s="38">
        <f t="shared" si="14"/>
        <v>0</v>
      </c>
      <c r="AW22" s="38">
        <f t="shared" si="15"/>
        <v>0</v>
      </c>
      <c r="AX22" s="38">
        <f t="shared" si="16"/>
        <v>0</v>
      </c>
      <c r="AY22" s="39" t="s">
        <v>484</v>
      </c>
      <c r="AZ22" s="39" t="s">
        <v>519</v>
      </c>
      <c r="BA22" s="33" t="s">
        <v>531</v>
      </c>
      <c r="BB22" s="33" t="s">
        <v>532</v>
      </c>
      <c r="BC22" s="38">
        <f t="shared" si="17"/>
        <v>0</v>
      </c>
      <c r="BD22" s="38">
        <f t="shared" si="18"/>
        <v>0</v>
      </c>
      <c r="BE22" s="38">
        <v>0</v>
      </c>
      <c r="BF22" s="38">
        <f>22</f>
        <v>22</v>
      </c>
      <c r="BH22" s="16">
        <f t="shared" si="19"/>
        <v>0</v>
      </c>
      <c r="BI22" s="16">
        <f t="shared" si="20"/>
        <v>0</v>
      </c>
      <c r="BJ22" s="16">
        <f t="shared" si="21"/>
        <v>0</v>
      </c>
    </row>
    <row r="23" spans="1:47" ht="12.75">
      <c r="A23" s="5"/>
      <c r="B23" s="13" t="s">
        <v>18</v>
      </c>
      <c r="C23" s="205" t="s">
        <v>290</v>
      </c>
      <c r="D23" s="206"/>
      <c r="E23" s="206"/>
      <c r="F23" s="5" t="s">
        <v>6</v>
      </c>
      <c r="G23" s="5" t="s">
        <v>6</v>
      </c>
      <c r="H23" s="23" t="s">
        <v>6</v>
      </c>
      <c r="I23" s="41">
        <f>SUM(I24:I31)</f>
        <v>0</v>
      </c>
      <c r="J23" s="41">
        <f>SUM(J24:J31)</f>
        <v>0</v>
      </c>
      <c r="K23" s="41">
        <f>SUM(K24:K31)</f>
        <v>0</v>
      </c>
      <c r="L23" s="33"/>
      <c r="AI23" s="33"/>
      <c r="AS23" s="41">
        <f>SUM(AJ24:AJ31)</f>
        <v>0</v>
      </c>
      <c r="AT23" s="41">
        <f>SUM(AK24:AK31)</f>
        <v>0</v>
      </c>
      <c r="AU23" s="41">
        <f>SUM(AL24:AL31)</f>
        <v>0</v>
      </c>
    </row>
    <row r="24" spans="1:62" ht="12.75">
      <c r="A24" s="4" t="s">
        <v>17</v>
      </c>
      <c r="B24" s="4" t="s">
        <v>153</v>
      </c>
      <c r="C24" s="203" t="s">
        <v>291</v>
      </c>
      <c r="D24" s="204"/>
      <c r="E24" s="204"/>
      <c r="F24" s="4" t="s">
        <v>452</v>
      </c>
      <c r="G24" s="16">
        <v>15.68</v>
      </c>
      <c r="H24" s="22">
        <v>0</v>
      </c>
      <c r="I24" s="16">
        <f aca="true" t="shared" si="22" ref="I24:I31">G24*AO24</f>
        <v>0</v>
      </c>
      <c r="J24" s="16">
        <f aca="true" t="shared" si="23" ref="J24:J31">G24*AP24</f>
        <v>0</v>
      </c>
      <c r="K24" s="16">
        <f aca="true" t="shared" si="24" ref="K24:K31">G24*H24</f>
        <v>0</v>
      </c>
      <c r="L24" s="32" t="s">
        <v>473</v>
      </c>
      <c r="Z24" s="38">
        <f aca="true" t="shared" si="25" ref="Z24:Z31">IF(AQ24="5",BJ24,0)</f>
        <v>0</v>
      </c>
      <c r="AB24" s="38">
        <f aca="true" t="shared" si="26" ref="AB24:AB31">IF(AQ24="1",BH24,0)</f>
        <v>0</v>
      </c>
      <c r="AC24" s="38">
        <f aca="true" t="shared" si="27" ref="AC24:AC31">IF(AQ24="1",BI24,0)</f>
        <v>0</v>
      </c>
      <c r="AD24" s="38">
        <f aca="true" t="shared" si="28" ref="AD24:AD31">IF(AQ24="7",BH24,0)</f>
        <v>0</v>
      </c>
      <c r="AE24" s="38">
        <f aca="true" t="shared" si="29" ref="AE24:AE31">IF(AQ24="7",BI24,0)</f>
        <v>0</v>
      </c>
      <c r="AF24" s="38">
        <f aca="true" t="shared" si="30" ref="AF24:AF31">IF(AQ24="2",BH24,0)</f>
        <v>0</v>
      </c>
      <c r="AG24" s="38">
        <f aca="true" t="shared" si="31" ref="AG24:AG31">IF(AQ24="2",BI24,0)</f>
        <v>0</v>
      </c>
      <c r="AH24" s="38">
        <f aca="true" t="shared" si="32" ref="AH24:AH31">IF(AQ24="0",BJ24,0)</f>
        <v>0</v>
      </c>
      <c r="AI24" s="33"/>
      <c r="AJ24" s="16">
        <f aca="true" t="shared" si="33" ref="AJ24:AJ31">IF(AN24=0,K24,0)</f>
        <v>0</v>
      </c>
      <c r="AK24" s="16">
        <f aca="true" t="shared" si="34" ref="AK24:AK31">IF(AN24=15,K24,0)</f>
        <v>0</v>
      </c>
      <c r="AL24" s="16">
        <f aca="true" t="shared" si="35" ref="AL24:AL31">IF(AN24=21,K24,0)</f>
        <v>0</v>
      </c>
      <c r="AN24" s="38">
        <v>21</v>
      </c>
      <c r="AO24" s="38">
        <f>H24*0</f>
        <v>0</v>
      </c>
      <c r="AP24" s="38">
        <f>H24*(1-0)</f>
        <v>0</v>
      </c>
      <c r="AQ24" s="32" t="s">
        <v>7</v>
      </c>
      <c r="AV24" s="38">
        <f aca="true" t="shared" si="36" ref="AV24:AV31">AW24+AX24</f>
        <v>0</v>
      </c>
      <c r="AW24" s="38">
        <f aca="true" t="shared" si="37" ref="AW24:AW31">G24*AO24</f>
        <v>0</v>
      </c>
      <c r="AX24" s="38">
        <f aca="true" t="shared" si="38" ref="AX24:AX31">G24*AP24</f>
        <v>0</v>
      </c>
      <c r="AY24" s="39" t="s">
        <v>485</v>
      </c>
      <c r="AZ24" s="39" t="s">
        <v>519</v>
      </c>
      <c r="BA24" s="33" t="s">
        <v>531</v>
      </c>
      <c r="BB24" s="33" t="s">
        <v>533</v>
      </c>
      <c r="BC24" s="38">
        <f aca="true" t="shared" si="39" ref="BC24:BC31">AW24+AX24</f>
        <v>0</v>
      </c>
      <c r="BD24" s="38">
        <f aca="true" t="shared" si="40" ref="BD24:BD31">H24/(100-BE24)*100</f>
        <v>0</v>
      </c>
      <c r="BE24" s="38">
        <v>0</v>
      </c>
      <c r="BF24" s="38">
        <f>24</f>
        <v>24</v>
      </c>
      <c r="BH24" s="16">
        <f aca="true" t="shared" si="41" ref="BH24:BH31">G24*AO24</f>
        <v>0</v>
      </c>
      <c r="BI24" s="16">
        <f aca="true" t="shared" si="42" ref="BI24:BI31">G24*AP24</f>
        <v>0</v>
      </c>
      <c r="BJ24" s="16">
        <f aca="true" t="shared" si="43" ref="BJ24:BJ31">G24*H24</f>
        <v>0</v>
      </c>
    </row>
    <row r="25" spans="1:62" ht="12.75">
      <c r="A25" s="4" t="s">
        <v>18</v>
      </c>
      <c r="B25" s="4" t="s">
        <v>154</v>
      </c>
      <c r="C25" s="203" t="s">
        <v>292</v>
      </c>
      <c r="D25" s="204"/>
      <c r="E25" s="204"/>
      <c r="F25" s="4" t="s">
        <v>452</v>
      </c>
      <c r="G25" s="16">
        <v>39.16</v>
      </c>
      <c r="H25" s="22">
        <v>0</v>
      </c>
      <c r="I25" s="16">
        <f t="shared" si="22"/>
        <v>0</v>
      </c>
      <c r="J25" s="16">
        <f t="shared" si="23"/>
        <v>0</v>
      </c>
      <c r="K25" s="16">
        <f t="shared" si="24"/>
        <v>0</v>
      </c>
      <c r="L25" s="32" t="s">
        <v>473</v>
      </c>
      <c r="Z25" s="38">
        <f t="shared" si="25"/>
        <v>0</v>
      </c>
      <c r="AB25" s="38">
        <f t="shared" si="26"/>
        <v>0</v>
      </c>
      <c r="AC25" s="38">
        <f t="shared" si="27"/>
        <v>0</v>
      </c>
      <c r="AD25" s="38">
        <f t="shared" si="28"/>
        <v>0</v>
      </c>
      <c r="AE25" s="38">
        <f t="shared" si="29"/>
        <v>0</v>
      </c>
      <c r="AF25" s="38">
        <f t="shared" si="30"/>
        <v>0</v>
      </c>
      <c r="AG25" s="38">
        <f t="shared" si="31"/>
        <v>0</v>
      </c>
      <c r="AH25" s="38">
        <f t="shared" si="32"/>
        <v>0</v>
      </c>
      <c r="AI25" s="33"/>
      <c r="AJ25" s="16">
        <f t="shared" si="33"/>
        <v>0</v>
      </c>
      <c r="AK25" s="16">
        <f t="shared" si="34"/>
        <v>0</v>
      </c>
      <c r="AL25" s="16">
        <f t="shared" si="35"/>
        <v>0</v>
      </c>
      <c r="AN25" s="38">
        <v>21</v>
      </c>
      <c r="AO25" s="38">
        <f>H25*0</f>
        <v>0</v>
      </c>
      <c r="AP25" s="38">
        <f>H25*(1-0)</f>
        <v>0</v>
      </c>
      <c r="AQ25" s="32" t="s">
        <v>7</v>
      </c>
      <c r="AV25" s="38">
        <f t="shared" si="36"/>
        <v>0</v>
      </c>
      <c r="AW25" s="38">
        <f t="shared" si="37"/>
        <v>0</v>
      </c>
      <c r="AX25" s="38">
        <f t="shared" si="38"/>
        <v>0</v>
      </c>
      <c r="AY25" s="39" t="s">
        <v>485</v>
      </c>
      <c r="AZ25" s="39" t="s">
        <v>519</v>
      </c>
      <c r="BA25" s="33" t="s">
        <v>531</v>
      </c>
      <c r="BB25" s="33" t="s">
        <v>533</v>
      </c>
      <c r="BC25" s="38">
        <f t="shared" si="39"/>
        <v>0</v>
      </c>
      <c r="BD25" s="38">
        <f t="shared" si="40"/>
        <v>0</v>
      </c>
      <c r="BE25" s="38">
        <v>0</v>
      </c>
      <c r="BF25" s="38">
        <f>25</f>
        <v>25</v>
      </c>
      <c r="BH25" s="16">
        <f t="shared" si="41"/>
        <v>0</v>
      </c>
      <c r="BI25" s="16">
        <f t="shared" si="42"/>
        <v>0</v>
      </c>
      <c r="BJ25" s="16">
        <f t="shared" si="43"/>
        <v>0</v>
      </c>
    </row>
    <row r="26" spans="1:62" ht="12.75">
      <c r="A26" s="4" t="s">
        <v>19</v>
      </c>
      <c r="B26" s="4" t="s">
        <v>155</v>
      </c>
      <c r="C26" s="203" t="s">
        <v>293</v>
      </c>
      <c r="D26" s="204"/>
      <c r="E26" s="204"/>
      <c r="F26" s="4" t="s">
        <v>452</v>
      </c>
      <c r="G26" s="16">
        <v>26.4</v>
      </c>
      <c r="H26" s="22">
        <v>0</v>
      </c>
      <c r="I26" s="16">
        <f t="shared" si="22"/>
        <v>0</v>
      </c>
      <c r="J26" s="16">
        <f t="shared" si="23"/>
        <v>0</v>
      </c>
      <c r="K26" s="16">
        <f t="shared" si="24"/>
        <v>0</v>
      </c>
      <c r="L26" s="32" t="s">
        <v>473</v>
      </c>
      <c r="Z26" s="38">
        <f t="shared" si="25"/>
        <v>0</v>
      </c>
      <c r="AB26" s="38">
        <f t="shared" si="26"/>
        <v>0</v>
      </c>
      <c r="AC26" s="38">
        <f t="shared" si="27"/>
        <v>0</v>
      </c>
      <c r="AD26" s="38">
        <f t="shared" si="28"/>
        <v>0</v>
      </c>
      <c r="AE26" s="38">
        <f t="shared" si="29"/>
        <v>0</v>
      </c>
      <c r="AF26" s="38">
        <f t="shared" si="30"/>
        <v>0</v>
      </c>
      <c r="AG26" s="38">
        <f t="shared" si="31"/>
        <v>0</v>
      </c>
      <c r="AH26" s="38">
        <f t="shared" si="32"/>
        <v>0</v>
      </c>
      <c r="AI26" s="33"/>
      <c r="AJ26" s="16">
        <f t="shared" si="33"/>
        <v>0</v>
      </c>
      <c r="AK26" s="16">
        <f t="shared" si="34"/>
        <v>0</v>
      </c>
      <c r="AL26" s="16">
        <f t="shared" si="35"/>
        <v>0</v>
      </c>
      <c r="AN26" s="38">
        <v>21</v>
      </c>
      <c r="AO26" s="38">
        <f>H26*0</f>
        <v>0</v>
      </c>
      <c r="AP26" s="38">
        <f>H26*(1-0)</f>
        <v>0</v>
      </c>
      <c r="AQ26" s="32" t="s">
        <v>7</v>
      </c>
      <c r="AV26" s="38">
        <f t="shared" si="36"/>
        <v>0</v>
      </c>
      <c r="AW26" s="38">
        <f t="shared" si="37"/>
        <v>0</v>
      </c>
      <c r="AX26" s="38">
        <f t="shared" si="38"/>
        <v>0</v>
      </c>
      <c r="AY26" s="39" t="s">
        <v>485</v>
      </c>
      <c r="AZ26" s="39" t="s">
        <v>519</v>
      </c>
      <c r="BA26" s="33" t="s">
        <v>531</v>
      </c>
      <c r="BB26" s="33" t="s">
        <v>533</v>
      </c>
      <c r="BC26" s="38">
        <f t="shared" si="39"/>
        <v>0</v>
      </c>
      <c r="BD26" s="38">
        <f t="shared" si="40"/>
        <v>0</v>
      </c>
      <c r="BE26" s="38">
        <v>0</v>
      </c>
      <c r="BF26" s="38">
        <f>26</f>
        <v>26</v>
      </c>
      <c r="BH26" s="16">
        <f t="shared" si="41"/>
        <v>0</v>
      </c>
      <c r="BI26" s="16">
        <f t="shared" si="42"/>
        <v>0</v>
      </c>
      <c r="BJ26" s="16">
        <f t="shared" si="43"/>
        <v>0</v>
      </c>
    </row>
    <row r="27" spans="1:62" ht="12.75">
      <c r="A27" s="4" t="s">
        <v>20</v>
      </c>
      <c r="B27" s="4" t="s">
        <v>156</v>
      </c>
      <c r="C27" s="203" t="s">
        <v>294</v>
      </c>
      <c r="D27" s="204"/>
      <c r="E27" s="204"/>
      <c r="F27" s="4" t="s">
        <v>452</v>
      </c>
      <c r="G27" s="16">
        <v>27.65</v>
      </c>
      <c r="H27" s="22">
        <v>0</v>
      </c>
      <c r="I27" s="16">
        <f t="shared" si="22"/>
        <v>0</v>
      </c>
      <c r="J27" s="16">
        <f t="shared" si="23"/>
        <v>0</v>
      </c>
      <c r="K27" s="16">
        <f t="shared" si="24"/>
        <v>0</v>
      </c>
      <c r="L27" s="32" t="s">
        <v>473</v>
      </c>
      <c r="Z27" s="38">
        <f t="shared" si="25"/>
        <v>0</v>
      </c>
      <c r="AB27" s="38">
        <f t="shared" si="26"/>
        <v>0</v>
      </c>
      <c r="AC27" s="38">
        <f t="shared" si="27"/>
        <v>0</v>
      </c>
      <c r="AD27" s="38">
        <f t="shared" si="28"/>
        <v>0</v>
      </c>
      <c r="AE27" s="38">
        <f t="shared" si="29"/>
        <v>0</v>
      </c>
      <c r="AF27" s="38">
        <f t="shared" si="30"/>
        <v>0</v>
      </c>
      <c r="AG27" s="38">
        <f t="shared" si="31"/>
        <v>0</v>
      </c>
      <c r="AH27" s="38">
        <f t="shared" si="32"/>
        <v>0</v>
      </c>
      <c r="AI27" s="33"/>
      <c r="AJ27" s="16">
        <f t="shared" si="33"/>
        <v>0</v>
      </c>
      <c r="AK27" s="16">
        <f t="shared" si="34"/>
        <v>0</v>
      </c>
      <c r="AL27" s="16">
        <f t="shared" si="35"/>
        <v>0</v>
      </c>
      <c r="AN27" s="38">
        <v>21</v>
      </c>
      <c r="AO27" s="38">
        <f>H27*0</f>
        <v>0</v>
      </c>
      <c r="AP27" s="38">
        <f>H27*(1-0)</f>
        <v>0</v>
      </c>
      <c r="AQ27" s="32" t="s">
        <v>7</v>
      </c>
      <c r="AV27" s="38">
        <f t="shared" si="36"/>
        <v>0</v>
      </c>
      <c r="AW27" s="38">
        <f t="shared" si="37"/>
        <v>0</v>
      </c>
      <c r="AX27" s="38">
        <f t="shared" si="38"/>
        <v>0</v>
      </c>
      <c r="AY27" s="39" t="s">
        <v>485</v>
      </c>
      <c r="AZ27" s="39" t="s">
        <v>519</v>
      </c>
      <c r="BA27" s="33" t="s">
        <v>531</v>
      </c>
      <c r="BB27" s="33" t="s">
        <v>533</v>
      </c>
      <c r="BC27" s="38">
        <f t="shared" si="39"/>
        <v>0</v>
      </c>
      <c r="BD27" s="38">
        <f t="shared" si="40"/>
        <v>0</v>
      </c>
      <c r="BE27" s="38">
        <v>0</v>
      </c>
      <c r="BF27" s="38">
        <f>27</f>
        <v>27</v>
      </c>
      <c r="BH27" s="16">
        <f t="shared" si="41"/>
        <v>0</v>
      </c>
      <c r="BI27" s="16">
        <f t="shared" si="42"/>
        <v>0</v>
      </c>
      <c r="BJ27" s="16">
        <f t="shared" si="43"/>
        <v>0</v>
      </c>
    </row>
    <row r="28" spans="1:62" ht="12.75">
      <c r="A28" s="4" t="s">
        <v>21</v>
      </c>
      <c r="B28" s="4" t="s">
        <v>157</v>
      </c>
      <c r="C28" s="203" t="s">
        <v>295</v>
      </c>
      <c r="D28" s="204"/>
      <c r="E28" s="204"/>
      <c r="F28" s="4" t="s">
        <v>452</v>
      </c>
      <c r="G28" s="16">
        <v>21.65</v>
      </c>
      <c r="H28" s="22">
        <v>0</v>
      </c>
      <c r="I28" s="16">
        <f t="shared" si="22"/>
        <v>0</v>
      </c>
      <c r="J28" s="16">
        <f t="shared" si="23"/>
        <v>0</v>
      </c>
      <c r="K28" s="16">
        <f t="shared" si="24"/>
        <v>0</v>
      </c>
      <c r="L28" s="32" t="s">
        <v>473</v>
      </c>
      <c r="Z28" s="38">
        <f t="shared" si="25"/>
        <v>0</v>
      </c>
      <c r="AB28" s="38">
        <f t="shared" si="26"/>
        <v>0</v>
      </c>
      <c r="AC28" s="38">
        <f t="shared" si="27"/>
        <v>0</v>
      </c>
      <c r="AD28" s="38">
        <f t="shared" si="28"/>
        <v>0</v>
      </c>
      <c r="AE28" s="38">
        <f t="shared" si="29"/>
        <v>0</v>
      </c>
      <c r="AF28" s="38">
        <f t="shared" si="30"/>
        <v>0</v>
      </c>
      <c r="AG28" s="38">
        <f t="shared" si="31"/>
        <v>0</v>
      </c>
      <c r="AH28" s="38">
        <f t="shared" si="32"/>
        <v>0</v>
      </c>
      <c r="AI28" s="33"/>
      <c r="AJ28" s="16">
        <f t="shared" si="33"/>
        <v>0</v>
      </c>
      <c r="AK28" s="16">
        <f t="shared" si="34"/>
        <v>0</v>
      </c>
      <c r="AL28" s="16">
        <f t="shared" si="35"/>
        <v>0</v>
      </c>
      <c r="AN28" s="38">
        <v>21</v>
      </c>
      <c r="AO28" s="38">
        <f>H28*0.0220488130285188</f>
        <v>0</v>
      </c>
      <c r="AP28" s="38">
        <f>H28*(1-0.0220488130285188)</f>
        <v>0</v>
      </c>
      <c r="AQ28" s="32" t="s">
        <v>7</v>
      </c>
      <c r="AV28" s="38">
        <f t="shared" si="36"/>
        <v>0</v>
      </c>
      <c r="AW28" s="38">
        <f t="shared" si="37"/>
        <v>0</v>
      </c>
      <c r="AX28" s="38">
        <f t="shared" si="38"/>
        <v>0</v>
      </c>
      <c r="AY28" s="39" t="s">
        <v>485</v>
      </c>
      <c r="AZ28" s="39" t="s">
        <v>519</v>
      </c>
      <c r="BA28" s="33" t="s">
        <v>531</v>
      </c>
      <c r="BB28" s="33" t="s">
        <v>533</v>
      </c>
      <c r="BC28" s="38">
        <f t="shared" si="39"/>
        <v>0</v>
      </c>
      <c r="BD28" s="38">
        <f t="shared" si="40"/>
        <v>0</v>
      </c>
      <c r="BE28" s="38">
        <v>0</v>
      </c>
      <c r="BF28" s="38">
        <f>28</f>
        <v>28</v>
      </c>
      <c r="BH28" s="16">
        <f t="shared" si="41"/>
        <v>0</v>
      </c>
      <c r="BI28" s="16">
        <f t="shared" si="42"/>
        <v>0</v>
      </c>
      <c r="BJ28" s="16">
        <f t="shared" si="43"/>
        <v>0</v>
      </c>
    </row>
    <row r="29" spans="1:62" ht="12.75">
      <c r="A29" s="4" t="s">
        <v>22</v>
      </c>
      <c r="B29" s="4" t="s">
        <v>158</v>
      </c>
      <c r="C29" s="203" t="s">
        <v>296</v>
      </c>
      <c r="D29" s="204"/>
      <c r="E29" s="204"/>
      <c r="F29" s="4" t="s">
        <v>452</v>
      </c>
      <c r="G29" s="16">
        <v>16.32</v>
      </c>
      <c r="H29" s="22">
        <v>0</v>
      </c>
      <c r="I29" s="16">
        <f t="shared" si="22"/>
        <v>0</v>
      </c>
      <c r="J29" s="16">
        <f t="shared" si="23"/>
        <v>0</v>
      </c>
      <c r="K29" s="16">
        <f t="shared" si="24"/>
        <v>0</v>
      </c>
      <c r="L29" s="32" t="s">
        <v>473</v>
      </c>
      <c r="Z29" s="38">
        <f t="shared" si="25"/>
        <v>0</v>
      </c>
      <c r="AB29" s="38">
        <f t="shared" si="26"/>
        <v>0</v>
      </c>
      <c r="AC29" s="38">
        <f t="shared" si="27"/>
        <v>0</v>
      </c>
      <c r="AD29" s="38">
        <f t="shared" si="28"/>
        <v>0</v>
      </c>
      <c r="AE29" s="38">
        <f t="shared" si="29"/>
        <v>0</v>
      </c>
      <c r="AF29" s="38">
        <f t="shared" si="30"/>
        <v>0</v>
      </c>
      <c r="AG29" s="38">
        <f t="shared" si="31"/>
        <v>0</v>
      </c>
      <c r="AH29" s="38">
        <f t="shared" si="32"/>
        <v>0</v>
      </c>
      <c r="AI29" s="33"/>
      <c r="AJ29" s="16">
        <f t="shared" si="33"/>
        <v>0</v>
      </c>
      <c r="AK29" s="16">
        <f t="shared" si="34"/>
        <v>0</v>
      </c>
      <c r="AL29" s="16">
        <f t="shared" si="35"/>
        <v>0</v>
      </c>
      <c r="AN29" s="38">
        <v>21</v>
      </c>
      <c r="AO29" s="38">
        <f>H29*0.10930410566259</f>
        <v>0</v>
      </c>
      <c r="AP29" s="38">
        <f>H29*(1-0.10930410566259)</f>
        <v>0</v>
      </c>
      <c r="AQ29" s="32" t="s">
        <v>7</v>
      </c>
      <c r="AV29" s="38">
        <f t="shared" si="36"/>
        <v>0</v>
      </c>
      <c r="AW29" s="38">
        <f t="shared" si="37"/>
        <v>0</v>
      </c>
      <c r="AX29" s="38">
        <f t="shared" si="38"/>
        <v>0</v>
      </c>
      <c r="AY29" s="39" t="s">
        <v>485</v>
      </c>
      <c r="AZ29" s="39" t="s">
        <v>519</v>
      </c>
      <c r="BA29" s="33" t="s">
        <v>531</v>
      </c>
      <c r="BB29" s="33" t="s">
        <v>533</v>
      </c>
      <c r="BC29" s="38">
        <f t="shared" si="39"/>
        <v>0</v>
      </c>
      <c r="BD29" s="38">
        <f t="shared" si="40"/>
        <v>0</v>
      </c>
      <c r="BE29" s="38">
        <v>0</v>
      </c>
      <c r="BF29" s="38">
        <f>29</f>
        <v>29</v>
      </c>
      <c r="BH29" s="16">
        <f t="shared" si="41"/>
        <v>0</v>
      </c>
      <c r="BI29" s="16">
        <f t="shared" si="42"/>
        <v>0</v>
      </c>
      <c r="BJ29" s="16">
        <f t="shared" si="43"/>
        <v>0</v>
      </c>
    </row>
    <row r="30" spans="1:62" ht="12.75">
      <c r="A30" s="4" t="s">
        <v>23</v>
      </c>
      <c r="B30" s="4" t="s">
        <v>154</v>
      </c>
      <c r="C30" s="203" t="s">
        <v>297</v>
      </c>
      <c r="D30" s="204"/>
      <c r="E30" s="204"/>
      <c r="F30" s="4" t="s">
        <v>452</v>
      </c>
      <c r="G30" s="16">
        <v>73.44</v>
      </c>
      <c r="H30" s="22">
        <v>0</v>
      </c>
      <c r="I30" s="16">
        <f t="shared" si="22"/>
        <v>0</v>
      </c>
      <c r="J30" s="16">
        <f t="shared" si="23"/>
        <v>0</v>
      </c>
      <c r="K30" s="16">
        <f t="shared" si="24"/>
        <v>0</v>
      </c>
      <c r="L30" s="32" t="s">
        <v>473</v>
      </c>
      <c r="Z30" s="38">
        <f t="shared" si="25"/>
        <v>0</v>
      </c>
      <c r="AB30" s="38">
        <f t="shared" si="26"/>
        <v>0</v>
      </c>
      <c r="AC30" s="38">
        <f t="shared" si="27"/>
        <v>0</v>
      </c>
      <c r="AD30" s="38">
        <f t="shared" si="28"/>
        <v>0</v>
      </c>
      <c r="AE30" s="38">
        <f t="shared" si="29"/>
        <v>0</v>
      </c>
      <c r="AF30" s="38">
        <f t="shared" si="30"/>
        <v>0</v>
      </c>
      <c r="AG30" s="38">
        <f t="shared" si="31"/>
        <v>0</v>
      </c>
      <c r="AH30" s="38">
        <f t="shared" si="32"/>
        <v>0</v>
      </c>
      <c r="AI30" s="33"/>
      <c r="AJ30" s="16">
        <f t="shared" si="33"/>
        <v>0</v>
      </c>
      <c r="AK30" s="16">
        <f t="shared" si="34"/>
        <v>0</v>
      </c>
      <c r="AL30" s="16">
        <f t="shared" si="35"/>
        <v>0</v>
      </c>
      <c r="AN30" s="38">
        <v>21</v>
      </c>
      <c r="AO30" s="38">
        <f>H30*0</f>
        <v>0</v>
      </c>
      <c r="AP30" s="38">
        <f>H30*(1-0)</f>
        <v>0</v>
      </c>
      <c r="AQ30" s="32" t="s">
        <v>7</v>
      </c>
      <c r="AV30" s="38">
        <f t="shared" si="36"/>
        <v>0</v>
      </c>
      <c r="AW30" s="38">
        <f t="shared" si="37"/>
        <v>0</v>
      </c>
      <c r="AX30" s="38">
        <f t="shared" si="38"/>
        <v>0</v>
      </c>
      <c r="AY30" s="39" t="s">
        <v>485</v>
      </c>
      <c r="AZ30" s="39" t="s">
        <v>519</v>
      </c>
      <c r="BA30" s="33" t="s">
        <v>531</v>
      </c>
      <c r="BB30" s="33" t="s">
        <v>533</v>
      </c>
      <c r="BC30" s="38">
        <f t="shared" si="39"/>
        <v>0</v>
      </c>
      <c r="BD30" s="38">
        <f t="shared" si="40"/>
        <v>0</v>
      </c>
      <c r="BE30" s="38">
        <v>0</v>
      </c>
      <c r="BF30" s="38">
        <f>30</f>
        <v>30</v>
      </c>
      <c r="BH30" s="16">
        <f t="shared" si="41"/>
        <v>0</v>
      </c>
      <c r="BI30" s="16">
        <f t="shared" si="42"/>
        <v>0</v>
      </c>
      <c r="BJ30" s="16">
        <f t="shared" si="43"/>
        <v>0</v>
      </c>
    </row>
    <row r="31" spans="1:62" ht="12.75">
      <c r="A31" s="4" t="s">
        <v>24</v>
      </c>
      <c r="B31" s="4" t="s">
        <v>154</v>
      </c>
      <c r="C31" s="203" t="s">
        <v>298</v>
      </c>
      <c r="D31" s="204"/>
      <c r="E31" s="204"/>
      <c r="F31" s="4" t="s">
        <v>452</v>
      </c>
      <c r="G31" s="16">
        <v>145.002</v>
      </c>
      <c r="H31" s="22">
        <v>0</v>
      </c>
      <c r="I31" s="16">
        <f t="shared" si="22"/>
        <v>0</v>
      </c>
      <c r="J31" s="16">
        <f t="shared" si="23"/>
        <v>0</v>
      </c>
      <c r="K31" s="16">
        <f t="shared" si="24"/>
        <v>0</v>
      </c>
      <c r="L31" s="32" t="s">
        <v>473</v>
      </c>
      <c r="Z31" s="38">
        <f t="shared" si="25"/>
        <v>0</v>
      </c>
      <c r="AB31" s="38">
        <f t="shared" si="26"/>
        <v>0</v>
      </c>
      <c r="AC31" s="38">
        <f t="shared" si="27"/>
        <v>0</v>
      </c>
      <c r="AD31" s="38">
        <f t="shared" si="28"/>
        <v>0</v>
      </c>
      <c r="AE31" s="38">
        <f t="shared" si="29"/>
        <v>0</v>
      </c>
      <c r="AF31" s="38">
        <f t="shared" si="30"/>
        <v>0</v>
      </c>
      <c r="AG31" s="38">
        <f t="shared" si="31"/>
        <v>0</v>
      </c>
      <c r="AH31" s="38">
        <f t="shared" si="32"/>
        <v>0</v>
      </c>
      <c r="AI31" s="33"/>
      <c r="AJ31" s="16">
        <f t="shared" si="33"/>
        <v>0</v>
      </c>
      <c r="AK31" s="16">
        <f t="shared" si="34"/>
        <v>0</v>
      </c>
      <c r="AL31" s="16">
        <f t="shared" si="35"/>
        <v>0</v>
      </c>
      <c r="AN31" s="38">
        <v>21</v>
      </c>
      <c r="AO31" s="38">
        <f>H31*0</f>
        <v>0</v>
      </c>
      <c r="AP31" s="38">
        <f>H31*(1-0)</f>
        <v>0</v>
      </c>
      <c r="AQ31" s="32" t="s">
        <v>7</v>
      </c>
      <c r="AV31" s="38">
        <f t="shared" si="36"/>
        <v>0</v>
      </c>
      <c r="AW31" s="38">
        <f t="shared" si="37"/>
        <v>0</v>
      </c>
      <c r="AX31" s="38">
        <f t="shared" si="38"/>
        <v>0</v>
      </c>
      <c r="AY31" s="39" t="s">
        <v>485</v>
      </c>
      <c r="AZ31" s="39" t="s">
        <v>519</v>
      </c>
      <c r="BA31" s="33" t="s">
        <v>531</v>
      </c>
      <c r="BB31" s="33" t="s">
        <v>533</v>
      </c>
      <c r="BC31" s="38">
        <f t="shared" si="39"/>
        <v>0</v>
      </c>
      <c r="BD31" s="38">
        <f t="shared" si="40"/>
        <v>0</v>
      </c>
      <c r="BE31" s="38">
        <v>0</v>
      </c>
      <c r="BF31" s="38">
        <f>31</f>
        <v>31</v>
      </c>
      <c r="BH31" s="16">
        <f t="shared" si="41"/>
        <v>0</v>
      </c>
      <c r="BI31" s="16">
        <f t="shared" si="42"/>
        <v>0</v>
      </c>
      <c r="BJ31" s="16">
        <f t="shared" si="43"/>
        <v>0</v>
      </c>
    </row>
    <row r="32" spans="1:47" ht="12.75">
      <c r="A32" s="5"/>
      <c r="B32" s="13" t="s">
        <v>19</v>
      </c>
      <c r="C32" s="205" t="s">
        <v>299</v>
      </c>
      <c r="D32" s="206"/>
      <c r="E32" s="206"/>
      <c r="F32" s="5" t="s">
        <v>6</v>
      </c>
      <c r="G32" s="5" t="s">
        <v>6</v>
      </c>
      <c r="H32" s="23" t="s">
        <v>6</v>
      </c>
      <c r="I32" s="41">
        <f>SUM(I33:I35)</f>
        <v>0</v>
      </c>
      <c r="J32" s="41">
        <f>SUM(J33:J35)</f>
        <v>0</v>
      </c>
      <c r="K32" s="41">
        <f>SUM(K33:K35)</f>
        <v>0</v>
      </c>
      <c r="L32" s="33"/>
      <c r="AI32" s="33"/>
      <c r="AS32" s="41">
        <f>SUM(AJ33:AJ35)</f>
        <v>0</v>
      </c>
      <c r="AT32" s="41">
        <f>SUM(AK33:AK35)</f>
        <v>0</v>
      </c>
      <c r="AU32" s="41">
        <f>SUM(AL33:AL35)</f>
        <v>0</v>
      </c>
    </row>
    <row r="33" spans="1:62" ht="12.75">
      <c r="A33" s="4" t="s">
        <v>25</v>
      </c>
      <c r="B33" s="4" t="s">
        <v>159</v>
      </c>
      <c r="C33" s="203" t="s">
        <v>300</v>
      </c>
      <c r="D33" s="204"/>
      <c r="E33" s="204"/>
      <c r="F33" s="4" t="s">
        <v>452</v>
      </c>
      <c r="G33" s="16">
        <v>11.85</v>
      </c>
      <c r="H33" s="22">
        <v>0</v>
      </c>
      <c r="I33" s="16">
        <f>G33*AO33</f>
        <v>0</v>
      </c>
      <c r="J33" s="16">
        <f>G33*AP33</f>
        <v>0</v>
      </c>
      <c r="K33" s="16">
        <f>G33*H33</f>
        <v>0</v>
      </c>
      <c r="L33" s="32" t="s">
        <v>473</v>
      </c>
      <c r="Z33" s="38">
        <f>IF(AQ33="5",BJ33,0)</f>
        <v>0</v>
      </c>
      <c r="AB33" s="38">
        <f>IF(AQ33="1",BH33,0)</f>
        <v>0</v>
      </c>
      <c r="AC33" s="38">
        <f>IF(AQ33="1",BI33,0)</f>
        <v>0</v>
      </c>
      <c r="AD33" s="38">
        <f>IF(AQ33="7",BH33,0)</f>
        <v>0</v>
      </c>
      <c r="AE33" s="38">
        <f>IF(AQ33="7",BI33,0)</f>
        <v>0</v>
      </c>
      <c r="AF33" s="38">
        <f>IF(AQ33="2",BH33,0)</f>
        <v>0</v>
      </c>
      <c r="AG33" s="38">
        <f>IF(AQ33="2",BI33,0)</f>
        <v>0</v>
      </c>
      <c r="AH33" s="38">
        <f>IF(AQ33="0",BJ33,0)</f>
        <v>0</v>
      </c>
      <c r="AI33" s="33"/>
      <c r="AJ33" s="16">
        <f>IF(AN33=0,K33,0)</f>
        <v>0</v>
      </c>
      <c r="AK33" s="16">
        <f>IF(AN33=15,K33,0)</f>
        <v>0</v>
      </c>
      <c r="AL33" s="16">
        <f>IF(AN33=21,K33,0)</f>
        <v>0</v>
      </c>
      <c r="AN33" s="38">
        <v>21</v>
      </c>
      <c r="AO33" s="38">
        <f>H33*0.0136905879515885</f>
        <v>0</v>
      </c>
      <c r="AP33" s="38">
        <f>H33*(1-0.0136905879515885)</f>
        <v>0</v>
      </c>
      <c r="AQ33" s="32" t="s">
        <v>7</v>
      </c>
      <c r="AV33" s="38">
        <f>AW33+AX33</f>
        <v>0</v>
      </c>
      <c r="AW33" s="38">
        <f>G33*AO33</f>
        <v>0</v>
      </c>
      <c r="AX33" s="38">
        <f>G33*AP33</f>
        <v>0</v>
      </c>
      <c r="AY33" s="39" t="s">
        <v>486</v>
      </c>
      <c r="AZ33" s="39" t="s">
        <v>519</v>
      </c>
      <c r="BA33" s="33" t="s">
        <v>531</v>
      </c>
      <c r="BB33" s="33" t="s">
        <v>534</v>
      </c>
      <c r="BC33" s="38">
        <f>AW33+AX33</f>
        <v>0</v>
      </c>
      <c r="BD33" s="38">
        <f>H33/(100-BE33)*100</f>
        <v>0</v>
      </c>
      <c r="BE33" s="38">
        <v>0</v>
      </c>
      <c r="BF33" s="38">
        <f>33</f>
        <v>33</v>
      </c>
      <c r="BH33" s="16">
        <f>G33*AO33</f>
        <v>0</v>
      </c>
      <c r="BI33" s="16">
        <f>G33*AP33</f>
        <v>0</v>
      </c>
      <c r="BJ33" s="16">
        <f>G33*H33</f>
        <v>0</v>
      </c>
    </row>
    <row r="34" spans="1:62" ht="12.75">
      <c r="A34" s="4" t="s">
        <v>26</v>
      </c>
      <c r="B34" s="4" t="s">
        <v>160</v>
      </c>
      <c r="C34" s="203" t="s">
        <v>301</v>
      </c>
      <c r="D34" s="204"/>
      <c r="E34" s="204"/>
      <c r="F34" s="4" t="s">
        <v>452</v>
      </c>
      <c r="G34" s="16">
        <v>12.65</v>
      </c>
      <c r="H34" s="22">
        <v>0</v>
      </c>
      <c r="I34" s="16">
        <f>G34*AO34</f>
        <v>0</v>
      </c>
      <c r="J34" s="16">
        <f>G34*AP34</f>
        <v>0</v>
      </c>
      <c r="K34" s="16">
        <f>G34*H34</f>
        <v>0</v>
      </c>
      <c r="L34" s="32" t="s">
        <v>473</v>
      </c>
      <c r="Z34" s="38">
        <f>IF(AQ34="5",BJ34,0)</f>
        <v>0</v>
      </c>
      <c r="AB34" s="38">
        <f>IF(AQ34="1",BH34,0)</f>
        <v>0</v>
      </c>
      <c r="AC34" s="38">
        <f>IF(AQ34="1",BI34,0)</f>
        <v>0</v>
      </c>
      <c r="AD34" s="38">
        <f>IF(AQ34="7",BH34,0)</f>
        <v>0</v>
      </c>
      <c r="AE34" s="38">
        <f>IF(AQ34="7",BI34,0)</f>
        <v>0</v>
      </c>
      <c r="AF34" s="38">
        <f>IF(AQ34="2",BH34,0)</f>
        <v>0</v>
      </c>
      <c r="AG34" s="38">
        <f>IF(AQ34="2",BI34,0)</f>
        <v>0</v>
      </c>
      <c r="AH34" s="38">
        <f>IF(AQ34="0",BJ34,0)</f>
        <v>0</v>
      </c>
      <c r="AI34" s="33"/>
      <c r="AJ34" s="16">
        <f>IF(AN34=0,K34,0)</f>
        <v>0</v>
      </c>
      <c r="AK34" s="16">
        <f>IF(AN34=15,K34,0)</f>
        <v>0</v>
      </c>
      <c r="AL34" s="16">
        <f>IF(AN34=21,K34,0)</f>
        <v>0</v>
      </c>
      <c r="AN34" s="38">
        <v>21</v>
      </c>
      <c r="AO34" s="38">
        <f>H34*0.005080408160274</f>
        <v>0</v>
      </c>
      <c r="AP34" s="38">
        <f>H34*(1-0.005080408160274)</f>
        <v>0</v>
      </c>
      <c r="AQ34" s="32" t="s">
        <v>7</v>
      </c>
      <c r="AV34" s="38">
        <f>AW34+AX34</f>
        <v>0</v>
      </c>
      <c r="AW34" s="38">
        <f>G34*AO34</f>
        <v>0</v>
      </c>
      <c r="AX34" s="38">
        <f>G34*AP34</f>
        <v>0</v>
      </c>
      <c r="AY34" s="39" t="s">
        <v>486</v>
      </c>
      <c r="AZ34" s="39" t="s">
        <v>519</v>
      </c>
      <c r="BA34" s="33" t="s">
        <v>531</v>
      </c>
      <c r="BB34" s="33" t="s">
        <v>534</v>
      </c>
      <c r="BC34" s="38">
        <f>AW34+AX34</f>
        <v>0</v>
      </c>
      <c r="BD34" s="38">
        <f>H34/(100-BE34)*100</f>
        <v>0</v>
      </c>
      <c r="BE34" s="38">
        <v>0</v>
      </c>
      <c r="BF34" s="38">
        <f>34</f>
        <v>34</v>
      </c>
      <c r="BH34" s="16">
        <f>G34*AO34</f>
        <v>0</v>
      </c>
      <c r="BI34" s="16">
        <f>G34*AP34</f>
        <v>0</v>
      </c>
      <c r="BJ34" s="16">
        <f>G34*H34</f>
        <v>0</v>
      </c>
    </row>
    <row r="35" spans="1:62" ht="12.75">
      <c r="A35" s="4" t="s">
        <v>27</v>
      </c>
      <c r="B35" s="4" t="s">
        <v>161</v>
      </c>
      <c r="C35" s="203" t="s">
        <v>302</v>
      </c>
      <c r="D35" s="204"/>
      <c r="E35" s="204"/>
      <c r="F35" s="4" t="s">
        <v>452</v>
      </c>
      <c r="G35" s="16">
        <v>14.6</v>
      </c>
      <c r="H35" s="22">
        <v>0</v>
      </c>
      <c r="I35" s="16">
        <f>G35*AO35</f>
        <v>0</v>
      </c>
      <c r="J35" s="16">
        <f>G35*AP35</f>
        <v>0</v>
      </c>
      <c r="K35" s="16">
        <f>G35*H35</f>
        <v>0</v>
      </c>
      <c r="L35" s="32" t="s">
        <v>473</v>
      </c>
      <c r="Z35" s="38">
        <f>IF(AQ35="5",BJ35,0)</f>
        <v>0</v>
      </c>
      <c r="AB35" s="38">
        <f>IF(AQ35="1",BH35,0)</f>
        <v>0</v>
      </c>
      <c r="AC35" s="38">
        <f>IF(AQ35="1",BI35,0)</f>
        <v>0</v>
      </c>
      <c r="AD35" s="38">
        <f>IF(AQ35="7",BH35,0)</f>
        <v>0</v>
      </c>
      <c r="AE35" s="38">
        <f>IF(AQ35="7",BI35,0)</f>
        <v>0</v>
      </c>
      <c r="AF35" s="38">
        <f>IF(AQ35="2",BH35,0)</f>
        <v>0</v>
      </c>
      <c r="AG35" s="38">
        <f>IF(AQ35="2",BI35,0)</f>
        <v>0</v>
      </c>
      <c r="AH35" s="38">
        <f>IF(AQ35="0",BJ35,0)</f>
        <v>0</v>
      </c>
      <c r="AI35" s="33"/>
      <c r="AJ35" s="16">
        <f>IF(AN35=0,K35,0)</f>
        <v>0</v>
      </c>
      <c r="AK35" s="16">
        <f>IF(AN35=15,K35,0)</f>
        <v>0</v>
      </c>
      <c r="AL35" s="16">
        <f>IF(AN35=21,K35,0)</f>
        <v>0</v>
      </c>
      <c r="AN35" s="38">
        <v>21</v>
      </c>
      <c r="AO35" s="38">
        <f>H35*0</f>
        <v>0</v>
      </c>
      <c r="AP35" s="38">
        <f>H35*(1-0)</f>
        <v>0</v>
      </c>
      <c r="AQ35" s="32" t="s">
        <v>7</v>
      </c>
      <c r="AV35" s="38">
        <f>AW35+AX35</f>
        <v>0</v>
      </c>
      <c r="AW35" s="38">
        <f>G35*AO35</f>
        <v>0</v>
      </c>
      <c r="AX35" s="38">
        <f>G35*AP35</f>
        <v>0</v>
      </c>
      <c r="AY35" s="39" t="s">
        <v>486</v>
      </c>
      <c r="AZ35" s="39" t="s">
        <v>519</v>
      </c>
      <c r="BA35" s="33" t="s">
        <v>531</v>
      </c>
      <c r="BB35" s="33" t="s">
        <v>534</v>
      </c>
      <c r="BC35" s="38">
        <f>AW35+AX35</f>
        <v>0</v>
      </c>
      <c r="BD35" s="38">
        <f>H35/(100-BE35)*100</f>
        <v>0</v>
      </c>
      <c r="BE35" s="38">
        <v>0</v>
      </c>
      <c r="BF35" s="38">
        <f>35</f>
        <v>35</v>
      </c>
      <c r="BH35" s="16">
        <f>G35*AO35</f>
        <v>0</v>
      </c>
      <c r="BI35" s="16">
        <f>G35*AP35</f>
        <v>0</v>
      </c>
      <c r="BJ35" s="16">
        <f>G35*H35</f>
        <v>0</v>
      </c>
    </row>
    <row r="36" spans="1:47" ht="12.75">
      <c r="A36" s="5"/>
      <c r="B36" s="13" t="s">
        <v>22</v>
      </c>
      <c r="C36" s="205" t="s">
        <v>303</v>
      </c>
      <c r="D36" s="206"/>
      <c r="E36" s="206"/>
      <c r="F36" s="5" t="s">
        <v>6</v>
      </c>
      <c r="G36" s="5" t="s">
        <v>6</v>
      </c>
      <c r="H36" s="23" t="s">
        <v>6</v>
      </c>
      <c r="I36" s="41">
        <f>SUM(I37:I37)</f>
        <v>0</v>
      </c>
      <c r="J36" s="41">
        <f>SUM(J37:J37)</f>
        <v>0</v>
      </c>
      <c r="K36" s="41">
        <f>SUM(K37:K37)</f>
        <v>0</v>
      </c>
      <c r="L36" s="33"/>
      <c r="AI36" s="33"/>
      <c r="AS36" s="41">
        <f>SUM(AJ37:AJ37)</f>
        <v>0</v>
      </c>
      <c r="AT36" s="41">
        <f>SUM(AK37:AK37)</f>
        <v>0</v>
      </c>
      <c r="AU36" s="41">
        <f>SUM(AL37:AL37)</f>
        <v>0</v>
      </c>
    </row>
    <row r="37" spans="1:62" ht="12.75">
      <c r="A37" s="4" t="s">
        <v>28</v>
      </c>
      <c r="B37" s="4" t="s">
        <v>162</v>
      </c>
      <c r="C37" s="203" t="s">
        <v>304</v>
      </c>
      <c r="D37" s="204"/>
      <c r="E37" s="204"/>
      <c r="F37" s="4" t="s">
        <v>452</v>
      </c>
      <c r="G37" s="16">
        <v>187.65</v>
      </c>
      <c r="H37" s="22">
        <v>0</v>
      </c>
      <c r="I37" s="16">
        <f>G37*AO37</f>
        <v>0</v>
      </c>
      <c r="J37" s="16">
        <f>G37*AP37</f>
        <v>0</v>
      </c>
      <c r="K37" s="16">
        <f>G37*H37</f>
        <v>0</v>
      </c>
      <c r="L37" s="32" t="s">
        <v>473</v>
      </c>
      <c r="Z37" s="38">
        <f>IF(AQ37="5",BJ37,0)</f>
        <v>0</v>
      </c>
      <c r="AB37" s="38">
        <f>IF(AQ37="1",BH37,0)</f>
        <v>0</v>
      </c>
      <c r="AC37" s="38">
        <f>IF(AQ37="1",BI37,0)</f>
        <v>0</v>
      </c>
      <c r="AD37" s="38">
        <f>IF(AQ37="7",BH37,0)</f>
        <v>0</v>
      </c>
      <c r="AE37" s="38">
        <f>IF(AQ37="7",BI37,0)</f>
        <v>0</v>
      </c>
      <c r="AF37" s="38">
        <f>IF(AQ37="2",BH37,0)</f>
        <v>0</v>
      </c>
      <c r="AG37" s="38">
        <f>IF(AQ37="2",BI37,0)</f>
        <v>0</v>
      </c>
      <c r="AH37" s="38">
        <f>IF(AQ37="0",BJ37,0)</f>
        <v>0</v>
      </c>
      <c r="AI37" s="33"/>
      <c r="AJ37" s="16">
        <f>IF(AN37=0,K37,0)</f>
        <v>0</v>
      </c>
      <c r="AK37" s="16">
        <f>IF(AN37=15,K37,0)</f>
        <v>0</v>
      </c>
      <c r="AL37" s="16">
        <f>IF(AN37=21,K37,0)</f>
        <v>0</v>
      </c>
      <c r="AN37" s="38">
        <v>21</v>
      </c>
      <c r="AO37" s="38">
        <f>H37*0</f>
        <v>0</v>
      </c>
      <c r="AP37" s="38">
        <f>H37*(1-0)</f>
        <v>0</v>
      </c>
      <c r="AQ37" s="32" t="s">
        <v>7</v>
      </c>
      <c r="AV37" s="38">
        <f>AW37+AX37</f>
        <v>0</v>
      </c>
      <c r="AW37" s="38">
        <f>G37*AO37</f>
        <v>0</v>
      </c>
      <c r="AX37" s="38">
        <f>G37*AP37</f>
        <v>0</v>
      </c>
      <c r="AY37" s="39" t="s">
        <v>487</v>
      </c>
      <c r="AZ37" s="39" t="s">
        <v>519</v>
      </c>
      <c r="BA37" s="33" t="s">
        <v>531</v>
      </c>
      <c r="BB37" s="33" t="s">
        <v>535</v>
      </c>
      <c r="BC37" s="38">
        <f>AW37+AX37</f>
        <v>0</v>
      </c>
      <c r="BD37" s="38">
        <f>H37/(100-BE37)*100</f>
        <v>0</v>
      </c>
      <c r="BE37" s="38">
        <v>0</v>
      </c>
      <c r="BF37" s="38">
        <f>37</f>
        <v>37</v>
      </c>
      <c r="BH37" s="16">
        <f>G37*AO37</f>
        <v>0</v>
      </c>
      <c r="BI37" s="16">
        <f>G37*AP37</f>
        <v>0</v>
      </c>
      <c r="BJ37" s="16">
        <f>G37*H37</f>
        <v>0</v>
      </c>
    </row>
    <row r="38" spans="1:47" ht="12.75">
      <c r="A38" s="5"/>
      <c r="B38" s="13" t="s">
        <v>23</v>
      </c>
      <c r="C38" s="205" t="s">
        <v>305</v>
      </c>
      <c r="D38" s="206"/>
      <c r="E38" s="206"/>
      <c r="F38" s="5" t="s">
        <v>6</v>
      </c>
      <c r="G38" s="5" t="s">
        <v>6</v>
      </c>
      <c r="H38" s="23" t="s">
        <v>6</v>
      </c>
      <c r="I38" s="41">
        <f>SUM(I39:I43)</f>
        <v>0</v>
      </c>
      <c r="J38" s="41">
        <f>SUM(J39:J43)</f>
        <v>0</v>
      </c>
      <c r="K38" s="41">
        <f>SUM(K39:K43)</f>
        <v>0</v>
      </c>
      <c r="L38" s="33"/>
      <c r="AI38" s="33"/>
      <c r="AS38" s="41">
        <f>SUM(AJ39:AJ43)</f>
        <v>0</v>
      </c>
      <c r="AT38" s="41">
        <f>SUM(AK39:AK43)</f>
        <v>0</v>
      </c>
      <c r="AU38" s="41">
        <f>SUM(AL39:AL43)</f>
        <v>0</v>
      </c>
    </row>
    <row r="39" spans="1:62" ht="12.75">
      <c r="A39" s="4" t="s">
        <v>29</v>
      </c>
      <c r="B39" s="4" t="s">
        <v>163</v>
      </c>
      <c r="C39" s="203" t="s">
        <v>306</v>
      </c>
      <c r="D39" s="204"/>
      <c r="E39" s="204"/>
      <c r="F39" s="4" t="s">
        <v>452</v>
      </c>
      <c r="G39" s="16">
        <v>13.8</v>
      </c>
      <c r="H39" s="22">
        <v>0</v>
      </c>
      <c r="I39" s="16">
        <f>G39*AO39</f>
        <v>0</v>
      </c>
      <c r="J39" s="16">
        <f>G39*AP39</f>
        <v>0</v>
      </c>
      <c r="K39" s="16">
        <f>G39*H39</f>
        <v>0</v>
      </c>
      <c r="L39" s="32" t="s">
        <v>473</v>
      </c>
      <c r="Z39" s="38">
        <f>IF(AQ39="5",BJ39,0)</f>
        <v>0</v>
      </c>
      <c r="AB39" s="38">
        <f>IF(AQ39="1",BH39,0)</f>
        <v>0</v>
      </c>
      <c r="AC39" s="38">
        <f>IF(AQ39="1",BI39,0)</f>
        <v>0</v>
      </c>
      <c r="AD39" s="38">
        <f>IF(AQ39="7",BH39,0)</f>
        <v>0</v>
      </c>
      <c r="AE39" s="38">
        <f>IF(AQ39="7",BI39,0)</f>
        <v>0</v>
      </c>
      <c r="AF39" s="38">
        <f>IF(AQ39="2",BH39,0)</f>
        <v>0</v>
      </c>
      <c r="AG39" s="38">
        <f>IF(AQ39="2",BI39,0)</f>
        <v>0</v>
      </c>
      <c r="AH39" s="38">
        <f>IF(AQ39="0",BJ39,0)</f>
        <v>0</v>
      </c>
      <c r="AI39" s="33"/>
      <c r="AJ39" s="16">
        <f>IF(AN39=0,K39,0)</f>
        <v>0</v>
      </c>
      <c r="AK39" s="16">
        <f>IF(AN39=15,K39,0)</f>
        <v>0</v>
      </c>
      <c r="AL39" s="16">
        <f>IF(AN39=21,K39,0)</f>
        <v>0</v>
      </c>
      <c r="AN39" s="38">
        <v>21</v>
      </c>
      <c r="AO39" s="38">
        <f>H39*0.482899824253076</f>
        <v>0</v>
      </c>
      <c r="AP39" s="38">
        <f>H39*(1-0.482899824253076)</f>
        <v>0</v>
      </c>
      <c r="AQ39" s="32" t="s">
        <v>7</v>
      </c>
      <c r="AV39" s="38">
        <f>AW39+AX39</f>
        <v>0</v>
      </c>
      <c r="AW39" s="38">
        <f>G39*AO39</f>
        <v>0</v>
      </c>
      <c r="AX39" s="38">
        <f>G39*AP39</f>
        <v>0</v>
      </c>
      <c r="AY39" s="39" t="s">
        <v>488</v>
      </c>
      <c r="AZ39" s="39" t="s">
        <v>519</v>
      </c>
      <c r="BA39" s="33" t="s">
        <v>531</v>
      </c>
      <c r="BB39" s="33" t="s">
        <v>536</v>
      </c>
      <c r="BC39" s="38">
        <f>AW39+AX39</f>
        <v>0</v>
      </c>
      <c r="BD39" s="38">
        <f>H39/(100-BE39)*100</f>
        <v>0</v>
      </c>
      <c r="BE39" s="38">
        <v>0</v>
      </c>
      <c r="BF39" s="38">
        <f>39</f>
        <v>39</v>
      </c>
      <c r="BH39" s="16">
        <f>G39*AO39</f>
        <v>0</v>
      </c>
      <c r="BI39" s="16">
        <f>G39*AP39</f>
        <v>0</v>
      </c>
      <c r="BJ39" s="16">
        <f>G39*H39</f>
        <v>0</v>
      </c>
    </row>
    <row r="40" spans="1:62" ht="12.75">
      <c r="A40" s="4" t="s">
        <v>30</v>
      </c>
      <c r="B40" s="4" t="s">
        <v>164</v>
      </c>
      <c r="C40" s="203" t="s">
        <v>307</v>
      </c>
      <c r="D40" s="204"/>
      <c r="E40" s="204"/>
      <c r="F40" s="4" t="s">
        <v>452</v>
      </c>
      <c r="G40" s="16">
        <v>138.652</v>
      </c>
      <c r="H40" s="22">
        <v>0</v>
      </c>
      <c r="I40" s="16">
        <f>G40*AO40</f>
        <v>0</v>
      </c>
      <c r="J40" s="16">
        <f>G40*AP40</f>
        <v>0</v>
      </c>
      <c r="K40" s="16">
        <f>G40*H40</f>
        <v>0</v>
      </c>
      <c r="L40" s="32" t="s">
        <v>473</v>
      </c>
      <c r="Z40" s="38">
        <f>IF(AQ40="5",BJ40,0)</f>
        <v>0</v>
      </c>
      <c r="AB40" s="38">
        <f>IF(AQ40="1",BH40,0)</f>
        <v>0</v>
      </c>
      <c r="AC40" s="38">
        <f>IF(AQ40="1",BI40,0)</f>
        <v>0</v>
      </c>
      <c r="AD40" s="38">
        <f>IF(AQ40="7",BH40,0)</f>
        <v>0</v>
      </c>
      <c r="AE40" s="38">
        <f>IF(AQ40="7",BI40,0)</f>
        <v>0</v>
      </c>
      <c r="AF40" s="38">
        <f>IF(AQ40="2",BH40,0)</f>
        <v>0</v>
      </c>
      <c r="AG40" s="38">
        <f>IF(AQ40="2",BI40,0)</f>
        <v>0</v>
      </c>
      <c r="AH40" s="38">
        <f>IF(AQ40="0",BJ40,0)</f>
        <v>0</v>
      </c>
      <c r="AI40" s="33"/>
      <c r="AJ40" s="16">
        <f>IF(AN40=0,K40,0)</f>
        <v>0</v>
      </c>
      <c r="AK40" s="16">
        <f>IF(AN40=15,K40,0)</f>
        <v>0</v>
      </c>
      <c r="AL40" s="16">
        <f>IF(AN40=21,K40,0)</f>
        <v>0</v>
      </c>
      <c r="AN40" s="38">
        <v>21</v>
      </c>
      <c r="AO40" s="38">
        <f>H40*0</f>
        <v>0</v>
      </c>
      <c r="AP40" s="38">
        <f>H40*(1-0)</f>
        <v>0</v>
      </c>
      <c r="AQ40" s="32" t="s">
        <v>7</v>
      </c>
      <c r="AV40" s="38">
        <f>AW40+AX40</f>
        <v>0</v>
      </c>
      <c r="AW40" s="38">
        <f>G40*AO40</f>
        <v>0</v>
      </c>
      <c r="AX40" s="38">
        <f>G40*AP40</f>
        <v>0</v>
      </c>
      <c r="AY40" s="39" t="s">
        <v>488</v>
      </c>
      <c r="AZ40" s="39" t="s">
        <v>519</v>
      </c>
      <c r="BA40" s="33" t="s">
        <v>531</v>
      </c>
      <c r="BB40" s="33" t="s">
        <v>536</v>
      </c>
      <c r="BC40" s="38">
        <f>AW40+AX40</f>
        <v>0</v>
      </c>
      <c r="BD40" s="38">
        <f>H40/(100-BE40)*100</f>
        <v>0</v>
      </c>
      <c r="BE40" s="38">
        <v>0</v>
      </c>
      <c r="BF40" s="38">
        <f>40</f>
        <v>40</v>
      </c>
      <c r="BH40" s="16">
        <f>G40*AO40</f>
        <v>0</v>
      </c>
      <c r="BI40" s="16">
        <f>G40*AP40</f>
        <v>0</v>
      </c>
      <c r="BJ40" s="16">
        <f>G40*H40</f>
        <v>0</v>
      </c>
    </row>
    <row r="41" spans="1:62" ht="12.75">
      <c r="A41" s="4" t="s">
        <v>31</v>
      </c>
      <c r="B41" s="4" t="s">
        <v>165</v>
      </c>
      <c r="C41" s="203" t="s">
        <v>308</v>
      </c>
      <c r="D41" s="204"/>
      <c r="E41" s="204"/>
      <c r="F41" s="4" t="s">
        <v>452</v>
      </c>
      <c r="G41" s="16">
        <v>6.35</v>
      </c>
      <c r="H41" s="22">
        <v>0</v>
      </c>
      <c r="I41" s="16">
        <f>G41*AO41</f>
        <v>0</v>
      </c>
      <c r="J41" s="16">
        <f>G41*AP41</f>
        <v>0</v>
      </c>
      <c r="K41" s="16">
        <f>G41*H41</f>
        <v>0</v>
      </c>
      <c r="L41" s="32" t="s">
        <v>473</v>
      </c>
      <c r="Z41" s="38">
        <f>IF(AQ41="5",BJ41,0)</f>
        <v>0</v>
      </c>
      <c r="AB41" s="38">
        <f>IF(AQ41="1",BH41,0)</f>
        <v>0</v>
      </c>
      <c r="AC41" s="38">
        <f>IF(AQ41="1",BI41,0)</f>
        <v>0</v>
      </c>
      <c r="AD41" s="38">
        <f>IF(AQ41="7",BH41,0)</f>
        <v>0</v>
      </c>
      <c r="AE41" s="38">
        <f>IF(AQ41="7",BI41,0)</f>
        <v>0</v>
      </c>
      <c r="AF41" s="38">
        <f>IF(AQ41="2",BH41,0)</f>
        <v>0</v>
      </c>
      <c r="AG41" s="38">
        <f>IF(AQ41="2",BI41,0)</f>
        <v>0</v>
      </c>
      <c r="AH41" s="38">
        <f>IF(AQ41="0",BJ41,0)</f>
        <v>0</v>
      </c>
      <c r="AI41" s="33"/>
      <c r="AJ41" s="16">
        <f>IF(AN41=0,K41,0)</f>
        <v>0</v>
      </c>
      <c r="AK41" s="16">
        <f>IF(AN41=15,K41,0)</f>
        <v>0</v>
      </c>
      <c r="AL41" s="16">
        <f>IF(AN41=21,K41,0)</f>
        <v>0</v>
      </c>
      <c r="AN41" s="38">
        <v>21</v>
      </c>
      <c r="AO41" s="38">
        <f>H41*0.368070953436807</f>
        <v>0</v>
      </c>
      <c r="AP41" s="38">
        <f>H41*(1-0.368070953436807)</f>
        <v>0</v>
      </c>
      <c r="AQ41" s="32" t="s">
        <v>7</v>
      </c>
      <c r="AV41" s="38">
        <f>AW41+AX41</f>
        <v>0</v>
      </c>
      <c r="AW41" s="38">
        <f>G41*AO41</f>
        <v>0</v>
      </c>
      <c r="AX41" s="38">
        <f>G41*AP41</f>
        <v>0</v>
      </c>
      <c r="AY41" s="39" t="s">
        <v>488</v>
      </c>
      <c r="AZ41" s="39" t="s">
        <v>519</v>
      </c>
      <c r="BA41" s="33" t="s">
        <v>531</v>
      </c>
      <c r="BB41" s="33" t="s">
        <v>536</v>
      </c>
      <c r="BC41" s="38">
        <f>AW41+AX41</f>
        <v>0</v>
      </c>
      <c r="BD41" s="38">
        <f>H41/(100-BE41)*100</f>
        <v>0</v>
      </c>
      <c r="BE41" s="38">
        <v>0</v>
      </c>
      <c r="BF41" s="38">
        <f>41</f>
        <v>41</v>
      </c>
      <c r="BH41" s="16">
        <f>G41*AO41</f>
        <v>0</v>
      </c>
      <c r="BI41" s="16">
        <f>G41*AP41</f>
        <v>0</v>
      </c>
      <c r="BJ41" s="16">
        <f>G41*H41</f>
        <v>0</v>
      </c>
    </row>
    <row r="42" spans="1:62" ht="12.75">
      <c r="A42" s="4" t="s">
        <v>32</v>
      </c>
      <c r="B42" s="4" t="s">
        <v>166</v>
      </c>
      <c r="C42" s="203" t="s">
        <v>309</v>
      </c>
      <c r="D42" s="204"/>
      <c r="E42" s="204"/>
      <c r="F42" s="4" t="s">
        <v>453</v>
      </c>
      <c r="G42" s="16">
        <v>84.7765</v>
      </c>
      <c r="H42" s="22">
        <v>0</v>
      </c>
      <c r="I42" s="16">
        <f>G42*AO42</f>
        <v>0</v>
      </c>
      <c r="J42" s="16">
        <f>G42*AP42</f>
        <v>0</v>
      </c>
      <c r="K42" s="16">
        <f>G42*H42</f>
        <v>0</v>
      </c>
      <c r="L42" s="32" t="s">
        <v>473</v>
      </c>
      <c r="Z42" s="38">
        <f>IF(AQ42="5",BJ42,0)</f>
        <v>0</v>
      </c>
      <c r="AB42" s="38">
        <f>IF(AQ42="1",BH42,0)</f>
        <v>0</v>
      </c>
      <c r="AC42" s="38">
        <f>IF(AQ42="1",BI42,0)</f>
        <v>0</v>
      </c>
      <c r="AD42" s="38">
        <f>IF(AQ42="7",BH42,0)</f>
        <v>0</v>
      </c>
      <c r="AE42" s="38">
        <f>IF(AQ42="7",BI42,0)</f>
        <v>0</v>
      </c>
      <c r="AF42" s="38">
        <f>IF(AQ42="2",BH42,0)</f>
        <v>0</v>
      </c>
      <c r="AG42" s="38">
        <f>IF(AQ42="2",BI42,0)</f>
        <v>0</v>
      </c>
      <c r="AH42" s="38">
        <f>IF(AQ42="0",BJ42,0)</f>
        <v>0</v>
      </c>
      <c r="AI42" s="33"/>
      <c r="AJ42" s="16">
        <f>IF(AN42=0,K42,0)</f>
        <v>0</v>
      </c>
      <c r="AK42" s="16">
        <f>IF(AN42=15,K42,0)</f>
        <v>0</v>
      </c>
      <c r="AL42" s="16">
        <f>IF(AN42=21,K42,0)</f>
        <v>0</v>
      </c>
      <c r="AN42" s="38">
        <v>21</v>
      </c>
      <c r="AO42" s="38">
        <f>H42*0</f>
        <v>0</v>
      </c>
      <c r="AP42" s="38">
        <f>H42*(1-0)</f>
        <v>0</v>
      </c>
      <c r="AQ42" s="32" t="s">
        <v>11</v>
      </c>
      <c r="AV42" s="38">
        <f>AW42+AX42</f>
        <v>0</v>
      </c>
      <c r="AW42" s="38">
        <f>G42*AO42</f>
        <v>0</v>
      </c>
      <c r="AX42" s="38">
        <f>G42*AP42</f>
        <v>0</v>
      </c>
      <c r="AY42" s="39" t="s">
        <v>488</v>
      </c>
      <c r="AZ42" s="39" t="s">
        <v>519</v>
      </c>
      <c r="BA42" s="33" t="s">
        <v>531</v>
      </c>
      <c r="BB42" s="33" t="s">
        <v>536</v>
      </c>
      <c r="BC42" s="38">
        <f>AW42+AX42</f>
        <v>0</v>
      </c>
      <c r="BD42" s="38">
        <f>H42/(100-BE42)*100</f>
        <v>0</v>
      </c>
      <c r="BE42" s="38">
        <v>0</v>
      </c>
      <c r="BF42" s="38">
        <f>42</f>
        <v>42</v>
      </c>
      <c r="BH42" s="16">
        <f>G42*AO42</f>
        <v>0</v>
      </c>
      <c r="BI42" s="16">
        <f>G42*AP42</f>
        <v>0</v>
      </c>
      <c r="BJ42" s="16">
        <f>G42*H42</f>
        <v>0</v>
      </c>
    </row>
    <row r="43" spans="1:62" ht="12.75">
      <c r="A43" s="4" t="s">
        <v>33</v>
      </c>
      <c r="B43" s="4" t="s">
        <v>167</v>
      </c>
      <c r="C43" s="203" t="s">
        <v>310</v>
      </c>
      <c r="D43" s="204"/>
      <c r="E43" s="204"/>
      <c r="F43" s="4" t="s">
        <v>453</v>
      </c>
      <c r="G43" s="16">
        <v>84.7765</v>
      </c>
      <c r="H43" s="22">
        <v>0</v>
      </c>
      <c r="I43" s="16">
        <f>G43*AO43</f>
        <v>0</v>
      </c>
      <c r="J43" s="16">
        <f>G43*AP43</f>
        <v>0</v>
      </c>
      <c r="K43" s="16">
        <f>G43*H43</f>
        <v>0</v>
      </c>
      <c r="L43" s="32" t="s">
        <v>473</v>
      </c>
      <c r="Z43" s="38">
        <f>IF(AQ43="5",BJ43,0)</f>
        <v>0</v>
      </c>
      <c r="AB43" s="38">
        <f>IF(AQ43="1",BH43,0)</f>
        <v>0</v>
      </c>
      <c r="AC43" s="38">
        <f>IF(AQ43="1",BI43,0)</f>
        <v>0</v>
      </c>
      <c r="AD43" s="38">
        <f>IF(AQ43="7",BH43,0)</f>
        <v>0</v>
      </c>
      <c r="AE43" s="38">
        <f>IF(AQ43="7",BI43,0)</f>
        <v>0</v>
      </c>
      <c r="AF43" s="38">
        <f>IF(AQ43="2",BH43,0)</f>
        <v>0</v>
      </c>
      <c r="AG43" s="38">
        <f>IF(AQ43="2",BI43,0)</f>
        <v>0</v>
      </c>
      <c r="AH43" s="38">
        <f>IF(AQ43="0",BJ43,0)</f>
        <v>0</v>
      </c>
      <c r="AI43" s="33"/>
      <c r="AJ43" s="16">
        <f>IF(AN43=0,K43,0)</f>
        <v>0</v>
      </c>
      <c r="AK43" s="16">
        <f>IF(AN43=15,K43,0)</f>
        <v>0</v>
      </c>
      <c r="AL43" s="16">
        <f>IF(AN43=21,K43,0)</f>
        <v>0</v>
      </c>
      <c r="AN43" s="38">
        <v>21</v>
      </c>
      <c r="AO43" s="38">
        <f>H43*0</f>
        <v>0</v>
      </c>
      <c r="AP43" s="38">
        <f>H43*(1-0)</f>
        <v>0</v>
      </c>
      <c r="AQ43" s="32" t="s">
        <v>11</v>
      </c>
      <c r="AV43" s="38">
        <f>AW43+AX43</f>
        <v>0</v>
      </c>
      <c r="AW43" s="38">
        <f>G43*AO43</f>
        <v>0</v>
      </c>
      <c r="AX43" s="38">
        <f>G43*AP43</f>
        <v>0</v>
      </c>
      <c r="AY43" s="39" t="s">
        <v>488</v>
      </c>
      <c r="AZ43" s="39" t="s">
        <v>519</v>
      </c>
      <c r="BA43" s="33" t="s">
        <v>531</v>
      </c>
      <c r="BB43" s="33" t="s">
        <v>536</v>
      </c>
      <c r="BC43" s="38">
        <f>AW43+AX43</f>
        <v>0</v>
      </c>
      <c r="BD43" s="38">
        <f>H43/(100-BE43)*100</f>
        <v>0</v>
      </c>
      <c r="BE43" s="38">
        <v>0</v>
      </c>
      <c r="BF43" s="38">
        <f>43</f>
        <v>43</v>
      </c>
      <c r="BH43" s="16">
        <f>G43*AO43</f>
        <v>0</v>
      </c>
      <c r="BI43" s="16">
        <f>G43*AP43</f>
        <v>0</v>
      </c>
      <c r="BJ43" s="16">
        <f>G43*H43</f>
        <v>0</v>
      </c>
    </row>
    <row r="44" spans="1:47" ht="12.75">
      <c r="A44" s="5"/>
      <c r="B44" s="13" t="s">
        <v>24</v>
      </c>
      <c r="C44" s="205" t="s">
        <v>311</v>
      </c>
      <c r="D44" s="206"/>
      <c r="E44" s="206"/>
      <c r="F44" s="5" t="s">
        <v>6</v>
      </c>
      <c r="G44" s="5" t="s">
        <v>6</v>
      </c>
      <c r="H44" s="23" t="s">
        <v>6</v>
      </c>
      <c r="I44" s="41">
        <f>SUM(I45:I47)</f>
        <v>0</v>
      </c>
      <c r="J44" s="41">
        <f>SUM(J45:J47)</f>
        <v>0</v>
      </c>
      <c r="K44" s="41">
        <f>SUM(K45:K47)</f>
        <v>0</v>
      </c>
      <c r="L44" s="33"/>
      <c r="AI44" s="33"/>
      <c r="AS44" s="41">
        <f>SUM(AJ45:AJ47)</f>
        <v>0</v>
      </c>
      <c r="AT44" s="41">
        <f>SUM(AK45:AK47)</f>
        <v>0</v>
      </c>
      <c r="AU44" s="41">
        <f>SUM(AL45:AL47)</f>
        <v>0</v>
      </c>
    </row>
    <row r="45" spans="1:62" ht="12.75">
      <c r="A45" s="4" t="s">
        <v>34</v>
      </c>
      <c r="B45" s="4" t="s">
        <v>168</v>
      </c>
      <c r="C45" s="203" t="s">
        <v>312</v>
      </c>
      <c r="D45" s="204"/>
      <c r="E45" s="204"/>
      <c r="F45" s="4" t="s">
        <v>447</v>
      </c>
      <c r="G45" s="16">
        <v>12</v>
      </c>
      <c r="H45" s="22">
        <v>0</v>
      </c>
      <c r="I45" s="16">
        <f>G45*AO45</f>
        <v>0</v>
      </c>
      <c r="J45" s="16">
        <f>G45*AP45</f>
        <v>0</v>
      </c>
      <c r="K45" s="16">
        <f>G45*H45</f>
        <v>0</v>
      </c>
      <c r="L45" s="32" t="s">
        <v>473</v>
      </c>
      <c r="Z45" s="38">
        <f>IF(AQ45="5",BJ45,0)</f>
        <v>0</v>
      </c>
      <c r="AB45" s="38">
        <f>IF(AQ45="1",BH45,0)</f>
        <v>0</v>
      </c>
      <c r="AC45" s="38">
        <f>IF(AQ45="1",BI45,0)</f>
        <v>0</v>
      </c>
      <c r="AD45" s="38">
        <f>IF(AQ45="7",BH45,0)</f>
        <v>0</v>
      </c>
      <c r="AE45" s="38">
        <f>IF(AQ45="7",BI45,0)</f>
        <v>0</v>
      </c>
      <c r="AF45" s="38">
        <f>IF(AQ45="2",BH45,0)</f>
        <v>0</v>
      </c>
      <c r="AG45" s="38">
        <f>IF(AQ45="2",BI45,0)</f>
        <v>0</v>
      </c>
      <c r="AH45" s="38">
        <f>IF(AQ45="0",BJ45,0)</f>
        <v>0</v>
      </c>
      <c r="AI45" s="33"/>
      <c r="AJ45" s="16">
        <f>IF(AN45=0,K45,0)</f>
        <v>0</v>
      </c>
      <c r="AK45" s="16">
        <f>IF(AN45=15,K45,0)</f>
        <v>0</v>
      </c>
      <c r="AL45" s="16">
        <f>IF(AN45=21,K45,0)</f>
        <v>0</v>
      </c>
      <c r="AN45" s="38">
        <v>21</v>
      </c>
      <c r="AO45" s="38">
        <f>H45*0.204419889502762</f>
        <v>0</v>
      </c>
      <c r="AP45" s="38">
        <f>H45*(1-0.204419889502762)</f>
        <v>0</v>
      </c>
      <c r="AQ45" s="32" t="s">
        <v>7</v>
      </c>
      <c r="AV45" s="38">
        <f>AW45+AX45</f>
        <v>0</v>
      </c>
      <c r="AW45" s="38">
        <f>G45*AO45</f>
        <v>0</v>
      </c>
      <c r="AX45" s="38">
        <f>G45*AP45</f>
        <v>0</v>
      </c>
      <c r="AY45" s="39" t="s">
        <v>489</v>
      </c>
      <c r="AZ45" s="39" t="s">
        <v>519</v>
      </c>
      <c r="BA45" s="33" t="s">
        <v>531</v>
      </c>
      <c r="BB45" s="33" t="s">
        <v>537</v>
      </c>
      <c r="BC45" s="38">
        <f>AW45+AX45</f>
        <v>0</v>
      </c>
      <c r="BD45" s="38">
        <f>H45/(100-BE45)*100</f>
        <v>0</v>
      </c>
      <c r="BE45" s="38">
        <v>0</v>
      </c>
      <c r="BF45" s="38">
        <f>45</f>
        <v>45</v>
      </c>
      <c r="BH45" s="16">
        <f>G45*AO45</f>
        <v>0</v>
      </c>
      <c r="BI45" s="16">
        <f>G45*AP45</f>
        <v>0</v>
      </c>
      <c r="BJ45" s="16">
        <f>G45*H45</f>
        <v>0</v>
      </c>
    </row>
    <row r="46" spans="1:62" ht="12.75">
      <c r="A46" s="4" t="s">
        <v>35</v>
      </c>
      <c r="B46" s="4" t="s">
        <v>169</v>
      </c>
      <c r="C46" s="203" t="s">
        <v>313</v>
      </c>
      <c r="D46" s="204"/>
      <c r="E46" s="204"/>
      <c r="F46" s="4" t="s">
        <v>447</v>
      </c>
      <c r="G46" s="16">
        <v>12</v>
      </c>
      <c r="H46" s="22">
        <v>0</v>
      </c>
      <c r="I46" s="16">
        <f>G46*AO46</f>
        <v>0</v>
      </c>
      <c r="J46" s="16">
        <f>G46*AP46</f>
        <v>0</v>
      </c>
      <c r="K46" s="16">
        <f>G46*H46</f>
        <v>0</v>
      </c>
      <c r="L46" s="32" t="s">
        <v>473</v>
      </c>
      <c r="Z46" s="38">
        <f>IF(AQ46="5",BJ46,0)</f>
        <v>0</v>
      </c>
      <c r="AB46" s="38">
        <f>IF(AQ46="1",BH46,0)</f>
        <v>0</v>
      </c>
      <c r="AC46" s="38">
        <f>IF(AQ46="1",BI46,0)</f>
        <v>0</v>
      </c>
      <c r="AD46" s="38">
        <f>IF(AQ46="7",BH46,0)</f>
        <v>0</v>
      </c>
      <c r="AE46" s="38">
        <f>IF(AQ46="7",BI46,0)</f>
        <v>0</v>
      </c>
      <c r="AF46" s="38">
        <f>IF(AQ46="2",BH46,0)</f>
        <v>0</v>
      </c>
      <c r="AG46" s="38">
        <f>IF(AQ46="2",BI46,0)</f>
        <v>0</v>
      </c>
      <c r="AH46" s="38">
        <f>IF(AQ46="0",BJ46,0)</f>
        <v>0</v>
      </c>
      <c r="AI46" s="33"/>
      <c r="AJ46" s="16">
        <f>IF(AN46=0,K46,0)</f>
        <v>0</v>
      </c>
      <c r="AK46" s="16">
        <f>IF(AN46=15,K46,0)</f>
        <v>0</v>
      </c>
      <c r="AL46" s="16">
        <f>IF(AN46=21,K46,0)</f>
        <v>0</v>
      </c>
      <c r="AN46" s="38">
        <v>21</v>
      </c>
      <c r="AO46" s="38">
        <f>H46*0</f>
        <v>0</v>
      </c>
      <c r="AP46" s="38">
        <f>H46*(1-0)</f>
        <v>0</v>
      </c>
      <c r="AQ46" s="32" t="s">
        <v>7</v>
      </c>
      <c r="AV46" s="38">
        <f>AW46+AX46</f>
        <v>0</v>
      </c>
      <c r="AW46" s="38">
        <f>G46*AO46</f>
        <v>0</v>
      </c>
      <c r="AX46" s="38">
        <f>G46*AP46</f>
        <v>0</v>
      </c>
      <c r="AY46" s="39" t="s">
        <v>489</v>
      </c>
      <c r="AZ46" s="39" t="s">
        <v>519</v>
      </c>
      <c r="BA46" s="33" t="s">
        <v>531</v>
      </c>
      <c r="BB46" s="33" t="s">
        <v>537</v>
      </c>
      <c r="BC46" s="38">
        <f>AW46+AX46</f>
        <v>0</v>
      </c>
      <c r="BD46" s="38">
        <f>H46/(100-BE46)*100</f>
        <v>0</v>
      </c>
      <c r="BE46" s="38">
        <v>0</v>
      </c>
      <c r="BF46" s="38">
        <f>46</f>
        <v>46</v>
      </c>
      <c r="BH46" s="16">
        <f>G46*AO46</f>
        <v>0</v>
      </c>
      <c r="BI46" s="16">
        <f>G46*AP46</f>
        <v>0</v>
      </c>
      <c r="BJ46" s="16">
        <f>G46*H46</f>
        <v>0</v>
      </c>
    </row>
    <row r="47" spans="1:62" ht="12.75">
      <c r="A47" s="4" t="s">
        <v>36</v>
      </c>
      <c r="B47" s="4" t="s">
        <v>170</v>
      </c>
      <c r="C47" s="203" t="s">
        <v>314</v>
      </c>
      <c r="D47" s="204"/>
      <c r="E47" s="204"/>
      <c r="F47" s="4" t="s">
        <v>447</v>
      </c>
      <c r="G47" s="16">
        <v>126.4</v>
      </c>
      <c r="H47" s="22">
        <v>0</v>
      </c>
      <c r="I47" s="16">
        <f>G47*AO47</f>
        <v>0</v>
      </c>
      <c r="J47" s="16">
        <f>G47*AP47</f>
        <v>0</v>
      </c>
      <c r="K47" s="16">
        <f>G47*H47</f>
        <v>0</v>
      </c>
      <c r="L47" s="32" t="s">
        <v>473</v>
      </c>
      <c r="Z47" s="38">
        <f>IF(AQ47="5",BJ47,0)</f>
        <v>0</v>
      </c>
      <c r="AB47" s="38">
        <f>IF(AQ47="1",BH47,0)</f>
        <v>0</v>
      </c>
      <c r="AC47" s="38">
        <f>IF(AQ47="1",BI47,0)</f>
        <v>0</v>
      </c>
      <c r="AD47" s="38">
        <f>IF(AQ47="7",BH47,0)</f>
        <v>0</v>
      </c>
      <c r="AE47" s="38">
        <f>IF(AQ47="7",BI47,0)</f>
        <v>0</v>
      </c>
      <c r="AF47" s="38">
        <f>IF(AQ47="2",BH47,0)</f>
        <v>0</v>
      </c>
      <c r="AG47" s="38">
        <f>IF(AQ47="2",BI47,0)</f>
        <v>0</v>
      </c>
      <c r="AH47" s="38">
        <f>IF(AQ47="0",BJ47,0)</f>
        <v>0</v>
      </c>
      <c r="AI47" s="33"/>
      <c r="AJ47" s="16">
        <f>IF(AN47=0,K47,0)</f>
        <v>0</v>
      </c>
      <c r="AK47" s="16">
        <f>IF(AN47=15,K47,0)</f>
        <v>0</v>
      </c>
      <c r="AL47" s="16">
        <f>IF(AN47=21,K47,0)</f>
        <v>0</v>
      </c>
      <c r="AN47" s="38">
        <v>21</v>
      </c>
      <c r="AO47" s="38">
        <f>H47*0</f>
        <v>0</v>
      </c>
      <c r="AP47" s="38">
        <f>H47*(1-0)</f>
        <v>0</v>
      </c>
      <c r="AQ47" s="32" t="s">
        <v>7</v>
      </c>
      <c r="AV47" s="38">
        <f>AW47+AX47</f>
        <v>0</v>
      </c>
      <c r="AW47" s="38">
        <f>G47*AO47</f>
        <v>0</v>
      </c>
      <c r="AX47" s="38">
        <f>G47*AP47</f>
        <v>0</v>
      </c>
      <c r="AY47" s="39" t="s">
        <v>489</v>
      </c>
      <c r="AZ47" s="39" t="s">
        <v>519</v>
      </c>
      <c r="BA47" s="33" t="s">
        <v>531</v>
      </c>
      <c r="BB47" s="33" t="s">
        <v>537</v>
      </c>
      <c r="BC47" s="38">
        <f>AW47+AX47</f>
        <v>0</v>
      </c>
      <c r="BD47" s="38">
        <f>H47/(100-BE47)*100</f>
        <v>0</v>
      </c>
      <c r="BE47" s="38">
        <v>0</v>
      </c>
      <c r="BF47" s="38">
        <f>47</f>
        <v>47</v>
      </c>
      <c r="BH47" s="16">
        <f>G47*AO47</f>
        <v>0</v>
      </c>
      <c r="BI47" s="16">
        <f>G47*AP47</f>
        <v>0</v>
      </c>
      <c r="BJ47" s="16">
        <f>G47*H47</f>
        <v>0</v>
      </c>
    </row>
    <row r="48" spans="1:47" ht="12.75">
      <c r="A48" s="5"/>
      <c r="B48" s="13" t="s">
        <v>27</v>
      </c>
      <c r="C48" s="205" t="s">
        <v>315</v>
      </c>
      <c r="D48" s="206"/>
      <c r="E48" s="206"/>
      <c r="F48" s="5" t="s">
        <v>6</v>
      </c>
      <c r="G48" s="5" t="s">
        <v>6</v>
      </c>
      <c r="H48" s="23" t="s">
        <v>6</v>
      </c>
      <c r="I48" s="41">
        <f>SUM(I49:I49)</f>
        <v>0</v>
      </c>
      <c r="J48" s="41">
        <f>SUM(J49:J49)</f>
        <v>0</v>
      </c>
      <c r="K48" s="41">
        <f>SUM(K49:K49)</f>
        <v>0</v>
      </c>
      <c r="L48" s="33"/>
      <c r="AI48" s="33"/>
      <c r="AS48" s="41">
        <f>SUM(AJ49:AJ49)</f>
        <v>0</v>
      </c>
      <c r="AT48" s="41">
        <f>SUM(AK49:AK49)</f>
        <v>0</v>
      </c>
      <c r="AU48" s="41">
        <f>SUM(AL49:AL49)</f>
        <v>0</v>
      </c>
    </row>
    <row r="49" spans="1:62" ht="12.75">
      <c r="A49" s="4" t="s">
        <v>37</v>
      </c>
      <c r="B49" s="4" t="s">
        <v>171</v>
      </c>
      <c r="C49" s="203" t="s">
        <v>316</v>
      </c>
      <c r="D49" s="204"/>
      <c r="E49" s="204"/>
      <c r="F49" s="4" t="s">
        <v>449</v>
      </c>
      <c r="G49" s="16">
        <v>42.6</v>
      </c>
      <c r="H49" s="22">
        <v>0</v>
      </c>
      <c r="I49" s="16">
        <f>G49*AO49</f>
        <v>0</v>
      </c>
      <c r="J49" s="16">
        <f>G49*AP49</f>
        <v>0</v>
      </c>
      <c r="K49" s="16">
        <f>G49*H49</f>
        <v>0</v>
      </c>
      <c r="L49" s="32" t="s">
        <v>473</v>
      </c>
      <c r="Z49" s="38">
        <f>IF(AQ49="5",BJ49,0)</f>
        <v>0</v>
      </c>
      <c r="AB49" s="38">
        <f>IF(AQ49="1",BH49,0)</f>
        <v>0</v>
      </c>
      <c r="AC49" s="38">
        <f>IF(AQ49="1",BI49,0)</f>
        <v>0</v>
      </c>
      <c r="AD49" s="38">
        <f>IF(AQ49="7",BH49,0)</f>
        <v>0</v>
      </c>
      <c r="AE49" s="38">
        <f>IF(AQ49="7",BI49,0)</f>
        <v>0</v>
      </c>
      <c r="AF49" s="38">
        <f>IF(AQ49="2",BH49,0)</f>
        <v>0</v>
      </c>
      <c r="AG49" s="38">
        <f>IF(AQ49="2",BI49,0)</f>
        <v>0</v>
      </c>
      <c r="AH49" s="38">
        <f>IF(AQ49="0",BJ49,0)</f>
        <v>0</v>
      </c>
      <c r="AI49" s="33"/>
      <c r="AJ49" s="16">
        <f>IF(AN49=0,K49,0)</f>
        <v>0</v>
      </c>
      <c r="AK49" s="16">
        <f>IF(AN49=15,K49,0)</f>
        <v>0</v>
      </c>
      <c r="AL49" s="16">
        <f>IF(AN49=21,K49,0)</f>
        <v>0</v>
      </c>
      <c r="AN49" s="38">
        <v>21</v>
      </c>
      <c r="AO49" s="38">
        <f>H49*0.412436258296352</f>
        <v>0</v>
      </c>
      <c r="AP49" s="38">
        <f>H49*(1-0.412436258296352)</f>
        <v>0</v>
      </c>
      <c r="AQ49" s="32" t="s">
        <v>7</v>
      </c>
      <c r="AV49" s="38">
        <f>AW49+AX49</f>
        <v>0</v>
      </c>
      <c r="AW49" s="38">
        <f>G49*AO49</f>
        <v>0</v>
      </c>
      <c r="AX49" s="38">
        <f>G49*AP49</f>
        <v>0</v>
      </c>
      <c r="AY49" s="39" t="s">
        <v>490</v>
      </c>
      <c r="AZ49" s="39" t="s">
        <v>520</v>
      </c>
      <c r="BA49" s="33" t="s">
        <v>531</v>
      </c>
      <c r="BB49" s="33" t="s">
        <v>538</v>
      </c>
      <c r="BC49" s="38">
        <f>AW49+AX49</f>
        <v>0</v>
      </c>
      <c r="BD49" s="38">
        <f>H49/(100-BE49)*100</f>
        <v>0</v>
      </c>
      <c r="BE49" s="38">
        <v>0</v>
      </c>
      <c r="BF49" s="38">
        <f>49</f>
        <v>49</v>
      </c>
      <c r="BH49" s="16">
        <f>G49*AO49</f>
        <v>0</v>
      </c>
      <c r="BI49" s="16">
        <f>G49*AP49</f>
        <v>0</v>
      </c>
      <c r="BJ49" s="16">
        <f>G49*H49</f>
        <v>0</v>
      </c>
    </row>
    <row r="50" spans="1:47" ht="12.75">
      <c r="A50" s="5"/>
      <c r="B50" s="13" t="s">
        <v>29</v>
      </c>
      <c r="C50" s="205" t="s">
        <v>317</v>
      </c>
      <c r="D50" s="206"/>
      <c r="E50" s="206"/>
      <c r="F50" s="5" t="s">
        <v>6</v>
      </c>
      <c r="G50" s="5" t="s">
        <v>6</v>
      </c>
      <c r="H50" s="23" t="s">
        <v>6</v>
      </c>
      <c r="I50" s="41">
        <f>SUM(I51:I51)</f>
        <v>0</v>
      </c>
      <c r="J50" s="41">
        <f>SUM(J51:J51)</f>
        <v>0</v>
      </c>
      <c r="K50" s="41">
        <f>SUM(K51:K51)</f>
        <v>0</v>
      </c>
      <c r="L50" s="33"/>
      <c r="AI50" s="33"/>
      <c r="AS50" s="41">
        <f>SUM(AJ51:AJ51)</f>
        <v>0</v>
      </c>
      <c r="AT50" s="41">
        <f>SUM(AK51:AK51)</f>
        <v>0</v>
      </c>
      <c r="AU50" s="41">
        <f>SUM(AL51:AL51)</f>
        <v>0</v>
      </c>
    </row>
    <row r="51" spans="1:62" ht="12.75">
      <c r="A51" s="4" t="s">
        <v>38</v>
      </c>
      <c r="B51" s="4" t="s">
        <v>172</v>
      </c>
      <c r="C51" s="203" t="s">
        <v>318</v>
      </c>
      <c r="D51" s="204"/>
      <c r="E51" s="204"/>
      <c r="F51" s="4" t="s">
        <v>452</v>
      </c>
      <c r="G51" s="16">
        <v>2.106</v>
      </c>
      <c r="H51" s="22">
        <v>0</v>
      </c>
      <c r="I51" s="16">
        <f>G51*AO51</f>
        <v>0</v>
      </c>
      <c r="J51" s="16">
        <f>G51*AP51</f>
        <v>0</v>
      </c>
      <c r="K51" s="16">
        <f>G51*H51</f>
        <v>0</v>
      </c>
      <c r="L51" s="32" t="s">
        <v>473</v>
      </c>
      <c r="Z51" s="38">
        <f>IF(AQ51="5",BJ51,0)</f>
        <v>0</v>
      </c>
      <c r="AB51" s="38">
        <f>IF(AQ51="1",BH51,0)</f>
        <v>0</v>
      </c>
      <c r="AC51" s="38">
        <f>IF(AQ51="1",BI51,0)</f>
        <v>0</v>
      </c>
      <c r="AD51" s="38">
        <f>IF(AQ51="7",BH51,0)</f>
        <v>0</v>
      </c>
      <c r="AE51" s="38">
        <f>IF(AQ51="7",BI51,0)</f>
        <v>0</v>
      </c>
      <c r="AF51" s="38">
        <f>IF(AQ51="2",BH51,0)</f>
        <v>0</v>
      </c>
      <c r="AG51" s="38">
        <f>IF(AQ51="2",BI51,0)</f>
        <v>0</v>
      </c>
      <c r="AH51" s="38">
        <f>IF(AQ51="0",BJ51,0)</f>
        <v>0</v>
      </c>
      <c r="AI51" s="33"/>
      <c r="AJ51" s="16">
        <f>IF(AN51=0,K51,0)</f>
        <v>0</v>
      </c>
      <c r="AK51" s="16">
        <f>IF(AN51=15,K51,0)</f>
        <v>0</v>
      </c>
      <c r="AL51" s="16">
        <f>IF(AN51=21,K51,0)</f>
        <v>0</v>
      </c>
      <c r="AN51" s="38">
        <v>21</v>
      </c>
      <c r="AO51" s="38">
        <f>H51*0</f>
        <v>0</v>
      </c>
      <c r="AP51" s="38">
        <f>H51*(1-0)</f>
        <v>0</v>
      </c>
      <c r="AQ51" s="32" t="s">
        <v>7</v>
      </c>
      <c r="AV51" s="38">
        <f>AW51+AX51</f>
        <v>0</v>
      </c>
      <c r="AW51" s="38">
        <f>G51*AO51</f>
        <v>0</v>
      </c>
      <c r="AX51" s="38">
        <f>G51*AP51</f>
        <v>0</v>
      </c>
      <c r="AY51" s="39" t="s">
        <v>491</v>
      </c>
      <c r="AZ51" s="39" t="s">
        <v>520</v>
      </c>
      <c r="BA51" s="33" t="s">
        <v>531</v>
      </c>
      <c r="BB51" s="33" t="s">
        <v>539</v>
      </c>
      <c r="BC51" s="38">
        <f>AW51+AX51</f>
        <v>0</v>
      </c>
      <c r="BD51" s="38">
        <f>H51/(100-BE51)*100</f>
        <v>0</v>
      </c>
      <c r="BE51" s="38">
        <v>0</v>
      </c>
      <c r="BF51" s="38">
        <f>51</f>
        <v>51</v>
      </c>
      <c r="BH51" s="16">
        <f>G51*AO51</f>
        <v>0</v>
      </c>
      <c r="BI51" s="16">
        <f>G51*AP51</f>
        <v>0</v>
      </c>
      <c r="BJ51" s="16">
        <f>G51*H51</f>
        <v>0</v>
      </c>
    </row>
    <row r="52" spans="1:47" ht="12.75">
      <c r="A52" s="5"/>
      <c r="B52" s="13" t="s">
        <v>33</v>
      </c>
      <c r="C52" s="205" t="s">
        <v>319</v>
      </c>
      <c r="D52" s="206"/>
      <c r="E52" s="206"/>
      <c r="F52" s="5" t="s">
        <v>6</v>
      </c>
      <c r="G52" s="5" t="s">
        <v>6</v>
      </c>
      <c r="H52" s="23" t="s">
        <v>6</v>
      </c>
      <c r="I52" s="41">
        <f>SUM(I53:I62)</f>
        <v>0</v>
      </c>
      <c r="J52" s="41">
        <f>SUM(J53:J62)</f>
        <v>0</v>
      </c>
      <c r="K52" s="41">
        <f>SUM(K53:K62)</f>
        <v>0</v>
      </c>
      <c r="L52" s="33"/>
      <c r="AI52" s="33"/>
      <c r="AS52" s="41">
        <f>SUM(AJ53:AJ62)</f>
        <v>0</v>
      </c>
      <c r="AT52" s="41">
        <f>SUM(AK53:AK62)</f>
        <v>0</v>
      </c>
      <c r="AU52" s="41">
        <f>SUM(AL53:AL62)</f>
        <v>0</v>
      </c>
    </row>
    <row r="53" spans="1:62" ht="12.75">
      <c r="A53" s="4" t="s">
        <v>39</v>
      </c>
      <c r="B53" s="4" t="s">
        <v>173</v>
      </c>
      <c r="C53" s="203" t="s">
        <v>320</v>
      </c>
      <c r="D53" s="204"/>
      <c r="E53" s="204"/>
      <c r="F53" s="4" t="s">
        <v>452</v>
      </c>
      <c r="G53" s="16">
        <v>13.491</v>
      </c>
      <c r="H53" s="22">
        <v>0</v>
      </c>
      <c r="I53" s="16">
        <f aca="true" t="shared" si="44" ref="I53:I62">G53*AO53</f>
        <v>0</v>
      </c>
      <c r="J53" s="16">
        <f aca="true" t="shared" si="45" ref="J53:J62">G53*AP53</f>
        <v>0</v>
      </c>
      <c r="K53" s="16">
        <f aca="true" t="shared" si="46" ref="K53:K62">G53*H53</f>
        <v>0</v>
      </c>
      <c r="L53" s="32" t="s">
        <v>473</v>
      </c>
      <c r="Z53" s="38">
        <f aca="true" t="shared" si="47" ref="Z53:Z62">IF(AQ53="5",BJ53,0)</f>
        <v>0</v>
      </c>
      <c r="AB53" s="38">
        <f aca="true" t="shared" si="48" ref="AB53:AB62">IF(AQ53="1",BH53,0)</f>
        <v>0</v>
      </c>
      <c r="AC53" s="38">
        <f aca="true" t="shared" si="49" ref="AC53:AC62">IF(AQ53="1",BI53,0)</f>
        <v>0</v>
      </c>
      <c r="AD53" s="38">
        <f aca="true" t="shared" si="50" ref="AD53:AD62">IF(AQ53="7",BH53,0)</f>
        <v>0</v>
      </c>
      <c r="AE53" s="38">
        <f aca="true" t="shared" si="51" ref="AE53:AE62">IF(AQ53="7",BI53,0)</f>
        <v>0</v>
      </c>
      <c r="AF53" s="38">
        <f aca="true" t="shared" si="52" ref="AF53:AF62">IF(AQ53="2",BH53,0)</f>
        <v>0</v>
      </c>
      <c r="AG53" s="38">
        <f aca="true" t="shared" si="53" ref="AG53:AG62">IF(AQ53="2",BI53,0)</f>
        <v>0</v>
      </c>
      <c r="AH53" s="38">
        <f aca="true" t="shared" si="54" ref="AH53:AH62">IF(AQ53="0",BJ53,0)</f>
        <v>0</v>
      </c>
      <c r="AI53" s="33"/>
      <c r="AJ53" s="16">
        <f aca="true" t="shared" si="55" ref="AJ53:AJ62">IF(AN53=0,K53,0)</f>
        <v>0</v>
      </c>
      <c r="AK53" s="16">
        <f aca="true" t="shared" si="56" ref="AK53:AK62">IF(AN53=15,K53,0)</f>
        <v>0</v>
      </c>
      <c r="AL53" s="16">
        <f aca="true" t="shared" si="57" ref="AL53:AL62">IF(AN53=21,K53,0)</f>
        <v>0</v>
      </c>
      <c r="AN53" s="38">
        <v>21</v>
      </c>
      <c r="AO53" s="38">
        <f>H53*0.911818636578834</f>
        <v>0</v>
      </c>
      <c r="AP53" s="38">
        <f>H53*(1-0.911818636578834)</f>
        <v>0</v>
      </c>
      <c r="AQ53" s="32" t="s">
        <v>7</v>
      </c>
      <c r="AV53" s="38">
        <f aca="true" t="shared" si="58" ref="AV53:AV62">AW53+AX53</f>
        <v>0</v>
      </c>
      <c r="AW53" s="38">
        <f aca="true" t="shared" si="59" ref="AW53:AW62">G53*AO53</f>
        <v>0</v>
      </c>
      <c r="AX53" s="38">
        <f aca="true" t="shared" si="60" ref="AX53:AX62">G53*AP53</f>
        <v>0</v>
      </c>
      <c r="AY53" s="39" t="s">
        <v>492</v>
      </c>
      <c r="AZ53" s="39" t="s">
        <v>520</v>
      </c>
      <c r="BA53" s="33" t="s">
        <v>531</v>
      </c>
      <c r="BB53" s="33" t="s">
        <v>540</v>
      </c>
      <c r="BC53" s="38">
        <f aca="true" t="shared" si="61" ref="BC53:BC62">AW53+AX53</f>
        <v>0</v>
      </c>
      <c r="BD53" s="38">
        <f aca="true" t="shared" si="62" ref="BD53:BD62">H53/(100-BE53)*100</f>
        <v>0</v>
      </c>
      <c r="BE53" s="38">
        <v>0</v>
      </c>
      <c r="BF53" s="38">
        <f>53</f>
        <v>53</v>
      </c>
      <c r="BH53" s="16">
        <f aca="true" t="shared" si="63" ref="BH53:BH62">G53*AO53</f>
        <v>0</v>
      </c>
      <c r="BI53" s="16">
        <f aca="true" t="shared" si="64" ref="BI53:BI62">G53*AP53</f>
        <v>0</v>
      </c>
      <c r="BJ53" s="16">
        <f aca="true" t="shared" si="65" ref="BJ53:BJ62">G53*H53</f>
        <v>0</v>
      </c>
    </row>
    <row r="54" spans="1:62" ht="12.75">
      <c r="A54" s="4" t="s">
        <v>40</v>
      </c>
      <c r="B54" s="4" t="s">
        <v>174</v>
      </c>
      <c r="C54" s="203" t="s">
        <v>321</v>
      </c>
      <c r="D54" s="204"/>
      <c r="E54" s="204"/>
      <c r="F54" s="4" t="s">
        <v>447</v>
      </c>
      <c r="G54" s="16">
        <v>17.919</v>
      </c>
      <c r="H54" s="22">
        <v>0</v>
      </c>
      <c r="I54" s="16">
        <f t="shared" si="44"/>
        <v>0</v>
      </c>
      <c r="J54" s="16">
        <f t="shared" si="45"/>
        <v>0</v>
      </c>
      <c r="K54" s="16">
        <f t="shared" si="46"/>
        <v>0</v>
      </c>
      <c r="L54" s="32" t="s">
        <v>473</v>
      </c>
      <c r="Z54" s="38">
        <f t="shared" si="47"/>
        <v>0</v>
      </c>
      <c r="AB54" s="38">
        <f t="shared" si="48"/>
        <v>0</v>
      </c>
      <c r="AC54" s="38">
        <f t="shared" si="49"/>
        <v>0</v>
      </c>
      <c r="AD54" s="38">
        <f t="shared" si="50"/>
        <v>0</v>
      </c>
      <c r="AE54" s="38">
        <f t="shared" si="51"/>
        <v>0</v>
      </c>
      <c r="AF54" s="38">
        <f t="shared" si="52"/>
        <v>0</v>
      </c>
      <c r="AG54" s="38">
        <f t="shared" si="53"/>
        <v>0</v>
      </c>
      <c r="AH54" s="38">
        <f t="shared" si="54"/>
        <v>0</v>
      </c>
      <c r="AI54" s="33"/>
      <c r="AJ54" s="16">
        <f t="shared" si="55"/>
        <v>0</v>
      </c>
      <c r="AK54" s="16">
        <f t="shared" si="56"/>
        <v>0</v>
      </c>
      <c r="AL54" s="16">
        <f t="shared" si="57"/>
        <v>0</v>
      </c>
      <c r="AN54" s="38">
        <v>21</v>
      </c>
      <c r="AO54" s="38">
        <f>H54*0.278633105299619</f>
        <v>0</v>
      </c>
      <c r="AP54" s="38">
        <f>H54*(1-0.278633105299619)</f>
        <v>0</v>
      </c>
      <c r="AQ54" s="32" t="s">
        <v>7</v>
      </c>
      <c r="AV54" s="38">
        <f t="shared" si="58"/>
        <v>0</v>
      </c>
      <c r="AW54" s="38">
        <f t="shared" si="59"/>
        <v>0</v>
      </c>
      <c r="AX54" s="38">
        <f t="shared" si="60"/>
        <v>0</v>
      </c>
      <c r="AY54" s="39" t="s">
        <v>492</v>
      </c>
      <c r="AZ54" s="39" t="s">
        <v>520</v>
      </c>
      <c r="BA54" s="33" t="s">
        <v>531</v>
      </c>
      <c r="BB54" s="33" t="s">
        <v>540</v>
      </c>
      <c r="BC54" s="38">
        <f t="shared" si="61"/>
        <v>0</v>
      </c>
      <c r="BD54" s="38">
        <f t="shared" si="62"/>
        <v>0</v>
      </c>
      <c r="BE54" s="38">
        <v>0</v>
      </c>
      <c r="BF54" s="38">
        <f>54</f>
        <v>54</v>
      </c>
      <c r="BH54" s="16">
        <f t="shared" si="63"/>
        <v>0</v>
      </c>
      <c r="BI54" s="16">
        <f t="shared" si="64"/>
        <v>0</v>
      </c>
      <c r="BJ54" s="16">
        <f t="shared" si="65"/>
        <v>0</v>
      </c>
    </row>
    <row r="55" spans="1:62" ht="12.75">
      <c r="A55" s="4" t="s">
        <v>41</v>
      </c>
      <c r="B55" s="4" t="s">
        <v>175</v>
      </c>
      <c r="C55" s="203" t="s">
        <v>322</v>
      </c>
      <c r="D55" s="204"/>
      <c r="E55" s="204"/>
      <c r="F55" s="4" t="s">
        <v>447</v>
      </c>
      <c r="G55" s="16">
        <v>17.919</v>
      </c>
      <c r="H55" s="22">
        <v>0</v>
      </c>
      <c r="I55" s="16">
        <f t="shared" si="44"/>
        <v>0</v>
      </c>
      <c r="J55" s="16">
        <f t="shared" si="45"/>
        <v>0</v>
      </c>
      <c r="K55" s="16">
        <f t="shared" si="46"/>
        <v>0</v>
      </c>
      <c r="L55" s="32" t="s">
        <v>473</v>
      </c>
      <c r="Z55" s="38">
        <f t="shared" si="47"/>
        <v>0</v>
      </c>
      <c r="AB55" s="38">
        <f t="shared" si="48"/>
        <v>0</v>
      </c>
      <c r="AC55" s="38">
        <f t="shared" si="49"/>
        <v>0</v>
      </c>
      <c r="AD55" s="38">
        <f t="shared" si="50"/>
        <v>0</v>
      </c>
      <c r="AE55" s="38">
        <f t="shared" si="51"/>
        <v>0</v>
      </c>
      <c r="AF55" s="38">
        <f t="shared" si="52"/>
        <v>0</v>
      </c>
      <c r="AG55" s="38">
        <f t="shared" si="53"/>
        <v>0</v>
      </c>
      <c r="AH55" s="38">
        <f t="shared" si="54"/>
        <v>0</v>
      </c>
      <c r="AI55" s="33"/>
      <c r="AJ55" s="16">
        <f t="shared" si="55"/>
        <v>0</v>
      </c>
      <c r="AK55" s="16">
        <f t="shared" si="56"/>
        <v>0</v>
      </c>
      <c r="AL55" s="16">
        <f t="shared" si="57"/>
        <v>0</v>
      </c>
      <c r="AN55" s="38">
        <v>21</v>
      </c>
      <c r="AO55" s="38">
        <f>H55*0</f>
        <v>0</v>
      </c>
      <c r="AP55" s="38">
        <f>H55*(1-0)</f>
        <v>0</v>
      </c>
      <c r="AQ55" s="32" t="s">
        <v>7</v>
      </c>
      <c r="AV55" s="38">
        <f t="shared" si="58"/>
        <v>0</v>
      </c>
      <c r="AW55" s="38">
        <f t="shared" si="59"/>
        <v>0</v>
      </c>
      <c r="AX55" s="38">
        <f t="shared" si="60"/>
        <v>0</v>
      </c>
      <c r="AY55" s="39" t="s">
        <v>492</v>
      </c>
      <c r="AZ55" s="39" t="s">
        <v>520</v>
      </c>
      <c r="BA55" s="33" t="s">
        <v>531</v>
      </c>
      <c r="BB55" s="33" t="s">
        <v>540</v>
      </c>
      <c r="BC55" s="38">
        <f t="shared" si="61"/>
        <v>0</v>
      </c>
      <c r="BD55" s="38">
        <f t="shared" si="62"/>
        <v>0</v>
      </c>
      <c r="BE55" s="38">
        <v>0</v>
      </c>
      <c r="BF55" s="38">
        <f>55</f>
        <v>55</v>
      </c>
      <c r="BH55" s="16">
        <f t="shared" si="63"/>
        <v>0</v>
      </c>
      <c r="BI55" s="16">
        <f t="shared" si="64"/>
        <v>0</v>
      </c>
      <c r="BJ55" s="16">
        <f t="shared" si="65"/>
        <v>0</v>
      </c>
    </row>
    <row r="56" spans="1:62" ht="12.75">
      <c r="A56" s="4" t="s">
        <v>42</v>
      </c>
      <c r="B56" s="4" t="s">
        <v>173</v>
      </c>
      <c r="C56" s="203" t="s">
        <v>323</v>
      </c>
      <c r="D56" s="204"/>
      <c r="E56" s="204"/>
      <c r="F56" s="4" t="s">
        <v>452</v>
      </c>
      <c r="G56" s="16">
        <v>10.568</v>
      </c>
      <c r="H56" s="22">
        <v>0</v>
      </c>
      <c r="I56" s="16">
        <f t="shared" si="44"/>
        <v>0</v>
      </c>
      <c r="J56" s="16">
        <f t="shared" si="45"/>
        <v>0</v>
      </c>
      <c r="K56" s="16">
        <f t="shared" si="46"/>
        <v>0</v>
      </c>
      <c r="L56" s="32" t="s">
        <v>473</v>
      </c>
      <c r="Z56" s="38">
        <f t="shared" si="47"/>
        <v>0</v>
      </c>
      <c r="AB56" s="38">
        <f t="shared" si="48"/>
        <v>0</v>
      </c>
      <c r="AC56" s="38">
        <f t="shared" si="49"/>
        <v>0</v>
      </c>
      <c r="AD56" s="38">
        <f t="shared" si="50"/>
        <v>0</v>
      </c>
      <c r="AE56" s="38">
        <f t="shared" si="51"/>
        <v>0</v>
      </c>
      <c r="AF56" s="38">
        <f t="shared" si="52"/>
        <v>0</v>
      </c>
      <c r="AG56" s="38">
        <f t="shared" si="53"/>
        <v>0</v>
      </c>
      <c r="AH56" s="38">
        <f t="shared" si="54"/>
        <v>0</v>
      </c>
      <c r="AI56" s="33"/>
      <c r="AJ56" s="16">
        <f t="shared" si="55"/>
        <v>0</v>
      </c>
      <c r="AK56" s="16">
        <f t="shared" si="56"/>
        <v>0</v>
      </c>
      <c r="AL56" s="16">
        <f t="shared" si="57"/>
        <v>0</v>
      </c>
      <c r="AN56" s="38">
        <v>21</v>
      </c>
      <c r="AO56" s="38">
        <f>H56*0.911818740399385</f>
        <v>0</v>
      </c>
      <c r="AP56" s="38">
        <f>H56*(1-0.911818740399385)</f>
        <v>0</v>
      </c>
      <c r="AQ56" s="32" t="s">
        <v>7</v>
      </c>
      <c r="AV56" s="38">
        <f t="shared" si="58"/>
        <v>0</v>
      </c>
      <c r="AW56" s="38">
        <f t="shared" si="59"/>
        <v>0</v>
      </c>
      <c r="AX56" s="38">
        <f t="shared" si="60"/>
        <v>0</v>
      </c>
      <c r="AY56" s="39" t="s">
        <v>492</v>
      </c>
      <c r="AZ56" s="39" t="s">
        <v>520</v>
      </c>
      <c r="BA56" s="33" t="s">
        <v>531</v>
      </c>
      <c r="BB56" s="33" t="s">
        <v>540</v>
      </c>
      <c r="BC56" s="38">
        <f t="shared" si="61"/>
        <v>0</v>
      </c>
      <c r="BD56" s="38">
        <f t="shared" si="62"/>
        <v>0</v>
      </c>
      <c r="BE56" s="38">
        <v>0</v>
      </c>
      <c r="BF56" s="38">
        <f>56</f>
        <v>56</v>
      </c>
      <c r="BH56" s="16">
        <f t="shared" si="63"/>
        <v>0</v>
      </c>
      <c r="BI56" s="16">
        <f t="shared" si="64"/>
        <v>0</v>
      </c>
      <c r="BJ56" s="16">
        <f t="shared" si="65"/>
        <v>0</v>
      </c>
    </row>
    <row r="57" spans="1:62" ht="12.75">
      <c r="A57" s="4" t="s">
        <v>43</v>
      </c>
      <c r="B57" s="4" t="s">
        <v>174</v>
      </c>
      <c r="C57" s="203" t="s">
        <v>324</v>
      </c>
      <c r="D57" s="204"/>
      <c r="E57" s="204"/>
      <c r="F57" s="4" t="s">
        <v>447</v>
      </c>
      <c r="G57" s="16">
        <v>17.214</v>
      </c>
      <c r="H57" s="22">
        <v>0</v>
      </c>
      <c r="I57" s="16">
        <f t="shared" si="44"/>
        <v>0</v>
      </c>
      <c r="J57" s="16">
        <f t="shared" si="45"/>
        <v>0</v>
      </c>
      <c r="K57" s="16">
        <f t="shared" si="46"/>
        <v>0</v>
      </c>
      <c r="L57" s="32" t="s">
        <v>473</v>
      </c>
      <c r="Z57" s="38">
        <f t="shared" si="47"/>
        <v>0</v>
      </c>
      <c r="AB57" s="38">
        <f t="shared" si="48"/>
        <v>0</v>
      </c>
      <c r="AC57" s="38">
        <f t="shared" si="49"/>
        <v>0</v>
      </c>
      <c r="AD57" s="38">
        <f t="shared" si="50"/>
        <v>0</v>
      </c>
      <c r="AE57" s="38">
        <f t="shared" si="51"/>
        <v>0</v>
      </c>
      <c r="AF57" s="38">
        <f t="shared" si="52"/>
        <v>0</v>
      </c>
      <c r="AG57" s="38">
        <f t="shared" si="53"/>
        <v>0</v>
      </c>
      <c r="AH57" s="38">
        <f t="shared" si="54"/>
        <v>0</v>
      </c>
      <c r="AI57" s="33"/>
      <c r="AJ57" s="16">
        <f t="shared" si="55"/>
        <v>0</v>
      </c>
      <c r="AK57" s="16">
        <f t="shared" si="56"/>
        <v>0</v>
      </c>
      <c r="AL57" s="16">
        <f t="shared" si="57"/>
        <v>0</v>
      </c>
      <c r="AN57" s="38">
        <v>21</v>
      </c>
      <c r="AO57" s="38">
        <f>H57*0.278633186736363</f>
        <v>0</v>
      </c>
      <c r="AP57" s="38">
        <f>H57*(1-0.278633186736363)</f>
        <v>0</v>
      </c>
      <c r="AQ57" s="32" t="s">
        <v>7</v>
      </c>
      <c r="AV57" s="38">
        <f t="shared" si="58"/>
        <v>0</v>
      </c>
      <c r="AW57" s="38">
        <f t="shared" si="59"/>
        <v>0</v>
      </c>
      <c r="AX57" s="38">
        <f t="shared" si="60"/>
        <v>0</v>
      </c>
      <c r="AY57" s="39" t="s">
        <v>492</v>
      </c>
      <c r="AZ57" s="39" t="s">
        <v>520</v>
      </c>
      <c r="BA57" s="33" t="s">
        <v>531</v>
      </c>
      <c r="BB57" s="33" t="s">
        <v>540</v>
      </c>
      <c r="BC57" s="38">
        <f t="shared" si="61"/>
        <v>0</v>
      </c>
      <c r="BD57" s="38">
        <f t="shared" si="62"/>
        <v>0</v>
      </c>
      <c r="BE57" s="38">
        <v>0</v>
      </c>
      <c r="BF57" s="38">
        <f>57</f>
        <v>57</v>
      </c>
      <c r="BH57" s="16">
        <f t="shared" si="63"/>
        <v>0</v>
      </c>
      <c r="BI57" s="16">
        <f t="shared" si="64"/>
        <v>0</v>
      </c>
      <c r="BJ57" s="16">
        <f t="shared" si="65"/>
        <v>0</v>
      </c>
    </row>
    <row r="58" spans="1:62" ht="12.75">
      <c r="A58" s="4" t="s">
        <v>44</v>
      </c>
      <c r="B58" s="4" t="s">
        <v>175</v>
      </c>
      <c r="C58" s="203" t="s">
        <v>325</v>
      </c>
      <c r="D58" s="204"/>
      <c r="E58" s="204"/>
      <c r="F58" s="4" t="s">
        <v>447</v>
      </c>
      <c r="G58" s="16">
        <v>17.214</v>
      </c>
      <c r="H58" s="22">
        <v>0</v>
      </c>
      <c r="I58" s="16">
        <f t="shared" si="44"/>
        <v>0</v>
      </c>
      <c r="J58" s="16">
        <f t="shared" si="45"/>
        <v>0</v>
      </c>
      <c r="K58" s="16">
        <f t="shared" si="46"/>
        <v>0</v>
      </c>
      <c r="L58" s="32" t="s">
        <v>473</v>
      </c>
      <c r="Z58" s="38">
        <f t="shared" si="47"/>
        <v>0</v>
      </c>
      <c r="AB58" s="38">
        <f t="shared" si="48"/>
        <v>0</v>
      </c>
      <c r="AC58" s="38">
        <f t="shared" si="49"/>
        <v>0</v>
      </c>
      <c r="AD58" s="38">
        <f t="shared" si="50"/>
        <v>0</v>
      </c>
      <c r="AE58" s="38">
        <f t="shared" si="51"/>
        <v>0</v>
      </c>
      <c r="AF58" s="38">
        <f t="shared" si="52"/>
        <v>0</v>
      </c>
      <c r="AG58" s="38">
        <f t="shared" si="53"/>
        <v>0</v>
      </c>
      <c r="AH58" s="38">
        <f t="shared" si="54"/>
        <v>0</v>
      </c>
      <c r="AI58" s="33"/>
      <c r="AJ58" s="16">
        <f t="shared" si="55"/>
        <v>0</v>
      </c>
      <c r="AK58" s="16">
        <f t="shared" si="56"/>
        <v>0</v>
      </c>
      <c r="AL58" s="16">
        <f t="shared" si="57"/>
        <v>0</v>
      </c>
      <c r="AN58" s="38">
        <v>21</v>
      </c>
      <c r="AO58" s="38">
        <f>H58*0</f>
        <v>0</v>
      </c>
      <c r="AP58" s="38">
        <f>H58*(1-0)</f>
        <v>0</v>
      </c>
      <c r="AQ58" s="32" t="s">
        <v>7</v>
      </c>
      <c r="AV58" s="38">
        <f t="shared" si="58"/>
        <v>0</v>
      </c>
      <c r="AW58" s="38">
        <f t="shared" si="59"/>
        <v>0</v>
      </c>
      <c r="AX58" s="38">
        <f t="shared" si="60"/>
        <v>0</v>
      </c>
      <c r="AY58" s="39" t="s">
        <v>492</v>
      </c>
      <c r="AZ58" s="39" t="s">
        <v>520</v>
      </c>
      <c r="BA58" s="33" t="s">
        <v>531</v>
      </c>
      <c r="BB58" s="33" t="s">
        <v>540</v>
      </c>
      <c r="BC58" s="38">
        <f t="shared" si="61"/>
        <v>0</v>
      </c>
      <c r="BD58" s="38">
        <f t="shared" si="62"/>
        <v>0</v>
      </c>
      <c r="BE58" s="38">
        <v>0</v>
      </c>
      <c r="BF58" s="38">
        <f>58</f>
        <v>58</v>
      </c>
      <c r="BH58" s="16">
        <f t="shared" si="63"/>
        <v>0</v>
      </c>
      <c r="BI58" s="16">
        <f t="shared" si="64"/>
        <v>0</v>
      </c>
      <c r="BJ58" s="16">
        <f t="shared" si="65"/>
        <v>0</v>
      </c>
    </row>
    <row r="59" spans="1:62" ht="12.75">
      <c r="A59" s="4" t="s">
        <v>45</v>
      </c>
      <c r="B59" s="4" t="s">
        <v>176</v>
      </c>
      <c r="C59" s="203" t="s">
        <v>326</v>
      </c>
      <c r="D59" s="204"/>
      <c r="E59" s="204"/>
      <c r="F59" s="4" t="s">
        <v>453</v>
      </c>
      <c r="G59" s="16">
        <v>4.25</v>
      </c>
      <c r="H59" s="22">
        <v>0</v>
      </c>
      <c r="I59" s="16">
        <f t="shared" si="44"/>
        <v>0</v>
      </c>
      <c r="J59" s="16">
        <f t="shared" si="45"/>
        <v>0</v>
      </c>
      <c r="K59" s="16">
        <f t="shared" si="46"/>
        <v>0</v>
      </c>
      <c r="L59" s="32" t="s">
        <v>473</v>
      </c>
      <c r="Z59" s="38">
        <f t="shared" si="47"/>
        <v>0</v>
      </c>
      <c r="AB59" s="38">
        <f t="shared" si="48"/>
        <v>0</v>
      </c>
      <c r="AC59" s="38">
        <f t="shared" si="49"/>
        <v>0</v>
      </c>
      <c r="AD59" s="38">
        <f t="shared" si="50"/>
        <v>0</v>
      </c>
      <c r="AE59" s="38">
        <f t="shared" si="51"/>
        <v>0</v>
      </c>
      <c r="AF59" s="38">
        <f t="shared" si="52"/>
        <v>0</v>
      </c>
      <c r="AG59" s="38">
        <f t="shared" si="53"/>
        <v>0</v>
      </c>
      <c r="AH59" s="38">
        <f t="shared" si="54"/>
        <v>0</v>
      </c>
      <c r="AI59" s="33"/>
      <c r="AJ59" s="16">
        <f t="shared" si="55"/>
        <v>0</v>
      </c>
      <c r="AK59" s="16">
        <f t="shared" si="56"/>
        <v>0</v>
      </c>
      <c r="AL59" s="16">
        <f t="shared" si="57"/>
        <v>0</v>
      </c>
      <c r="AN59" s="38">
        <v>21</v>
      </c>
      <c r="AO59" s="38">
        <f>H59*0.528636774339282</f>
        <v>0</v>
      </c>
      <c r="AP59" s="38">
        <f>H59*(1-0.528636774339282)</f>
        <v>0</v>
      </c>
      <c r="AQ59" s="32" t="s">
        <v>7</v>
      </c>
      <c r="AV59" s="38">
        <f t="shared" si="58"/>
        <v>0</v>
      </c>
      <c r="AW59" s="38">
        <f t="shared" si="59"/>
        <v>0</v>
      </c>
      <c r="AX59" s="38">
        <f t="shared" si="60"/>
        <v>0</v>
      </c>
      <c r="AY59" s="39" t="s">
        <v>492</v>
      </c>
      <c r="AZ59" s="39" t="s">
        <v>520</v>
      </c>
      <c r="BA59" s="33" t="s">
        <v>531</v>
      </c>
      <c r="BB59" s="33" t="s">
        <v>540</v>
      </c>
      <c r="BC59" s="38">
        <f t="shared" si="61"/>
        <v>0</v>
      </c>
      <c r="BD59" s="38">
        <f t="shared" si="62"/>
        <v>0</v>
      </c>
      <c r="BE59" s="38">
        <v>0</v>
      </c>
      <c r="BF59" s="38">
        <f>59</f>
        <v>59</v>
      </c>
      <c r="BH59" s="16">
        <f t="shared" si="63"/>
        <v>0</v>
      </c>
      <c r="BI59" s="16">
        <f t="shared" si="64"/>
        <v>0</v>
      </c>
      <c r="BJ59" s="16">
        <f t="shared" si="65"/>
        <v>0</v>
      </c>
    </row>
    <row r="60" spans="1:62" ht="12.75">
      <c r="A60" s="4" t="s">
        <v>46</v>
      </c>
      <c r="B60" s="4" t="s">
        <v>177</v>
      </c>
      <c r="C60" s="203" t="s">
        <v>327</v>
      </c>
      <c r="D60" s="204"/>
      <c r="E60" s="204"/>
      <c r="F60" s="4" t="s">
        <v>453</v>
      </c>
      <c r="G60" s="16">
        <v>2.15</v>
      </c>
      <c r="H60" s="22">
        <v>0</v>
      </c>
      <c r="I60" s="16">
        <f t="shared" si="44"/>
        <v>0</v>
      </c>
      <c r="J60" s="16">
        <f t="shared" si="45"/>
        <v>0</v>
      </c>
      <c r="K60" s="16">
        <f t="shared" si="46"/>
        <v>0</v>
      </c>
      <c r="L60" s="32" t="s">
        <v>473</v>
      </c>
      <c r="Z60" s="38">
        <f t="shared" si="47"/>
        <v>0</v>
      </c>
      <c r="AB60" s="38">
        <f t="shared" si="48"/>
        <v>0</v>
      </c>
      <c r="AC60" s="38">
        <f t="shared" si="49"/>
        <v>0</v>
      </c>
      <c r="AD60" s="38">
        <f t="shared" si="50"/>
        <v>0</v>
      </c>
      <c r="AE60" s="38">
        <f t="shared" si="51"/>
        <v>0</v>
      </c>
      <c r="AF60" s="38">
        <f t="shared" si="52"/>
        <v>0</v>
      </c>
      <c r="AG60" s="38">
        <f t="shared" si="53"/>
        <v>0</v>
      </c>
      <c r="AH60" s="38">
        <f t="shared" si="54"/>
        <v>0</v>
      </c>
      <c r="AI60" s="33"/>
      <c r="AJ60" s="16">
        <f t="shared" si="55"/>
        <v>0</v>
      </c>
      <c r="AK60" s="16">
        <f t="shared" si="56"/>
        <v>0</v>
      </c>
      <c r="AL60" s="16">
        <f t="shared" si="57"/>
        <v>0</v>
      </c>
      <c r="AN60" s="38">
        <v>21</v>
      </c>
      <c r="AO60" s="38">
        <f>H60*0.669173840599833</f>
        <v>0</v>
      </c>
      <c r="AP60" s="38">
        <f>H60*(1-0.669173840599833)</f>
        <v>0</v>
      </c>
      <c r="AQ60" s="32" t="s">
        <v>7</v>
      </c>
      <c r="AV60" s="38">
        <f t="shared" si="58"/>
        <v>0</v>
      </c>
      <c r="AW60" s="38">
        <f t="shared" si="59"/>
        <v>0</v>
      </c>
      <c r="AX60" s="38">
        <f t="shared" si="60"/>
        <v>0</v>
      </c>
      <c r="AY60" s="39" t="s">
        <v>492</v>
      </c>
      <c r="AZ60" s="39" t="s">
        <v>520</v>
      </c>
      <c r="BA60" s="33" t="s">
        <v>531</v>
      </c>
      <c r="BB60" s="33" t="s">
        <v>540</v>
      </c>
      <c r="BC60" s="38">
        <f t="shared" si="61"/>
        <v>0</v>
      </c>
      <c r="BD60" s="38">
        <f t="shared" si="62"/>
        <v>0</v>
      </c>
      <c r="BE60" s="38">
        <v>0</v>
      </c>
      <c r="BF60" s="38">
        <f>60</f>
        <v>60</v>
      </c>
      <c r="BH60" s="16">
        <f t="shared" si="63"/>
        <v>0</v>
      </c>
      <c r="BI60" s="16">
        <f t="shared" si="64"/>
        <v>0</v>
      </c>
      <c r="BJ60" s="16">
        <f t="shared" si="65"/>
        <v>0</v>
      </c>
    </row>
    <row r="61" spans="1:62" ht="12.75">
      <c r="A61" s="4" t="s">
        <v>47</v>
      </c>
      <c r="B61" s="4" t="s">
        <v>178</v>
      </c>
      <c r="C61" s="203" t="s">
        <v>328</v>
      </c>
      <c r="D61" s="204"/>
      <c r="E61" s="204"/>
      <c r="F61" s="4" t="s">
        <v>449</v>
      </c>
      <c r="G61" s="16">
        <v>22</v>
      </c>
      <c r="H61" s="22">
        <v>0</v>
      </c>
      <c r="I61" s="16">
        <f t="shared" si="44"/>
        <v>0</v>
      </c>
      <c r="J61" s="16">
        <f t="shared" si="45"/>
        <v>0</v>
      </c>
      <c r="K61" s="16">
        <f t="shared" si="46"/>
        <v>0</v>
      </c>
      <c r="L61" s="32" t="s">
        <v>473</v>
      </c>
      <c r="Z61" s="38">
        <f t="shared" si="47"/>
        <v>0</v>
      </c>
      <c r="AB61" s="38">
        <f t="shared" si="48"/>
        <v>0</v>
      </c>
      <c r="AC61" s="38">
        <f t="shared" si="49"/>
        <v>0</v>
      </c>
      <c r="AD61" s="38">
        <f t="shared" si="50"/>
        <v>0</v>
      </c>
      <c r="AE61" s="38">
        <f t="shared" si="51"/>
        <v>0</v>
      </c>
      <c r="AF61" s="38">
        <f t="shared" si="52"/>
        <v>0</v>
      </c>
      <c r="AG61" s="38">
        <f t="shared" si="53"/>
        <v>0</v>
      </c>
      <c r="AH61" s="38">
        <f t="shared" si="54"/>
        <v>0</v>
      </c>
      <c r="AI61" s="33"/>
      <c r="AJ61" s="16">
        <f t="shared" si="55"/>
        <v>0</v>
      </c>
      <c r="AK61" s="16">
        <f t="shared" si="56"/>
        <v>0</v>
      </c>
      <c r="AL61" s="16">
        <f t="shared" si="57"/>
        <v>0</v>
      </c>
      <c r="AN61" s="38">
        <v>21</v>
      </c>
      <c r="AO61" s="38">
        <f>H61*0.224678396261242</f>
        <v>0</v>
      </c>
      <c r="AP61" s="38">
        <f>H61*(1-0.224678396261242)</f>
        <v>0</v>
      </c>
      <c r="AQ61" s="32" t="s">
        <v>7</v>
      </c>
      <c r="AV61" s="38">
        <f t="shared" si="58"/>
        <v>0</v>
      </c>
      <c r="AW61" s="38">
        <f t="shared" si="59"/>
        <v>0</v>
      </c>
      <c r="AX61" s="38">
        <f t="shared" si="60"/>
        <v>0</v>
      </c>
      <c r="AY61" s="39" t="s">
        <v>492</v>
      </c>
      <c r="AZ61" s="39" t="s">
        <v>520</v>
      </c>
      <c r="BA61" s="33" t="s">
        <v>531</v>
      </c>
      <c r="BB61" s="33" t="s">
        <v>540</v>
      </c>
      <c r="BC61" s="38">
        <f t="shared" si="61"/>
        <v>0</v>
      </c>
      <c r="BD61" s="38">
        <f t="shared" si="62"/>
        <v>0</v>
      </c>
      <c r="BE61" s="38">
        <v>0</v>
      </c>
      <c r="BF61" s="38">
        <f>61</f>
        <v>61</v>
      </c>
      <c r="BH61" s="16">
        <f t="shared" si="63"/>
        <v>0</v>
      </c>
      <c r="BI61" s="16">
        <f t="shared" si="64"/>
        <v>0</v>
      </c>
      <c r="BJ61" s="16">
        <f t="shared" si="65"/>
        <v>0</v>
      </c>
    </row>
    <row r="62" spans="1:62" ht="12.75">
      <c r="A62" s="4" t="s">
        <v>48</v>
      </c>
      <c r="B62" s="4" t="s">
        <v>179</v>
      </c>
      <c r="C62" s="203" t="s">
        <v>329</v>
      </c>
      <c r="D62" s="204"/>
      <c r="E62" s="204"/>
      <c r="F62" s="4" t="s">
        <v>452</v>
      </c>
      <c r="G62" s="16">
        <v>2.31</v>
      </c>
      <c r="H62" s="22">
        <v>0</v>
      </c>
      <c r="I62" s="16">
        <f t="shared" si="44"/>
        <v>0</v>
      </c>
      <c r="J62" s="16">
        <f t="shared" si="45"/>
        <v>0</v>
      </c>
      <c r="K62" s="16">
        <f t="shared" si="46"/>
        <v>0</v>
      </c>
      <c r="L62" s="32" t="s">
        <v>473</v>
      </c>
      <c r="Z62" s="38">
        <f t="shared" si="47"/>
        <v>0</v>
      </c>
      <c r="AB62" s="38">
        <f t="shared" si="48"/>
        <v>0</v>
      </c>
      <c r="AC62" s="38">
        <f t="shared" si="49"/>
        <v>0</v>
      </c>
      <c r="AD62" s="38">
        <f t="shared" si="50"/>
        <v>0</v>
      </c>
      <c r="AE62" s="38">
        <f t="shared" si="51"/>
        <v>0</v>
      </c>
      <c r="AF62" s="38">
        <f t="shared" si="52"/>
        <v>0</v>
      </c>
      <c r="AG62" s="38">
        <f t="shared" si="53"/>
        <v>0</v>
      </c>
      <c r="AH62" s="38">
        <f t="shared" si="54"/>
        <v>0</v>
      </c>
      <c r="AI62" s="33"/>
      <c r="AJ62" s="16">
        <f t="shared" si="55"/>
        <v>0</v>
      </c>
      <c r="AK62" s="16">
        <f t="shared" si="56"/>
        <v>0</v>
      </c>
      <c r="AL62" s="16">
        <f t="shared" si="57"/>
        <v>0</v>
      </c>
      <c r="AN62" s="38">
        <v>21</v>
      </c>
      <c r="AO62" s="38">
        <f>H62*0.265269571639586</f>
        <v>0</v>
      </c>
      <c r="AP62" s="38">
        <f>H62*(1-0.265269571639586)</f>
        <v>0</v>
      </c>
      <c r="AQ62" s="32" t="s">
        <v>7</v>
      </c>
      <c r="AV62" s="38">
        <f t="shared" si="58"/>
        <v>0</v>
      </c>
      <c r="AW62" s="38">
        <f t="shared" si="59"/>
        <v>0</v>
      </c>
      <c r="AX62" s="38">
        <f t="shared" si="60"/>
        <v>0</v>
      </c>
      <c r="AY62" s="39" t="s">
        <v>492</v>
      </c>
      <c r="AZ62" s="39" t="s">
        <v>520</v>
      </c>
      <c r="BA62" s="33" t="s">
        <v>531</v>
      </c>
      <c r="BB62" s="33" t="s">
        <v>540</v>
      </c>
      <c r="BC62" s="38">
        <f t="shared" si="61"/>
        <v>0</v>
      </c>
      <c r="BD62" s="38">
        <f t="shared" si="62"/>
        <v>0</v>
      </c>
      <c r="BE62" s="38">
        <v>0</v>
      </c>
      <c r="BF62" s="38">
        <f>62</f>
        <v>62</v>
      </c>
      <c r="BH62" s="16">
        <f t="shared" si="63"/>
        <v>0</v>
      </c>
      <c r="BI62" s="16">
        <f t="shared" si="64"/>
        <v>0</v>
      </c>
      <c r="BJ62" s="16">
        <f t="shared" si="65"/>
        <v>0</v>
      </c>
    </row>
    <row r="63" spans="1:47" ht="12.75">
      <c r="A63" s="5"/>
      <c r="B63" s="13" t="s">
        <v>34</v>
      </c>
      <c r="C63" s="205" t="s">
        <v>330</v>
      </c>
      <c r="D63" s="206"/>
      <c r="E63" s="206"/>
      <c r="F63" s="5" t="s">
        <v>6</v>
      </c>
      <c r="G63" s="5" t="s">
        <v>6</v>
      </c>
      <c r="H63" s="23" t="s">
        <v>6</v>
      </c>
      <c r="I63" s="41">
        <f>SUM(I64:I64)</f>
        <v>0</v>
      </c>
      <c r="J63" s="41">
        <f>SUM(J64:J64)</f>
        <v>0</v>
      </c>
      <c r="K63" s="41">
        <f>SUM(K64:K64)</f>
        <v>0</v>
      </c>
      <c r="L63" s="33"/>
      <c r="AI63" s="33"/>
      <c r="AS63" s="41">
        <f>SUM(AJ64:AJ64)</f>
        <v>0</v>
      </c>
      <c r="AT63" s="41">
        <f>SUM(AK64:AK64)</f>
        <v>0</v>
      </c>
      <c r="AU63" s="41">
        <f>SUM(AL64:AL64)</f>
        <v>0</v>
      </c>
    </row>
    <row r="64" spans="1:62" ht="12.75">
      <c r="A64" s="4" t="s">
        <v>49</v>
      </c>
      <c r="B64" s="4" t="s">
        <v>180</v>
      </c>
      <c r="C64" s="203" t="s">
        <v>331</v>
      </c>
      <c r="D64" s="204"/>
      <c r="E64" s="204"/>
      <c r="F64" s="4" t="s">
        <v>447</v>
      </c>
      <c r="G64" s="16">
        <v>76.54</v>
      </c>
      <c r="H64" s="22">
        <v>0</v>
      </c>
      <c r="I64" s="16">
        <f>G64*AO64</f>
        <v>0</v>
      </c>
      <c r="J64" s="16">
        <f>G64*AP64</f>
        <v>0</v>
      </c>
      <c r="K64" s="16">
        <f>G64*H64</f>
        <v>0</v>
      </c>
      <c r="L64" s="32" t="s">
        <v>473</v>
      </c>
      <c r="Z64" s="38">
        <f>IF(AQ64="5",BJ64,0)</f>
        <v>0</v>
      </c>
      <c r="AB64" s="38">
        <f>IF(AQ64="1",BH64,0)</f>
        <v>0</v>
      </c>
      <c r="AC64" s="38">
        <f>IF(AQ64="1",BI64,0)</f>
        <v>0</v>
      </c>
      <c r="AD64" s="38">
        <f>IF(AQ64="7",BH64,0)</f>
        <v>0</v>
      </c>
      <c r="AE64" s="38">
        <f>IF(AQ64="7",BI64,0)</f>
        <v>0</v>
      </c>
      <c r="AF64" s="38">
        <f>IF(AQ64="2",BH64,0)</f>
        <v>0</v>
      </c>
      <c r="AG64" s="38">
        <f>IF(AQ64="2",BI64,0)</f>
        <v>0</v>
      </c>
      <c r="AH64" s="38">
        <f>IF(AQ64="0",BJ64,0)</f>
        <v>0</v>
      </c>
      <c r="AI64" s="33"/>
      <c r="AJ64" s="16">
        <f>IF(AN64=0,K64,0)</f>
        <v>0</v>
      </c>
      <c r="AK64" s="16">
        <f>IF(AN64=15,K64,0)</f>
        <v>0</v>
      </c>
      <c r="AL64" s="16">
        <f>IF(AN64=21,K64,0)</f>
        <v>0</v>
      </c>
      <c r="AN64" s="38">
        <v>21</v>
      </c>
      <c r="AO64" s="38">
        <f>H64*0.295137733508013</f>
        <v>0</v>
      </c>
      <c r="AP64" s="38">
        <f>H64*(1-0.295137733508013)</f>
        <v>0</v>
      </c>
      <c r="AQ64" s="32" t="s">
        <v>7</v>
      </c>
      <c r="AV64" s="38">
        <f>AW64+AX64</f>
        <v>0</v>
      </c>
      <c r="AW64" s="38">
        <f>G64*AO64</f>
        <v>0</v>
      </c>
      <c r="AX64" s="38">
        <f>G64*AP64</f>
        <v>0</v>
      </c>
      <c r="AY64" s="39" t="s">
        <v>493</v>
      </c>
      <c r="AZ64" s="39" t="s">
        <v>520</v>
      </c>
      <c r="BA64" s="33" t="s">
        <v>531</v>
      </c>
      <c r="BB64" s="33" t="s">
        <v>541</v>
      </c>
      <c r="BC64" s="38">
        <f>AW64+AX64</f>
        <v>0</v>
      </c>
      <c r="BD64" s="38">
        <f>H64/(100-BE64)*100</f>
        <v>0</v>
      </c>
      <c r="BE64" s="38">
        <v>0</v>
      </c>
      <c r="BF64" s="38">
        <f>64</f>
        <v>64</v>
      </c>
      <c r="BH64" s="16">
        <f>G64*AO64</f>
        <v>0</v>
      </c>
      <c r="BI64" s="16">
        <f>G64*AP64</f>
        <v>0</v>
      </c>
      <c r="BJ64" s="16">
        <f>G64*H64</f>
        <v>0</v>
      </c>
    </row>
    <row r="65" spans="1:47" ht="12.75">
      <c r="A65" s="5"/>
      <c r="B65" s="13" t="s">
        <v>37</v>
      </c>
      <c r="C65" s="205" t="s">
        <v>332</v>
      </c>
      <c r="D65" s="206"/>
      <c r="E65" s="206"/>
      <c r="F65" s="5" t="s">
        <v>6</v>
      </c>
      <c r="G65" s="5" t="s">
        <v>6</v>
      </c>
      <c r="H65" s="23" t="s">
        <v>6</v>
      </c>
      <c r="I65" s="41">
        <f>SUM(I66:I69)</f>
        <v>0</v>
      </c>
      <c r="J65" s="41">
        <f>SUM(J66:J69)</f>
        <v>0</v>
      </c>
      <c r="K65" s="41">
        <f>SUM(K66:K69)</f>
        <v>0</v>
      </c>
      <c r="L65" s="33"/>
      <c r="AI65" s="33"/>
      <c r="AS65" s="41">
        <f>SUM(AJ66:AJ69)</f>
        <v>0</v>
      </c>
      <c r="AT65" s="41">
        <f>SUM(AK66:AK69)</f>
        <v>0</v>
      </c>
      <c r="AU65" s="41">
        <f>SUM(AL66:AL69)</f>
        <v>0</v>
      </c>
    </row>
    <row r="66" spans="1:62" ht="12.75">
      <c r="A66" s="4" t="s">
        <v>50</v>
      </c>
      <c r="B66" s="4" t="s">
        <v>181</v>
      </c>
      <c r="C66" s="203" t="s">
        <v>333</v>
      </c>
      <c r="D66" s="204"/>
      <c r="E66" s="204"/>
      <c r="F66" s="4" t="s">
        <v>447</v>
      </c>
      <c r="G66" s="16">
        <v>14.978</v>
      </c>
      <c r="H66" s="22">
        <v>0</v>
      </c>
      <c r="I66" s="16">
        <f>G66*AO66</f>
        <v>0</v>
      </c>
      <c r="J66" s="16">
        <f>G66*AP66</f>
        <v>0</v>
      </c>
      <c r="K66" s="16">
        <f>G66*H66</f>
        <v>0</v>
      </c>
      <c r="L66" s="32" t="s">
        <v>473</v>
      </c>
      <c r="Z66" s="38">
        <f>IF(AQ66="5",BJ66,0)</f>
        <v>0</v>
      </c>
      <c r="AB66" s="38">
        <f>IF(AQ66="1",BH66,0)</f>
        <v>0</v>
      </c>
      <c r="AC66" s="38">
        <f>IF(AQ66="1",BI66,0)</f>
        <v>0</v>
      </c>
      <c r="AD66" s="38">
        <f>IF(AQ66="7",BH66,0)</f>
        <v>0</v>
      </c>
      <c r="AE66" s="38">
        <f>IF(AQ66="7",BI66,0)</f>
        <v>0</v>
      </c>
      <c r="AF66" s="38">
        <f>IF(AQ66="2",BH66,0)</f>
        <v>0</v>
      </c>
      <c r="AG66" s="38">
        <f>IF(AQ66="2",BI66,0)</f>
        <v>0</v>
      </c>
      <c r="AH66" s="38">
        <f>IF(AQ66="0",BJ66,0)</f>
        <v>0</v>
      </c>
      <c r="AI66" s="33"/>
      <c r="AJ66" s="16">
        <f>IF(AN66=0,K66,0)</f>
        <v>0</v>
      </c>
      <c r="AK66" s="16">
        <f>IF(AN66=15,K66,0)</f>
        <v>0</v>
      </c>
      <c r="AL66" s="16">
        <f>IF(AN66=21,K66,0)</f>
        <v>0</v>
      </c>
      <c r="AN66" s="38">
        <v>21</v>
      </c>
      <c r="AO66" s="38">
        <f>H66*0.151127155781004</f>
        <v>0</v>
      </c>
      <c r="AP66" s="38">
        <f>H66*(1-0.151127155781004)</f>
        <v>0</v>
      </c>
      <c r="AQ66" s="32" t="s">
        <v>7</v>
      </c>
      <c r="AV66" s="38">
        <f>AW66+AX66</f>
        <v>0</v>
      </c>
      <c r="AW66" s="38">
        <f>G66*AO66</f>
        <v>0</v>
      </c>
      <c r="AX66" s="38">
        <f>G66*AP66</f>
        <v>0</v>
      </c>
      <c r="AY66" s="39" t="s">
        <v>494</v>
      </c>
      <c r="AZ66" s="39" t="s">
        <v>521</v>
      </c>
      <c r="BA66" s="33" t="s">
        <v>531</v>
      </c>
      <c r="BB66" s="33" t="s">
        <v>542</v>
      </c>
      <c r="BC66" s="38">
        <f>AW66+AX66</f>
        <v>0</v>
      </c>
      <c r="BD66" s="38">
        <f>H66/(100-BE66)*100</f>
        <v>0</v>
      </c>
      <c r="BE66" s="38">
        <v>0</v>
      </c>
      <c r="BF66" s="38">
        <f>66</f>
        <v>66</v>
      </c>
      <c r="BH66" s="16">
        <f>G66*AO66</f>
        <v>0</v>
      </c>
      <c r="BI66" s="16">
        <f>G66*AP66</f>
        <v>0</v>
      </c>
      <c r="BJ66" s="16">
        <f>G66*H66</f>
        <v>0</v>
      </c>
    </row>
    <row r="67" spans="1:62" ht="12.75">
      <c r="A67" s="4" t="s">
        <v>51</v>
      </c>
      <c r="B67" s="4" t="s">
        <v>182</v>
      </c>
      <c r="C67" s="203" t="s">
        <v>334</v>
      </c>
      <c r="D67" s="204"/>
      <c r="E67" s="204"/>
      <c r="F67" s="4" t="s">
        <v>447</v>
      </c>
      <c r="G67" s="16">
        <v>14.978</v>
      </c>
      <c r="H67" s="22">
        <v>0</v>
      </c>
      <c r="I67" s="16">
        <f>G67*AO67</f>
        <v>0</v>
      </c>
      <c r="J67" s="16">
        <f>G67*AP67</f>
        <v>0</v>
      </c>
      <c r="K67" s="16">
        <f>G67*H67</f>
        <v>0</v>
      </c>
      <c r="L67" s="32" t="s">
        <v>473</v>
      </c>
      <c r="Z67" s="38">
        <f>IF(AQ67="5",BJ67,0)</f>
        <v>0</v>
      </c>
      <c r="AB67" s="38">
        <f>IF(AQ67="1",BH67,0)</f>
        <v>0</v>
      </c>
      <c r="AC67" s="38">
        <f>IF(AQ67="1",BI67,0)</f>
        <v>0</v>
      </c>
      <c r="AD67" s="38">
        <f>IF(AQ67="7",BH67,0)</f>
        <v>0</v>
      </c>
      <c r="AE67" s="38">
        <f>IF(AQ67="7",BI67,0)</f>
        <v>0</v>
      </c>
      <c r="AF67" s="38">
        <f>IF(AQ67="2",BH67,0)</f>
        <v>0</v>
      </c>
      <c r="AG67" s="38">
        <f>IF(AQ67="2",BI67,0)</f>
        <v>0</v>
      </c>
      <c r="AH67" s="38">
        <f>IF(AQ67="0",BJ67,0)</f>
        <v>0</v>
      </c>
      <c r="AI67" s="33"/>
      <c r="AJ67" s="16">
        <f>IF(AN67=0,K67,0)</f>
        <v>0</v>
      </c>
      <c r="AK67" s="16">
        <f>IF(AN67=15,K67,0)</f>
        <v>0</v>
      </c>
      <c r="AL67" s="16">
        <f>IF(AN67=21,K67,0)</f>
        <v>0</v>
      </c>
      <c r="AN67" s="38">
        <v>21</v>
      </c>
      <c r="AO67" s="38">
        <f>H67*0</f>
        <v>0</v>
      </c>
      <c r="AP67" s="38">
        <f>H67*(1-0)</f>
        <v>0</v>
      </c>
      <c r="AQ67" s="32" t="s">
        <v>7</v>
      </c>
      <c r="AV67" s="38">
        <f>AW67+AX67</f>
        <v>0</v>
      </c>
      <c r="AW67" s="38">
        <f>G67*AO67</f>
        <v>0</v>
      </c>
      <c r="AX67" s="38">
        <f>G67*AP67</f>
        <v>0</v>
      </c>
      <c r="AY67" s="39" t="s">
        <v>494</v>
      </c>
      <c r="AZ67" s="39" t="s">
        <v>521</v>
      </c>
      <c r="BA67" s="33" t="s">
        <v>531</v>
      </c>
      <c r="BB67" s="33" t="s">
        <v>542</v>
      </c>
      <c r="BC67" s="38">
        <f>AW67+AX67</f>
        <v>0</v>
      </c>
      <c r="BD67" s="38">
        <f>H67/(100-BE67)*100</f>
        <v>0</v>
      </c>
      <c r="BE67" s="38">
        <v>0</v>
      </c>
      <c r="BF67" s="38">
        <f>67</f>
        <v>67</v>
      </c>
      <c r="BH67" s="16">
        <f>G67*AO67</f>
        <v>0</v>
      </c>
      <c r="BI67" s="16">
        <f>G67*AP67</f>
        <v>0</v>
      </c>
      <c r="BJ67" s="16">
        <f>G67*H67</f>
        <v>0</v>
      </c>
    </row>
    <row r="68" spans="1:62" ht="12.75">
      <c r="A68" s="4" t="s">
        <v>52</v>
      </c>
      <c r="B68" s="4" t="s">
        <v>183</v>
      </c>
      <c r="C68" s="203" t="s">
        <v>335</v>
      </c>
      <c r="D68" s="204"/>
      <c r="E68" s="204"/>
      <c r="F68" s="4" t="s">
        <v>452</v>
      </c>
      <c r="G68" s="16">
        <v>3.739</v>
      </c>
      <c r="H68" s="22">
        <v>0</v>
      </c>
      <c r="I68" s="16">
        <f>G68*AO68</f>
        <v>0</v>
      </c>
      <c r="J68" s="16">
        <f>G68*AP68</f>
        <v>0</v>
      </c>
      <c r="K68" s="16">
        <f>G68*H68</f>
        <v>0</v>
      </c>
      <c r="L68" s="32" t="s">
        <v>473</v>
      </c>
      <c r="Z68" s="38">
        <f>IF(AQ68="5",BJ68,0)</f>
        <v>0</v>
      </c>
      <c r="AB68" s="38">
        <f>IF(AQ68="1",BH68,0)</f>
        <v>0</v>
      </c>
      <c r="AC68" s="38">
        <f>IF(AQ68="1",BI68,0)</f>
        <v>0</v>
      </c>
      <c r="AD68" s="38">
        <f>IF(AQ68="7",BH68,0)</f>
        <v>0</v>
      </c>
      <c r="AE68" s="38">
        <f>IF(AQ68="7",BI68,0)</f>
        <v>0</v>
      </c>
      <c r="AF68" s="38">
        <f>IF(AQ68="2",BH68,0)</f>
        <v>0</v>
      </c>
      <c r="AG68" s="38">
        <f>IF(AQ68="2",BI68,0)</f>
        <v>0</v>
      </c>
      <c r="AH68" s="38">
        <f>IF(AQ68="0",BJ68,0)</f>
        <v>0</v>
      </c>
      <c r="AI68" s="33"/>
      <c r="AJ68" s="16">
        <f>IF(AN68=0,K68,0)</f>
        <v>0</v>
      </c>
      <c r="AK68" s="16">
        <f>IF(AN68=15,K68,0)</f>
        <v>0</v>
      </c>
      <c r="AL68" s="16">
        <f>IF(AN68=21,K68,0)</f>
        <v>0</v>
      </c>
      <c r="AN68" s="38">
        <v>21</v>
      </c>
      <c r="AO68" s="38">
        <f>H68*0.716519111568178</f>
        <v>0</v>
      </c>
      <c r="AP68" s="38">
        <f>H68*(1-0.716519111568178)</f>
        <v>0</v>
      </c>
      <c r="AQ68" s="32" t="s">
        <v>7</v>
      </c>
      <c r="AV68" s="38">
        <f>AW68+AX68</f>
        <v>0</v>
      </c>
      <c r="AW68" s="38">
        <f>G68*AO68</f>
        <v>0</v>
      </c>
      <c r="AX68" s="38">
        <f>G68*AP68</f>
        <v>0</v>
      </c>
      <c r="AY68" s="39" t="s">
        <v>494</v>
      </c>
      <c r="AZ68" s="39" t="s">
        <v>521</v>
      </c>
      <c r="BA68" s="33" t="s">
        <v>531</v>
      </c>
      <c r="BB68" s="33" t="s">
        <v>542</v>
      </c>
      <c r="BC68" s="38">
        <f>AW68+AX68</f>
        <v>0</v>
      </c>
      <c r="BD68" s="38">
        <f>H68/(100-BE68)*100</f>
        <v>0</v>
      </c>
      <c r="BE68" s="38">
        <v>0</v>
      </c>
      <c r="BF68" s="38">
        <f>68</f>
        <v>68</v>
      </c>
      <c r="BH68" s="16">
        <f>G68*AO68</f>
        <v>0</v>
      </c>
      <c r="BI68" s="16">
        <f>G68*AP68</f>
        <v>0</v>
      </c>
      <c r="BJ68" s="16">
        <f>G68*H68</f>
        <v>0</v>
      </c>
    </row>
    <row r="69" spans="1:62" ht="12.75">
      <c r="A69" s="4" t="s">
        <v>53</v>
      </c>
      <c r="B69" s="4" t="s">
        <v>184</v>
      </c>
      <c r="C69" s="203" t="s">
        <v>336</v>
      </c>
      <c r="D69" s="204"/>
      <c r="E69" s="204"/>
      <c r="F69" s="4" t="s">
        <v>453</v>
      </c>
      <c r="G69" s="16">
        <v>0.513</v>
      </c>
      <c r="H69" s="22">
        <v>0</v>
      </c>
      <c r="I69" s="16">
        <f>G69*AO69</f>
        <v>0</v>
      </c>
      <c r="J69" s="16">
        <f>G69*AP69</f>
        <v>0</v>
      </c>
      <c r="K69" s="16">
        <f>G69*H69</f>
        <v>0</v>
      </c>
      <c r="L69" s="32" t="s">
        <v>473</v>
      </c>
      <c r="Z69" s="38">
        <f>IF(AQ69="5",BJ69,0)</f>
        <v>0</v>
      </c>
      <c r="AB69" s="38">
        <f>IF(AQ69="1",BH69,0)</f>
        <v>0</v>
      </c>
      <c r="AC69" s="38">
        <f>IF(AQ69="1",BI69,0)</f>
        <v>0</v>
      </c>
      <c r="AD69" s="38">
        <f>IF(AQ69="7",BH69,0)</f>
        <v>0</v>
      </c>
      <c r="AE69" s="38">
        <f>IF(AQ69="7",BI69,0)</f>
        <v>0</v>
      </c>
      <c r="AF69" s="38">
        <f>IF(AQ69="2",BH69,0)</f>
        <v>0</v>
      </c>
      <c r="AG69" s="38">
        <f>IF(AQ69="2",BI69,0)</f>
        <v>0</v>
      </c>
      <c r="AH69" s="38">
        <f>IF(AQ69="0",BJ69,0)</f>
        <v>0</v>
      </c>
      <c r="AI69" s="33"/>
      <c r="AJ69" s="16">
        <f>IF(AN69=0,K69,0)</f>
        <v>0</v>
      </c>
      <c r="AK69" s="16">
        <f>IF(AN69=15,K69,0)</f>
        <v>0</v>
      </c>
      <c r="AL69" s="16">
        <f>IF(AN69=21,K69,0)</f>
        <v>0</v>
      </c>
      <c r="AN69" s="38">
        <v>21</v>
      </c>
      <c r="AO69" s="38">
        <f>H69*0.519091552410438</f>
        <v>0</v>
      </c>
      <c r="AP69" s="38">
        <f>H69*(1-0.519091552410438)</f>
        <v>0</v>
      </c>
      <c r="AQ69" s="32" t="s">
        <v>7</v>
      </c>
      <c r="AV69" s="38">
        <f>AW69+AX69</f>
        <v>0</v>
      </c>
      <c r="AW69" s="38">
        <f>G69*AO69</f>
        <v>0</v>
      </c>
      <c r="AX69" s="38">
        <f>G69*AP69</f>
        <v>0</v>
      </c>
      <c r="AY69" s="39" t="s">
        <v>494</v>
      </c>
      <c r="AZ69" s="39" t="s">
        <v>521</v>
      </c>
      <c r="BA69" s="33" t="s">
        <v>531</v>
      </c>
      <c r="BB69" s="33" t="s">
        <v>542</v>
      </c>
      <c r="BC69" s="38">
        <f>AW69+AX69</f>
        <v>0</v>
      </c>
      <c r="BD69" s="38">
        <f>H69/(100-BE69)*100</f>
        <v>0</v>
      </c>
      <c r="BE69" s="38">
        <v>0</v>
      </c>
      <c r="BF69" s="38">
        <f>69</f>
        <v>69</v>
      </c>
      <c r="BH69" s="16">
        <f>G69*AO69</f>
        <v>0</v>
      </c>
      <c r="BI69" s="16">
        <f>G69*AP69</f>
        <v>0</v>
      </c>
      <c r="BJ69" s="16">
        <f>G69*H69</f>
        <v>0</v>
      </c>
    </row>
    <row r="70" spans="1:47" ht="12.75">
      <c r="A70" s="5"/>
      <c r="B70" s="13" t="s">
        <v>38</v>
      </c>
      <c r="C70" s="205" t="s">
        <v>337</v>
      </c>
      <c r="D70" s="206"/>
      <c r="E70" s="206"/>
      <c r="F70" s="5" t="s">
        <v>6</v>
      </c>
      <c r="G70" s="5" t="s">
        <v>6</v>
      </c>
      <c r="H70" s="23" t="s">
        <v>6</v>
      </c>
      <c r="I70" s="41">
        <f>SUM(I71:I71)</f>
        <v>0</v>
      </c>
      <c r="J70" s="41">
        <f>SUM(J71:J71)</f>
        <v>0</v>
      </c>
      <c r="K70" s="41">
        <f>SUM(K71:K71)</f>
        <v>0</v>
      </c>
      <c r="L70" s="33"/>
      <c r="AI70" s="33"/>
      <c r="AS70" s="41">
        <f>SUM(AJ71:AJ71)</f>
        <v>0</v>
      </c>
      <c r="AT70" s="41">
        <f>SUM(AK71:AK71)</f>
        <v>0</v>
      </c>
      <c r="AU70" s="41">
        <f>SUM(AL71:AL71)</f>
        <v>0</v>
      </c>
    </row>
    <row r="71" spans="1:62" ht="12.75">
      <c r="A71" s="4" t="s">
        <v>54</v>
      </c>
      <c r="B71" s="4" t="s">
        <v>185</v>
      </c>
      <c r="C71" s="203" t="s">
        <v>338</v>
      </c>
      <c r="D71" s="204"/>
      <c r="E71" s="204"/>
      <c r="F71" s="4" t="s">
        <v>452</v>
      </c>
      <c r="G71" s="16">
        <v>3.035</v>
      </c>
      <c r="H71" s="22">
        <v>0</v>
      </c>
      <c r="I71" s="16">
        <f>G71*AO71</f>
        <v>0</v>
      </c>
      <c r="J71" s="16">
        <f>G71*AP71</f>
        <v>0</v>
      </c>
      <c r="K71" s="16">
        <f>G71*H71</f>
        <v>0</v>
      </c>
      <c r="L71" s="32" t="s">
        <v>473</v>
      </c>
      <c r="Z71" s="38">
        <f>IF(AQ71="5",BJ71,0)</f>
        <v>0</v>
      </c>
      <c r="AB71" s="38">
        <f>IF(AQ71="1",BH71,0)</f>
        <v>0</v>
      </c>
      <c r="AC71" s="38">
        <f>IF(AQ71="1",BI71,0)</f>
        <v>0</v>
      </c>
      <c r="AD71" s="38">
        <f>IF(AQ71="7",BH71,0)</f>
        <v>0</v>
      </c>
      <c r="AE71" s="38">
        <f>IF(AQ71="7",BI71,0)</f>
        <v>0</v>
      </c>
      <c r="AF71" s="38">
        <f>IF(AQ71="2",BH71,0)</f>
        <v>0</v>
      </c>
      <c r="AG71" s="38">
        <f>IF(AQ71="2",BI71,0)</f>
        <v>0</v>
      </c>
      <c r="AH71" s="38">
        <f>IF(AQ71="0",BJ71,0)</f>
        <v>0</v>
      </c>
      <c r="AI71" s="33"/>
      <c r="AJ71" s="16">
        <f>IF(AN71=0,K71,0)</f>
        <v>0</v>
      </c>
      <c r="AK71" s="16">
        <f>IF(AN71=15,K71,0)</f>
        <v>0</v>
      </c>
      <c r="AL71" s="16">
        <f>IF(AN71=21,K71,0)</f>
        <v>0</v>
      </c>
      <c r="AN71" s="38">
        <v>21</v>
      </c>
      <c r="AO71" s="38">
        <f>H71*0.372219072164948</f>
        <v>0</v>
      </c>
      <c r="AP71" s="38">
        <f>H71*(1-0.372219072164948)</f>
        <v>0</v>
      </c>
      <c r="AQ71" s="32" t="s">
        <v>7</v>
      </c>
      <c r="AV71" s="38">
        <f>AW71+AX71</f>
        <v>0</v>
      </c>
      <c r="AW71" s="38">
        <f>G71*AO71</f>
        <v>0</v>
      </c>
      <c r="AX71" s="38">
        <f>G71*AP71</f>
        <v>0</v>
      </c>
      <c r="AY71" s="39" t="s">
        <v>495</v>
      </c>
      <c r="AZ71" s="39" t="s">
        <v>521</v>
      </c>
      <c r="BA71" s="33" t="s">
        <v>531</v>
      </c>
      <c r="BB71" s="33" t="s">
        <v>543</v>
      </c>
      <c r="BC71" s="38">
        <f>AW71+AX71</f>
        <v>0</v>
      </c>
      <c r="BD71" s="38">
        <f>H71/(100-BE71)*100</f>
        <v>0</v>
      </c>
      <c r="BE71" s="38">
        <v>0</v>
      </c>
      <c r="BF71" s="38">
        <f>71</f>
        <v>71</v>
      </c>
      <c r="BH71" s="16">
        <f>G71*AO71</f>
        <v>0</v>
      </c>
      <c r="BI71" s="16">
        <f>G71*AP71</f>
        <v>0</v>
      </c>
      <c r="BJ71" s="16">
        <f>G71*H71</f>
        <v>0</v>
      </c>
    </row>
    <row r="72" spans="1:47" ht="12.75">
      <c r="A72" s="5"/>
      <c r="B72" s="13" t="s">
        <v>39</v>
      </c>
      <c r="C72" s="205" t="s">
        <v>339</v>
      </c>
      <c r="D72" s="206"/>
      <c r="E72" s="206"/>
      <c r="F72" s="5" t="s">
        <v>6</v>
      </c>
      <c r="G72" s="5" t="s">
        <v>6</v>
      </c>
      <c r="H72" s="23" t="s">
        <v>6</v>
      </c>
      <c r="I72" s="41">
        <f>SUM(I73:I80)</f>
        <v>0</v>
      </c>
      <c r="J72" s="41">
        <f>SUM(J73:J80)</f>
        <v>0</v>
      </c>
      <c r="K72" s="41">
        <f>SUM(K73:K80)</f>
        <v>0</v>
      </c>
      <c r="L72" s="33"/>
      <c r="AI72" s="33"/>
      <c r="AS72" s="41">
        <f>SUM(AJ73:AJ80)</f>
        <v>0</v>
      </c>
      <c r="AT72" s="41">
        <f>SUM(AK73:AK80)</f>
        <v>0</v>
      </c>
      <c r="AU72" s="41">
        <f>SUM(AL73:AL80)</f>
        <v>0</v>
      </c>
    </row>
    <row r="73" spans="1:62" ht="12.75">
      <c r="A73" s="4" t="s">
        <v>55</v>
      </c>
      <c r="B73" s="4" t="s">
        <v>186</v>
      </c>
      <c r="C73" s="203" t="s">
        <v>340</v>
      </c>
      <c r="D73" s="204"/>
      <c r="E73" s="204"/>
      <c r="F73" s="4" t="s">
        <v>453</v>
      </c>
      <c r="G73" s="16">
        <v>1.95</v>
      </c>
      <c r="H73" s="22">
        <v>0</v>
      </c>
      <c r="I73" s="16">
        <f aca="true" t="shared" si="66" ref="I73:I80">G73*AO73</f>
        <v>0</v>
      </c>
      <c r="J73" s="16">
        <f aca="true" t="shared" si="67" ref="J73:J80">G73*AP73</f>
        <v>0</v>
      </c>
      <c r="K73" s="16">
        <f aca="true" t="shared" si="68" ref="K73:K80">G73*H73</f>
        <v>0</v>
      </c>
      <c r="L73" s="32" t="s">
        <v>473</v>
      </c>
      <c r="Z73" s="38">
        <f aca="true" t="shared" si="69" ref="Z73:Z80">IF(AQ73="5",BJ73,0)</f>
        <v>0</v>
      </c>
      <c r="AB73" s="38">
        <f aca="true" t="shared" si="70" ref="AB73:AB80">IF(AQ73="1",BH73,0)</f>
        <v>0</v>
      </c>
      <c r="AC73" s="38">
        <f aca="true" t="shared" si="71" ref="AC73:AC80">IF(AQ73="1",BI73,0)</f>
        <v>0</v>
      </c>
      <c r="AD73" s="38">
        <f aca="true" t="shared" si="72" ref="AD73:AD80">IF(AQ73="7",BH73,0)</f>
        <v>0</v>
      </c>
      <c r="AE73" s="38">
        <f aca="true" t="shared" si="73" ref="AE73:AE80">IF(AQ73="7",BI73,0)</f>
        <v>0</v>
      </c>
      <c r="AF73" s="38">
        <f aca="true" t="shared" si="74" ref="AF73:AF80">IF(AQ73="2",BH73,0)</f>
        <v>0</v>
      </c>
      <c r="AG73" s="38">
        <f aca="true" t="shared" si="75" ref="AG73:AG80">IF(AQ73="2",BI73,0)</f>
        <v>0</v>
      </c>
      <c r="AH73" s="38">
        <f aca="true" t="shared" si="76" ref="AH73:AH80">IF(AQ73="0",BJ73,0)</f>
        <v>0</v>
      </c>
      <c r="AI73" s="33"/>
      <c r="AJ73" s="16">
        <f aca="true" t="shared" si="77" ref="AJ73:AJ80">IF(AN73=0,K73,0)</f>
        <v>0</v>
      </c>
      <c r="AK73" s="16">
        <f aca="true" t="shared" si="78" ref="AK73:AK80">IF(AN73=15,K73,0)</f>
        <v>0</v>
      </c>
      <c r="AL73" s="16">
        <f aca="true" t="shared" si="79" ref="AL73:AL80">IF(AN73=21,K73,0)</f>
        <v>0</v>
      </c>
      <c r="AN73" s="38">
        <v>21</v>
      </c>
      <c r="AO73" s="38">
        <f>H73*0.581229936455637</f>
        <v>0</v>
      </c>
      <c r="AP73" s="38">
        <f>H73*(1-0.581229936455637)</f>
        <v>0</v>
      </c>
      <c r="AQ73" s="32" t="s">
        <v>7</v>
      </c>
      <c r="AV73" s="38">
        <f aca="true" t="shared" si="80" ref="AV73:AV80">AW73+AX73</f>
        <v>0</v>
      </c>
      <c r="AW73" s="38">
        <f aca="true" t="shared" si="81" ref="AW73:AW80">G73*AO73</f>
        <v>0</v>
      </c>
      <c r="AX73" s="38">
        <f aca="true" t="shared" si="82" ref="AX73:AX80">G73*AP73</f>
        <v>0</v>
      </c>
      <c r="AY73" s="39" t="s">
        <v>496</v>
      </c>
      <c r="AZ73" s="39" t="s">
        <v>521</v>
      </c>
      <c r="BA73" s="33" t="s">
        <v>531</v>
      </c>
      <c r="BB73" s="33" t="s">
        <v>544</v>
      </c>
      <c r="BC73" s="38">
        <f aca="true" t="shared" si="83" ref="BC73:BC80">AW73+AX73</f>
        <v>0</v>
      </c>
      <c r="BD73" s="38">
        <f aca="true" t="shared" si="84" ref="BD73:BD80">H73/(100-BE73)*100</f>
        <v>0</v>
      </c>
      <c r="BE73" s="38">
        <v>0</v>
      </c>
      <c r="BF73" s="38">
        <f>73</f>
        <v>73</v>
      </c>
      <c r="BH73" s="16">
        <f aca="true" t="shared" si="85" ref="BH73:BH80">G73*AO73</f>
        <v>0</v>
      </c>
      <c r="BI73" s="16">
        <f aca="true" t="shared" si="86" ref="BI73:BI80">G73*AP73</f>
        <v>0</v>
      </c>
      <c r="BJ73" s="16">
        <f aca="true" t="shared" si="87" ref="BJ73:BJ80">G73*H73</f>
        <v>0</v>
      </c>
    </row>
    <row r="74" spans="1:62" ht="12.75">
      <c r="A74" s="4" t="s">
        <v>56</v>
      </c>
      <c r="B74" s="4" t="s">
        <v>187</v>
      </c>
      <c r="C74" s="203" t="s">
        <v>341</v>
      </c>
      <c r="D74" s="204"/>
      <c r="E74" s="204"/>
      <c r="F74" s="4" t="s">
        <v>447</v>
      </c>
      <c r="G74" s="16">
        <v>76.889</v>
      </c>
      <c r="H74" s="22">
        <v>0</v>
      </c>
      <c r="I74" s="16">
        <f t="shared" si="66"/>
        <v>0</v>
      </c>
      <c r="J74" s="16">
        <f t="shared" si="67"/>
        <v>0</v>
      </c>
      <c r="K74" s="16">
        <f t="shared" si="68"/>
        <v>0</v>
      </c>
      <c r="L74" s="32" t="s">
        <v>473</v>
      </c>
      <c r="Z74" s="38">
        <f t="shared" si="69"/>
        <v>0</v>
      </c>
      <c r="AB74" s="38">
        <f t="shared" si="70"/>
        <v>0</v>
      </c>
      <c r="AC74" s="38">
        <f t="shared" si="71"/>
        <v>0</v>
      </c>
      <c r="AD74" s="38">
        <f t="shared" si="72"/>
        <v>0</v>
      </c>
      <c r="AE74" s="38">
        <f t="shared" si="73"/>
        <v>0</v>
      </c>
      <c r="AF74" s="38">
        <f t="shared" si="74"/>
        <v>0</v>
      </c>
      <c r="AG74" s="38">
        <f t="shared" si="75"/>
        <v>0</v>
      </c>
      <c r="AH74" s="38">
        <f t="shared" si="76"/>
        <v>0</v>
      </c>
      <c r="AI74" s="33"/>
      <c r="AJ74" s="16">
        <f t="shared" si="77"/>
        <v>0</v>
      </c>
      <c r="AK74" s="16">
        <f t="shared" si="78"/>
        <v>0</v>
      </c>
      <c r="AL74" s="16">
        <f t="shared" si="79"/>
        <v>0</v>
      </c>
      <c r="AN74" s="38">
        <v>21</v>
      </c>
      <c r="AO74" s="38">
        <f>H74*0.463620910377224</f>
        <v>0</v>
      </c>
      <c r="AP74" s="38">
        <f>H74*(1-0.463620910377224)</f>
        <v>0</v>
      </c>
      <c r="AQ74" s="32" t="s">
        <v>7</v>
      </c>
      <c r="AV74" s="38">
        <f t="shared" si="80"/>
        <v>0</v>
      </c>
      <c r="AW74" s="38">
        <f t="shared" si="81"/>
        <v>0</v>
      </c>
      <c r="AX74" s="38">
        <f t="shared" si="82"/>
        <v>0</v>
      </c>
      <c r="AY74" s="39" t="s">
        <v>496</v>
      </c>
      <c r="AZ74" s="39" t="s">
        <v>521</v>
      </c>
      <c r="BA74" s="33" t="s">
        <v>531</v>
      </c>
      <c r="BB74" s="33" t="s">
        <v>544</v>
      </c>
      <c r="BC74" s="38">
        <f t="shared" si="83"/>
        <v>0</v>
      </c>
      <c r="BD74" s="38">
        <f t="shared" si="84"/>
        <v>0</v>
      </c>
      <c r="BE74" s="38">
        <v>0</v>
      </c>
      <c r="BF74" s="38">
        <f>74</f>
        <v>74</v>
      </c>
      <c r="BH74" s="16">
        <f t="shared" si="85"/>
        <v>0</v>
      </c>
      <c r="BI74" s="16">
        <f t="shared" si="86"/>
        <v>0</v>
      </c>
      <c r="BJ74" s="16">
        <f t="shared" si="87"/>
        <v>0</v>
      </c>
    </row>
    <row r="75" spans="1:62" ht="12.75">
      <c r="A75" s="4" t="s">
        <v>57</v>
      </c>
      <c r="B75" s="4" t="s">
        <v>188</v>
      </c>
      <c r="C75" s="203" t="s">
        <v>342</v>
      </c>
      <c r="D75" s="204"/>
      <c r="E75" s="204"/>
      <c r="F75" s="4" t="s">
        <v>447</v>
      </c>
      <c r="G75" s="16">
        <v>76.889</v>
      </c>
      <c r="H75" s="22">
        <v>0</v>
      </c>
      <c r="I75" s="16">
        <f t="shared" si="66"/>
        <v>0</v>
      </c>
      <c r="J75" s="16">
        <f t="shared" si="67"/>
        <v>0</v>
      </c>
      <c r="K75" s="16">
        <f t="shared" si="68"/>
        <v>0</v>
      </c>
      <c r="L75" s="32" t="s">
        <v>473</v>
      </c>
      <c r="Z75" s="38">
        <f t="shared" si="69"/>
        <v>0</v>
      </c>
      <c r="AB75" s="38">
        <f t="shared" si="70"/>
        <v>0</v>
      </c>
      <c r="AC75" s="38">
        <f t="shared" si="71"/>
        <v>0</v>
      </c>
      <c r="AD75" s="38">
        <f t="shared" si="72"/>
        <v>0</v>
      </c>
      <c r="AE75" s="38">
        <f t="shared" si="73"/>
        <v>0</v>
      </c>
      <c r="AF75" s="38">
        <f t="shared" si="74"/>
        <v>0</v>
      </c>
      <c r="AG75" s="38">
        <f t="shared" si="75"/>
        <v>0</v>
      </c>
      <c r="AH75" s="38">
        <f t="shared" si="76"/>
        <v>0</v>
      </c>
      <c r="AI75" s="33"/>
      <c r="AJ75" s="16">
        <f t="shared" si="77"/>
        <v>0</v>
      </c>
      <c r="AK75" s="16">
        <f t="shared" si="78"/>
        <v>0</v>
      </c>
      <c r="AL75" s="16">
        <f t="shared" si="79"/>
        <v>0</v>
      </c>
      <c r="AN75" s="38">
        <v>21</v>
      </c>
      <c r="AO75" s="38">
        <f>H75*0.0080833427361268</f>
        <v>0</v>
      </c>
      <c r="AP75" s="38">
        <f>H75*(1-0.0080833427361268)</f>
        <v>0</v>
      </c>
      <c r="AQ75" s="32" t="s">
        <v>7</v>
      </c>
      <c r="AV75" s="38">
        <f t="shared" si="80"/>
        <v>0</v>
      </c>
      <c r="AW75" s="38">
        <f t="shared" si="81"/>
        <v>0</v>
      </c>
      <c r="AX75" s="38">
        <f t="shared" si="82"/>
        <v>0</v>
      </c>
      <c r="AY75" s="39" t="s">
        <v>496</v>
      </c>
      <c r="AZ75" s="39" t="s">
        <v>521</v>
      </c>
      <c r="BA75" s="33" t="s">
        <v>531</v>
      </c>
      <c r="BB75" s="33" t="s">
        <v>544</v>
      </c>
      <c r="BC75" s="38">
        <f t="shared" si="83"/>
        <v>0</v>
      </c>
      <c r="BD75" s="38">
        <f t="shared" si="84"/>
        <v>0</v>
      </c>
      <c r="BE75" s="38">
        <v>0</v>
      </c>
      <c r="BF75" s="38">
        <f>75</f>
        <v>75</v>
      </c>
      <c r="BH75" s="16">
        <f t="shared" si="85"/>
        <v>0</v>
      </c>
      <c r="BI75" s="16">
        <f t="shared" si="86"/>
        <v>0</v>
      </c>
      <c r="BJ75" s="16">
        <f t="shared" si="87"/>
        <v>0</v>
      </c>
    </row>
    <row r="76" spans="1:62" ht="12.75">
      <c r="A76" s="4" t="s">
        <v>58</v>
      </c>
      <c r="B76" s="4" t="s">
        <v>189</v>
      </c>
      <c r="C76" s="203" t="s">
        <v>343</v>
      </c>
      <c r="D76" s="204"/>
      <c r="E76" s="204"/>
      <c r="F76" s="4" t="s">
        <v>447</v>
      </c>
      <c r="G76" s="16">
        <v>118.838</v>
      </c>
      <c r="H76" s="22">
        <v>0</v>
      </c>
      <c r="I76" s="16">
        <f t="shared" si="66"/>
        <v>0</v>
      </c>
      <c r="J76" s="16">
        <f t="shared" si="67"/>
        <v>0</v>
      </c>
      <c r="K76" s="16">
        <f t="shared" si="68"/>
        <v>0</v>
      </c>
      <c r="L76" s="32" t="s">
        <v>473</v>
      </c>
      <c r="Z76" s="38">
        <f t="shared" si="69"/>
        <v>0</v>
      </c>
      <c r="AB76" s="38">
        <f t="shared" si="70"/>
        <v>0</v>
      </c>
      <c r="AC76" s="38">
        <f t="shared" si="71"/>
        <v>0</v>
      </c>
      <c r="AD76" s="38">
        <f t="shared" si="72"/>
        <v>0</v>
      </c>
      <c r="AE76" s="38">
        <f t="shared" si="73"/>
        <v>0</v>
      </c>
      <c r="AF76" s="38">
        <f t="shared" si="74"/>
        <v>0</v>
      </c>
      <c r="AG76" s="38">
        <f t="shared" si="75"/>
        <v>0</v>
      </c>
      <c r="AH76" s="38">
        <f t="shared" si="76"/>
        <v>0</v>
      </c>
      <c r="AI76" s="33"/>
      <c r="AJ76" s="16">
        <f t="shared" si="77"/>
        <v>0</v>
      </c>
      <c r="AK76" s="16">
        <f t="shared" si="78"/>
        <v>0</v>
      </c>
      <c r="AL76" s="16">
        <f t="shared" si="79"/>
        <v>0</v>
      </c>
      <c r="AN76" s="38">
        <v>21</v>
      </c>
      <c r="AO76" s="38">
        <f>H76*0.281729323308271</f>
        <v>0</v>
      </c>
      <c r="AP76" s="38">
        <f>H76*(1-0.281729323308271)</f>
        <v>0</v>
      </c>
      <c r="AQ76" s="32" t="s">
        <v>7</v>
      </c>
      <c r="AV76" s="38">
        <f t="shared" si="80"/>
        <v>0</v>
      </c>
      <c r="AW76" s="38">
        <f t="shared" si="81"/>
        <v>0</v>
      </c>
      <c r="AX76" s="38">
        <f t="shared" si="82"/>
        <v>0</v>
      </c>
      <c r="AY76" s="39" t="s">
        <v>496</v>
      </c>
      <c r="AZ76" s="39" t="s">
        <v>521</v>
      </c>
      <c r="BA76" s="33" t="s">
        <v>531</v>
      </c>
      <c r="BB76" s="33" t="s">
        <v>544</v>
      </c>
      <c r="BC76" s="38">
        <f t="shared" si="83"/>
        <v>0</v>
      </c>
      <c r="BD76" s="38">
        <f t="shared" si="84"/>
        <v>0</v>
      </c>
      <c r="BE76" s="38">
        <v>0</v>
      </c>
      <c r="BF76" s="38">
        <f>76</f>
        <v>76</v>
      </c>
      <c r="BH76" s="16">
        <f t="shared" si="85"/>
        <v>0</v>
      </c>
      <c r="BI76" s="16">
        <f t="shared" si="86"/>
        <v>0</v>
      </c>
      <c r="BJ76" s="16">
        <f t="shared" si="87"/>
        <v>0</v>
      </c>
    </row>
    <row r="77" spans="1:62" ht="12.75">
      <c r="A77" s="4" t="s">
        <v>59</v>
      </c>
      <c r="B77" s="4" t="s">
        <v>190</v>
      </c>
      <c r="C77" s="203" t="s">
        <v>344</v>
      </c>
      <c r="D77" s="204"/>
      <c r="E77" s="204"/>
      <c r="F77" s="4" t="s">
        <v>447</v>
      </c>
      <c r="G77" s="16">
        <v>118.838</v>
      </c>
      <c r="H77" s="22">
        <v>0</v>
      </c>
      <c r="I77" s="16">
        <f t="shared" si="66"/>
        <v>0</v>
      </c>
      <c r="J77" s="16">
        <f t="shared" si="67"/>
        <v>0</v>
      </c>
      <c r="K77" s="16">
        <f t="shared" si="68"/>
        <v>0</v>
      </c>
      <c r="L77" s="32" t="s">
        <v>473</v>
      </c>
      <c r="Z77" s="38">
        <f t="shared" si="69"/>
        <v>0</v>
      </c>
      <c r="AB77" s="38">
        <f t="shared" si="70"/>
        <v>0</v>
      </c>
      <c r="AC77" s="38">
        <f t="shared" si="71"/>
        <v>0</v>
      </c>
      <c r="AD77" s="38">
        <f t="shared" si="72"/>
        <v>0</v>
      </c>
      <c r="AE77" s="38">
        <f t="shared" si="73"/>
        <v>0</v>
      </c>
      <c r="AF77" s="38">
        <f t="shared" si="74"/>
        <v>0</v>
      </c>
      <c r="AG77" s="38">
        <f t="shared" si="75"/>
        <v>0</v>
      </c>
      <c r="AH77" s="38">
        <f t="shared" si="76"/>
        <v>0</v>
      </c>
      <c r="AI77" s="33"/>
      <c r="AJ77" s="16">
        <f t="shared" si="77"/>
        <v>0</v>
      </c>
      <c r="AK77" s="16">
        <f t="shared" si="78"/>
        <v>0</v>
      </c>
      <c r="AL77" s="16">
        <f t="shared" si="79"/>
        <v>0</v>
      </c>
      <c r="AN77" s="38">
        <v>21</v>
      </c>
      <c r="AO77" s="38">
        <f>H77*0.00657425633027401</f>
        <v>0</v>
      </c>
      <c r="AP77" s="38">
        <f>H77*(1-0.00657425633027401)</f>
        <v>0</v>
      </c>
      <c r="AQ77" s="32" t="s">
        <v>7</v>
      </c>
      <c r="AV77" s="38">
        <f t="shared" si="80"/>
        <v>0</v>
      </c>
      <c r="AW77" s="38">
        <f t="shared" si="81"/>
        <v>0</v>
      </c>
      <c r="AX77" s="38">
        <f t="shared" si="82"/>
        <v>0</v>
      </c>
      <c r="AY77" s="39" t="s">
        <v>496</v>
      </c>
      <c r="AZ77" s="39" t="s">
        <v>521</v>
      </c>
      <c r="BA77" s="33" t="s">
        <v>531</v>
      </c>
      <c r="BB77" s="33" t="s">
        <v>544</v>
      </c>
      <c r="BC77" s="38">
        <f t="shared" si="83"/>
        <v>0</v>
      </c>
      <c r="BD77" s="38">
        <f t="shared" si="84"/>
        <v>0</v>
      </c>
      <c r="BE77" s="38">
        <v>0</v>
      </c>
      <c r="BF77" s="38">
        <f>77</f>
        <v>77</v>
      </c>
      <c r="BH77" s="16">
        <f t="shared" si="85"/>
        <v>0</v>
      </c>
      <c r="BI77" s="16">
        <f t="shared" si="86"/>
        <v>0</v>
      </c>
      <c r="BJ77" s="16">
        <f t="shared" si="87"/>
        <v>0</v>
      </c>
    </row>
    <row r="78" spans="1:62" ht="12.75">
      <c r="A78" s="4" t="s">
        <v>60</v>
      </c>
      <c r="B78" s="4" t="s">
        <v>191</v>
      </c>
      <c r="C78" s="203" t="s">
        <v>345</v>
      </c>
      <c r="D78" s="204"/>
      <c r="E78" s="204"/>
      <c r="F78" s="4" t="s">
        <v>452</v>
      </c>
      <c r="G78" s="16">
        <v>16.8</v>
      </c>
      <c r="H78" s="22">
        <v>0</v>
      </c>
      <c r="I78" s="16">
        <f t="shared" si="66"/>
        <v>0</v>
      </c>
      <c r="J78" s="16">
        <f t="shared" si="67"/>
        <v>0</v>
      </c>
      <c r="K78" s="16">
        <f t="shared" si="68"/>
        <v>0</v>
      </c>
      <c r="L78" s="32" t="s">
        <v>473</v>
      </c>
      <c r="Z78" s="38">
        <f t="shared" si="69"/>
        <v>0</v>
      </c>
      <c r="AB78" s="38">
        <f t="shared" si="70"/>
        <v>0</v>
      </c>
      <c r="AC78" s="38">
        <f t="shared" si="71"/>
        <v>0</v>
      </c>
      <c r="AD78" s="38">
        <f t="shared" si="72"/>
        <v>0</v>
      </c>
      <c r="AE78" s="38">
        <f t="shared" si="73"/>
        <v>0</v>
      </c>
      <c r="AF78" s="38">
        <f t="shared" si="74"/>
        <v>0</v>
      </c>
      <c r="AG78" s="38">
        <f t="shared" si="75"/>
        <v>0</v>
      </c>
      <c r="AH78" s="38">
        <f t="shared" si="76"/>
        <v>0</v>
      </c>
      <c r="AI78" s="33"/>
      <c r="AJ78" s="16">
        <f t="shared" si="77"/>
        <v>0</v>
      </c>
      <c r="AK78" s="16">
        <f t="shared" si="78"/>
        <v>0</v>
      </c>
      <c r="AL78" s="16">
        <f t="shared" si="79"/>
        <v>0</v>
      </c>
      <c r="AN78" s="38">
        <v>21</v>
      </c>
      <c r="AO78" s="38">
        <f>H78*0.901529132787353</f>
        <v>0</v>
      </c>
      <c r="AP78" s="38">
        <f>H78*(1-0.901529132787353)</f>
        <v>0</v>
      </c>
      <c r="AQ78" s="32" t="s">
        <v>7</v>
      </c>
      <c r="AV78" s="38">
        <f t="shared" si="80"/>
        <v>0</v>
      </c>
      <c r="AW78" s="38">
        <f t="shared" si="81"/>
        <v>0</v>
      </c>
      <c r="AX78" s="38">
        <f t="shared" si="82"/>
        <v>0</v>
      </c>
      <c r="AY78" s="39" t="s">
        <v>496</v>
      </c>
      <c r="AZ78" s="39" t="s">
        <v>521</v>
      </c>
      <c r="BA78" s="33" t="s">
        <v>531</v>
      </c>
      <c r="BB78" s="33" t="s">
        <v>544</v>
      </c>
      <c r="BC78" s="38">
        <f t="shared" si="83"/>
        <v>0</v>
      </c>
      <c r="BD78" s="38">
        <f t="shared" si="84"/>
        <v>0</v>
      </c>
      <c r="BE78" s="38">
        <v>0</v>
      </c>
      <c r="BF78" s="38">
        <f>78</f>
        <v>78</v>
      </c>
      <c r="BH78" s="16">
        <f t="shared" si="85"/>
        <v>0</v>
      </c>
      <c r="BI78" s="16">
        <f t="shared" si="86"/>
        <v>0</v>
      </c>
      <c r="BJ78" s="16">
        <f t="shared" si="87"/>
        <v>0</v>
      </c>
    </row>
    <row r="79" spans="1:62" ht="12.75">
      <c r="A79" s="4" t="s">
        <v>61</v>
      </c>
      <c r="B79" s="4" t="s">
        <v>191</v>
      </c>
      <c r="C79" s="203" t="s">
        <v>345</v>
      </c>
      <c r="D79" s="204"/>
      <c r="E79" s="204"/>
      <c r="F79" s="4" t="s">
        <v>452</v>
      </c>
      <c r="G79" s="16">
        <v>17.386</v>
      </c>
      <c r="H79" s="22">
        <v>0</v>
      </c>
      <c r="I79" s="16">
        <f t="shared" si="66"/>
        <v>0</v>
      </c>
      <c r="J79" s="16">
        <f t="shared" si="67"/>
        <v>0</v>
      </c>
      <c r="K79" s="16">
        <f t="shared" si="68"/>
        <v>0</v>
      </c>
      <c r="L79" s="32" t="s">
        <v>473</v>
      </c>
      <c r="Z79" s="38">
        <f t="shared" si="69"/>
        <v>0</v>
      </c>
      <c r="AB79" s="38">
        <f t="shared" si="70"/>
        <v>0</v>
      </c>
      <c r="AC79" s="38">
        <f t="shared" si="71"/>
        <v>0</v>
      </c>
      <c r="AD79" s="38">
        <f t="shared" si="72"/>
        <v>0</v>
      </c>
      <c r="AE79" s="38">
        <f t="shared" si="73"/>
        <v>0</v>
      </c>
      <c r="AF79" s="38">
        <f t="shared" si="74"/>
        <v>0</v>
      </c>
      <c r="AG79" s="38">
        <f t="shared" si="75"/>
        <v>0</v>
      </c>
      <c r="AH79" s="38">
        <f t="shared" si="76"/>
        <v>0</v>
      </c>
      <c r="AI79" s="33"/>
      <c r="AJ79" s="16">
        <f t="shared" si="77"/>
        <v>0</v>
      </c>
      <c r="AK79" s="16">
        <f t="shared" si="78"/>
        <v>0</v>
      </c>
      <c r="AL79" s="16">
        <f t="shared" si="79"/>
        <v>0</v>
      </c>
      <c r="AN79" s="38">
        <v>21</v>
      </c>
      <c r="AO79" s="38">
        <f>H79*0.901529035019057</f>
        <v>0</v>
      </c>
      <c r="AP79" s="38">
        <f>H79*(1-0.901529035019057)</f>
        <v>0</v>
      </c>
      <c r="AQ79" s="32" t="s">
        <v>7</v>
      </c>
      <c r="AV79" s="38">
        <f t="shared" si="80"/>
        <v>0</v>
      </c>
      <c r="AW79" s="38">
        <f t="shared" si="81"/>
        <v>0</v>
      </c>
      <c r="AX79" s="38">
        <f t="shared" si="82"/>
        <v>0</v>
      </c>
      <c r="AY79" s="39" t="s">
        <v>496</v>
      </c>
      <c r="AZ79" s="39" t="s">
        <v>521</v>
      </c>
      <c r="BA79" s="33" t="s">
        <v>531</v>
      </c>
      <c r="BB79" s="33" t="s">
        <v>544</v>
      </c>
      <c r="BC79" s="38">
        <f t="shared" si="83"/>
        <v>0</v>
      </c>
      <c r="BD79" s="38">
        <f t="shared" si="84"/>
        <v>0</v>
      </c>
      <c r="BE79" s="38">
        <v>0</v>
      </c>
      <c r="BF79" s="38">
        <f>79</f>
        <v>79</v>
      </c>
      <c r="BH79" s="16">
        <f t="shared" si="85"/>
        <v>0</v>
      </c>
      <c r="BI79" s="16">
        <f t="shared" si="86"/>
        <v>0</v>
      </c>
      <c r="BJ79" s="16">
        <f t="shared" si="87"/>
        <v>0</v>
      </c>
    </row>
    <row r="80" spans="1:62" ht="12.75">
      <c r="A80" s="4" t="s">
        <v>62</v>
      </c>
      <c r="B80" s="4" t="s">
        <v>192</v>
      </c>
      <c r="C80" s="203" t="s">
        <v>346</v>
      </c>
      <c r="D80" s="204"/>
      <c r="E80" s="204"/>
      <c r="F80" s="4" t="s">
        <v>453</v>
      </c>
      <c r="G80" s="16">
        <v>2.765</v>
      </c>
      <c r="H80" s="22">
        <v>0</v>
      </c>
      <c r="I80" s="16">
        <f t="shared" si="66"/>
        <v>0</v>
      </c>
      <c r="J80" s="16">
        <f t="shared" si="67"/>
        <v>0</v>
      </c>
      <c r="K80" s="16">
        <f t="shared" si="68"/>
        <v>0</v>
      </c>
      <c r="L80" s="32" t="s">
        <v>473</v>
      </c>
      <c r="Z80" s="38">
        <f t="shared" si="69"/>
        <v>0</v>
      </c>
      <c r="AB80" s="38">
        <f t="shared" si="70"/>
        <v>0</v>
      </c>
      <c r="AC80" s="38">
        <f t="shared" si="71"/>
        <v>0</v>
      </c>
      <c r="AD80" s="38">
        <f t="shared" si="72"/>
        <v>0</v>
      </c>
      <c r="AE80" s="38">
        <f t="shared" si="73"/>
        <v>0</v>
      </c>
      <c r="AF80" s="38">
        <f t="shared" si="74"/>
        <v>0</v>
      </c>
      <c r="AG80" s="38">
        <f t="shared" si="75"/>
        <v>0</v>
      </c>
      <c r="AH80" s="38">
        <f t="shared" si="76"/>
        <v>0</v>
      </c>
      <c r="AI80" s="33"/>
      <c r="AJ80" s="16">
        <f t="shared" si="77"/>
        <v>0</v>
      </c>
      <c r="AK80" s="16">
        <f t="shared" si="78"/>
        <v>0</v>
      </c>
      <c r="AL80" s="16">
        <f t="shared" si="79"/>
        <v>0</v>
      </c>
      <c r="AN80" s="38">
        <v>21</v>
      </c>
      <c r="AO80" s="38">
        <f>H80*0.45414236237696</f>
        <v>0</v>
      </c>
      <c r="AP80" s="38">
        <f>H80*(1-0.45414236237696)</f>
        <v>0</v>
      </c>
      <c r="AQ80" s="32" t="s">
        <v>7</v>
      </c>
      <c r="AV80" s="38">
        <f t="shared" si="80"/>
        <v>0</v>
      </c>
      <c r="AW80" s="38">
        <f t="shared" si="81"/>
        <v>0</v>
      </c>
      <c r="AX80" s="38">
        <f t="shared" si="82"/>
        <v>0</v>
      </c>
      <c r="AY80" s="39" t="s">
        <v>496</v>
      </c>
      <c r="AZ80" s="39" t="s">
        <v>521</v>
      </c>
      <c r="BA80" s="33" t="s">
        <v>531</v>
      </c>
      <c r="BB80" s="33" t="s">
        <v>544</v>
      </c>
      <c r="BC80" s="38">
        <f t="shared" si="83"/>
        <v>0</v>
      </c>
      <c r="BD80" s="38">
        <f t="shared" si="84"/>
        <v>0</v>
      </c>
      <c r="BE80" s="38">
        <v>0</v>
      </c>
      <c r="BF80" s="38">
        <f>80</f>
        <v>80</v>
      </c>
      <c r="BH80" s="16">
        <f t="shared" si="85"/>
        <v>0</v>
      </c>
      <c r="BI80" s="16">
        <f t="shared" si="86"/>
        <v>0</v>
      </c>
      <c r="BJ80" s="16">
        <f t="shared" si="87"/>
        <v>0</v>
      </c>
    </row>
    <row r="81" spans="1:47" ht="12.75">
      <c r="A81" s="5"/>
      <c r="B81" s="13" t="s">
        <v>40</v>
      </c>
      <c r="C81" s="205" t="s">
        <v>347</v>
      </c>
      <c r="D81" s="206"/>
      <c r="E81" s="206"/>
      <c r="F81" s="5" t="s">
        <v>6</v>
      </c>
      <c r="G81" s="5" t="s">
        <v>6</v>
      </c>
      <c r="H81" s="23" t="s">
        <v>6</v>
      </c>
      <c r="I81" s="41">
        <f>SUM(I82:I85)</f>
        <v>0</v>
      </c>
      <c r="J81" s="41">
        <f>SUM(J82:J85)</f>
        <v>0</v>
      </c>
      <c r="K81" s="41">
        <f>SUM(K82:K85)</f>
        <v>0</v>
      </c>
      <c r="L81" s="33"/>
      <c r="AI81" s="33"/>
      <c r="AS81" s="41">
        <f>SUM(AJ82:AJ85)</f>
        <v>0</v>
      </c>
      <c r="AT81" s="41">
        <f>SUM(AK82:AK85)</f>
        <v>0</v>
      </c>
      <c r="AU81" s="41">
        <f>SUM(AL82:AL85)</f>
        <v>0</v>
      </c>
    </row>
    <row r="82" spans="1:62" ht="12.75">
      <c r="A82" s="4" t="s">
        <v>63</v>
      </c>
      <c r="B82" s="4" t="s">
        <v>193</v>
      </c>
      <c r="C82" s="203" t="s">
        <v>348</v>
      </c>
      <c r="D82" s="204"/>
      <c r="E82" s="204"/>
      <c r="F82" s="4" t="s">
        <v>449</v>
      </c>
      <c r="G82" s="16">
        <v>22</v>
      </c>
      <c r="H82" s="22">
        <v>0</v>
      </c>
      <c r="I82" s="16">
        <f>G82*AO82</f>
        <v>0</v>
      </c>
      <c r="J82" s="16">
        <f>G82*AP82</f>
        <v>0</v>
      </c>
      <c r="K82" s="16">
        <f>G82*H82</f>
        <v>0</v>
      </c>
      <c r="L82" s="32" t="s">
        <v>473</v>
      </c>
      <c r="Z82" s="38">
        <f>IF(AQ82="5",BJ82,0)</f>
        <v>0</v>
      </c>
      <c r="AB82" s="38">
        <f>IF(AQ82="1",BH82,0)</f>
        <v>0</v>
      </c>
      <c r="AC82" s="38">
        <f>IF(AQ82="1",BI82,0)</f>
        <v>0</v>
      </c>
      <c r="AD82" s="38">
        <f>IF(AQ82="7",BH82,0)</f>
        <v>0</v>
      </c>
      <c r="AE82" s="38">
        <f>IF(AQ82="7",BI82,0)</f>
        <v>0</v>
      </c>
      <c r="AF82" s="38">
        <f>IF(AQ82="2",BH82,0)</f>
        <v>0</v>
      </c>
      <c r="AG82" s="38">
        <f>IF(AQ82="2",BI82,0)</f>
        <v>0</v>
      </c>
      <c r="AH82" s="38">
        <f>IF(AQ82="0",BJ82,0)</f>
        <v>0</v>
      </c>
      <c r="AI82" s="33"/>
      <c r="AJ82" s="16">
        <f>IF(AN82=0,K82,0)</f>
        <v>0</v>
      </c>
      <c r="AK82" s="16">
        <f>IF(AN82=15,K82,0)</f>
        <v>0</v>
      </c>
      <c r="AL82" s="16">
        <f>IF(AN82=21,K82,0)</f>
        <v>0</v>
      </c>
      <c r="AN82" s="38">
        <v>21</v>
      </c>
      <c r="AO82" s="38">
        <f>H82*0.224678396261242</f>
        <v>0</v>
      </c>
      <c r="AP82" s="38">
        <f>H82*(1-0.224678396261242)</f>
        <v>0</v>
      </c>
      <c r="AQ82" s="32" t="s">
        <v>7</v>
      </c>
      <c r="AV82" s="38">
        <f>AW82+AX82</f>
        <v>0</v>
      </c>
      <c r="AW82" s="38">
        <f>G82*AO82</f>
        <v>0</v>
      </c>
      <c r="AX82" s="38">
        <f>G82*AP82</f>
        <v>0</v>
      </c>
      <c r="AY82" s="39" t="s">
        <v>497</v>
      </c>
      <c r="AZ82" s="39" t="s">
        <v>521</v>
      </c>
      <c r="BA82" s="33" t="s">
        <v>531</v>
      </c>
      <c r="BB82" s="33" t="s">
        <v>545</v>
      </c>
      <c r="BC82" s="38">
        <f>AW82+AX82</f>
        <v>0</v>
      </c>
      <c r="BD82" s="38">
        <f>H82/(100-BE82)*100</f>
        <v>0</v>
      </c>
      <c r="BE82" s="38">
        <v>0</v>
      </c>
      <c r="BF82" s="38">
        <f>82</f>
        <v>82</v>
      </c>
      <c r="BH82" s="16">
        <f>G82*AO82</f>
        <v>0</v>
      </c>
      <c r="BI82" s="16">
        <f>G82*AP82</f>
        <v>0</v>
      </c>
      <c r="BJ82" s="16">
        <f>G82*H82</f>
        <v>0</v>
      </c>
    </row>
    <row r="83" spans="1:62" ht="12.75">
      <c r="A83" s="4" t="s">
        <v>64</v>
      </c>
      <c r="B83" s="4" t="s">
        <v>194</v>
      </c>
      <c r="C83" s="203" t="s">
        <v>349</v>
      </c>
      <c r="D83" s="204"/>
      <c r="E83" s="204"/>
      <c r="F83" s="4" t="s">
        <v>449</v>
      </c>
      <c r="G83" s="16">
        <v>19.6</v>
      </c>
      <c r="H83" s="22">
        <v>0</v>
      </c>
      <c r="I83" s="16">
        <f>G83*AO83</f>
        <v>0</v>
      </c>
      <c r="J83" s="16">
        <f>G83*AP83</f>
        <v>0</v>
      </c>
      <c r="K83" s="16">
        <f>G83*H83</f>
        <v>0</v>
      </c>
      <c r="L83" s="32" t="s">
        <v>473</v>
      </c>
      <c r="Z83" s="38">
        <f>IF(AQ83="5",BJ83,0)</f>
        <v>0</v>
      </c>
      <c r="AB83" s="38">
        <f>IF(AQ83="1",BH83,0)</f>
        <v>0</v>
      </c>
      <c r="AC83" s="38">
        <f>IF(AQ83="1",BI83,0)</f>
        <v>0</v>
      </c>
      <c r="AD83" s="38">
        <f>IF(AQ83="7",BH83,0)</f>
        <v>0</v>
      </c>
      <c r="AE83" s="38">
        <f>IF(AQ83="7",BI83,0)</f>
        <v>0</v>
      </c>
      <c r="AF83" s="38">
        <f>IF(AQ83="2",BH83,0)</f>
        <v>0</v>
      </c>
      <c r="AG83" s="38">
        <f>IF(AQ83="2",BI83,0)</f>
        <v>0</v>
      </c>
      <c r="AH83" s="38">
        <f>IF(AQ83="0",BJ83,0)</f>
        <v>0</v>
      </c>
      <c r="AI83" s="33"/>
      <c r="AJ83" s="16">
        <f>IF(AN83=0,K83,0)</f>
        <v>0</v>
      </c>
      <c r="AK83" s="16">
        <f>IF(AN83=15,K83,0)</f>
        <v>0</v>
      </c>
      <c r="AL83" s="16">
        <f>IF(AN83=21,K83,0)</f>
        <v>0</v>
      </c>
      <c r="AN83" s="38">
        <v>21</v>
      </c>
      <c r="AO83" s="38">
        <f>H83*0.741369565217391</f>
        <v>0</v>
      </c>
      <c r="AP83" s="38">
        <f>H83*(1-0.741369565217391)</f>
        <v>0</v>
      </c>
      <c r="AQ83" s="32" t="s">
        <v>7</v>
      </c>
      <c r="AV83" s="38">
        <f>AW83+AX83</f>
        <v>0</v>
      </c>
      <c r="AW83" s="38">
        <f>G83*AO83</f>
        <v>0</v>
      </c>
      <c r="AX83" s="38">
        <f>G83*AP83</f>
        <v>0</v>
      </c>
      <c r="AY83" s="39" t="s">
        <v>497</v>
      </c>
      <c r="AZ83" s="39" t="s">
        <v>521</v>
      </c>
      <c r="BA83" s="33" t="s">
        <v>531</v>
      </c>
      <c r="BB83" s="33" t="s">
        <v>545</v>
      </c>
      <c r="BC83" s="38">
        <f>AW83+AX83</f>
        <v>0</v>
      </c>
      <c r="BD83" s="38">
        <f>H83/(100-BE83)*100</f>
        <v>0</v>
      </c>
      <c r="BE83" s="38">
        <v>0</v>
      </c>
      <c r="BF83" s="38">
        <f>83</f>
        <v>83</v>
      </c>
      <c r="BH83" s="16">
        <f>G83*AO83</f>
        <v>0</v>
      </c>
      <c r="BI83" s="16">
        <f>G83*AP83</f>
        <v>0</v>
      </c>
      <c r="BJ83" s="16">
        <f>G83*H83</f>
        <v>0</v>
      </c>
    </row>
    <row r="84" spans="1:62" ht="12.75">
      <c r="A84" s="4" t="s">
        <v>65</v>
      </c>
      <c r="B84" s="4" t="s">
        <v>195</v>
      </c>
      <c r="C84" s="203" t="s">
        <v>350</v>
      </c>
      <c r="D84" s="204"/>
      <c r="E84" s="204"/>
      <c r="F84" s="4" t="s">
        <v>449</v>
      </c>
      <c r="G84" s="16">
        <v>34</v>
      </c>
      <c r="H84" s="22">
        <v>0</v>
      </c>
      <c r="I84" s="16">
        <f>G84*AO84</f>
        <v>0</v>
      </c>
      <c r="J84" s="16">
        <f>G84*AP84</f>
        <v>0</v>
      </c>
      <c r="K84" s="16">
        <f>G84*H84</f>
        <v>0</v>
      </c>
      <c r="L84" s="32" t="s">
        <v>473</v>
      </c>
      <c r="Z84" s="38">
        <f>IF(AQ84="5",BJ84,0)</f>
        <v>0</v>
      </c>
      <c r="AB84" s="38">
        <f>IF(AQ84="1",BH84,0)</f>
        <v>0</v>
      </c>
      <c r="AC84" s="38">
        <f>IF(AQ84="1",BI84,0)</f>
        <v>0</v>
      </c>
      <c r="AD84" s="38">
        <f>IF(AQ84="7",BH84,0)</f>
        <v>0</v>
      </c>
      <c r="AE84" s="38">
        <f>IF(AQ84="7",BI84,0)</f>
        <v>0</v>
      </c>
      <c r="AF84" s="38">
        <f>IF(AQ84="2",BH84,0)</f>
        <v>0</v>
      </c>
      <c r="AG84" s="38">
        <f>IF(AQ84="2",BI84,0)</f>
        <v>0</v>
      </c>
      <c r="AH84" s="38">
        <f>IF(AQ84="0",BJ84,0)</f>
        <v>0</v>
      </c>
      <c r="AI84" s="33"/>
      <c r="AJ84" s="16">
        <f>IF(AN84=0,K84,0)</f>
        <v>0</v>
      </c>
      <c r="AK84" s="16">
        <f>IF(AN84=15,K84,0)</f>
        <v>0</v>
      </c>
      <c r="AL84" s="16">
        <f>IF(AN84=21,K84,0)</f>
        <v>0</v>
      </c>
      <c r="AN84" s="38">
        <v>21</v>
      </c>
      <c r="AO84" s="38">
        <f>H84*0.537525773195876</f>
        <v>0</v>
      </c>
      <c r="AP84" s="38">
        <f>H84*(1-0.537525773195876)</f>
        <v>0</v>
      </c>
      <c r="AQ84" s="32" t="s">
        <v>7</v>
      </c>
      <c r="AV84" s="38">
        <f>AW84+AX84</f>
        <v>0</v>
      </c>
      <c r="AW84" s="38">
        <f>G84*AO84</f>
        <v>0</v>
      </c>
      <c r="AX84" s="38">
        <f>G84*AP84</f>
        <v>0</v>
      </c>
      <c r="AY84" s="39" t="s">
        <v>497</v>
      </c>
      <c r="AZ84" s="39" t="s">
        <v>521</v>
      </c>
      <c r="BA84" s="33" t="s">
        <v>531</v>
      </c>
      <c r="BB84" s="33" t="s">
        <v>545</v>
      </c>
      <c r="BC84" s="38">
        <f>AW84+AX84</f>
        <v>0</v>
      </c>
      <c r="BD84" s="38">
        <f>H84/(100-BE84)*100</f>
        <v>0</v>
      </c>
      <c r="BE84" s="38">
        <v>0</v>
      </c>
      <c r="BF84" s="38">
        <f>84</f>
        <v>84</v>
      </c>
      <c r="BH84" s="16">
        <f>G84*AO84</f>
        <v>0</v>
      </c>
      <c r="BI84" s="16">
        <f>G84*AP84</f>
        <v>0</v>
      </c>
      <c r="BJ84" s="16">
        <f>G84*H84</f>
        <v>0</v>
      </c>
    </row>
    <row r="85" spans="1:62" ht="12.75">
      <c r="A85" s="4" t="s">
        <v>66</v>
      </c>
      <c r="B85" s="4" t="s">
        <v>196</v>
      </c>
      <c r="C85" s="203" t="s">
        <v>351</v>
      </c>
      <c r="D85" s="204"/>
      <c r="E85" s="204"/>
      <c r="F85" s="4" t="s">
        <v>449</v>
      </c>
      <c r="G85" s="16">
        <v>34</v>
      </c>
      <c r="H85" s="22">
        <v>0</v>
      </c>
      <c r="I85" s="16">
        <f>G85*AO85</f>
        <v>0</v>
      </c>
      <c r="J85" s="16">
        <f>G85*AP85</f>
        <v>0</v>
      </c>
      <c r="K85" s="16">
        <f>G85*H85</f>
        <v>0</v>
      </c>
      <c r="L85" s="32" t="s">
        <v>473</v>
      </c>
      <c r="Z85" s="38">
        <f>IF(AQ85="5",BJ85,0)</f>
        <v>0</v>
      </c>
      <c r="AB85" s="38">
        <f>IF(AQ85="1",BH85,0)</f>
        <v>0</v>
      </c>
      <c r="AC85" s="38">
        <f>IF(AQ85="1",BI85,0)</f>
        <v>0</v>
      </c>
      <c r="AD85" s="38">
        <f>IF(AQ85="7",BH85,0)</f>
        <v>0</v>
      </c>
      <c r="AE85" s="38">
        <f>IF(AQ85="7",BI85,0)</f>
        <v>0</v>
      </c>
      <c r="AF85" s="38">
        <f>IF(AQ85="2",BH85,0)</f>
        <v>0</v>
      </c>
      <c r="AG85" s="38">
        <f>IF(AQ85="2",BI85,0)</f>
        <v>0</v>
      </c>
      <c r="AH85" s="38">
        <f>IF(AQ85="0",BJ85,0)</f>
        <v>0</v>
      </c>
      <c r="AI85" s="33"/>
      <c r="AJ85" s="16">
        <f>IF(AN85=0,K85,0)</f>
        <v>0</v>
      </c>
      <c r="AK85" s="16">
        <f>IF(AN85=15,K85,0)</f>
        <v>0</v>
      </c>
      <c r="AL85" s="16">
        <f>IF(AN85=21,K85,0)</f>
        <v>0</v>
      </c>
      <c r="AN85" s="38">
        <v>21</v>
      </c>
      <c r="AO85" s="38">
        <f>H85*0</f>
        <v>0</v>
      </c>
      <c r="AP85" s="38">
        <f>H85*(1-0)</f>
        <v>0</v>
      </c>
      <c r="AQ85" s="32" t="s">
        <v>7</v>
      </c>
      <c r="AV85" s="38">
        <f>AW85+AX85</f>
        <v>0</v>
      </c>
      <c r="AW85" s="38">
        <f>G85*AO85</f>
        <v>0</v>
      </c>
      <c r="AX85" s="38">
        <f>G85*AP85</f>
        <v>0</v>
      </c>
      <c r="AY85" s="39" t="s">
        <v>497</v>
      </c>
      <c r="AZ85" s="39" t="s">
        <v>521</v>
      </c>
      <c r="BA85" s="33" t="s">
        <v>531</v>
      </c>
      <c r="BB85" s="33" t="s">
        <v>545</v>
      </c>
      <c r="BC85" s="38">
        <f>AW85+AX85</f>
        <v>0</v>
      </c>
      <c r="BD85" s="38">
        <f>H85/(100-BE85)*100</f>
        <v>0</v>
      </c>
      <c r="BE85" s="38">
        <v>0</v>
      </c>
      <c r="BF85" s="38">
        <f>85</f>
        <v>85</v>
      </c>
      <c r="BH85" s="16">
        <f>G85*AO85</f>
        <v>0</v>
      </c>
      <c r="BI85" s="16">
        <f>G85*AP85</f>
        <v>0</v>
      </c>
      <c r="BJ85" s="16">
        <f>G85*H85</f>
        <v>0</v>
      </c>
    </row>
    <row r="86" spans="1:47" ht="12.75">
      <c r="A86" s="5"/>
      <c r="B86" s="13" t="s">
        <v>47</v>
      </c>
      <c r="C86" s="205" t="s">
        <v>352</v>
      </c>
      <c r="D86" s="206"/>
      <c r="E86" s="206"/>
      <c r="F86" s="5" t="s">
        <v>6</v>
      </c>
      <c r="G86" s="5" t="s">
        <v>6</v>
      </c>
      <c r="H86" s="23" t="s">
        <v>6</v>
      </c>
      <c r="I86" s="41">
        <f>SUM(I87:I87)</f>
        <v>0</v>
      </c>
      <c r="J86" s="41">
        <f>SUM(J87:J87)</f>
        <v>0</v>
      </c>
      <c r="K86" s="41">
        <f>SUM(K87:K87)</f>
        <v>0</v>
      </c>
      <c r="L86" s="33"/>
      <c r="AI86" s="33"/>
      <c r="AS86" s="41">
        <f>SUM(AJ87:AJ87)</f>
        <v>0</v>
      </c>
      <c r="AT86" s="41">
        <f>SUM(AK87:AK87)</f>
        <v>0</v>
      </c>
      <c r="AU86" s="41">
        <f>SUM(AL87:AL87)</f>
        <v>0</v>
      </c>
    </row>
    <row r="87" spans="1:62" ht="12.75">
      <c r="A87" s="4" t="s">
        <v>67</v>
      </c>
      <c r="B87" s="4" t="s">
        <v>197</v>
      </c>
      <c r="C87" s="203" t="s">
        <v>353</v>
      </c>
      <c r="D87" s="204"/>
      <c r="E87" s="204"/>
      <c r="F87" s="4" t="s">
        <v>449</v>
      </c>
      <c r="G87" s="16">
        <v>22</v>
      </c>
      <c r="H87" s="22">
        <v>0</v>
      </c>
      <c r="I87" s="16">
        <f>G87*AO87</f>
        <v>0</v>
      </c>
      <c r="J87" s="16">
        <f>G87*AP87</f>
        <v>0</v>
      </c>
      <c r="K87" s="16">
        <f>G87*H87</f>
        <v>0</v>
      </c>
      <c r="L87" s="32" t="s">
        <v>473</v>
      </c>
      <c r="Z87" s="38">
        <f>IF(AQ87="5",BJ87,0)</f>
        <v>0</v>
      </c>
      <c r="AB87" s="38">
        <f>IF(AQ87="1",BH87,0)</f>
        <v>0</v>
      </c>
      <c r="AC87" s="38">
        <f>IF(AQ87="1",BI87,0)</f>
        <v>0</v>
      </c>
      <c r="AD87" s="38">
        <f>IF(AQ87="7",BH87,0)</f>
        <v>0</v>
      </c>
      <c r="AE87" s="38">
        <f>IF(AQ87="7",BI87,0)</f>
        <v>0</v>
      </c>
      <c r="AF87" s="38">
        <f>IF(AQ87="2",BH87,0)</f>
        <v>0</v>
      </c>
      <c r="AG87" s="38">
        <f>IF(AQ87="2",BI87,0)</f>
        <v>0</v>
      </c>
      <c r="AH87" s="38">
        <f>IF(AQ87="0",BJ87,0)</f>
        <v>0</v>
      </c>
      <c r="AI87" s="33"/>
      <c r="AJ87" s="16">
        <f>IF(AN87=0,K87,0)</f>
        <v>0</v>
      </c>
      <c r="AK87" s="16">
        <f>IF(AN87=15,K87,0)</f>
        <v>0</v>
      </c>
      <c r="AL87" s="16">
        <f>IF(AN87=21,K87,0)</f>
        <v>0</v>
      </c>
      <c r="AN87" s="38">
        <v>21</v>
      </c>
      <c r="AO87" s="38">
        <f>H87*0.224678396261242</f>
        <v>0</v>
      </c>
      <c r="AP87" s="38">
        <f>H87*(1-0.224678396261242)</f>
        <v>0</v>
      </c>
      <c r="AQ87" s="32" t="s">
        <v>7</v>
      </c>
      <c r="AV87" s="38">
        <f>AW87+AX87</f>
        <v>0</v>
      </c>
      <c r="AW87" s="38">
        <f>G87*AO87</f>
        <v>0</v>
      </c>
      <c r="AX87" s="38">
        <f>G87*AP87</f>
        <v>0</v>
      </c>
      <c r="AY87" s="39" t="s">
        <v>498</v>
      </c>
      <c r="AZ87" s="39" t="s">
        <v>522</v>
      </c>
      <c r="BA87" s="33" t="s">
        <v>531</v>
      </c>
      <c r="BB87" s="33" t="s">
        <v>546</v>
      </c>
      <c r="BC87" s="38">
        <f>AW87+AX87</f>
        <v>0</v>
      </c>
      <c r="BD87" s="38">
        <f>H87/(100-BE87)*100</f>
        <v>0</v>
      </c>
      <c r="BE87" s="38">
        <v>0</v>
      </c>
      <c r="BF87" s="38">
        <f>87</f>
        <v>87</v>
      </c>
      <c r="BH87" s="16">
        <f>G87*AO87</f>
        <v>0</v>
      </c>
      <c r="BI87" s="16">
        <f>G87*AP87</f>
        <v>0</v>
      </c>
      <c r="BJ87" s="16">
        <f>G87*H87</f>
        <v>0</v>
      </c>
    </row>
    <row r="88" spans="1:47" ht="12.75">
      <c r="A88" s="5"/>
      <c r="B88" s="13" t="s">
        <v>48</v>
      </c>
      <c r="C88" s="205" t="s">
        <v>354</v>
      </c>
      <c r="D88" s="206"/>
      <c r="E88" s="206"/>
      <c r="F88" s="5" t="s">
        <v>6</v>
      </c>
      <c r="G88" s="5" t="s">
        <v>6</v>
      </c>
      <c r="H88" s="23" t="s">
        <v>6</v>
      </c>
      <c r="I88" s="41">
        <f>SUM(I89:I97)</f>
        <v>0</v>
      </c>
      <c r="J88" s="41">
        <f>SUM(J89:J97)</f>
        <v>0</v>
      </c>
      <c r="K88" s="41">
        <f>SUM(K89:K97)</f>
        <v>0</v>
      </c>
      <c r="L88" s="33"/>
      <c r="AI88" s="33"/>
      <c r="AS88" s="41">
        <f>SUM(AJ89:AJ97)</f>
        <v>0</v>
      </c>
      <c r="AT88" s="41">
        <f>SUM(AK89:AK97)</f>
        <v>0</v>
      </c>
      <c r="AU88" s="41">
        <f>SUM(AL89:AL97)</f>
        <v>0</v>
      </c>
    </row>
    <row r="89" spans="1:62" ht="12.75">
      <c r="A89" s="4" t="s">
        <v>68</v>
      </c>
      <c r="B89" s="4" t="s">
        <v>198</v>
      </c>
      <c r="C89" s="203" t="s">
        <v>355</v>
      </c>
      <c r="D89" s="204"/>
      <c r="E89" s="204"/>
      <c r="F89" s="4" t="s">
        <v>452</v>
      </c>
      <c r="G89" s="16">
        <v>6.332</v>
      </c>
      <c r="H89" s="22">
        <v>0</v>
      </c>
      <c r="I89" s="16">
        <f aca="true" t="shared" si="88" ref="I89:I97">G89*AO89</f>
        <v>0</v>
      </c>
      <c r="J89" s="16">
        <f aca="true" t="shared" si="89" ref="J89:J97">G89*AP89</f>
        <v>0</v>
      </c>
      <c r="K89" s="16">
        <f aca="true" t="shared" si="90" ref="K89:K97">G89*H89</f>
        <v>0</v>
      </c>
      <c r="L89" s="32" t="s">
        <v>473</v>
      </c>
      <c r="Z89" s="38">
        <f aca="true" t="shared" si="91" ref="Z89:Z97">IF(AQ89="5",BJ89,0)</f>
        <v>0</v>
      </c>
      <c r="AB89" s="38">
        <f aca="true" t="shared" si="92" ref="AB89:AB97">IF(AQ89="1",BH89,0)</f>
        <v>0</v>
      </c>
      <c r="AC89" s="38">
        <f aca="true" t="shared" si="93" ref="AC89:AC97">IF(AQ89="1",BI89,0)</f>
        <v>0</v>
      </c>
      <c r="AD89" s="38">
        <f aca="true" t="shared" si="94" ref="AD89:AD97">IF(AQ89="7",BH89,0)</f>
        <v>0</v>
      </c>
      <c r="AE89" s="38">
        <f aca="true" t="shared" si="95" ref="AE89:AE97">IF(AQ89="7",BI89,0)</f>
        <v>0</v>
      </c>
      <c r="AF89" s="38">
        <f aca="true" t="shared" si="96" ref="AF89:AF97">IF(AQ89="2",BH89,0)</f>
        <v>0</v>
      </c>
      <c r="AG89" s="38">
        <f aca="true" t="shared" si="97" ref="AG89:AG97">IF(AQ89="2",BI89,0)</f>
        <v>0</v>
      </c>
      <c r="AH89" s="38">
        <f aca="true" t="shared" si="98" ref="AH89:AH97">IF(AQ89="0",BJ89,0)</f>
        <v>0</v>
      </c>
      <c r="AI89" s="33"/>
      <c r="AJ89" s="16">
        <f aca="true" t="shared" si="99" ref="AJ89:AJ97">IF(AN89=0,K89,0)</f>
        <v>0</v>
      </c>
      <c r="AK89" s="16">
        <f aca="true" t="shared" si="100" ref="AK89:AK97">IF(AN89=15,K89,0)</f>
        <v>0</v>
      </c>
      <c r="AL89" s="16">
        <f aca="true" t="shared" si="101" ref="AL89:AL97">IF(AN89=21,K89,0)</f>
        <v>0</v>
      </c>
      <c r="AN89" s="38">
        <v>21</v>
      </c>
      <c r="AO89" s="38">
        <f>H89*0.858785498489426</f>
        <v>0</v>
      </c>
      <c r="AP89" s="38">
        <f>H89*(1-0.858785498489426)</f>
        <v>0</v>
      </c>
      <c r="AQ89" s="32" t="s">
        <v>7</v>
      </c>
      <c r="AV89" s="38">
        <f aca="true" t="shared" si="102" ref="AV89:AV97">AW89+AX89</f>
        <v>0</v>
      </c>
      <c r="AW89" s="38">
        <f aca="true" t="shared" si="103" ref="AW89:AW97">G89*AO89</f>
        <v>0</v>
      </c>
      <c r="AX89" s="38">
        <f aca="true" t="shared" si="104" ref="AX89:AX97">G89*AP89</f>
        <v>0</v>
      </c>
      <c r="AY89" s="39" t="s">
        <v>499</v>
      </c>
      <c r="AZ89" s="39" t="s">
        <v>522</v>
      </c>
      <c r="BA89" s="33" t="s">
        <v>531</v>
      </c>
      <c r="BB89" s="33" t="s">
        <v>547</v>
      </c>
      <c r="BC89" s="38">
        <f aca="true" t="shared" si="105" ref="BC89:BC97">AW89+AX89</f>
        <v>0</v>
      </c>
      <c r="BD89" s="38">
        <f aca="true" t="shared" si="106" ref="BD89:BD97">H89/(100-BE89)*100</f>
        <v>0</v>
      </c>
      <c r="BE89" s="38">
        <v>0</v>
      </c>
      <c r="BF89" s="38">
        <f>89</f>
        <v>89</v>
      </c>
      <c r="BH89" s="16">
        <f aca="true" t="shared" si="107" ref="BH89:BH97">G89*AO89</f>
        <v>0</v>
      </c>
      <c r="BI89" s="16">
        <f aca="true" t="shared" si="108" ref="BI89:BI97">G89*AP89</f>
        <v>0</v>
      </c>
      <c r="BJ89" s="16">
        <f aca="true" t="shared" si="109" ref="BJ89:BJ97">G89*H89</f>
        <v>0</v>
      </c>
    </row>
    <row r="90" spans="1:62" ht="12.75">
      <c r="A90" s="4" t="s">
        <v>69</v>
      </c>
      <c r="B90" s="4" t="s">
        <v>199</v>
      </c>
      <c r="C90" s="203" t="s">
        <v>356</v>
      </c>
      <c r="D90" s="204"/>
      <c r="E90" s="204"/>
      <c r="F90" s="4" t="s">
        <v>453</v>
      </c>
      <c r="G90" s="16">
        <v>0.685</v>
      </c>
      <c r="H90" s="22">
        <v>0</v>
      </c>
      <c r="I90" s="16">
        <f t="shared" si="88"/>
        <v>0</v>
      </c>
      <c r="J90" s="16">
        <f t="shared" si="89"/>
        <v>0</v>
      </c>
      <c r="K90" s="16">
        <f t="shared" si="90"/>
        <v>0</v>
      </c>
      <c r="L90" s="32" t="s">
        <v>473</v>
      </c>
      <c r="Z90" s="38">
        <f t="shared" si="91"/>
        <v>0</v>
      </c>
      <c r="AB90" s="38">
        <f t="shared" si="92"/>
        <v>0</v>
      </c>
      <c r="AC90" s="38">
        <f t="shared" si="93"/>
        <v>0</v>
      </c>
      <c r="AD90" s="38">
        <f t="shared" si="94"/>
        <v>0</v>
      </c>
      <c r="AE90" s="38">
        <f t="shared" si="95"/>
        <v>0</v>
      </c>
      <c r="AF90" s="38">
        <f t="shared" si="96"/>
        <v>0</v>
      </c>
      <c r="AG90" s="38">
        <f t="shared" si="97"/>
        <v>0</v>
      </c>
      <c r="AH90" s="38">
        <f t="shared" si="98"/>
        <v>0</v>
      </c>
      <c r="AI90" s="33"/>
      <c r="AJ90" s="16">
        <f t="shared" si="99"/>
        <v>0</v>
      </c>
      <c r="AK90" s="16">
        <f t="shared" si="100"/>
        <v>0</v>
      </c>
      <c r="AL90" s="16">
        <f t="shared" si="101"/>
        <v>0</v>
      </c>
      <c r="AN90" s="38">
        <v>21</v>
      </c>
      <c r="AO90" s="38">
        <f>H90*0.474588698759997</f>
        <v>0</v>
      </c>
      <c r="AP90" s="38">
        <f>H90*(1-0.474588698759997)</f>
        <v>0</v>
      </c>
      <c r="AQ90" s="32" t="s">
        <v>7</v>
      </c>
      <c r="AV90" s="38">
        <f t="shared" si="102"/>
        <v>0</v>
      </c>
      <c r="AW90" s="38">
        <f t="shared" si="103"/>
        <v>0</v>
      </c>
      <c r="AX90" s="38">
        <f t="shared" si="104"/>
        <v>0</v>
      </c>
      <c r="AY90" s="39" t="s">
        <v>499</v>
      </c>
      <c r="AZ90" s="39" t="s">
        <v>522</v>
      </c>
      <c r="BA90" s="33" t="s">
        <v>531</v>
      </c>
      <c r="BB90" s="33" t="s">
        <v>547</v>
      </c>
      <c r="BC90" s="38">
        <f t="shared" si="105"/>
        <v>0</v>
      </c>
      <c r="BD90" s="38">
        <f t="shared" si="106"/>
        <v>0</v>
      </c>
      <c r="BE90" s="38">
        <v>0</v>
      </c>
      <c r="BF90" s="38">
        <f>90</f>
        <v>90</v>
      </c>
      <c r="BH90" s="16">
        <f t="shared" si="107"/>
        <v>0</v>
      </c>
      <c r="BI90" s="16">
        <f t="shared" si="108"/>
        <v>0</v>
      </c>
      <c r="BJ90" s="16">
        <f t="shared" si="109"/>
        <v>0</v>
      </c>
    </row>
    <row r="91" spans="1:62" ht="12.75">
      <c r="A91" s="4" t="s">
        <v>70</v>
      </c>
      <c r="B91" s="4" t="s">
        <v>200</v>
      </c>
      <c r="C91" s="203" t="s">
        <v>357</v>
      </c>
      <c r="D91" s="204"/>
      <c r="E91" s="204"/>
      <c r="F91" s="4" t="s">
        <v>447</v>
      </c>
      <c r="G91" s="16">
        <v>8.312</v>
      </c>
      <c r="H91" s="22">
        <v>0</v>
      </c>
      <c r="I91" s="16">
        <f t="shared" si="88"/>
        <v>0</v>
      </c>
      <c r="J91" s="16">
        <f t="shared" si="89"/>
        <v>0</v>
      </c>
      <c r="K91" s="16">
        <f t="shared" si="90"/>
        <v>0</v>
      </c>
      <c r="L91" s="32" t="s">
        <v>473</v>
      </c>
      <c r="Z91" s="38">
        <f t="shared" si="91"/>
        <v>0</v>
      </c>
      <c r="AB91" s="38">
        <f t="shared" si="92"/>
        <v>0</v>
      </c>
      <c r="AC91" s="38">
        <f t="shared" si="93"/>
        <v>0</v>
      </c>
      <c r="AD91" s="38">
        <f t="shared" si="94"/>
        <v>0</v>
      </c>
      <c r="AE91" s="38">
        <f t="shared" si="95"/>
        <v>0</v>
      </c>
      <c r="AF91" s="38">
        <f t="shared" si="96"/>
        <v>0</v>
      </c>
      <c r="AG91" s="38">
        <f t="shared" si="97"/>
        <v>0</v>
      </c>
      <c r="AH91" s="38">
        <f t="shared" si="98"/>
        <v>0</v>
      </c>
      <c r="AI91" s="33"/>
      <c r="AJ91" s="16">
        <f t="shared" si="99"/>
        <v>0</v>
      </c>
      <c r="AK91" s="16">
        <f t="shared" si="100"/>
        <v>0</v>
      </c>
      <c r="AL91" s="16">
        <f t="shared" si="101"/>
        <v>0</v>
      </c>
      <c r="AN91" s="38">
        <v>21</v>
      </c>
      <c r="AO91" s="38">
        <f>H91*0.473324589011623</f>
        <v>0</v>
      </c>
      <c r="AP91" s="38">
        <f>H91*(1-0.473324589011623)</f>
        <v>0</v>
      </c>
      <c r="AQ91" s="32" t="s">
        <v>7</v>
      </c>
      <c r="AV91" s="38">
        <f t="shared" si="102"/>
        <v>0</v>
      </c>
      <c r="AW91" s="38">
        <f t="shared" si="103"/>
        <v>0</v>
      </c>
      <c r="AX91" s="38">
        <f t="shared" si="104"/>
        <v>0</v>
      </c>
      <c r="AY91" s="39" t="s">
        <v>499</v>
      </c>
      <c r="AZ91" s="39" t="s">
        <v>522</v>
      </c>
      <c r="BA91" s="33" t="s">
        <v>531</v>
      </c>
      <c r="BB91" s="33" t="s">
        <v>547</v>
      </c>
      <c r="BC91" s="38">
        <f t="shared" si="105"/>
        <v>0</v>
      </c>
      <c r="BD91" s="38">
        <f t="shared" si="106"/>
        <v>0</v>
      </c>
      <c r="BE91" s="38">
        <v>0</v>
      </c>
      <c r="BF91" s="38">
        <f>91</f>
        <v>91</v>
      </c>
      <c r="BH91" s="16">
        <f t="shared" si="107"/>
        <v>0</v>
      </c>
      <c r="BI91" s="16">
        <f t="shared" si="108"/>
        <v>0</v>
      </c>
      <c r="BJ91" s="16">
        <f t="shared" si="109"/>
        <v>0</v>
      </c>
    </row>
    <row r="92" spans="1:62" ht="12.75">
      <c r="A92" s="4" t="s">
        <v>71</v>
      </c>
      <c r="B92" s="4" t="s">
        <v>201</v>
      </c>
      <c r="C92" s="203" t="s">
        <v>358</v>
      </c>
      <c r="D92" s="204"/>
      <c r="E92" s="204"/>
      <c r="F92" s="4" t="s">
        <v>447</v>
      </c>
      <c r="G92" s="16">
        <v>8.312</v>
      </c>
      <c r="H92" s="22">
        <v>0</v>
      </c>
      <c r="I92" s="16">
        <f t="shared" si="88"/>
        <v>0</v>
      </c>
      <c r="J92" s="16">
        <f t="shared" si="89"/>
        <v>0</v>
      </c>
      <c r="K92" s="16">
        <f t="shared" si="90"/>
        <v>0</v>
      </c>
      <c r="L92" s="32" t="s">
        <v>473</v>
      </c>
      <c r="Z92" s="38">
        <f t="shared" si="91"/>
        <v>0</v>
      </c>
      <c r="AB92" s="38">
        <f t="shared" si="92"/>
        <v>0</v>
      </c>
      <c r="AC92" s="38">
        <f t="shared" si="93"/>
        <v>0</v>
      </c>
      <c r="AD92" s="38">
        <f t="shared" si="94"/>
        <v>0</v>
      </c>
      <c r="AE92" s="38">
        <f t="shared" si="95"/>
        <v>0</v>
      </c>
      <c r="AF92" s="38">
        <f t="shared" si="96"/>
        <v>0</v>
      </c>
      <c r="AG92" s="38">
        <f t="shared" si="97"/>
        <v>0</v>
      </c>
      <c r="AH92" s="38">
        <f t="shared" si="98"/>
        <v>0</v>
      </c>
      <c r="AI92" s="33"/>
      <c r="AJ92" s="16">
        <f t="shared" si="99"/>
        <v>0</v>
      </c>
      <c r="AK92" s="16">
        <f t="shared" si="100"/>
        <v>0</v>
      </c>
      <c r="AL92" s="16">
        <f t="shared" si="101"/>
        <v>0</v>
      </c>
      <c r="AN92" s="38">
        <v>21</v>
      </c>
      <c r="AO92" s="38">
        <f>H92*0</f>
        <v>0</v>
      </c>
      <c r="AP92" s="38">
        <f>H92*(1-0)</f>
        <v>0</v>
      </c>
      <c r="AQ92" s="32" t="s">
        <v>7</v>
      </c>
      <c r="AV92" s="38">
        <f t="shared" si="102"/>
        <v>0</v>
      </c>
      <c r="AW92" s="38">
        <f t="shared" si="103"/>
        <v>0</v>
      </c>
      <c r="AX92" s="38">
        <f t="shared" si="104"/>
        <v>0</v>
      </c>
      <c r="AY92" s="39" t="s">
        <v>499</v>
      </c>
      <c r="AZ92" s="39" t="s">
        <v>522</v>
      </c>
      <c r="BA92" s="33" t="s">
        <v>531</v>
      </c>
      <c r="BB92" s="33" t="s">
        <v>547</v>
      </c>
      <c r="BC92" s="38">
        <f t="shared" si="105"/>
        <v>0</v>
      </c>
      <c r="BD92" s="38">
        <f t="shared" si="106"/>
        <v>0</v>
      </c>
      <c r="BE92" s="38">
        <v>0</v>
      </c>
      <c r="BF92" s="38">
        <f>92</f>
        <v>92</v>
      </c>
      <c r="BH92" s="16">
        <f t="shared" si="107"/>
        <v>0</v>
      </c>
      <c r="BI92" s="16">
        <f t="shared" si="108"/>
        <v>0</v>
      </c>
      <c r="BJ92" s="16">
        <f t="shared" si="109"/>
        <v>0</v>
      </c>
    </row>
    <row r="93" spans="1:62" ht="12.75">
      <c r="A93" s="4" t="s">
        <v>72</v>
      </c>
      <c r="B93" s="4" t="s">
        <v>202</v>
      </c>
      <c r="C93" s="203" t="s">
        <v>359</v>
      </c>
      <c r="D93" s="204"/>
      <c r="E93" s="204"/>
      <c r="F93" s="4" t="s">
        <v>453</v>
      </c>
      <c r="G93" s="16">
        <v>0.562</v>
      </c>
      <c r="H93" s="22">
        <v>0</v>
      </c>
      <c r="I93" s="16">
        <f t="shared" si="88"/>
        <v>0</v>
      </c>
      <c r="J93" s="16">
        <f t="shared" si="89"/>
        <v>0</v>
      </c>
      <c r="K93" s="16">
        <f t="shared" si="90"/>
        <v>0</v>
      </c>
      <c r="L93" s="32" t="s">
        <v>473</v>
      </c>
      <c r="Z93" s="38">
        <f t="shared" si="91"/>
        <v>0</v>
      </c>
      <c r="AB93" s="38">
        <f t="shared" si="92"/>
        <v>0</v>
      </c>
      <c r="AC93" s="38">
        <f t="shared" si="93"/>
        <v>0</v>
      </c>
      <c r="AD93" s="38">
        <f t="shared" si="94"/>
        <v>0</v>
      </c>
      <c r="AE93" s="38">
        <f t="shared" si="95"/>
        <v>0</v>
      </c>
      <c r="AF93" s="38">
        <f t="shared" si="96"/>
        <v>0</v>
      </c>
      <c r="AG93" s="38">
        <f t="shared" si="97"/>
        <v>0</v>
      </c>
      <c r="AH93" s="38">
        <f t="shared" si="98"/>
        <v>0</v>
      </c>
      <c r="AI93" s="33"/>
      <c r="AJ93" s="16">
        <f t="shared" si="99"/>
        <v>0</v>
      </c>
      <c r="AK93" s="16">
        <f t="shared" si="100"/>
        <v>0</v>
      </c>
      <c r="AL93" s="16">
        <f t="shared" si="101"/>
        <v>0</v>
      </c>
      <c r="AN93" s="38">
        <v>21</v>
      </c>
      <c r="AO93" s="38">
        <f>H93*0.520834718549301</f>
        <v>0</v>
      </c>
      <c r="AP93" s="38">
        <f>H93*(1-0.520834718549301)</f>
        <v>0</v>
      </c>
      <c r="AQ93" s="32" t="s">
        <v>7</v>
      </c>
      <c r="AV93" s="38">
        <f t="shared" si="102"/>
        <v>0</v>
      </c>
      <c r="AW93" s="38">
        <f t="shared" si="103"/>
        <v>0</v>
      </c>
      <c r="AX93" s="38">
        <f t="shared" si="104"/>
        <v>0</v>
      </c>
      <c r="AY93" s="39" t="s">
        <v>499</v>
      </c>
      <c r="AZ93" s="39" t="s">
        <v>522</v>
      </c>
      <c r="BA93" s="33" t="s">
        <v>531</v>
      </c>
      <c r="BB93" s="33" t="s">
        <v>547</v>
      </c>
      <c r="BC93" s="38">
        <f t="shared" si="105"/>
        <v>0</v>
      </c>
      <c r="BD93" s="38">
        <f t="shared" si="106"/>
        <v>0</v>
      </c>
      <c r="BE93" s="38">
        <v>0</v>
      </c>
      <c r="BF93" s="38">
        <f>93</f>
        <v>93</v>
      </c>
      <c r="BH93" s="16">
        <f t="shared" si="107"/>
        <v>0</v>
      </c>
      <c r="BI93" s="16">
        <f t="shared" si="108"/>
        <v>0</v>
      </c>
      <c r="BJ93" s="16">
        <f t="shared" si="109"/>
        <v>0</v>
      </c>
    </row>
    <row r="94" spans="1:62" ht="12.75">
      <c r="A94" s="4" t="s">
        <v>73</v>
      </c>
      <c r="B94" s="4" t="s">
        <v>203</v>
      </c>
      <c r="C94" s="203" t="s">
        <v>360</v>
      </c>
      <c r="D94" s="204"/>
      <c r="E94" s="204"/>
      <c r="F94" s="4" t="s">
        <v>448</v>
      </c>
      <c r="G94" s="16">
        <v>4</v>
      </c>
      <c r="H94" s="22">
        <v>0</v>
      </c>
      <c r="I94" s="16">
        <f t="shared" si="88"/>
        <v>0</v>
      </c>
      <c r="J94" s="16">
        <f t="shared" si="89"/>
        <v>0</v>
      </c>
      <c r="K94" s="16">
        <f t="shared" si="90"/>
        <v>0</v>
      </c>
      <c r="L94" s="32" t="s">
        <v>473</v>
      </c>
      <c r="Z94" s="38">
        <f t="shared" si="91"/>
        <v>0</v>
      </c>
      <c r="AB94" s="38">
        <f t="shared" si="92"/>
        <v>0</v>
      </c>
      <c r="AC94" s="38">
        <f t="shared" si="93"/>
        <v>0</v>
      </c>
      <c r="AD94" s="38">
        <f t="shared" si="94"/>
        <v>0</v>
      </c>
      <c r="AE94" s="38">
        <f t="shared" si="95"/>
        <v>0</v>
      </c>
      <c r="AF94" s="38">
        <f t="shared" si="96"/>
        <v>0</v>
      </c>
      <c r="AG94" s="38">
        <f t="shared" si="97"/>
        <v>0</v>
      </c>
      <c r="AH94" s="38">
        <f t="shared" si="98"/>
        <v>0</v>
      </c>
      <c r="AI94" s="33"/>
      <c r="AJ94" s="16">
        <f t="shared" si="99"/>
        <v>0</v>
      </c>
      <c r="AK94" s="16">
        <f t="shared" si="100"/>
        <v>0</v>
      </c>
      <c r="AL94" s="16">
        <f t="shared" si="101"/>
        <v>0</v>
      </c>
      <c r="AN94" s="38">
        <v>21</v>
      </c>
      <c r="AO94" s="38">
        <f>H94*0.00547133923966869</f>
        <v>0</v>
      </c>
      <c r="AP94" s="38">
        <f>H94*(1-0.00547133923966869)</f>
        <v>0</v>
      </c>
      <c r="AQ94" s="32" t="s">
        <v>7</v>
      </c>
      <c r="AV94" s="38">
        <f t="shared" si="102"/>
        <v>0</v>
      </c>
      <c r="AW94" s="38">
        <f t="shared" si="103"/>
        <v>0</v>
      </c>
      <c r="AX94" s="38">
        <f t="shared" si="104"/>
        <v>0</v>
      </c>
      <c r="AY94" s="39" t="s">
        <v>499</v>
      </c>
      <c r="AZ94" s="39" t="s">
        <v>522</v>
      </c>
      <c r="BA94" s="33" t="s">
        <v>531</v>
      </c>
      <c r="BB94" s="33" t="s">
        <v>547</v>
      </c>
      <c r="BC94" s="38">
        <f t="shared" si="105"/>
        <v>0</v>
      </c>
      <c r="BD94" s="38">
        <f t="shared" si="106"/>
        <v>0</v>
      </c>
      <c r="BE94" s="38">
        <v>0</v>
      </c>
      <c r="BF94" s="38">
        <f>94</f>
        <v>94</v>
      </c>
      <c r="BH94" s="16">
        <f t="shared" si="107"/>
        <v>0</v>
      </c>
      <c r="BI94" s="16">
        <f t="shared" si="108"/>
        <v>0</v>
      </c>
      <c r="BJ94" s="16">
        <f t="shared" si="109"/>
        <v>0</v>
      </c>
    </row>
    <row r="95" spans="1:62" ht="12.75">
      <c r="A95" s="4" t="s">
        <v>74</v>
      </c>
      <c r="B95" s="4" t="s">
        <v>204</v>
      </c>
      <c r="C95" s="203" t="s">
        <v>361</v>
      </c>
      <c r="D95" s="204"/>
      <c r="E95" s="204"/>
      <c r="F95" s="4" t="s">
        <v>452</v>
      </c>
      <c r="G95" s="16">
        <v>3.823</v>
      </c>
      <c r="H95" s="22">
        <v>0</v>
      </c>
      <c r="I95" s="16">
        <f t="shared" si="88"/>
        <v>0</v>
      </c>
      <c r="J95" s="16">
        <f t="shared" si="89"/>
        <v>0</v>
      </c>
      <c r="K95" s="16">
        <f t="shared" si="90"/>
        <v>0</v>
      </c>
      <c r="L95" s="32" t="s">
        <v>473</v>
      </c>
      <c r="Z95" s="38">
        <f t="shared" si="91"/>
        <v>0</v>
      </c>
      <c r="AB95" s="38">
        <f t="shared" si="92"/>
        <v>0</v>
      </c>
      <c r="AC95" s="38">
        <f t="shared" si="93"/>
        <v>0</v>
      </c>
      <c r="AD95" s="38">
        <f t="shared" si="94"/>
        <v>0</v>
      </c>
      <c r="AE95" s="38">
        <f t="shared" si="95"/>
        <v>0</v>
      </c>
      <c r="AF95" s="38">
        <f t="shared" si="96"/>
        <v>0</v>
      </c>
      <c r="AG95" s="38">
        <f t="shared" si="97"/>
        <v>0</v>
      </c>
      <c r="AH95" s="38">
        <f t="shared" si="98"/>
        <v>0</v>
      </c>
      <c r="AI95" s="33"/>
      <c r="AJ95" s="16">
        <f t="shared" si="99"/>
        <v>0</v>
      </c>
      <c r="AK95" s="16">
        <f t="shared" si="100"/>
        <v>0</v>
      </c>
      <c r="AL95" s="16">
        <f t="shared" si="101"/>
        <v>0</v>
      </c>
      <c r="AN95" s="38">
        <v>21</v>
      </c>
      <c r="AO95" s="38">
        <f>H95*0.858785498489426</f>
        <v>0</v>
      </c>
      <c r="AP95" s="38">
        <f>H95*(1-0.858785498489426)</f>
        <v>0</v>
      </c>
      <c r="AQ95" s="32" t="s">
        <v>7</v>
      </c>
      <c r="AV95" s="38">
        <f t="shared" si="102"/>
        <v>0</v>
      </c>
      <c r="AW95" s="38">
        <f t="shared" si="103"/>
        <v>0</v>
      </c>
      <c r="AX95" s="38">
        <f t="shared" si="104"/>
        <v>0</v>
      </c>
      <c r="AY95" s="39" t="s">
        <v>499</v>
      </c>
      <c r="AZ95" s="39" t="s">
        <v>522</v>
      </c>
      <c r="BA95" s="33" t="s">
        <v>531</v>
      </c>
      <c r="BB95" s="33" t="s">
        <v>547</v>
      </c>
      <c r="BC95" s="38">
        <f t="shared" si="105"/>
        <v>0</v>
      </c>
      <c r="BD95" s="38">
        <f t="shared" si="106"/>
        <v>0</v>
      </c>
      <c r="BE95" s="38">
        <v>0</v>
      </c>
      <c r="BF95" s="38">
        <f>95</f>
        <v>95</v>
      </c>
      <c r="BH95" s="16">
        <f t="shared" si="107"/>
        <v>0</v>
      </c>
      <c r="BI95" s="16">
        <f t="shared" si="108"/>
        <v>0</v>
      </c>
      <c r="BJ95" s="16">
        <f t="shared" si="109"/>
        <v>0</v>
      </c>
    </row>
    <row r="96" spans="1:62" ht="12.75">
      <c r="A96" s="4" t="s">
        <v>75</v>
      </c>
      <c r="B96" s="4" t="s">
        <v>205</v>
      </c>
      <c r="C96" s="203" t="s">
        <v>362</v>
      </c>
      <c r="D96" s="204"/>
      <c r="E96" s="204"/>
      <c r="F96" s="4" t="s">
        <v>447</v>
      </c>
      <c r="G96" s="16">
        <v>6.12</v>
      </c>
      <c r="H96" s="22">
        <v>0</v>
      </c>
      <c r="I96" s="16">
        <f t="shared" si="88"/>
        <v>0</v>
      </c>
      <c r="J96" s="16">
        <f t="shared" si="89"/>
        <v>0</v>
      </c>
      <c r="K96" s="16">
        <f t="shared" si="90"/>
        <v>0</v>
      </c>
      <c r="L96" s="32" t="s">
        <v>473</v>
      </c>
      <c r="Z96" s="38">
        <f t="shared" si="91"/>
        <v>0</v>
      </c>
      <c r="AB96" s="38">
        <f t="shared" si="92"/>
        <v>0</v>
      </c>
      <c r="AC96" s="38">
        <f t="shared" si="93"/>
        <v>0</v>
      </c>
      <c r="AD96" s="38">
        <f t="shared" si="94"/>
        <v>0</v>
      </c>
      <c r="AE96" s="38">
        <f t="shared" si="95"/>
        <v>0</v>
      </c>
      <c r="AF96" s="38">
        <f t="shared" si="96"/>
        <v>0</v>
      </c>
      <c r="AG96" s="38">
        <f t="shared" si="97"/>
        <v>0</v>
      </c>
      <c r="AH96" s="38">
        <f t="shared" si="98"/>
        <v>0</v>
      </c>
      <c r="AI96" s="33"/>
      <c r="AJ96" s="16">
        <f t="shared" si="99"/>
        <v>0</v>
      </c>
      <c r="AK96" s="16">
        <f t="shared" si="100"/>
        <v>0</v>
      </c>
      <c r="AL96" s="16">
        <f t="shared" si="101"/>
        <v>0</v>
      </c>
      <c r="AN96" s="38">
        <v>21</v>
      </c>
      <c r="AO96" s="38">
        <f>H96*0.0481232010919557</f>
        <v>0</v>
      </c>
      <c r="AP96" s="38">
        <f>H96*(1-0.0481232010919557)</f>
        <v>0</v>
      </c>
      <c r="AQ96" s="32" t="s">
        <v>7</v>
      </c>
      <c r="AV96" s="38">
        <f t="shared" si="102"/>
        <v>0</v>
      </c>
      <c r="AW96" s="38">
        <f t="shared" si="103"/>
        <v>0</v>
      </c>
      <c r="AX96" s="38">
        <f t="shared" si="104"/>
        <v>0</v>
      </c>
      <c r="AY96" s="39" t="s">
        <v>499</v>
      </c>
      <c r="AZ96" s="39" t="s">
        <v>522</v>
      </c>
      <c r="BA96" s="33" t="s">
        <v>531</v>
      </c>
      <c r="BB96" s="33" t="s">
        <v>547</v>
      </c>
      <c r="BC96" s="38">
        <f t="shared" si="105"/>
        <v>0</v>
      </c>
      <c r="BD96" s="38">
        <f t="shared" si="106"/>
        <v>0</v>
      </c>
      <c r="BE96" s="38">
        <v>0</v>
      </c>
      <c r="BF96" s="38">
        <f>96</f>
        <v>96</v>
      </c>
      <c r="BH96" s="16">
        <f t="shared" si="107"/>
        <v>0</v>
      </c>
      <c r="BI96" s="16">
        <f t="shared" si="108"/>
        <v>0</v>
      </c>
      <c r="BJ96" s="16">
        <f t="shared" si="109"/>
        <v>0</v>
      </c>
    </row>
    <row r="97" spans="1:62" ht="12.75">
      <c r="A97" s="4" t="s">
        <v>76</v>
      </c>
      <c r="B97" s="4" t="s">
        <v>206</v>
      </c>
      <c r="C97" s="203" t="s">
        <v>363</v>
      </c>
      <c r="D97" s="204"/>
      <c r="E97" s="204"/>
      <c r="F97" s="4" t="s">
        <v>447</v>
      </c>
      <c r="G97" s="16">
        <v>6.12</v>
      </c>
      <c r="H97" s="22">
        <v>0</v>
      </c>
      <c r="I97" s="16">
        <f t="shared" si="88"/>
        <v>0</v>
      </c>
      <c r="J97" s="16">
        <f t="shared" si="89"/>
        <v>0</v>
      </c>
      <c r="K97" s="16">
        <f t="shared" si="90"/>
        <v>0</v>
      </c>
      <c r="L97" s="32" t="s">
        <v>473</v>
      </c>
      <c r="Z97" s="38">
        <f t="shared" si="91"/>
        <v>0</v>
      </c>
      <c r="AB97" s="38">
        <f t="shared" si="92"/>
        <v>0</v>
      </c>
      <c r="AC97" s="38">
        <f t="shared" si="93"/>
        <v>0</v>
      </c>
      <c r="AD97" s="38">
        <f t="shared" si="94"/>
        <v>0</v>
      </c>
      <c r="AE97" s="38">
        <f t="shared" si="95"/>
        <v>0</v>
      </c>
      <c r="AF97" s="38">
        <f t="shared" si="96"/>
        <v>0</v>
      </c>
      <c r="AG97" s="38">
        <f t="shared" si="97"/>
        <v>0</v>
      </c>
      <c r="AH97" s="38">
        <f t="shared" si="98"/>
        <v>0</v>
      </c>
      <c r="AI97" s="33"/>
      <c r="AJ97" s="16">
        <f t="shared" si="99"/>
        <v>0</v>
      </c>
      <c r="AK97" s="16">
        <f t="shared" si="100"/>
        <v>0</v>
      </c>
      <c r="AL97" s="16">
        <f t="shared" si="101"/>
        <v>0</v>
      </c>
      <c r="AN97" s="38">
        <v>21</v>
      </c>
      <c r="AO97" s="38">
        <f>H97*0</f>
        <v>0</v>
      </c>
      <c r="AP97" s="38">
        <f>H97*(1-0)</f>
        <v>0</v>
      </c>
      <c r="AQ97" s="32" t="s">
        <v>7</v>
      </c>
      <c r="AV97" s="38">
        <f t="shared" si="102"/>
        <v>0</v>
      </c>
      <c r="AW97" s="38">
        <f t="shared" si="103"/>
        <v>0</v>
      </c>
      <c r="AX97" s="38">
        <f t="shared" si="104"/>
        <v>0</v>
      </c>
      <c r="AY97" s="39" t="s">
        <v>499</v>
      </c>
      <c r="AZ97" s="39" t="s">
        <v>522</v>
      </c>
      <c r="BA97" s="33" t="s">
        <v>531</v>
      </c>
      <c r="BB97" s="33" t="s">
        <v>547</v>
      </c>
      <c r="BC97" s="38">
        <f t="shared" si="105"/>
        <v>0</v>
      </c>
      <c r="BD97" s="38">
        <f t="shared" si="106"/>
        <v>0</v>
      </c>
      <c r="BE97" s="38">
        <v>0</v>
      </c>
      <c r="BF97" s="38">
        <f>97</f>
        <v>97</v>
      </c>
      <c r="BH97" s="16">
        <f t="shared" si="107"/>
        <v>0</v>
      </c>
      <c r="BI97" s="16">
        <f t="shared" si="108"/>
        <v>0</v>
      </c>
      <c r="BJ97" s="16">
        <f t="shared" si="109"/>
        <v>0</v>
      </c>
    </row>
    <row r="98" spans="1:47" ht="12.75">
      <c r="A98" s="5"/>
      <c r="B98" s="13" t="s">
        <v>51</v>
      </c>
      <c r="C98" s="205" t="s">
        <v>364</v>
      </c>
      <c r="D98" s="206"/>
      <c r="E98" s="206"/>
      <c r="F98" s="5" t="s">
        <v>6</v>
      </c>
      <c r="G98" s="5" t="s">
        <v>6</v>
      </c>
      <c r="H98" s="23" t="s">
        <v>6</v>
      </c>
      <c r="I98" s="41">
        <f>SUM(I99:I100)</f>
        <v>0</v>
      </c>
      <c r="J98" s="41">
        <f>SUM(J99:J100)</f>
        <v>0</v>
      </c>
      <c r="K98" s="41">
        <f>SUM(K99:K100)</f>
        <v>0</v>
      </c>
      <c r="L98" s="33"/>
      <c r="AI98" s="33"/>
      <c r="AS98" s="41">
        <f>SUM(AJ99:AJ100)</f>
        <v>0</v>
      </c>
      <c r="AT98" s="41">
        <f>SUM(AK99:AK100)</f>
        <v>0</v>
      </c>
      <c r="AU98" s="41">
        <f>SUM(AL99:AL100)</f>
        <v>0</v>
      </c>
    </row>
    <row r="99" spans="1:62" ht="12.75">
      <c r="A99" s="4" t="s">
        <v>77</v>
      </c>
      <c r="B99" s="4" t="s">
        <v>207</v>
      </c>
      <c r="C99" s="203" t="s">
        <v>365</v>
      </c>
      <c r="D99" s="204"/>
      <c r="E99" s="204"/>
      <c r="F99" s="4" t="s">
        <v>452</v>
      </c>
      <c r="G99" s="16">
        <v>156.603</v>
      </c>
      <c r="H99" s="22">
        <v>0</v>
      </c>
      <c r="I99" s="16">
        <f>G99*AO99</f>
        <v>0</v>
      </c>
      <c r="J99" s="16">
        <f>G99*AP99</f>
        <v>0</v>
      </c>
      <c r="K99" s="16">
        <f>G99*H99</f>
        <v>0</v>
      </c>
      <c r="L99" s="32" t="s">
        <v>473</v>
      </c>
      <c r="Z99" s="38">
        <f>IF(AQ99="5",BJ99,0)</f>
        <v>0</v>
      </c>
      <c r="AB99" s="38">
        <f>IF(AQ99="1",BH99,0)</f>
        <v>0</v>
      </c>
      <c r="AC99" s="38">
        <f>IF(AQ99="1",BI99,0)</f>
        <v>0</v>
      </c>
      <c r="AD99" s="38">
        <f>IF(AQ99="7",BH99,0)</f>
        <v>0</v>
      </c>
      <c r="AE99" s="38">
        <f>IF(AQ99="7",BI99,0)</f>
        <v>0</v>
      </c>
      <c r="AF99" s="38">
        <f>IF(AQ99="2",BH99,0)</f>
        <v>0</v>
      </c>
      <c r="AG99" s="38">
        <f>IF(AQ99="2",BI99,0)</f>
        <v>0</v>
      </c>
      <c r="AH99" s="38">
        <f>IF(AQ99="0",BJ99,0)</f>
        <v>0</v>
      </c>
      <c r="AI99" s="33"/>
      <c r="AJ99" s="16">
        <f>IF(AN99=0,K99,0)</f>
        <v>0</v>
      </c>
      <c r="AK99" s="16">
        <f>IF(AN99=15,K99,0)</f>
        <v>0</v>
      </c>
      <c r="AL99" s="16">
        <f>IF(AN99=21,K99,0)</f>
        <v>0</v>
      </c>
      <c r="AN99" s="38">
        <v>21</v>
      </c>
      <c r="AO99" s="38">
        <f>H99*0.497529939083949</f>
        <v>0</v>
      </c>
      <c r="AP99" s="38">
        <f>H99*(1-0.497529939083949)</f>
        <v>0</v>
      </c>
      <c r="AQ99" s="32" t="s">
        <v>7</v>
      </c>
      <c r="AV99" s="38">
        <f>AW99+AX99</f>
        <v>0</v>
      </c>
      <c r="AW99" s="38">
        <f>G99*AO99</f>
        <v>0</v>
      </c>
      <c r="AX99" s="38">
        <f>G99*AP99</f>
        <v>0</v>
      </c>
      <c r="AY99" s="39" t="s">
        <v>500</v>
      </c>
      <c r="AZ99" s="39" t="s">
        <v>522</v>
      </c>
      <c r="BA99" s="33" t="s">
        <v>531</v>
      </c>
      <c r="BB99" s="33" t="s">
        <v>548</v>
      </c>
      <c r="BC99" s="38">
        <f>AW99+AX99</f>
        <v>0</v>
      </c>
      <c r="BD99" s="38">
        <f>H99/(100-BE99)*100</f>
        <v>0</v>
      </c>
      <c r="BE99" s="38">
        <v>0</v>
      </c>
      <c r="BF99" s="38">
        <f>99</f>
        <v>99</v>
      </c>
      <c r="BH99" s="16">
        <f>G99*AO99</f>
        <v>0</v>
      </c>
      <c r="BI99" s="16">
        <f>G99*AP99</f>
        <v>0</v>
      </c>
      <c r="BJ99" s="16">
        <f>G99*H99</f>
        <v>0</v>
      </c>
    </row>
    <row r="100" spans="1:62" ht="12.75">
      <c r="A100" s="4" t="s">
        <v>78</v>
      </c>
      <c r="B100" s="4" t="s">
        <v>208</v>
      </c>
      <c r="C100" s="203" t="s">
        <v>366</v>
      </c>
      <c r="D100" s="204"/>
      <c r="E100" s="204"/>
      <c r="F100" s="4" t="s">
        <v>452</v>
      </c>
      <c r="G100" s="16">
        <v>6.86</v>
      </c>
      <c r="H100" s="22">
        <v>0</v>
      </c>
      <c r="I100" s="16">
        <f>G100*AO100</f>
        <v>0</v>
      </c>
      <c r="J100" s="16">
        <f>G100*AP100</f>
        <v>0</v>
      </c>
      <c r="K100" s="16">
        <f>G100*H100</f>
        <v>0</v>
      </c>
      <c r="L100" s="32" t="s">
        <v>473</v>
      </c>
      <c r="Z100" s="38">
        <f>IF(AQ100="5",BJ100,0)</f>
        <v>0</v>
      </c>
      <c r="AB100" s="38">
        <f>IF(AQ100="1",BH100,0)</f>
        <v>0</v>
      </c>
      <c r="AC100" s="38">
        <f>IF(AQ100="1",BI100,0)</f>
        <v>0</v>
      </c>
      <c r="AD100" s="38">
        <f>IF(AQ100="7",BH100,0)</f>
        <v>0</v>
      </c>
      <c r="AE100" s="38">
        <f>IF(AQ100="7",BI100,0)</f>
        <v>0</v>
      </c>
      <c r="AF100" s="38">
        <f>IF(AQ100="2",BH100,0)</f>
        <v>0</v>
      </c>
      <c r="AG100" s="38">
        <f>IF(AQ100="2",BI100,0)</f>
        <v>0</v>
      </c>
      <c r="AH100" s="38">
        <f>IF(AQ100="0",BJ100,0)</f>
        <v>0</v>
      </c>
      <c r="AI100" s="33"/>
      <c r="AJ100" s="16">
        <f>IF(AN100=0,K100,0)</f>
        <v>0</v>
      </c>
      <c r="AK100" s="16">
        <f>IF(AN100=15,K100,0)</f>
        <v>0</v>
      </c>
      <c r="AL100" s="16">
        <f>IF(AN100=21,K100,0)</f>
        <v>0</v>
      </c>
      <c r="AN100" s="38">
        <v>21</v>
      </c>
      <c r="AO100" s="38">
        <f>H100*0</f>
        <v>0</v>
      </c>
      <c r="AP100" s="38">
        <f>H100*(1-0)</f>
        <v>0</v>
      </c>
      <c r="AQ100" s="32" t="s">
        <v>7</v>
      </c>
      <c r="AV100" s="38">
        <f>AW100+AX100</f>
        <v>0</v>
      </c>
      <c r="AW100" s="38">
        <f>G100*AO100</f>
        <v>0</v>
      </c>
      <c r="AX100" s="38">
        <f>G100*AP100</f>
        <v>0</v>
      </c>
      <c r="AY100" s="39" t="s">
        <v>500</v>
      </c>
      <c r="AZ100" s="39" t="s">
        <v>522</v>
      </c>
      <c r="BA100" s="33" t="s">
        <v>531</v>
      </c>
      <c r="BB100" s="33" t="s">
        <v>548</v>
      </c>
      <c r="BC100" s="38">
        <f>AW100+AX100</f>
        <v>0</v>
      </c>
      <c r="BD100" s="38">
        <f>H100/(100-BE100)*100</f>
        <v>0</v>
      </c>
      <c r="BE100" s="38">
        <v>0</v>
      </c>
      <c r="BF100" s="38">
        <f>100</f>
        <v>100</v>
      </c>
      <c r="BH100" s="16">
        <f>G100*AO100</f>
        <v>0</v>
      </c>
      <c r="BI100" s="16">
        <f>G100*AP100</f>
        <v>0</v>
      </c>
      <c r="BJ100" s="16">
        <f>G100*H100</f>
        <v>0</v>
      </c>
    </row>
    <row r="101" spans="1:47" ht="12.75">
      <c r="A101" s="5"/>
      <c r="B101" s="13" t="s">
        <v>52</v>
      </c>
      <c r="C101" s="205" t="s">
        <v>367</v>
      </c>
      <c r="D101" s="206"/>
      <c r="E101" s="206"/>
      <c r="F101" s="5" t="s">
        <v>6</v>
      </c>
      <c r="G101" s="5" t="s">
        <v>6</v>
      </c>
      <c r="H101" s="23" t="s">
        <v>6</v>
      </c>
      <c r="I101" s="41">
        <f>SUM(I102:I106)</f>
        <v>0</v>
      </c>
      <c r="J101" s="41">
        <f>SUM(J102:J106)</f>
        <v>0</v>
      </c>
      <c r="K101" s="41">
        <f>SUM(K102:K106)</f>
        <v>0</v>
      </c>
      <c r="L101" s="33"/>
      <c r="AI101" s="33"/>
      <c r="AS101" s="41">
        <f>SUM(AJ102:AJ106)</f>
        <v>0</v>
      </c>
      <c r="AT101" s="41">
        <f>SUM(AK102:AK106)</f>
        <v>0</v>
      </c>
      <c r="AU101" s="41">
        <f>SUM(AL102:AL106)</f>
        <v>0</v>
      </c>
    </row>
    <row r="102" spans="1:62" ht="12.75">
      <c r="A102" s="4" t="s">
        <v>79</v>
      </c>
      <c r="B102" s="4" t="s">
        <v>209</v>
      </c>
      <c r="C102" s="203" t="s">
        <v>368</v>
      </c>
      <c r="D102" s="204"/>
      <c r="E102" s="204"/>
      <c r="F102" s="4" t="s">
        <v>452</v>
      </c>
      <c r="G102" s="16">
        <v>2.865</v>
      </c>
      <c r="H102" s="22">
        <v>0</v>
      </c>
      <c r="I102" s="16">
        <f>G102*AO102</f>
        <v>0</v>
      </c>
      <c r="J102" s="16">
        <f>G102*AP102</f>
        <v>0</v>
      </c>
      <c r="K102" s="16">
        <f>G102*H102</f>
        <v>0</v>
      </c>
      <c r="L102" s="32" t="s">
        <v>473</v>
      </c>
      <c r="Z102" s="38">
        <f>IF(AQ102="5",BJ102,0)</f>
        <v>0</v>
      </c>
      <c r="AB102" s="38">
        <f>IF(AQ102="1",BH102,0)</f>
        <v>0</v>
      </c>
      <c r="AC102" s="38">
        <f>IF(AQ102="1",BI102,0)</f>
        <v>0</v>
      </c>
      <c r="AD102" s="38">
        <f>IF(AQ102="7",BH102,0)</f>
        <v>0</v>
      </c>
      <c r="AE102" s="38">
        <f>IF(AQ102="7",BI102,0)</f>
        <v>0</v>
      </c>
      <c r="AF102" s="38">
        <f>IF(AQ102="2",BH102,0)</f>
        <v>0</v>
      </c>
      <c r="AG102" s="38">
        <f>IF(AQ102="2",BI102,0)</f>
        <v>0</v>
      </c>
      <c r="AH102" s="38">
        <f>IF(AQ102="0",BJ102,0)</f>
        <v>0</v>
      </c>
      <c r="AI102" s="33"/>
      <c r="AJ102" s="16">
        <f>IF(AN102=0,K102,0)</f>
        <v>0</v>
      </c>
      <c r="AK102" s="16">
        <f>IF(AN102=15,K102,0)</f>
        <v>0</v>
      </c>
      <c r="AL102" s="16">
        <f>IF(AN102=21,K102,0)</f>
        <v>0</v>
      </c>
      <c r="AN102" s="38">
        <v>21</v>
      </c>
      <c r="AO102" s="38">
        <f>H102*0.811624460647933</f>
        <v>0</v>
      </c>
      <c r="AP102" s="38">
        <f>H102*(1-0.811624460647933)</f>
        <v>0</v>
      </c>
      <c r="AQ102" s="32" t="s">
        <v>7</v>
      </c>
      <c r="AV102" s="38">
        <f>AW102+AX102</f>
        <v>0</v>
      </c>
      <c r="AW102" s="38">
        <f>G102*AO102</f>
        <v>0</v>
      </c>
      <c r="AX102" s="38">
        <f>G102*AP102</f>
        <v>0</v>
      </c>
      <c r="AY102" s="39" t="s">
        <v>501</v>
      </c>
      <c r="AZ102" s="39" t="s">
        <v>522</v>
      </c>
      <c r="BA102" s="33" t="s">
        <v>531</v>
      </c>
      <c r="BB102" s="33" t="s">
        <v>549</v>
      </c>
      <c r="BC102" s="38">
        <f>AW102+AX102</f>
        <v>0</v>
      </c>
      <c r="BD102" s="38">
        <f>H102/(100-BE102)*100</f>
        <v>0</v>
      </c>
      <c r="BE102" s="38">
        <v>0</v>
      </c>
      <c r="BF102" s="38">
        <f>102</f>
        <v>102</v>
      </c>
      <c r="BH102" s="16">
        <f>G102*AO102</f>
        <v>0</v>
      </c>
      <c r="BI102" s="16">
        <f>G102*AP102</f>
        <v>0</v>
      </c>
      <c r="BJ102" s="16">
        <f>G102*H102</f>
        <v>0</v>
      </c>
    </row>
    <row r="103" spans="1:62" ht="12.75">
      <c r="A103" s="4" t="s">
        <v>80</v>
      </c>
      <c r="B103" s="4" t="s">
        <v>210</v>
      </c>
      <c r="C103" s="203" t="s">
        <v>369</v>
      </c>
      <c r="D103" s="204"/>
      <c r="E103" s="204"/>
      <c r="F103" s="4" t="s">
        <v>448</v>
      </c>
      <c r="G103" s="16">
        <v>26</v>
      </c>
      <c r="H103" s="22">
        <v>0</v>
      </c>
      <c r="I103" s="16">
        <f>G103*AO103</f>
        <v>0</v>
      </c>
      <c r="J103" s="16">
        <f>G103*AP103</f>
        <v>0</v>
      </c>
      <c r="K103" s="16">
        <f>G103*H103</f>
        <v>0</v>
      </c>
      <c r="L103" s="32" t="s">
        <v>473</v>
      </c>
      <c r="Z103" s="38">
        <f>IF(AQ103="5",BJ103,0)</f>
        <v>0</v>
      </c>
      <c r="AB103" s="38">
        <f>IF(AQ103="1",BH103,0)</f>
        <v>0</v>
      </c>
      <c r="AC103" s="38">
        <f>IF(AQ103="1",BI103,0)</f>
        <v>0</v>
      </c>
      <c r="AD103" s="38">
        <f>IF(AQ103="7",BH103,0)</f>
        <v>0</v>
      </c>
      <c r="AE103" s="38">
        <f>IF(AQ103="7",BI103,0)</f>
        <v>0</v>
      </c>
      <c r="AF103" s="38">
        <f>IF(AQ103="2",BH103,0)</f>
        <v>0</v>
      </c>
      <c r="AG103" s="38">
        <f>IF(AQ103="2",BI103,0)</f>
        <v>0</v>
      </c>
      <c r="AH103" s="38">
        <f>IF(AQ103="0",BJ103,0)</f>
        <v>0</v>
      </c>
      <c r="AI103" s="33"/>
      <c r="AJ103" s="16">
        <f>IF(AN103=0,K103,0)</f>
        <v>0</v>
      </c>
      <c r="AK103" s="16">
        <f>IF(AN103=15,K103,0)</f>
        <v>0</v>
      </c>
      <c r="AL103" s="16">
        <f>IF(AN103=21,K103,0)</f>
        <v>0</v>
      </c>
      <c r="AN103" s="38">
        <v>21</v>
      </c>
      <c r="AO103" s="38">
        <f>H103*0.0315261770634141</f>
        <v>0</v>
      </c>
      <c r="AP103" s="38">
        <f>H103*(1-0.0315261770634141)</f>
        <v>0</v>
      </c>
      <c r="AQ103" s="32" t="s">
        <v>7</v>
      </c>
      <c r="AV103" s="38">
        <f>AW103+AX103</f>
        <v>0</v>
      </c>
      <c r="AW103" s="38">
        <f>G103*AO103</f>
        <v>0</v>
      </c>
      <c r="AX103" s="38">
        <f>G103*AP103</f>
        <v>0</v>
      </c>
      <c r="AY103" s="39" t="s">
        <v>501</v>
      </c>
      <c r="AZ103" s="39" t="s">
        <v>522</v>
      </c>
      <c r="BA103" s="33" t="s">
        <v>531</v>
      </c>
      <c r="BB103" s="33" t="s">
        <v>549</v>
      </c>
      <c r="BC103" s="38">
        <f>AW103+AX103</f>
        <v>0</v>
      </c>
      <c r="BD103" s="38">
        <f>H103/(100-BE103)*100</f>
        <v>0</v>
      </c>
      <c r="BE103" s="38">
        <v>0</v>
      </c>
      <c r="BF103" s="38">
        <f>103</f>
        <v>103</v>
      </c>
      <c r="BH103" s="16">
        <f>G103*AO103</f>
        <v>0</v>
      </c>
      <c r="BI103" s="16">
        <f>G103*AP103</f>
        <v>0</v>
      </c>
      <c r="BJ103" s="16">
        <f>G103*H103</f>
        <v>0</v>
      </c>
    </row>
    <row r="104" spans="1:62" ht="12.75">
      <c r="A104" s="4" t="s">
        <v>81</v>
      </c>
      <c r="B104" s="4" t="s">
        <v>211</v>
      </c>
      <c r="C104" s="203" t="s">
        <v>370</v>
      </c>
      <c r="D104" s="204"/>
      <c r="E104" s="204"/>
      <c r="F104" s="4" t="s">
        <v>447</v>
      </c>
      <c r="G104" s="16">
        <v>8.45</v>
      </c>
      <c r="H104" s="22">
        <v>0</v>
      </c>
      <c r="I104" s="16">
        <f>G104*AO104</f>
        <v>0</v>
      </c>
      <c r="J104" s="16">
        <f>G104*AP104</f>
        <v>0</v>
      </c>
      <c r="K104" s="16">
        <f>G104*H104</f>
        <v>0</v>
      </c>
      <c r="L104" s="32" t="s">
        <v>473</v>
      </c>
      <c r="Z104" s="38">
        <f>IF(AQ104="5",BJ104,0)</f>
        <v>0</v>
      </c>
      <c r="AB104" s="38">
        <f>IF(AQ104="1",BH104,0)</f>
        <v>0</v>
      </c>
      <c r="AC104" s="38">
        <f>IF(AQ104="1",BI104,0)</f>
        <v>0</v>
      </c>
      <c r="AD104" s="38">
        <f>IF(AQ104="7",BH104,0)</f>
        <v>0</v>
      </c>
      <c r="AE104" s="38">
        <f>IF(AQ104="7",BI104,0)</f>
        <v>0</v>
      </c>
      <c r="AF104" s="38">
        <f>IF(AQ104="2",BH104,0)</f>
        <v>0</v>
      </c>
      <c r="AG104" s="38">
        <f>IF(AQ104="2",BI104,0)</f>
        <v>0</v>
      </c>
      <c r="AH104" s="38">
        <f>IF(AQ104="0",BJ104,0)</f>
        <v>0</v>
      </c>
      <c r="AI104" s="33"/>
      <c r="AJ104" s="16">
        <f>IF(AN104=0,K104,0)</f>
        <v>0</v>
      </c>
      <c r="AK104" s="16">
        <f>IF(AN104=15,K104,0)</f>
        <v>0</v>
      </c>
      <c r="AL104" s="16">
        <f>IF(AN104=21,K104,0)</f>
        <v>0</v>
      </c>
      <c r="AN104" s="38">
        <v>21</v>
      </c>
      <c r="AO104" s="38">
        <f>H104*0.435181030240525</f>
        <v>0</v>
      </c>
      <c r="AP104" s="38">
        <f>H104*(1-0.435181030240525)</f>
        <v>0</v>
      </c>
      <c r="AQ104" s="32" t="s">
        <v>7</v>
      </c>
      <c r="AV104" s="38">
        <f>AW104+AX104</f>
        <v>0</v>
      </c>
      <c r="AW104" s="38">
        <f>G104*AO104</f>
        <v>0</v>
      </c>
      <c r="AX104" s="38">
        <f>G104*AP104</f>
        <v>0</v>
      </c>
      <c r="AY104" s="39" t="s">
        <v>501</v>
      </c>
      <c r="AZ104" s="39" t="s">
        <v>522</v>
      </c>
      <c r="BA104" s="33" t="s">
        <v>531</v>
      </c>
      <c r="BB104" s="33" t="s">
        <v>549</v>
      </c>
      <c r="BC104" s="38">
        <f>AW104+AX104</f>
        <v>0</v>
      </c>
      <c r="BD104" s="38">
        <f>H104/(100-BE104)*100</f>
        <v>0</v>
      </c>
      <c r="BE104" s="38">
        <v>0</v>
      </c>
      <c r="BF104" s="38">
        <f>104</f>
        <v>104</v>
      </c>
      <c r="BH104" s="16">
        <f>G104*AO104</f>
        <v>0</v>
      </c>
      <c r="BI104" s="16">
        <f>G104*AP104</f>
        <v>0</v>
      </c>
      <c r="BJ104" s="16">
        <f>G104*H104</f>
        <v>0</v>
      </c>
    </row>
    <row r="105" spans="1:62" ht="12.75">
      <c r="A105" s="4" t="s">
        <v>82</v>
      </c>
      <c r="B105" s="4" t="s">
        <v>212</v>
      </c>
      <c r="C105" s="203" t="s">
        <v>371</v>
      </c>
      <c r="D105" s="204"/>
      <c r="E105" s="204"/>
      <c r="F105" s="4" t="s">
        <v>447</v>
      </c>
      <c r="G105" s="16">
        <v>87.6</v>
      </c>
      <c r="H105" s="22">
        <v>0</v>
      </c>
      <c r="I105" s="16">
        <f>G105*AO105</f>
        <v>0</v>
      </c>
      <c r="J105" s="16">
        <f>G105*AP105</f>
        <v>0</v>
      </c>
      <c r="K105" s="16">
        <f>G105*H105</f>
        <v>0</v>
      </c>
      <c r="L105" s="32" t="s">
        <v>473</v>
      </c>
      <c r="Z105" s="38">
        <f>IF(AQ105="5",BJ105,0)</f>
        <v>0</v>
      </c>
      <c r="AB105" s="38">
        <f>IF(AQ105="1",BH105,0)</f>
        <v>0</v>
      </c>
      <c r="AC105" s="38">
        <f>IF(AQ105="1",BI105,0)</f>
        <v>0</v>
      </c>
      <c r="AD105" s="38">
        <f>IF(AQ105="7",BH105,0)</f>
        <v>0</v>
      </c>
      <c r="AE105" s="38">
        <f>IF(AQ105="7",BI105,0)</f>
        <v>0</v>
      </c>
      <c r="AF105" s="38">
        <f>IF(AQ105="2",BH105,0)</f>
        <v>0</v>
      </c>
      <c r="AG105" s="38">
        <f>IF(AQ105="2",BI105,0)</f>
        <v>0</v>
      </c>
      <c r="AH105" s="38">
        <f>IF(AQ105="0",BJ105,0)</f>
        <v>0</v>
      </c>
      <c r="AI105" s="33"/>
      <c r="AJ105" s="16">
        <f>IF(AN105=0,K105,0)</f>
        <v>0</v>
      </c>
      <c r="AK105" s="16">
        <f>IF(AN105=15,K105,0)</f>
        <v>0</v>
      </c>
      <c r="AL105" s="16">
        <f>IF(AN105=21,K105,0)</f>
        <v>0</v>
      </c>
      <c r="AN105" s="38">
        <v>21</v>
      </c>
      <c r="AO105" s="38">
        <f>H105*0.517773359840954</f>
        <v>0</v>
      </c>
      <c r="AP105" s="38">
        <f>H105*(1-0.517773359840954)</f>
        <v>0</v>
      </c>
      <c r="AQ105" s="32" t="s">
        <v>7</v>
      </c>
      <c r="AV105" s="38">
        <f>AW105+AX105</f>
        <v>0</v>
      </c>
      <c r="AW105" s="38">
        <f>G105*AO105</f>
        <v>0</v>
      </c>
      <c r="AX105" s="38">
        <f>G105*AP105</f>
        <v>0</v>
      </c>
      <c r="AY105" s="39" t="s">
        <v>501</v>
      </c>
      <c r="AZ105" s="39" t="s">
        <v>522</v>
      </c>
      <c r="BA105" s="33" t="s">
        <v>531</v>
      </c>
      <c r="BB105" s="33" t="s">
        <v>549</v>
      </c>
      <c r="BC105" s="38">
        <f>AW105+AX105</f>
        <v>0</v>
      </c>
      <c r="BD105" s="38">
        <f>H105/(100-BE105)*100</f>
        <v>0</v>
      </c>
      <c r="BE105" s="38">
        <v>0</v>
      </c>
      <c r="BF105" s="38">
        <f>105</f>
        <v>105</v>
      </c>
      <c r="BH105" s="16">
        <f>G105*AO105</f>
        <v>0</v>
      </c>
      <c r="BI105" s="16">
        <f>G105*AP105</f>
        <v>0</v>
      </c>
      <c r="BJ105" s="16">
        <f>G105*H105</f>
        <v>0</v>
      </c>
    </row>
    <row r="106" spans="1:62" ht="12.75">
      <c r="A106" s="4" t="s">
        <v>83</v>
      </c>
      <c r="B106" s="4" t="s">
        <v>213</v>
      </c>
      <c r="C106" s="203" t="s">
        <v>372</v>
      </c>
      <c r="D106" s="204"/>
      <c r="E106" s="204"/>
      <c r="F106" s="4" t="s">
        <v>447</v>
      </c>
      <c r="G106" s="16">
        <v>13.45</v>
      </c>
      <c r="H106" s="22">
        <v>0</v>
      </c>
      <c r="I106" s="16">
        <f>G106*AO106</f>
        <v>0</v>
      </c>
      <c r="J106" s="16">
        <f>G106*AP106</f>
        <v>0</v>
      </c>
      <c r="K106" s="16">
        <f>G106*H106</f>
        <v>0</v>
      </c>
      <c r="L106" s="32" t="s">
        <v>473</v>
      </c>
      <c r="Z106" s="38">
        <f>IF(AQ106="5",BJ106,0)</f>
        <v>0</v>
      </c>
      <c r="AB106" s="38">
        <f>IF(AQ106="1",BH106,0)</f>
        <v>0</v>
      </c>
      <c r="AC106" s="38">
        <f>IF(AQ106="1",BI106,0)</f>
        <v>0</v>
      </c>
      <c r="AD106" s="38">
        <f>IF(AQ106="7",BH106,0)</f>
        <v>0</v>
      </c>
      <c r="AE106" s="38">
        <f>IF(AQ106="7",BI106,0)</f>
        <v>0</v>
      </c>
      <c r="AF106" s="38">
        <f>IF(AQ106="2",BH106,0)</f>
        <v>0</v>
      </c>
      <c r="AG106" s="38">
        <f>IF(AQ106="2",BI106,0)</f>
        <v>0</v>
      </c>
      <c r="AH106" s="38">
        <f>IF(AQ106="0",BJ106,0)</f>
        <v>0</v>
      </c>
      <c r="AI106" s="33"/>
      <c r="AJ106" s="16">
        <f>IF(AN106=0,K106,0)</f>
        <v>0</v>
      </c>
      <c r="AK106" s="16">
        <f>IF(AN106=15,K106,0)</f>
        <v>0</v>
      </c>
      <c r="AL106" s="16">
        <f>IF(AN106=21,K106,0)</f>
        <v>0</v>
      </c>
      <c r="AN106" s="38">
        <v>21</v>
      </c>
      <c r="AO106" s="38">
        <f>H106*0.498883867488692</f>
        <v>0</v>
      </c>
      <c r="AP106" s="38">
        <f>H106*(1-0.498883867488692)</f>
        <v>0</v>
      </c>
      <c r="AQ106" s="32" t="s">
        <v>7</v>
      </c>
      <c r="AV106" s="38">
        <f>AW106+AX106</f>
        <v>0</v>
      </c>
      <c r="AW106" s="38">
        <f>G106*AO106</f>
        <v>0</v>
      </c>
      <c r="AX106" s="38">
        <f>G106*AP106</f>
        <v>0</v>
      </c>
      <c r="AY106" s="39" t="s">
        <v>501</v>
      </c>
      <c r="AZ106" s="39" t="s">
        <v>522</v>
      </c>
      <c r="BA106" s="33" t="s">
        <v>531</v>
      </c>
      <c r="BB106" s="33" t="s">
        <v>549</v>
      </c>
      <c r="BC106" s="38">
        <f>AW106+AX106</f>
        <v>0</v>
      </c>
      <c r="BD106" s="38">
        <f>H106/(100-BE106)*100</f>
        <v>0</v>
      </c>
      <c r="BE106" s="38">
        <v>0</v>
      </c>
      <c r="BF106" s="38">
        <f>106</f>
        <v>106</v>
      </c>
      <c r="BH106" s="16">
        <f>G106*AO106</f>
        <v>0</v>
      </c>
      <c r="BI106" s="16">
        <f>G106*AP106</f>
        <v>0</v>
      </c>
      <c r="BJ106" s="16">
        <f>G106*H106</f>
        <v>0</v>
      </c>
    </row>
    <row r="107" spans="1:47" ht="12.75">
      <c r="A107" s="5"/>
      <c r="B107" s="13" t="s">
        <v>62</v>
      </c>
      <c r="C107" s="205" t="s">
        <v>373</v>
      </c>
      <c r="D107" s="206"/>
      <c r="E107" s="206"/>
      <c r="F107" s="5" t="s">
        <v>6</v>
      </c>
      <c r="G107" s="5" t="s">
        <v>6</v>
      </c>
      <c r="H107" s="23" t="s">
        <v>6</v>
      </c>
      <c r="I107" s="41">
        <f>SUM(I108:I110)</f>
        <v>0</v>
      </c>
      <c r="J107" s="41">
        <f>SUM(J108:J110)</f>
        <v>0</v>
      </c>
      <c r="K107" s="41">
        <f>SUM(K108:K110)</f>
        <v>0</v>
      </c>
      <c r="L107" s="33"/>
      <c r="AI107" s="33"/>
      <c r="AS107" s="41">
        <f>SUM(AJ108:AJ110)</f>
        <v>0</v>
      </c>
      <c r="AT107" s="41">
        <f>SUM(AK108:AK110)</f>
        <v>0</v>
      </c>
      <c r="AU107" s="41">
        <f>SUM(AL108:AL110)</f>
        <v>0</v>
      </c>
    </row>
    <row r="108" spans="1:62" ht="12.75">
      <c r="A108" s="4" t="s">
        <v>84</v>
      </c>
      <c r="B108" s="4" t="s">
        <v>214</v>
      </c>
      <c r="C108" s="203" t="s">
        <v>374</v>
      </c>
      <c r="D108" s="204"/>
      <c r="E108" s="204"/>
      <c r="F108" s="4" t="s">
        <v>447</v>
      </c>
      <c r="G108" s="16">
        <v>87.2</v>
      </c>
      <c r="H108" s="22">
        <v>0</v>
      </c>
      <c r="I108" s="16">
        <f>G108*AO108</f>
        <v>0</v>
      </c>
      <c r="J108" s="16">
        <f>G108*AP108</f>
        <v>0</v>
      </c>
      <c r="K108" s="16">
        <f>G108*H108</f>
        <v>0</v>
      </c>
      <c r="L108" s="32" t="s">
        <v>473</v>
      </c>
      <c r="Z108" s="38">
        <f>IF(AQ108="5",BJ108,0)</f>
        <v>0</v>
      </c>
      <c r="AB108" s="38">
        <f>IF(AQ108="1",BH108,0)</f>
        <v>0</v>
      </c>
      <c r="AC108" s="38">
        <f>IF(AQ108="1",BI108,0)</f>
        <v>0</v>
      </c>
      <c r="AD108" s="38">
        <f>IF(AQ108="7",BH108,0)</f>
        <v>0</v>
      </c>
      <c r="AE108" s="38">
        <f>IF(AQ108="7",BI108,0)</f>
        <v>0</v>
      </c>
      <c r="AF108" s="38">
        <f>IF(AQ108="2",BH108,0)</f>
        <v>0</v>
      </c>
      <c r="AG108" s="38">
        <f>IF(AQ108="2",BI108,0)</f>
        <v>0</v>
      </c>
      <c r="AH108" s="38">
        <f>IF(AQ108="0",BJ108,0)</f>
        <v>0</v>
      </c>
      <c r="AI108" s="33"/>
      <c r="AJ108" s="16">
        <f>IF(AN108=0,K108,0)</f>
        <v>0</v>
      </c>
      <c r="AK108" s="16">
        <f>IF(AN108=15,K108,0)</f>
        <v>0</v>
      </c>
      <c r="AL108" s="16">
        <f>IF(AN108=21,K108,0)</f>
        <v>0</v>
      </c>
      <c r="AN108" s="38">
        <v>21</v>
      </c>
      <c r="AO108" s="38">
        <f>H108*0.873501383595143</f>
        <v>0</v>
      </c>
      <c r="AP108" s="38">
        <f>H108*(1-0.873501383595143)</f>
        <v>0</v>
      </c>
      <c r="AQ108" s="32" t="s">
        <v>7</v>
      </c>
      <c r="AV108" s="38">
        <f>AW108+AX108</f>
        <v>0</v>
      </c>
      <c r="AW108" s="38">
        <f>G108*AO108</f>
        <v>0</v>
      </c>
      <c r="AX108" s="38">
        <f>G108*AP108</f>
        <v>0</v>
      </c>
      <c r="AY108" s="39" t="s">
        <v>502</v>
      </c>
      <c r="AZ108" s="39" t="s">
        <v>523</v>
      </c>
      <c r="BA108" s="33" t="s">
        <v>531</v>
      </c>
      <c r="BB108" s="33" t="s">
        <v>550</v>
      </c>
      <c r="BC108" s="38">
        <f>AW108+AX108</f>
        <v>0</v>
      </c>
      <c r="BD108" s="38">
        <f>H108/(100-BE108)*100</f>
        <v>0</v>
      </c>
      <c r="BE108" s="38">
        <v>0</v>
      </c>
      <c r="BF108" s="38">
        <f>108</f>
        <v>108</v>
      </c>
      <c r="BH108" s="16">
        <f>G108*AO108</f>
        <v>0</v>
      </c>
      <c r="BI108" s="16">
        <f>G108*AP108</f>
        <v>0</v>
      </c>
      <c r="BJ108" s="16">
        <f>G108*H108</f>
        <v>0</v>
      </c>
    </row>
    <row r="109" spans="1:62" ht="12.75">
      <c r="A109" s="4" t="s">
        <v>85</v>
      </c>
      <c r="B109" s="4" t="s">
        <v>215</v>
      </c>
      <c r="C109" s="203" t="s">
        <v>375</v>
      </c>
      <c r="D109" s="204"/>
      <c r="E109" s="204"/>
      <c r="F109" s="4" t="s">
        <v>447</v>
      </c>
      <c r="G109" s="16">
        <v>87.2</v>
      </c>
      <c r="H109" s="22">
        <v>0</v>
      </c>
      <c r="I109" s="16">
        <f>G109*AO109</f>
        <v>0</v>
      </c>
      <c r="J109" s="16">
        <f>G109*AP109</f>
        <v>0</v>
      </c>
      <c r="K109" s="16">
        <f>G109*H109</f>
        <v>0</v>
      </c>
      <c r="L109" s="32" t="s">
        <v>473</v>
      </c>
      <c r="Z109" s="38">
        <f>IF(AQ109="5",BJ109,0)</f>
        <v>0</v>
      </c>
      <c r="AB109" s="38">
        <f>IF(AQ109="1",BH109,0)</f>
        <v>0</v>
      </c>
      <c r="AC109" s="38">
        <f>IF(AQ109="1",BI109,0)</f>
        <v>0</v>
      </c>
      <c r="AD109" s="38">
        <f>IF(AQ109="7",BH109,0)</f>
        <v>0</v>
      </c>
      <c r="AE109" s="38">
        <f>IF(AQ109="7",BI109,0)</f>
        <v>0</v>
      </c>
      <c r="AF109" s="38">
        <f>IF(AQ109="2",BH109,0)</f>
        <v>0</v>
      </c>
      <c r="AG109" s="38">
        <f>IF(AQ109="2",BI109,0)</f>
        <v>0</v>
      </c>
      <c r="AH109" s="38">
        <f>IF(AQ109="0",BJ109,0)</f>
        <v>0</v>
      </c>
      <c r="AI109" s="33"/>
      <c r="AJ109" s="16">
        <f>IF(AN109=0,K109,0)</f>
        <v>0</v>
      </c>
      <c r="AK109" s="16">
        <f>IF(AN109=15,K109,0)</f>
        <v>0</v>
      </c>
      <c r="AL109" s="16">
        <f>IF(AN109=21,K109,0)</f>
        <v>0</v>
      </c>
      <c r="AN109" s="38">
        <v>21</v>
      </c>
      <c r="AO109" s="38">
        <f>H109*0.0535874439461883</f>
        <v>0</v>
      </c>
      <c r="AP109" s="38">
        <f>H109*(1-0.0535874439461883)</f>
        <v>0</v>
      </c>
      <c r="AQ109" s="32" t="s">
        <v>7</v>
      </c>
      <c r="AV109" s="38">
        <f>AW109+AX109</f>
        <v>0</v>
      </c>
      <c r="AW109" s="38">
        <f>G109*AO109</f>
        <v>0</v>
      </c>
      <c r="AX109" s="38">
        <f>G109*AP109</f>
        <v>0</v>
      </c>
      <c r="AY109" s="39" t="s">
        <v>502</v>
      </c>
      <c r="AZ109" s="39" t="s">
        <v>523</v>
      </c>
      <c r="BA109" s="33" t="s">
        <v>531</v>
      </c>
      <c r="BB109" s="33" t="s">
        <v>550</v>
      </c>
      <c r="BC109" s="38">
        <f>AW109+AX109</f>
        <v>0</v>
      </c>
      <c r="BD109" s="38">
        <f>H109/(100-BE109)*100</f>
        <v>0</v>
      </c>
      <c r="BE109" s="38">
        <v>0</v>
      </c>
      <c r="BF109" s="38">
        <f>109</f>
        <v>109</v>
      </c>
      <c r="BH109" s="16">
        <f>G109*AO109</f>
        <v>0</v>
      </c>
      <c r="BI109" s="16">
        <f>G109*AP109</f>
        <v>0</v>
      </c>
      <c r="BJ109" s="16">
        <f>G109*H109</f>
        <v>0</v>
      </c>
    </row>
    <row r="110" spans="1:62" ht="12.75">
      <c r="A110" s="4" t="s">
        <v>86</v>
      </c>
      <c r="B110" s="4" t="s">
        <v>216</v>
      </c>
      <c r="C110" s="203" t="s">
        <v>376</v>
      </c>
      <c r="D110" s="204"/>
      <c r="E110" s="204"/>
      <c r="F110" s="4" t="s">
        <v>447</v>
      </c>
      <c r="G110" s="16">
        <v>153.9</v>
      </c>
      <c r="H110" s="22">
        <v>0</v>
      </c>
      <c r="I110" s="16">
        <f>G110*AO110</f>
        <v>0</v>
      </c>
      <c r="J110" s="16">
        <f>G110*AP110</f>
        <v>0</v>
      </c>
      <c r="K110" s="16">
        <f>G110*H110</f>
        <v>0</v>
      </c>
      <c r="L110" s="32" t="s">
        <v>473</v>
      </c>
      <c r="Z110" s="38">
        <f>IF(AQ110="5",BJ110,0)</f>
        <v>0</v>
      </c>
      <c r="AB110" s="38">
        <f>IF(AQ110="1",BH110,0)</f>
        <v>0</v>
      </c>
      <c r="AC110" s="38">
        <f>IF(AQ110="1",BI110,0)</f>
        <v>0</v>
      </c>
      <c r="AD110" s="38">
        <f>IF(AQ110="7",BH110,0)</f>
        <v>0</v>
      </c>
      <c r="AE110" s="38">
        <f>IF(AQ110="7",BI110,0)</f>
        <v>0</v>
      </c>
      <c r="AF110" s="38">
        <f>IF(AQ110="2",BH110,0)</f>
        <v>0</v>
      </c>
      <c r="AG110" s="38">
        <f>IF(AQ110="2",BI110,0)</f>
        <v>0</v>
      </c>
      <c r="AH110" s="38">
        <f>IF(AQ110="0",BJ110,0)</f>
        <v>0</v>
      </c>
      <c r="AI110" s="33"/>
      <c r="AJ110" s="16">
        <f>IF(AN110=0,K110,0)</f>
        <v>0</v>
      </c>
      <c r="AK110" s="16">
        <f>IF(AN110=15,K110,0)</f>
        <v>0</v>
      </c>
      <c r="AL110" s="16">
        <f>IF(AN110=21,K110,0)</f>
        <v>0</v>
      </c>
      <c r="AN110" s="38">
        <v>21</v>
      </c>
      <c r="AO110" s="38">
        <f>H110*0.795984145436311</f>
        <v>0</v>
      </c>
      <c r="AP110" s="38">
        <f>H110*(1-0.795984145436311)</f>
        <v>0</v>
      </c>
      <c r="AQ110" s="32" t="s">
        <v>7</v>
      </c>
      <c r="AV110" s="38">
        <f>AW110+AX110</f>
        <v>0</v>
      </c>
      <c r="AW110" s="38">
        <f>G110*AO110</f>
        <v>0</v>
      </c>
      <c r="AX110" s="38">
        <f>G110*AP110</f>
        <v>0</v>
      </c>
      <c r="AY110" s="39" t="s">
        <v>502</v>
      </c>
      <c r="AZ110" s="39" t="s">
        <v>523</v>
      </c>
      <c r="BA110" s="33" t="s">
        <v>531</v>
      </c>
      <c r="BB110" s="33" t="s">
        <v>550</v>
      </c>
      <c r="BC110" s="38">
        <f>AW110+AX110</f>
        <v>0</v>
      </c>
      <c r="BD110" s="38">
        <f>H110/(100-BE110)*100</f>
        <v>0</v>
      </c>
      <c r="BE110" s="38">
        <v>0</v>
      </c>
      <c r="BF110" s="38">
        <f>110</f>
        <v>110</v>
      </c>
      <c r="BH110" s="16">
        <f>G110*AO110</f>
        <v>0</v>
      </c>
      <c r="BI110" s="16">
        <f>G110*AP110</f>
        <v>0</v>
      </c>
      <c r="BJ110" s="16">
        <f>G110*H110</f>
        <v>0</v>
      </c>
    </row>
    <row r="111" spans="1:47" ht="12.75">
      <c r="A111" s="5"/>
      <c r="B111" s="13" t="s">
        <v>63</v>
      </c>
      <c r="C111" s="205" t="s">
        <v>377</v>
      </c>
      <c r="D111" s="206"/>
      <c r="E111" s="206"/>
      <c r="F111" s="5" t="s">
        <v>6</v>
      </c>
      <c r="G111" s="5" t="s">
        <v>6</v>
      </c>
      <c r="H111" s="23" t="s">
        <v>6</v>
      </c>
      <c r="I111" s="41">
        <f>SUM(I112:I116)</f>
        <v>0</v>
      </c>
      <c r="J111" s="41">
        <f>SUM(J112:J116)</f>
        <v>0</v>
      </c>
      <c r="K111" s="41">
        <f>SUM(K112:K116)</f>
        <v>0</v>
      </c>
      <c r="L111" s="33"/>
      <c r="AI111" s="33"/>
      <c r="AS111" s="41">
        <f>SUM(AJ112:AJ116)</f>
        <v>0</v>
      </c>
      <c r="AT111" s="41">
        <f>SUM(AK112:AK116)</f>
        <v>0</v>
      </c>
      <c r="AU111" s="41">
        <f>SUM(AL112:AL116)</f>
        <v>0</v>
      </c>
    </row>
    <row r="112" spans="1:62" ht="12.75">
      <c r="A112" s="4" t="s">
        <v>87</v>
      </c>
      <c r="B112" s="4" t="s">
        <v>217</v>
      </c>
      <c r="C112" s="203" t="s">
        <v>378</v>
      </c>
      <c r="D112" s="204"/>
      <c r="E112" s="204"/>
      <c r="F112" s="4" t="s">
        <v>447</v>
      </c>
      <c r="G112" s="16">
        <v>109.22</v>
      </c>
      <c r="H112" s="22">
        <v>0</v>
      </c>
      <c r="I112" s="16">
        <f>G112*AO112</f>
        <v>0</v>
      </c>
      <c r="J112" s="16">
        <f>G112*AP112</f>
        <v>0</v>
      </c>
      <c r="K112" s="16">
        <f>G112*H112</f>
        <v>0</v>
      </c>
      <c r="L112" s="32" t="s">
        <v>473</v>
      </c>
      <c r="Z112" s="38">
        <f>IF(AQ112="5",BJ112,0)</f>
        <v>0</v>
      </c>
      <c r="AB112" s="38">
        <f>IF(AQ112="1",BH112,0)</f>
        <v>0</v>
      </c>
      <c r="AC112" s="38">
        <f>IF(AQ112="1",BI112,0)</f>
        <v>0</v>
      </c>
      <c r="AD112" s="38">
        <f>IF(AQ112="7",BH112,0)</f>
        <v>0</v>
      </c>
      <c r="AE112" s="38">
        <f>IF(AQ112="7",BI112,0)</f>
        <v>0</v>
      </c>
      <c r="AF112" s="38">
        <f>IF(AQ112="2",BH112,0)</f>
        <v>0</v>
      </c>
      <c r="AG112" s="38">
        <f>IF(AQ112="2",BI112,0)</f>
        <v>0</v>
      </c>
      <c r="AH112" s="38">
        <f>IF(AQ112="0",BJ112,0)</f>
        <v>0</v>
      </c>
      <c r="AI112" s="33"/>
      <c r="AJ112" s="16">
        <f>IF(AN112=0,K112,0)</f>
        <v>0</v>
      </c>
      <c r="AK112" s="16">
        <f>IF(AN112=15,K112,0)</f>
        <v>0</v>
      </c>
      <c r="AL112" s="16">
        <f>IF(AN112=21,K112,0)</f>
        <v>0</v>
      </c>
      <c r="AN112" s="38">
        <v>21</v>
      </c>
      <c r="AO112" s="38">
        <f>H112*0.642864385297845</f>
        <v>0</v>
      </c>
      <c r="AP112" s="38">
        <f>H112*(1-0.642864385297845)</f>
        <v>0</v>
      </c>
      <c r="AQ112" s="32" t="s">
        <v>7</v>
      </c>
      <c r="AV112" s="38">
        <f>AW112+AX112</f>
        <v>0</v>
      </c>
      <c r="AW112" s="38">
        <f>G112*AO112</f>
        <v>0</v>
      </c>
      <c r="AX112" s="38">
        <f>G112*AP112</f>
        <v>0</v>
      </c>
      <c r="AY112" s="39" t="s">
        <v>503</v>
      </c>
      <c r="AZ112" s="39" t="s">
        <v>523</v>
      </c>
      <c r="BA112" s="33" t="s">
        <v>531</v>
      </c>
      <c r="BB112" s="33" t="s">
        <v>551</v>
      </c>
      <c r="BC112" s="38">
        <f>AW112+AX112</f>
        <v>0</v>
      </c>
      <c r="BD112" s="38">
        <f>H112/(100-BE112)*100</f>
        <v>0</v>
      </c>
      <c r="BE112" s="38">
        <v>0</v>
      </c>
      <c r="BF112" s="38">
        <f>112</f>
        <v>112</v>
      </c>
      <c r="BH112" s="16">
        <f>G112*AO112</f>
        <v>0</v>
      </c>
      <c r="BI112" s="16">
        <f>G112*AP112</f>
        <v>0</v>
      </c>
      <c r="BJ112" s="16">
        <f>G112*H112</f>
        <v>0</v>
      </c>
    </row>
    <row r="113" spans="1:62" ht="12.75">
      <c r="A113" s="4" t="s">
        <v>88</v>
      </c>
      <c r="B113" s="4" t="s">
        <v>218</v>
      </c>
      <c r="C113" s="203" t="s">
        <v>379</v>
      </c>
      <c r="D113" s="204"/>
      <c r="E113" s="204"/>
      <c r="F113" s="4" t="s">
        <v>447</v>
      </c>
      <c r="G113" s="16">
        <v>109.22</v>
      </c>
      <c r="H113" s="22">
        <v>0</v>
      </c>
      <c r="I113" s="16">
        <f>G113*AO113</f>
        <v>0</v>
      </c>
      <c r="J113" s="16">
        <f>G113*AP113</f>
        <v>0</v>
      </c>
      <c r="K113" s="16">
        <f>G113*H113</f>
        <v>0</v>
      </c>
      <c r="L113" s="32" t="s">
        <v>473</v>
      </c>
      <c r="Z113" s="38">
        <f>IF(AQ113="5",BJ113,0)</f>
        <v>0</v>
      </c>
      <c r="AB113" s="38">
        <f>IF(AQ113="1",BH113,0)</f>
        <v>0</v>
      </c>
      <c r="AC113" s="38">
        <f>IF(AQ113="1",BI113,0)</f>
        <v>0</v>
      </c>
      <c r="AD113" s="38">
        <f>IF(AQ113="7",BH113,0)</f>
        <v>0</v>
      </c>
      <c r="AE113" s="38">
        <f>IF(AQ113="7",BI113,0)</f>
        <v>0</v>
      </c>
      <c r="AF113" s="38">
        <f>IF(AQ113="2",BH113,0)</f>
        <v>0</v>
      </c>
      <c r="AG113" s="38">
        <f>IF(AQ113="2",BI113,0)</f>
        <v>0</v>
      </c>
      <c r="AH113" s="38">
        <f>IF(AQ113="0",BJ113,0)</f>
        <v>0</v>
      </c>
      <c r="AI113" s="33"/>
      <c r="AJ113" s="16">
        <f>IF(AN113=0,K113,0)</f>
        <v>0</v>
      </c>
      <c r="AK113" s="16">
        <f>IF(AN113=15,K113,0)</f>
        <v>0</v>
      </c>
      <c r="AL113" s="16">
        <f>IF(AN113=21,K113,0)</f>
        <v>0</v>
      </c>
      <c r="AN113" s="38">
        <v>21</v>
      </c>
      <c r="AO113" s="38">
        <f>H113*0.641377551020408</f>
        <v>0</v>
      </c>
      <c r="AP113" s="38">
        <f>H113*(1-0.641377551020408)</f>
        <v>0</v>
      </c>
      <c r="AQ113" s="32" t="s">
        <v>7</v>
      </c>
      <c r="AV113" s="38">
        <f>AW113+AX113</f>
        <v>0</v>
      </c>
      <c r="AW113" s="38">
        <f>G113*AO113</f>
        <v>0</v>
      </c>
      <c r="AX113" s="38">
        <f>G113*AP113</f>
        <v>0</v>
      </c>
      <c r="AY113" s="39" t="s">
        <v>503</v>
      </c>
      <c r="AZ113" s="39" t="s">
        <v>523</v>
      </c>
      <c r="BA113" s="33" t="s">
        <v>531</v>
      </c>
      <c r="BB113" s="33" t="s">
        <v>551</v>
      </c>
      <c r="BC113" s="38">
        <f>AW113+AX113</f>
        <v>0</v>
      </c>
      <c r="BD113" s="38">
        <f>H113/(100-BE113)*100</f>
        <v>0</v>
      </c>
      <c r="BE113" s="38">
        <v>0</v>
      </c>
      <c r="BF113" s="38">
        <f>113</f>
        <v>113</v>
      </c>
      <c r="BH113" s="16">
        <f>G113*AO113</f>
        <v>0</v>
      </c>
      <c r="BI113" s="16">
        <f>G113*AP113</f>
        <v>0</v>
      </c>
      <c r="BJ113" s="16">
        <f>G113*H113</f>
        <v>0</v>
      </c>
    </row>
    <row r="114" spans="1:62" ht="12.75">
      <c r="A114" s="4" t="s">
        <v>89</v>
      </c>
      <c r="B114" s="4" t="s">
        <v>219</v>
      </c>
      <c r="C114" s="203" t="s">
        <v>380</v>
      </c>
      <c r="D114" s="204"/>
      <c r="E114" s="204"/>
      <c r="F114" s="4" t="s">
        <v>447</v>
      </c>
      <c r="G114" s="16">
        <v>109.22</v>
      </c>
      <c r="H114" s="22">
        <v>0</v>
      </c>
      <c r="I114" s="16">
        <f>G114*AO114</f>
        <v>0</v>
      </c>
      <c r="J114" s="16">
        <f>G114*AP114</f>
        <v>0</v>
      </c>
      <c r="K114" s="16">
        <f>G114*H114</f>
        <v>0</v>
      </c>
      <c r="L114" s="32" t="s">
        <v>473</v>
      </c>
      <c r="Z114" s="38">
        <f>IF(AQ114="5",BJ114,0)</f>
        <v>0</v>
      </c>
      <c r="AB114" s="38">
        <f>IF(AQ114="1",BH114,0)</f>
        <v>0</v>
      </c>
      <c r="AC114" s="38">
        <f>IF(AQ114="1",BI114,0)</f>
        <v>0</v>
      </c>
      <c r="AD114" s="38">
        <f>IF(AQ114="7",BH114,0)</f>
        <v>0</v>
      </c>
      <c r="AE114" s="38">
        <f>IF(AQ114="7",BI114,0)</f>
        <v>0</v>
      </c>
      <c r="AF114" s="38">
        <f>IF(AQ114="2",BH114,0)</f>
        <v>0</v>
      </c>
      <c r="AG114" s="38">
        <f>IF(AQ114="2",BI114,0)</f>
        <v>0</v>
      </c>
      <c r="AH114" s="38">
        <f>IF(AQ114="0",BJ114,0)</f>
        <v>0</v>
      </c>
      <c r="AI114" s="33"/>
      <c r="AJ114" s="16">
        <f>IF(AN114=0,K114,0)</f>
        <v>0</v>
      </c>
      <c r="AK114" s="16">
        <f>IF(AN114=15,K114,0)</f>
        <v>0</v>
      </c>
      <c r="AL114" s="16">
        <f>IF(AN114=21,K114,0)</f>
        <v>0</v>
      </c>
      <c r="AN114" s="38">
        <v>21</v>
      </c>
      <c r="AO114" s="38">
        <f>H114*0.848</f>
        <v>0</v>
      </c>
      <c r="AP114" s="38">
        <f>H114*(1-0.848)</f>
        <v>0</v>
      </c>
      <c r="AQ114" s="32" t="s">
        <v>7</v>
      </c>
      <c r="AV114" s="38">
        <f>AW114+AX114</f>
        <v>0</v>
      </c>
      <c r="AW114" s="38">
        <f>G114*AO114</f>
        <v>0</v>
      </c>
      <c r="AX114" s="38">
        <f>G114*AP114</f>
        <v>0</v>
      </c>
      <c r="AY114" s="39" t="s">
        <v>503</v>
      </c>
      <c r="AZ114" s="39" t="s">
        <v>523</v>
      </c>
      <c r="BA114" s="33" t="s">
        <v>531</v>
      </c>
      <c r="BB114" s="33" t="s">
        <v>551</v>
      </c>
      <c r="BC114" s="38">
        <f>AW114+AX114</f>
        <v>0</v>
      </c>
      <c r="BD114" s="38">
        <f>H114/(100-BE114)*100</f>
        <v>0</v>
      </c>
      <c r="BE114" s="38">
        <v>0</v>
      </c>
      <c r="BF114" s="38">
        <f>114</f>
        <v>114</v>
      </c>
      <c r="BH114" s="16">
        <f>G114*AO114</f>
        <v>0</v>
      </c>
      <c r="BI114" s="16">
        <f>G114*AP114</f>
        <v>0</v>
      </c>
      <c r="BJ114" s="16">
        <f>G114*H114</f>
        <v>0</v>
      </c>
    </row>
    <row r="115" spans="1:62" ht="12.75">
      <c r="A115" s="4" t="s">
        <v>90</v>
      </c>
      <c r="B115" s="4" t="s">
        <v>220</v>
      </c>
      <c r="C115" s="203" t="s">
        <v>381</v>
      </c>
      <c r="D115" s="204"/>
      <c r="E115" s="204"/>
      <c r="F115" s="4" t="s">
        <v>447</v>
      </c>
      <c r="G115" s="16">
        <v>87.2</v>
      </c>
      <c r="H115" s="22">
        <v>0</v>
      </c>
      <c r="I115" s="16">
        <f>G115*AO115</f>
        <v>0</v>
      </c>
      <c r="J115" s="16">
        <f>G115*AP115</f>
        <v>0</v>
      </c>
      <c r="K115" s="16">
        <f>G115*H115</f>
        <v>0</v>
      </c>
      <c r="L115" s="32" t="s">
        <v>473</v>
      </c>
      <c r="Z115" s="38">
        <f>IF(AQ115="5",BJ115,0)</f>
        <v>0</v>
      </c>
      <c r="AB115" s="38">
        <f>IF(AQ115="1",BH115,0)</f>
        <v>0</v>
      </c>
      <c r="AC115" s="38">
        <f>IF(AQ115="1",BI115,0)</f>
        <v>0</v>
      </c>
      <c r="AD115" s="38">
        <f>IF(AQ115="7",BH115,0)</f>
        <v>0</v>
      </c>
      <c r="AE115" s="38">
        <f>IF(AQ115="7",BI115,0)</f>
        <v>0</v>
      </c>
      <c r="AF115" s="38">
        <f>IF(AQ115="2",BH115,0)</f>
        <v>0</v>
      </c>
      <c r="AG115" s="38">
        <f>IF(AQ115="2",BI115,0)</f>
        <v>0</v>
      </c>
      <c r="AH115" s="38">
        <f>IF(AQ115="0",BJ115,0)</f>
        <v>0</v>
      </c>
      <c r="AI115" s="33"/>
      <c r="AJ115" s="16">
        <f>IF(AN115=0,K115,0)</f>
        <v>0</v>
      </c>
      <c r="AK115" s="16">
        <f>IF(AN115=15,K115,0)</f>
        <v>0</v>
      </c>
      <c r="AL115" s="16">
        <f>IF(AN115=21,K115,0)</f>
        <v>0</v>
      </c>
      <c r="AN115" s="38">
        <v>21</v>
      </c>
      <c r="AO115" s="38">
        <f>H115*0.887128712871287</f>
        <v>0</v>
      </c>
      <c r="AP115" s="38">
        <f>H115*(1-0.887128712871287)</f>
        <v>0</v>
      </c>
      <c r="AQ115" s="32" t="s">
        <v>7</v>
      </c>
      <c r="AV115" s="38">
        <f>AW115+AX115</f>
        <v>0</v>
      </c>
      <c r="AW115" s="38">
        <f>G115*AO115</f>
        <v>0</v>
      </c>
      <c r="AX115" s="38">
        <f>G115*AP115</f>
        <v>0</v>
      </c>
      <c r="AY115" s="39" t="s">
        <v>503</v>
      </c>
      <c r="AZ115" s="39" t="s">
        <v>523</v>
      </c>
      <c r="BA115" s="33" t="s">
        <v>531</v>
      </c>
      <c r="BB115" s="33" t="s">
        <v>551</v>
      </c>
      <c r="BC115" s="38">
        <f>AW115+AX115</f>
        <v>0</v>
      </c>
      <c r="BD115" s="38">
        <f>H115/(100-BE115)*100</f>
        <v>0</v>
      </c>
      <c r="BE115" s="38">
        <v>0</v>
      </c>
      <c r="BF115" s="38">
        <f>115</f>
        <v>115</v>
      </c>
      <c r="BH115" s="16">
        <f>G115*AO115</f>
        <v>0</v>
      </c>
      <c r="BI115" s="16">
        <f>G115*AP115</f>
        <v>0</v>
      </c>
      <c r="BJ115" s="16">
        <f>G115*H115</f>
        <v>0</v>
      </c>
    </row>
    <row r="116" spans="1:62" ht="12.75">
      <c r="A116" s="4" t="s">
        <v>91</v>
      </c>
      <c r="B116" s="4" t="s">
        <v>221</v>
      </c>
      <c r="C116" s="203" t="s">
        <v>382</v>
      </c>
      <c r="D116" s="204"/>
      <c r="E116" s="204"/>
      <c r="F116" s="4" t="s">
        <v>447</v>
      </c>
      <c r="G116" s="16">
        <v>153.9</v>
      </c>
      <c r="H116" s="22">
        <v>0</v>
      </c>
      <c r="I116" s="16">
        <f>G116*AO116</f>
        <v>0</v>
      </c>
      <c r="J116" s="16">
        <f>G116*AP116</f>
        <v>0</v>
      </c>
      <c r="K116" s="16">
        <f>G116*H116</f>
        <v>0</v>
      </c>
      <c r="L116" s="32" t="s">
        <v>473</v>
      </c>
      <c r="Z116" s="38">
        <f>IF(AQ116="5",BJ116,0)</f>
        <v>0</v>
      </c>
      <c r="AB116" s="38">
        <f>IF(AQ116="1",BH116,0)</f>
        <v>0</v>
      </c>
      <c r="AC116" s="38">
        <f>IF(AQ116="1",BI116,0)</f>
        <v>0</v>
      </c>
      <c r="AD116" s="38">
        <f>IF(AQ116="7",BH116,0)</f>
        <v>0</v>
      </c>
      <c r="AE116" s="38">
        <f>IF(AQ116="7",BI116,0)</f>
        <v>0</v>
      </c>
      <c r="AF116" s="38">
        <f>IF(AQ116="2",BH116,0)</f>
        <v>0</v>
      </c>
      <c r="AG116" s="38">
        <f>IF(AQ116="2",BI116,0)</f>
        <v>0</v>
      </c>
      <c r="AH116" s="38">
        <f>IF(AQ116="0",BJ116,0)</f>
        <v>0</v>
      </c>
      <c r="AI116" s="33"/>
      <c r="AJ116" s="16">
        <f>IF(AN116=0,K116,0)</f>
        <v>0</v>
      </c>
      <c r="AK116" s="16">
        <f>IF(AN116=15,K116,0)</f>
        <v>0</v>
      </c>
      <c r="AL116" s="16">
        <f>IF(AN116=21,K116,0)</f>
        <v>0</v>
      </c>
      <c r="AN116" s="38">
        <v>21</v>
      </c>
      <c r="AO116" s="38">
        <f>H116*0.690353492883196</f>
        <v>0</v>
      </c>
      <c r="AP116" s="38">
        <f>H116*(1-0.690353492883196)</f>
        <v>0</v>
      </c>
      <c r="AQ116" s="32" t="s">
        <v>7</v>
      </c>
      <c r="AV116" s="38">
        <f>AW116+AX116</f>
        <v>0</v>
      </c>
      <c r="AW116" s="38">
        <f>G116*AO116</f>
        <v>0</v>
      </c>
      <c r="AX116" s="38">
        <f>G116*AP116</f>
        <v>0</v>
      </c>
      <c r="AY116" s="39" t="s">
        <v>503</v>
      </c>
      <c r="AZ116" s="39" t="s">
        <v>523</v>
      </c>
      <c r="BA116" s="33" t="s">
        <v>531</v>
      </c>
      <c r="BB116" s="33" t="s">
        <v>551</v>
      </c>
      <c r="BC116" s="38">
        <f>AW116+AX116</f>
        <v>0</v>
      </c>
      <c r="BD116" s="38">
        <f>H116/(100-BE116)*100</f>
        <v>0</v>
      </c>
      <c r="BE116" s="38">
        <v>0</v>
      </c>
      <c r="BF116" s="38">
        <f>116</f>
        <v>116</v>
      </c>
      <c r="BH116" s="16">
        <f>G116*AO116</f>
        <v>0</v>
      </c>
      <c r="BI116" s="16">
        <f>G116*AP116</f>
        <v>0</v>
      </c>
      <c r="BJ116" s="16">
        <f>G116*H116</f>
        <v>0</v>
      </c>
    </row>
    <row r="117" spans="1:47" ht="12.75">
      <c r="A117" s="5"/>
      <c r="B117" s="13" t="s">
        <v>65</v>
      </c>
      <c r="C117" s="205" t="s">
        <v>383</v>
      </c>
      <c r="D117" s="206"/>
      <c r="E117" s="206"/>
      <c r="F117" s="5" t="s">
        <v>6</v>
      </c>
      <c r="G117" s="5" t="s">
        <v>6</v>
      </c>
      <c r="H117" s="23" t="s">
        <v>6</v>
      </c>
      <c r="I117" s="41">
        <f>SUM(I118:I120)</f>
        <v>0</v>
      </c>
      <c r="J117" s="41">
        <f>SUM(J118:J120)</f>
        <v>0</v>
      </c>
      <c r="K117" s="41">
        <f>SUM(K118:K120)</f>
        <v>0</v>
      </c>
      <c r="L117" s="33"/>
      <c r="AI117" s="33"/>
      <c r="AS117" s="41">
        <f>SUM(AJ118:AJ120)</f>
        <v>0</v>
      </c>
      <c r="AT117" s="41">
        <f>SUM(AK118:AK120)</f>
        <v>0</v>
      </c>
      <c r="AU117" s="41">
        <f>SUM(AL118:AL120)</f>
        <v>0</v>
      </c>
    </row>
    <row r="118" spans="1:62" ht="12.75">
      <c r="A118" s="4" t="s">
        <v>92</v>
      </c>
      <c r="B118" s="4" t="s">
        <v>222</v>
      </c>
      <c r="C118" s="203" t="s">
        <v>384</v>
      </c>
      <c r="D118" s="204"/>
      <c r="E118" s="204"/>
      <c r="F118" s="4" t="s">
        <v>447</v>
      </c>
      <c r="G118" s="16">
        <v>62.39</v>
      </c>
      <c r="H118" s="22">
        <v>0</v>
      </c>
      <c r="I118" s="16">
        <f>G118*AO118</f>
        <v>0</v>
      </c>
      <c r="J118" s="16">
        <f>G118*AP118</f>
        <v>0</v>
      </c>
      <c r="K118" s="16">
        <f>G118*H118</f>
        <v>0</v>
      </c>
      <c r="L118" s="32" t="s">
        <v>473</v>
      </c>
      <c r="Z118" s="38">
        <f>IF(AQ118="5",BJ118,0)</f>
        <v>0</v>
      </c>
      <c r="AB118" s="38">
        <f>IF(AQ118="1",BH118,0)</f>
        <v>0</v>
      </c>
      <c r="AC118" s="38">
        <f>IF(AQ118="1",BI118,0)</f>
        <v>0</v>
      </c>
      <c r="AD118" s="38">
        <f>IF(AQ118="7",BH118,0)</f>
        <v>0</v>
      </c>
      <c r="AE118" s="38">
        <f>IF(AQ118="7",BI118,0)</f>
        <v>0</v>
      </c>
      <c r="AF118" s="38">
        <f>IF(AQ118="2",BH118,0)</f>
        <v>0</v>
      </c>
      <c r="AG118" s="38">
        <f>IF(AQ118="2",BI118,0)</f>
        <v>0</v>
      </c>
      <c r="AH118" s="38">
        <f>IF(AQ118="0",BJ118,0)</f>
        <v>0</v>
      </c>
      <c r="AI118" s="33"/>
      <c r="AJ118" s="16">
        <f>IF(AN118=0,K118,0)</f>
        <v>0</v>
      </c>
      <c r="AK118" s="16">
        <f>IF(AN118=15,K118,0)</f>
        <v>0</v>
      </c>
      <c r="AL118" s="16">
        <f>IF(AN118=21,K118,0)</f>
        <v>0</v>
      </c>
      <c r="AN118" s="38">
        <v>21</v>
      </c>
      <c r="AO118" s="38">
        <f>H118*0.600363636363636</f>
        <v>0</v>
      </c>
      <c r="AP118" s="38">
        <f>H118*(1-0.600363636363636)</f>
        <v>0</v>
      </c>
      <c r="AQ118" s="32" t="s">
        <v>7</v>
      </c>
      <c r="AV118" s="38">
        <f>AW118+AX118</f>
        <v>0</v>
      </c>
      <c r="AW118" s="38">
        <f>G118*AO118</f>
        <v>0</v>
      </c>
      <c r="AX118" s="38">
        <f>G118*AP118</f>
        <v>0</v>
      </c>
      <c r="AY118" s="39" t="s">
        <v>504</v>
      </c>
      <c r="AZ118" s="39" t="s">
        <v>523</v>
      </c>
      <c r="BA118" s="33" t="s">
        <v>531</v>
      </c>
      <c r="BB118" s="33" t="s">
        <v>552</v>
      </c>
      <c r="BC118" s="38">
        <f>AW118+AX118</f>
        <v>0</v>
      </c>
      <c r="BD118" s="38">
        <f>H118/(100-BE118)*100</f>
        <v>0</v>
      </c>
      <c r="BE118" s="38">
        <v>0</v>
      </c>
      <c r="BF118" s="38">
        <f>118</f>
        <v>118</v>
      </c>
      <c r="BH118" s="16">
        <f>G118*AO118</f>
        <v>0</v>
      </c>
      <c r="BI118" s="16">
        <f>G118*AP118</f>
        <v>0</v>
      </c>
      <c r="BJ118" s="16">
        <f>G118*H118</f>
        <v>0</v>
      </c>
    </row>
    <row r="119" spans="1:62" ht="12.75">
      <c r="A119" s="4" t="s">
        <v>93</v>
      </c>
      <c r="B119" s="4" t="s">
        <v>223</v>
      </c>
      <c r="C119" s="203" t="s">
        <v>385</v>
      </c>
      <c r="D119" s="204"/>
      <c r="E119" s="204"/>
      <c r="F119" s="4" t="s">
        <v>447</v>
      </c>
      <c r="G119" s="16">
        <v>62.39</v>
      </c>
      <c r="H119" s="22">
        <v>0</v>
      </c>
      <c r="I119" s="16">
        <f>G119*AO119</f>
        <v>0</v>
      </c>
      <c r="J119" s="16">
        <f>G119*AP119</f>
        <v>0</v>
      </c>
      <c r="K119" s="16">
        <f>G119*H119</f>
        <v>0</v>
      </c>
      <c r="L119" s="32" t="s">
        <v>473</v>
      </c>
      <c r="Z119" s="38">
        <f>IF(AQ119="5",BJ119,0)</f>
        <v>0</v>
      </c>
      <c r="AB119" s="38">
        <f>IF(AQ119="1",BH119,0)</f>
        <v>0</v>
      </c>
      <c r="AC119" s="38">
        <f>IF(AQ119="1",BI119,0)</f>
        <v>0</v>
      </c>
      <c r="AD119" s="38">
        <f>IF(AQ119="7",BH119,0)</f>
        <v>0</v>
      </c>
      <c r="AE119" s="38">
        <f>IF(AQ119="7",BI119,0)</f>
        <v>0</v>
      </c>
      <c r="AF119" s="38">
        <f>IF(AQ119="2",BH119,0)</f>
        <v>0</v>
      </c>
      <c r="AG119" s="38">
        <f>IF(AQ119="2",BI119,0)</f>
        <v>0</v>
      </c>
      <c r="AH119" s="38">
        <f>IF(AQ119="0",BJ119,0)</f>
        <v>0</v>
      </c>
      <c r="AI119" s="33"/>
      <c r="AJ119" s="16">
        <f>IF(AN119=0,K119,0)</f>
        <v>0</v>
      </c>
      <c r="AK119" s="16">
        <f>IF(AN119=15,K119,0)</f>
        <v>0</v>
      </c>
      <c r="AL119" s="16">
        <f>IF(AN119=21,K119,0)</f>
        <v>0</v>
      </c>
      <c r="AN119" s="38">
        <v>21</v>
      </c>
      <c r="AO119" s="38">
        <f>H119*0.552466666666667</f>
        <v>0</v>
      </c>
      <c r="AP119" s="38">
        <f>H119*(1-0.552466666666667)</f>
        <v>0</v>
      </c>
      <c r="AQ119" s="32" t="s">
        <v>7</v>
      </c>
      <c r="AV119" s="38">
        <f>AW119+AX119</f>
        <v>0</v>
      </c>
      <c r="AW119" s="38">
        <f>G119*AO119</f>
        <v>0</v>
      </c>
      <c r="AX119" s="38">
        <f>G119*AP119</f>
        <v>0</v>
      </c>
      <c r="AY119" s="39" t="s">
        <v>504</v>
      </c>
      <c r="AZ119" s="39" t="s">
        <v>523</v>
      </c>
      <c r="BA119" s="33" t="s">
        <v>531</v>
      </c>
      <c r="BB119" s="33" t="s">
        <v>552</v>
      </c>
      <c r="BC119" s="38">
        <f>AW119+AX119</f>
        <v>0</v>
      </c>
      <c r="BD119" s="38">
        <f>H119/(100-BE119)*100</f>
        <v>0</v>
      </c>
      <c r="BE119" s="38">
        <v>0</v>
      </c>
      <c r="BF119" s="38">
        <f>119</f>
        <v>119</v>
      </c>
      <c r="BH119" s="16">
        <f>G119*AO119</f>
        <v>0</v>
      </c>
      <c r="BI119" s="16">
        <f>G119*AP119</f>
        <v>0</v>
      </c>
      <c r="BJ119" s="16">
        <f>G119*H119</f>
        <v>0</v>
      </c>
    </row>
    <row r="120" spans="1:62" ht="12.75">
      <c r="A120" s="4" t="s">
        <v>94</v>
      </c>
      <c r="B120" s="4" t="s">
        <v>224</v>
      </c>
      <c r="C120" s="203" t="s">
        <v>386</v>
      </c>
      <c r="D120" s="204"/>
      <c r="E120" s="204"/>
      <c r="F120" s="4" t="s">
        <v>447</v>
      </c>
      <c r="G120" s="16">
        <v>10.85</v>
      </c>
      <c r="H120" s="22">
        <v>0</v>
      </c>
      <c r="I120" s="16">
        <f>G120*AO120</f>
        <v>0</v>
      </c>
      <c r="J120" s="16">
        <f>G120*AP120</f>
        <v>0</v>
      </c>
      <c r="K120" s="16">
        <f>G120*H120</f>
        <v>0</v>
      </c>
      <c r="L120" s="32" t="s">
        <v>473</v>
      </c>
      <c r="Z120" s="38">
        <f>IF(AQ120="5",BJ120,0)</f>
        <v>0</v>
      </c>
      <c r="AB120" s="38">
        <f>IF(AQ120="1",BH120,0)</f>
        <v>0</v>
      </c>
      <c r="AC120" s="38">
        <f>IF(AQ120="1",BI120,0)</f>
        <v>0</v>
      </c>
      <c r="AD120" s="38">
        <f>IF(AQ120="7",BH120,0)</f>
        <v>0</v>
      </c>
      <c r="AE120" s="38">
        <f>IF(AQ120="7",BI120,0)</f>
        <v>0</v>
      </c>
      <c r="AF120" s="38">
        <f>IF(AQ120="2",BH120,0)</f>
        <v>0</v>
      </c>
      <c r="AG120" s="38">
        <f>IF(AQ120="2",BI120,0)</f>
        <v>0</v>
      </c>
      <c r="AH120" s="38">
        <f>IF(AQ120="0",BJ120,0)</f>
        <v>0</v>
      </c>
      <c r="AI120" s="33"/>
      <c r="AJ120" s="16">
        <f>IF(AN120=0,K120,0)</f>
        <v>0</v>
      </c>
      <c r="AK120" s="16">
        <f>IF(AN120=15,K120,0)</f>
        <v>0</v>
      </c>
      <c r="AL120" s="16">
        <f>IF(AN120=21,K120,0)</f>
        <v>0</v>
      </c>
      <c r="AN120" s="38">
        <v>21</v>
      </c>
      <c r="AO120" s="38">
        <f>H120*0.777039379853848</f>
        <v>0</v>
      </c>
      <c r="AP120" s="38">
        <f>H120*(1-0.777039379853848)</f>
        <v>0</v>
      </c>
      <c r="AQ120" s="32" t="s">
        <v>7</v>
      </c>
      <c r="AV120" s="38">
        <f>AW120+AX120</f>
        <v>0</v>
      </c>
      <c r="AW120" s="38">
        <f>G120*AO120</f>
        <v>0</v>
      </c>
      <c r="AX120" s="38">
        <f>G120*AP120</f>
        <v>0</v>
      </c>
      <c r="AY120" s="39" t="s">
        <v>504</v>
      </c>
      <c r="AZ120" s="39" t="s">
        <v>523</v>
      </c>
      <c r="BA120" s="33" t="s">
        <v>531</v>
      </c>
      <c r="BB120" s="33" t="s">
        <v>552</v>
      </c>
      <c r="BC120" s="38">
        <f>AW120+AX120</f>
        <v>0</v>
      </c>
      <c r="BD120" s="38">
        <f>H120/(100-BE120)*100</f>
        <v>0</v>
      </c>
      <c r="BE120" s="38">
        <v>0</v>
      </c>
      <c r="BF120" s="38">
        <f>120</f>
        <v>120</v>
      </c>
      <c r="BH120" s="16">
        <f>G120*AO120</f>
        <v>0</v>
      </c>
      <c r="BI120" s="16">
        <f>G120*AP120</f>
        <v>0</v>
      </c>
      <c r="BJ120" s="16">
        <f>G120*H120</f>
        <v>0</v>
      </c>
    </row>
    <row r="121" spans="1:47" ht="12.75">
      <c r="A121" s="5"/>
      <c r="B121" s="13" t="s">
        <v>225</v>
      </c>
      <c r="C121" s="205" t="s">
        <v>387</v>
      </c>
      <c r="D121" s="206"/>
      <c r="E121" s="206"/>
      <c r="F121" s="5" t="s">
        <v>6</v>
      </c>
      <c r="G121" s="5" t="s">
        <v>6</v>
      </c>
      <c r="H121" s="23" t="s">
        <v>6</v>
      </c>
      <c r="I121" s="41">
        <f>SUM(I122:I125)</f>
        <v>0</v>
      </c>
      <c r="J121" s="41">
        <f>SUM(J122:J125)</f>
        <v>0</v>
      </c>
      <c r="K121" s="41">
        <f>SUM(K122:K125)</f>
        <v>0</v>
      </c>
      <c r="L121" s="33"/>
      <c r="AI121" s="33"/>
      <c r="AS121" s="41">
        <f>SUM(AJ122:AJ125)</f>
        <v>0</v>
      </c>
      <c r="AT121" s="41">
        <f>SUM(AK122:AK125)</f>
        <v>0</v>
      </c>
      <c r="AU121" s="41">
        <f>SUM(AL122:AL125)</f>
        <v>0</v>
      </c>
    </row>
    <row r="122" spans="1:62" ht="12.75">
      <c r="A122" s="4" t="s">
        <v>95</v>
      </c>
      <c r="B122" s="4" t="s">
        <v>226</v>
      </c>
      <c r="C122" s="203" t="s">
        <v>388</v>
      </c>
      <c r="D122" s="204"/>
      <c r="E122" s="204"/>
      <c r="F122" s="4" t="s">
        <v>447</v>
      </c>
      <c r="G122" s="16">
        <v>28.107</v>
      </c>
      <c r="H122" s="22">
        <v>0</v>
      </c>
      <c r="I122" s="16">
        <f>G122*AO122</f>
        <v>0</v>
      </c>
      <c r="J122" s="16">
        <f>G122*AP122</f>
        <v>0</v>
      </c>
      <c r="K122" s="16">
        <f>G122*H122</f>
        <v>0</v>
      </c>
      <c r="L122" s="32" t="s">
        <v>473</v>
      </c>
      <c r="Z122" s="38">
        <f>IF(AQ122="5",BJ122,0)</f>
        <v>0</v>
      </c>
      <c r="AB122" s="38">
        <f>IF(AQ122="1",BH122,0)</f>
        <v>0</v>
      </c>
      <c r="AC122" s="38">
        <f>IF(AQ122="1",BI122,0)</f>
        <v>0</v>
      </c>
      <c r="AD122" s="38">
        <f>IF(AQ122="7",BH122,0)</f>
        <v>0</v>
      </c>
      <c r="AE122" s="38">
        <f>IF(AQ122="7",BI122,0)</f>
        <v>0</v>
      </c>
      <c r="AF122" s="38">
        <f>IF(AQ122="2",BH122,0)</f>
        <v>0</v>
      </c>
      <c r="AG122" s="38">
        <f>IF(AQ122="2",BI122,0)</f>
        <v>0</v>
      </c>
      <c r="AH122" s="38">
        <f>IF(AQ122="0",BJ122,0)</f>
        <v>0</v>
      </c>
      <c r="AI122" s="33"/>
      <c r="AJ122" s="16">
        <f>IF(AN122=0,K122,0)</f>
        <v>0</v>
      </c>
      <c r="AK122" s="16">
        <f>IF(AN122=15,K122,0)</f>
        <v>0</v>
      </c>
      <c r="AL122" s="16">
        <f>IF(AN122=21,K122,0)</f>
        <v>0</v>
      </c>
      <c r="AN122" s="38">
        <v>21</v>
      </c>
      <c r="AO122" s="38">
        <f>H122*0.295</f>
        <v>0</v>
      </c>
      <c r="AP122" s="38">
        <f>H122*(1-0.295)</f>
        <v>0</v>
      </c>
      <c r="AQ122" s="32" t="s">
        <v>13</v>
      </c>
      <c r="AV122" s="38">
        <f>AW122+AX122</f>
        <v>0</v>
      </c>
      <c r="AW122" s="38">
        <f>G122*AO122</f>
        <v>0</v>
      </c>
      <c r="AX122" s="38">
        <f>G122*AP122</f>
        <v>0</v>
      </c>
      <c r="AY122" s="39" t="s">
        <v>505</v>
      </c>
      <c r="AZ122" s="39" t="s">
        <v>524</v>
      </c>
      <c r="BA122" s="33" t="s">
        <v>531</v>
      </c>
      <c r="BB122" s="33" t="s">
        <v>553</v>
      </c>
      <c r="BC122" s="38">
        <f>AW122+AX122</f>
        <v>0</v>
      </c>
      <c r="BD122" s="38">
        <f>H122/(100-BE122)*100</f>
        <v>0</v>
      </c>
      <c r="BE122" s="38">
        <v>0</v>
      </c>
      <c r="BF122" s="38">
        <f>122</f>
        <v>122</v>
      </c>
      <c r="BH122" s="16">
        <f>G122*AO122</f>
        <v>0</v>
      </c>
      <c r="BI122" s="16">
        <f>G122*AP122</f>
        <v>0</v>
      </c>
      <c r="BJ122" s="16">
        <f>G122*H122</f>
        <v>0</v>
      </c>
    </row>
    <row r="123" spans="1:62" ht="12.75">
      <c r="A123" s="4" t="s">
        <v>96</v>
      </c>
      <c r="B123" s="4" t="s">
        <v>227</v>
      </c>
      <c r="C123" s="203" t="s">
        <v>389</v>
      </c>
      <c r="D123" s="204"/>
      <c r="E123" s="204"/>
      <c r="F123" s="4" t="s">
        <v>447</v>
      </c>
      <c r="G123" s="16">
        <v>28.107</v>
      </c>
      <c r="H123" s="22">
        <v>0</v>
      </c>
      <c r="I123" s="16">
        <f>G123*AO123</f>
        <v>0</v>
      </c>
      <c r="J123" s="16">
        <f>G123*AP123</f>
        <v>0</v>
      </c>
      <c r="K123" s="16">
        <f>G123*H123</f>
        <v>0</v>
      </c>
      <c r="L123" s="32" t="s">
        <v>473</v>
      </c>
      <c r="Z123" s="38">
        <f>IF(AQ123="5",BJ123,0)</f>
        <v>0</v>
      </c>
      <c r="AB123" s="38">
        <f>IF(AQ123="1",BH123,0)</f>
        <v>0</v>
      </c>
      <c r="AC123" s="38">
        <f>IF(AQ123="1",BI123,0)</f>
        <v>0</v>
      </c>
      <c r="AD123" s="38">
        <f>IF(AQ123="7",BH123,0)</f>
        <v>0</v>
      </c>
      <c r="AE123" s="38">
        <f>IF(AQ123="7",BI123,0)</f>
        <v>0</v>
      </c>
      <c r="AF123" s="38">
        <f>IF(AQ123="2",BH123,0)</f>
        <v>0</v>
      </c>
      <c r="AG123" s="38">
        <f>IF(AQ123="2",BI123,0)</f>
        <v>0</v>
      </c>
      <c r="AH123" s="38">
        <f>IF(AQ123="0",BJ123,0)</f>
        <v>0</v>
      </c>
      <c r="AI123" s="33"/>
      <c r="AJ123" s="16">
        <f>IF(AN123=0,K123,0)</f>
        <v>0</v>
      </c>
      <c r="AK123" s="16">
        <f>IF(AN123=15,K123,0)</f>
        <v>0</v>
      </c>
      <c r="AL123" s="16">
        <f>IF(AN123=21,K123,0)</f>
        <v>0</v>
      </c>
      <c r="AN123" s="38">
        <v>21</v>
      </c>
      <c r="AO123" s="38">
        <f>H123*0.0439581624502453</f>
        <v>0</v>
      </c>
      <c r="AP123" s="38">
        <f>H123*(1-0.0439581624502453)</f>
        <v>0</v>
      </c>
      <c r="AQ123" s="32" t="s">
        <v>13</v>
      </c>
      <c r="AV123" s="38">
        <f>AW123+AX123</f>
        <v>0</v>
      </c>
      <c r="AW123" s="38">
        <f>G123*AO123</f>
        <v>0</v>
      </c>
      <c r="AX123" s="38">
        <f>G123*AP123</f>
        <v>0</v>
      </c>
      <c r="AY123" s="39" t="s">
        <v>505</v>
      </c>
      <c r="AZ123" s="39" t="s">
        <v>524</v>
      </c>
      <c r="BA123" s="33" t="s">
        <v>531</v>
      </c>
      <c r="BB123" s="33" t="s">
        <v>553</v>
      </c>
      <c r="BC123" s="38">
        <f>AW123+AX123</f>
        <v>0</v>
      </c>
      <c r="BD123" s="38">
        <f>H123/(100-BE123)*100</f>
        <v>0</v>
      </c>
      <c r="BE123" s="38">
        <v>0</v>
      </c>
      <c r="BF123" s="38">
        <f>123</f>
        <v>123</v>
      </c>
      <c r="BH123" s="16">
        <f>G123*AO123</f>
        <v>0</v>
      </c>
      <c r="BI123" s="16">
        <f>G123*AP123</f>
        <v>0</v>
      </c>
      <c r="BJ123" s="16">
        <f>G123*H123</f>
        <v>0</v>
      </c>
    </row>
    <row r="124" spans="1:62" ht="12.75">
      <c r="A124" s="4" t="s">
        <v>97</v>
      </c>
      <c r="B124" s="4" t="s">
        <v>228</v>
      </c>
      <c r="C124" s="203" t="s">
        <v>390</v>
      </c>
      <c r="D124" s="204"/>
      <c r="E124" s="204"/>
      <c r="F124" s="4" t="s">
        <v>447</v>
      </c>
      <c r="G124" s="16">
        <v>136.85</v>
      </c>
      <c r="H124" s="22">
        <v>0</v>
      </c>
      <c r="I124" s="16">
        <f>G124*AO124</f>
        <v>0</v>
      </c>
      <c r="J124" s="16">
        <f>G124*AP124</f>
        <v>0</v>
      </c>
      <c r="K124" s="16">
        <f>G124*H124</f>
        <v>0</v>
      </c>
      <c r="L124" s="32" t="s">
        <v>473</v>
      </c>
      <c r="Z124" s="38">
        <f>IF(AQ124="5",BJ124,0)</f>
        <v>0</v>
      </c>
      <c r="AB124" s="38">
        <f>IF(AQ124="1",BH124,0)</f>
        <v>0</v>
      </c>
      <c r="AC124" s="38">
        <f>IF(AQ124="1",BI124,0)</f>
        <v>0</v>
      </c>
      <c r="AD124" s="38">
        <f>IF(AQ124="7",BH124,0)</f>
        <v>0</v>
      </c>
      <c r="AE124" s="38">
        <f>IF(AQ124="7",BI124,0)</f>
        <v>0</v>
      </c>
      <c r="AF124" s="38">
        <f>IF(AQ124="2",BH124,0)</f>
        <v>0</v>
      </c>
      <c r="AG124" s="38">
        <f>IF(AQ124="2",BI124,0)</f>
        <v>0</v>
      </c>
      <c r="AH124" s="38">
        <f>IF(AQ124="0",BJ124,0)</f>
        <v>0</v>
      </c>
      <c r="AI124" s="33"/>
      <c r="AJ124" s="16">
        <f>IF(AN124=0,K124,0)</f>
        <v>0</v>
      </c>
      <c r="AK124" s="16">
        <f>IF(AN124=15,K124,0)</f>
        <v>0</v>
      </c>
      <c r="AL124" s="16">
        <f>IF(AN124=21,K124,0)</f>
        <v>0</v>
      </c>
      <c r="AN124" s="38">
        <v>21</v>
      </c>
      <c r="AO124" s="38">
        <f>H124*0</f>
        <v>0</v>
      </c>
      <c r="AP124" s="38">
        <f>H124*(1-0)</f>
        <v>0</v>
      </c>
      <c r="AQ124" s="32" t="s">
        <v>13</v>
      </c>
      <c r="AV124" s="38">
        <f>AW124+AX124</f>
        <v>0</v>
      </c>
      <c r="AW124" s="38">
        <f>G124*AO124</f>
        <v>0</v>
      </c>
      <c r="AX124" s="38">
        <f>G124*AP124</f>
        <v>0</v>
      </c>
      <c r="AY124" s="39" t="s">
        <v>505</v>
      </c>
      <c r="AZ124" s="39" t="s">
        <v>524</v>
      </c>
      <c r="BA124" s="33" t="s">
        <v>531</v>
      </c>
      <c r="BB124" s="33" t="s">
        <v>553</v>
      </c>
      <c r="BC124" s="38">
        <f>AW124+AX124</f>
        <v>0</v>
      </c>
      <c r="BD124" s="38">
        <f>H124/(100-BE124)*100</f>
        <v>0</v>
      </c>
      <c r="BE124" s="38">
        <v>0</v>
      </c>
      <c r="BF124" s="38">
        <f>124</f>
        <v>124</v>
      </c>
      <c r="BH124" s="16">
        <f>G124*AO124</f>
        <v>0</v>
      </c>
      <c r="BI124" s="16">
        <f>G124*AP124</f>
        <v>0</v>
      </c>
      <c r="BJ124" s="16">
        <f>G124*H124</f>
        <v>0</v>
      </c>
    </row>
    <row r="125" spans="1:62" ht="12.75">
      <c r="A125" s="4" t="s">
        <v>98</v>
      </c>
      <c r="B125" s="4" t="s">
        <v>229</v>
      </c>
      <c r="C125" s="203" t="s">
        <v>391</v>
      </c>
      <c r="D125" s="204"/>
      <c r="E125" s="204"/>
      <c r="F125" s="4" t="s">
        <v>447</v>
      </c>
      <c r="G125" s="16">
        <v>97.864</v>
      </c>
      <c r="H125" s="22">
        <v>0</v>
      </c>
      <c r="I125" s="16">
        <f>G125*AO125</f>
        <v>0</v>
      </c>
      <c r="J125" s="16">
        <f>G125*AP125</f>
        <v>0</v>
      </c>
      <c r="K125" s="16">
        <f>G125*H125</f>
        <v>0</v>
      </c>
      <c r="L125" s="32" t="s">
        <v>473</v>
      </c>
      <c r="Z125" s="38">
        <f>IF(AQ125="5",BJ125,0)</f>
        <v>0</v>
      </c>
      <c r="AB125" s="38">
        <f>IF(AQ125="1",BH125,0)</f>
        <v>0</v>
      </c>
      <c r="AC125" s="38">
        <f>IF(AQ125="1",BI125,0)</f>
        <v>0</v>
      </c>
      <c r="AD125" s="38">
        <f>IF(AQ125="7",BH125,0)</f>
        <v>0</v>
      </c>
      <c r="AE125" s="38">
        <f>IF(AQ125="7",BI125,0)</f>
        <v>0</v>
      </c>
      <c r="AF125" s="38">
        <f>IF(AQ125="2",BH125,0)</f>
        <v>0</v>
      </c>
      <c r="AG125" s="38">
        <f>IF(AQ125="2",BI125,0)</f>
        <v>0</v>
      </c>
      <c r="AH125" s="38">
        <f>IF(AQ125="0",BJ125,0)</f>
        <v>0</v>
      </c>
      <c r="AI125" s="33"/>
      <c r="AJ125" s="16">
        <f>IF(AN125=0,K125,0)</f>
        <v>0</v>
      </c>
      <c r="AK125" s="16">
        <f>IF(AN125=15,K125,0)</f>
        <v>0</v>
      </c>
      <c r="AL125" s="16">
        <f>IF(AN125=21,K125,0)</f>
        <v>0</v>
      </c>
      <c r="AN125" s="38">
        <v>21</v>
      </c>
      <c r="AO125" s="38">
        <f>H125*0.573497990618541</f>
        <v>0</v>
      </c>
      <c r="AP125" s="38">
        <f>H125*(1-0.573497990618541)</f>
        <v>0</v>
      </c>
      <c r="AQ125" s="32" t="s">
        <v>13</v>
      </c>
      <c r="AV125" s="38">
        <f>AW125+AX125</f>
        <v>0</v>
      </c>
      <c r="AW125" s="38">
        <f>G125*AO125</f>
        <v>0</v>
      </c>
      <c r="AX125" s="38">
        <f>G125*AP125</f>
        <v>0</v>
      </c>
      <c r="AY125" s="39" t="s">
        <v>505</v>
      </c>
      <c r="AZ125" s="39" t="s">
        <v>524</v>
      </c>
      <c r="BA125" s="33" t="s">
        <v>531</v>
      </c>
      <c r="BB125" s="33" t="s">
        <v>553</v>
      </c>
      <c r="BC125" s="38">
        <f>AW125+AX125</f>
        <v>0</v>
      </c>
      <c r="BD125" s="38">
        <f>H125/(100-BE125)*100</f>
        <v>0</v>
      </c>
      <c r="BE125" s="38">
        <v>0</v>
      </c>
      <c r="BF125" s="38">
        <f>125</f>
        <v>125</v>
      </c>
      <c r="BH125" s="16">
        <f>G125*AO125</f>
        <v>0</v>
      </c>
      <c r="BI125" s="16">
        <f>G125*AP125</f>
        <v>0</v>
      </c>
      <c r="BJ125" s="16">
        <f>G125*H125</f>
        <v>0</v>
      </c>
    </row>
    <row r="126" spans="1:47" ht="12.75">
      <c r="A126" s="5"/>
      <c r="B126" s="13" t="s">
        <v>230</v>
      </c>
      <c r="C126" s="205" t="s">
        <v>392</v>
      </c>
      <c r="D126" s="206"/>
      <c r="E126" s="206"/>
      <c r="F126" s="5" t="s">
        <v>6</v>
      </c>
      <c r="G126" s="5" t="s">
        <v>6</v>
      </c>
      <c r="H126" s="23" t="s">
        <v>6</v>
      </c>
      <c r="I126" s="41">
        <f>SUM(I127:I127)</f>
        <v>0</v>
      </c>
      <c r="J126" s="41">
        <f>SUM(J127:J127)</f>
        <v>0</v>
      </c>
      <c r="K126" s="41">
        <f>SUM(K127:K127)</f>
        <v>0</v>
      </c>
      <c r="L126" s="33"/>
      <c r="AI126" s="33"/>
      <c r="AS126" s="41">
        <f>SUM(AJ127:AJ127)</f>
        <v>0</v>
      </c>
      <c r="AT126" s="41">
        <f>SUM(AK127:AK127)</f>
        <v>0</v>
      </c>
      <c r="AU126" s="41">
        <f>SUM(AL127:AL127)</f>
        <v>0</v>
      </c>
    </row>
    <row r="127" spans="1:62" ht="12.75">
      <c r="A127" s="4" t="s">
        <v>99</v>
      </c>
      <c r="B127" s="4" t="s">
        <v>231</v>
      </c>
      <c r="C127" s="203" t="s">
        <v>393</v>
      </c>
      <c r="D127" s="204"/>
      <c r="E127" s="204"/>
      <c r="F127" s="4" t="s">
        <v>449</v>
      </c>
      <c r="G127" s="16">
        <v>9</v>
      </c>
      <c r="H127" s="22">
        <v>0</v>
      </c>
      <c r="I127" s="16">
        <f>G127*AO127</f>
        <v>0</v>
      </c>
      <c r="J127" s="16">
        <f>G127*AP127</f>
        <v>0</v>
      </c>
      <c r="K127" s="16">
        <f>G127*H127</f>
        <v>0</v>
      </c>
      <c r="L127" s="32" t="s">
        <v>473</v>
      </c>
      <c r="Z127" s="38">
        <f>IF(AQ127="5",BJ127,0)</f>
        <v>0</v>
      </c>
      <c r="AB127" s="38">
        <f>IF(AQ127="1",BH127,0)</f>
        <v>0</v>
      </c>
      <c r="AC127" s="38">
        <f>IF(AQ127="1",BI127,0)</f>
        <v>0</v>
      </c>
      <c r="AD127" s="38">
        <f>IF(AQ127="7",BH127,0)</f>
        <v>0</v>
      </c>
      <c r="AE127" s="38">
        <f>IF(AQ127="7",BI127,0)</f>
        <v>0</v>
      </c>
      <c r="AF127" s="38">
        <f>IF(AQ127="2",BH127,0)</f>
        <v>0</v>
      </c>
      <c r="AG127" s="38">
        <f>IF(AQ127="2",BI127,0)</f>
        <v>0</v>
      </c>
      <c r="AH127" s="38">
        <f>IF(AQ127="0",BJ127,0)</f>
        <v>0</v>
      </c>
      <c r="AI127" s="33"/>
      <c r="AJ127" s="16">
        <f>IF(AN127=0,K127,0)</f>
        <v>0</v>
      </c>
      <c r="AK127" s="16">
        <f>IF(AN127=15,K127,0)</f>
        <v>0</v>
      </c>
      <c r="AL127" s="16">
        <f>IF(AN127=21,K127,0)</f>
        <v>0</v>
      </c>
      <c r="AN127" s="38">
        <v>21</v>
      </c>
      <c r="AO127" s="38">
        <f>H127*0</f>
        <v>0</v>
      </c>
      <c r="AP127" s="38">
        <f>H127*(1-0)</f>
        <v>0</v>
      </c>
      <c r="AQ127" s="32" t="s">
        <v>13</v>
      </c>
      <c r="AV127" s="38">
        <f>AW127+AX127</f>
        <v>0</v>
      </c>
      <c r="AW127" s="38">
        <f>G127*AO127</f>
        <v>0</v>
      </c>
      <c r="AX127" s="38">
        <f>G127*AP127</f>
        <v>0</v>
      </c>
      <c r="AY127" s="39" t="s">
        <v>506</v>
      </c>
      <c r="AZ127" s="39" t="s">
        <v>525</v>
      </c>
      <c r="BA127" s="33" t="s">
        <v>531</v>
      </c>
      <c r="BB127" s="33" t="s">
        <v>554</v>
      </c>
      <c r="BC127" s="38">
        <f>AW127+AX127</f>
        <v>0</v>
      </c>
      <c r="BD127" s="38">
        <f>H127/(100-BE127)*100</f>
        <v>0</v>
      </c>
      <c r="BE127" s="38">
        <v>0</v>
      </c>
      <c r="BF127" s="38">
        <f>127</f>
        <v>127</v>
      </c>
      <c r="BH127" s="16">
        <f>G127*AO127</f>
        <v>0</v>
      </c>
      <c r="BI127" s="16">
        <f>G127*AP127</f>
        <v>0</v>
      </c>
      <c r="BJ127" s="16">
        <f>G127*H127</f>
        <v>0</v>
      </c>
    </row>
    <row r="128" spans="1:47" ht="12.75">
      <c r="A128" s="5"/>
      <c r="B128" s="13" t="s">
        <v>232</v>
      </c>
      <c r="C128" s="205" t="s">
        <v>394</v>
      </c>
      <c r="D128" s="206"/>
      <c r="E128" s="206"/>
      <c r="F128" s="5" t="s">
        <v>6</v>
      </c>
      <c r="G128" s="5" t="s">
        <v>6</v>
      </c>
      <c r="H128" s="23" t="s">
        <v>6</v>
      </c>
      <c r="I128" s="41">
        <f>SUM(I129:I132)</f>
        <v>0</v>
      </c>
      <c r="J128" s="41">
        <f>SUM(J129:J132)</f>
        <v>0</v>
      </c>
      <c r="K128" s="41">
        <f>SUM(K129:K132)</f>
        <v>0</v>
      </c>
      <c r="L128" s="33"/>
      <c r="AI128" s="33"/>
      <c r="AS128" s="41">
        <f>SUM(AJ129:AJ132)</f>
        <v>0</v>
      </c>
      <c r="AT128" s="41">
        <f>SUM(AK129:AK132)</f>
        <v>0</v>
      </c>
      <c r="AU128" s="41">
        <f>SUM(AL129:AL132)</f>
        <v>0</v>
      </c>
    </row>
    <row r="129" spans="1:62" ht="12.75">
      <c r="A129" s="4" t="s">
        <v>100</v>
      </c>
      <c r="B129" s="4" t="s">
        <v>233</v>
      </c>
      <c r="C129" s="203" t="s">
        <v>395</v>
      </c>
      <c r="D129" s="204"/>
      <c r="E129" s="204"/>
      <c r="F129" s="4" t="s">
        <v>454</v>
      </c>
      <c r="G129" s="16">
        <v>199.94</v>
      </c>
      <c r="H129" s="22">
        <v>0</v>
      </c>
      <c r="I129" s="16">
        <f>G129*AO129</f>
        <v>0</v>
      </c>
      <c r="J129" s="16">
        <f>G129*AP129</f>
        <v>0</v>
      </c>
      <c r="K129" s="16">
        <f>G129*H129</f>
        <v>0</v>
      </c>
      <c r="L129" s="32" t="s">
        <v>473</v>
      </c>
      <c r="Z129" s="38">
        <f>IF(AQ129="5",BJ129,0)</f>
        <v>0</v>
      </c>
      <c r="AB129" s="38">
        <f>IF(AQ129="1",BH129,0)</f>
        <v>0</v>
      </c>
      <c r="AC129" s="38">
        <f>IF(AQ129="1",BI129,0)</f>
        <v>0</v>
      </c>
      <c r="AD129" s="38">
        <f>IF(AQ129="7",BH129,0)</f>
        <v>0</v>
      </c>
      <c r="AE129" s="38">
        <f>IF(AQ129="7",BI129,0)</f>
        <v>0</v>
      </c>
      <c r="AF129" s="38">
        <f>IF(AQ129="2",BH129,0)</f>
        <v>0</v>
      </c>
      <c r="AG129" s="38">
        <f>IF(AQ129="2",BI129,0)</f>
        <v>0</v>
      </c>
      <c r="AH129" s="38">
        <f>IF(AQ129="0",BJ129,0)</f>
        <v>0</v>
      </c>
      <c r="AI129" s="33"/>
      <c r="AJ129" s="16">
        <f>IF(AN129=0,K129,0)</f>
        <v>0</v>
      </c>
      <c r="AK129" s="16">
        <f>IF(AN129=15,K129,0)</f>
        <v>0</v>
      </c>
      <c r="AL129" s="16">
        <f>IF(AN129=21,K129,0)</f>
        <v>0</v>
      </c>
      <c r="AN129" s="38">
        <v>21</v>
      </c>
      <c r="AO129" s="38">
        <f>H129*0.140695652173913</f>
        <v>0</v>
      </c>
      <c r="AP129" s="38">
        <f>H129*(1-0.140695652173913)</f>
        <v>0</v>
      </c>
      <c r="AQ129" s="32" t="s">
        <v>13</v>
      </c>
      <c r="AV129" s="38">
        <f>AW129+AX129</f>
        <v>0</v>
      </c>
      <c r="AW129" s="38">
        <f>G129*AO129</f>
        <v>0</v>
      </c>
      <c r="AX129" s="38">
        <f>G129*AP129</f>
        <v>0</v>
      </c>
      <c r="AY129" s="39" t="s">
        <v>507</v>
      </c>
      <c r="AZ129" s="39" t="s">
        <v>526</v>
      </c>
      <c r="BA129" s="33" t="s">
        <v>531</v>
      </c>
      <c r="BB129" s="33" t="s">
        <v>555</v>
      </c>
      <c r="BC129" s="38">
        <f>AW129+AX129</f>
        <v>0</v>
      </c>
      <c r="BD129" s="38">
        <f>H129/(100-BE129)*100</f>
        <v>0</v>
      </c>
      <c r="BE129" s="38">
        <v>0</v>
      </c>
      <c r="BF129" s="38">
        <f>129</f>
        <v>129</v>
      </c>
      <c r="BH129" s="16">
        <f>G129*AO129</f>
        <v>0</v>
      </c>
      <c r="BI129" s="16">
        <f>G129*AP129</f>
        <v>0</v>
      </c>
      <c r="BJ129" s="16">
        <f>G129*H129</f>
        <v>0</v>
      </c>
    </row>
    <row r="130" spans="1:62" ht="12.75">
      <c r="A130" s="4" t="s">
        <v>101</v>
      </c>
      <c r="B130" s="4" t="s">
        <v>234</v>
      </c>
      <c r="C130" s="203" t="s">
        <v>395</v>
      </c>
      <c r="D130" s="204"/>
      <c r="E130" s="204"/>
      <c r="F130" s="4" t="s">
        <v>454</v>
      </c>
      <c r="G130" s="16">
        <v>1545.78</v>
      </c>
      <c r="H130" s="22">
        <v>0</v>
      </c>
      <c r="I130" s="16">
        <f>G130*AO130</f>
        <v>0</v>
      </c>
      <c r="J130" s="16">
        <f>G130*AP130</f>
        <v>0</v>
      </c>
      <c r="K130" s="16">
        <f>G130*H130</f>
        <v>0</v>
      </c>
      <c r="L130" s="32" t="s">
        <v>473</v>
      </c>
      <c r="Z130" s="38">
        <f>IF(AQ130="5",BJ130,0)</f>
        <v>0</v>
      </c>
      <c r="AB130" s="38">
        <f>IF(AQ130="1",BH130,0)</f>
        <v>0</v>
      </c>
      <c r="AC130" s="38">
        <f>IF(AQ130="1",BI130,0)</f>
        <v>0</v>
      </c>
      <c r="AD130" s="38">
        <f>IF(AQ130="7",BH130,0)</f>
        <v>0</v>
      </c>
      <c r="AE130" s="38">
        <f>IF(AQ130="7",BI130,0)</f>
        <v>0</v>
      </c>
      <c r="AF130" s="38">
        <f>IF(AQ130="2",BH130,0)</f>
        <v>0</v>
      </c>
      <c r="AG130" s="38">
        <f>IF(AQ130="2",BI130,0)</f>
        <v>0</v>
      </c>
      <c r="AH130" s="38">
        <f>IF(AQ130="0",BJ130,0)</f>
        <v>0</v>
      </c>
      <c r="AI130" s="33"/>
      <c r="AJ130" s="16">
        <f>IF(AN130=0,K130,0)</f>
        <v>0</v>
      </c>
      <c r="AK130" s="16">
        <f>IF(AN130=15,K130,0)</f>
        <v>0</v>
      </c>
      <c r="AL130" s="16">
        <f>IF(AN130=21,K130,0)</f>
        <v>0</v>
      </c>
      <c r="AN130" s="38">
        <v>21</v>
      </c>
      <c r="AO130" s="38">
        <f>H130*0.272390548657832</f>
        <v>0</v>
      </c>
      <c r="AP130" s="38">
        <f>H130*(1-0.272390548657832)</f>
        <v>0</v>
      </c>
      <c r="AQ130" s="32" t="s">
        <v>13</v>
      </c>
      <c r="AV130" s="38">
        <f>AW130+AX130</f>
        <v>0</v>
      </c>
      <c r="AW130" s="38">
        <f>G130*AO130</f>
        <v>0</v>
      </c>
      <c r="AX130" s="38">
        <f>G130*AP130</f>
        <v>0</v>
      </c>
      <c r="AY130" s="39" t="s">
        <v>507</v>
      </c>
      <c r="AZ130" s="39" t="s">
        <v>526</v>
      </c>
      <c r="BA130" s="33" t="s">
        <v>531</v>
      </c>
      <c r="BB130" s="33" t="s">
        <v>555</v>
      </c>
      <c r="BC130" s="38">
        <f>AW130+AX130</f>
        <v>0</v>
      </c>
      <c r="BD130" s="38">
        <f>H130/(100-BE130)*100</f>
        <v>0</v>
      </c>
      <c r="BE130" s="38">
        <v>0</v>
      </c>
      <c r="BF130" s="38">
        <f>130</f>
        <v>130</v>
      </c>
      <c r="BH130" s="16">
        <f>G130*AO130</f>
        <v>0</v>
      </c>
      <c r="BI130" s="16">
        <f>G130*AP130</f>
        <v>0</v>
      </c>
      <c r="BJ130" s="16">
        <f>G130*H130</f>
        <v>0</v>
      </c>
    </row>
    <row r="131" spans="1:62" ht="12.75">
      <c r="A131" s="4" t="s">
        <v>102</v>
      </c>
      <c r="B131" s="4" t="s">
        <v>235</v>
      </c>
      <c r="C131" s="203" t="s">
        <v>396</v>
      </c>
      <c r="D131" s="204"/>
      <c r="E131" s="204"/>
      <c r="F131" s="4" t="s">
        <v>454</v>
      </c>
      <c r="G131" s="16">
        <v>226.8</v>
      </c>
      <c r="H131" s="22">
        <v>0</v>
      </c>
      <c r="I131" s="16">
        <f>G131*AO131</f>
        <v>0</v>
      </c>
      <c r="J131" s="16">
        <f>G131*AP131</f>
        <v>0</v>
      </c>
      <c r="K131" s="16">
        <f>G131*H131</f>
        <v>0</v>
      </c>
      <c r="L131" s="32" t="s">
        <v>473</v>
      </c>
      <c r="Z131" s="38">
        <f>IF(AQ131="5",BJ131,0)</f>
        <v>0</v>
      </c>
      <c r="AB131" s="38">
        <f>IF(AQ131="1",BH131,0)</f>
        <v>0</v>
      </c>
      <c r="AC131" s="38">
        <f>IF(AQ131="1",BI131,0)</f>
        <v>0</v>
      </c>
      <c r="AD131" s="38">
        <f>IF(AQ131="7",BH131,0)</f>
        <v>0</v>
      </c>
      <c r="AE131" s="38">
        <f>IF(AQ131="7",BI131,0)</f>
        <v>0</v>
      </c>
      <c r="AF131" s="38">
        <f>IF(AQ131="2",BH131,0)</f>
        <v>0</v>
      </c>
      <c r="AG131" s="38">
        <f>IF(AQ131="2",BI131,0)</f>
        <v>0</v>
      </c>
      <c r="AH131" s="38">
        <f>IF(AQ131="0",BJ131,0)</f>
        <v>0</v>
      </c>
      <c r="AI131" s="33"/>
      <c r="AJ131" s="16">
        <f>IF(AN131=0,K131,0)</f>
        <v>0</v>
      </c>
      <c r="AK131" s="16">
        <f>IF(AN131=15,K131,0)</f>
        <v>0</v>
      </c>
      <c r="AL131" s="16">
        <f>IF(AN131=21,K131,0)</f>
        <v>0</v>
      </c>
      <c r="AN131" s="38">
        <v>21</v>
      </c>
      <c r="AO131" s="38">
        <f>H131*0.202181818181818</f>
        <v>0</v>
      </c>
      <c r="AP131" s="38">
        <f>H131*(1-0.202181818181818)</f>
        <v>0</v>
      </c>
      <c r="AQ131" s="32" t="s">
        <v>13</v>
      </c>
      <c r="AV131" s="38">
        <f>AW131+AX131</f>
        <v>0</v>
      </c>
      <c r="AW131" s="38">
        <f>G131*AO131</f>
        <v>0</v>
      </c>
      <c r="AX131" s="38">
        <f>G131*AP131</f>
        <v>0</v>
      </c>
      <c r="AY131" s="39" t="s">
        <v>507</v>
      </c>
      <c r="AZ131" s="39" t="s">
        <v>526</v>
      </c>
      <c r="BA131" s="33" t="s">
        <v>531</v>
      </c>
      <c r="BB131" s="33" t="s">
        <v>555</v>
      </c>
      <c r="BC131" s="38">
        <f>AW131+AX131</f>
        <v>0</v>
      </c>
      <c r="BD131" s="38">
        <f>H131/(100-BE131)*100</f>
        <v>0</v>
      </c>
      <c r="BE131" s="38">
        <v>0</v>
      </c>
      <c r="BF131" s="38">
        <f>131</f>
        <v>131</v>
      </c>
      <c r="BH131" s="16">
        <f>G131*AO131</f>
        <v>0</v>
      </c>
      <c r="BI131" s="16">
        <f>G131*AP131</f>
        <v>0</v>
      </c>
      <c r="BJ131" s="16">
        <f>G131*H131</f>
        <v>0</v>
      </c>
    </row>
    <row r="132" spans="1:62" ht="12.75">
      <c r="A132" s="4" t="s">
        <v>103</v>
      </c>
      <c r="B132" s="4" t="s">
        <v>236</v>
      </c>
      <c r="C132" s="203" t="s">
        <v>395</v>
      </c>
      <c r="D132" s="204"/>
      <c r="E132" s="204"/>
      <c r="F132" s="4" t="s">
        <v>454</v>
      </c>
      <c r="G132" s="16">
        <v>176</v>
      </c>
      <c r="H132" s="22">
        <v>0</v>
      </c>
      <c r="I132" s="16">
        <f>G132*AO132</f>
        <v>0</v>
      </c>
      <c r="J132" s="16">
        <f>G132*AP132</f>
        <v>0</v>
      </c>
      <c r="K132" s="16">
        <f>G132*H132</f>
        <v>0</v>
      </c>
      <c r="L132" s="32" t="s">
        <v>473</v>
      </c>
      <c r="Z132" s="38">
        <f>IF(AQ132="5",BJ132,0)</f>
        <v>0</v>
      </c>
      <c r="AB132" s="38">
        <f>IF(AQ132="1",BH132,0)</f>
        <v>0</v>
      </c>
      <c r="AC132" s="38">
        <f>IF(AQ132="1",BI132,0)</f>
        <v>0</v>
      </c>
      <c r="AD132" s="38">
        <f>IF(AQ132="7",BH132,0)</f>
        <v>0</v>
      </c>
      <c r="AE132" s="38">
        <f>IF(AQ132="7",BI132,0)</f>
        <v>0</v>
      </c>
      <c r="AF132" s="38">
        <f>IF(AQ132="2",BH132,0)</f>
        <v>0</v>
      </c>
      <c r="AG132" s="38">
        <f>IF(AQ132="2",BI132,0)</f>
        <v>0</v>
      </c>
      <c r="AH132" s="38">
        <f>IF(AQ132="0",BJ132,0)</f>
        <v>0</v>
      </c>
      <c r="AI132" s="33"/>
      <c r="AJ132" s="16">
        <f>IF(AN132=0,K132,0)</f>
        <v>0</v>
      </c>
      <c r="AK132" s="16">
        <f>IF(AN132=15,K132,0)</f>
        <v>0</v>
      </c>
      <c r="AL132" s="16">
        <f>IF(AN132=21,K132,0)</f>
        <v>0</v>
      </c>
      <c r="AN132" s="38">
        <v>21</v>
      </c>
      <c r="AO132" s="38">
        <f>H132*0.228531073446328</f>
        <v>0</v>
      </c>
      <c r="AP132" s="38">
        <f>H132*(1-0.228531073446328)</f>
        <v>0</v>
      </c>
      <c r="AQ132" s="32" t="s">
        <v>13</v>
      </c>
      <c r="AV132" s="38">
        <f>AW132+AX132</f>
        <v>0</v>
      </c>
      <c r="AW132" s="38">
        <f>G132*AO132</f>
        <v>0</v>
      </c>
      <c r="AX132" s="38">
        <f>G132*AP132</f>
        <v>0</v>
      </c>
      <c r="AY132" s="39" t="s">
        <v>507</v>
      </c>
      <c r="AZ132" s="39" t="s">
        <v>526</v>
      </c>
      <c r="BA132" s="33" t="s">
        <v>531</v>
      </c>
      <c r="BB132" s="33" t="s">
        <v>555</v>
      </c>
      <c r="BC132" s="38">
        <f>AW132+AX132</f>
        <v>0</v>
      </c>
      <c r="BD132" s="38">
        <f>H132/(100-BE132)*100</f>
        <v>0</v>
      </c>
      <c r="BE132" s="38">
        <v>0</v>
      </c>
      <c r="BF132" s="38">
        <f>132</f>
        <v>132</v>
      </c>
      <c r="BH132" s="16">
        <f>G132*AO132</f>
        <v>0</v>
      </c>
      <c r="BI132" s="16">
        <f>G132*AP132</f>
        <v>0</v>
      </c>
      <c r="BJ132" s="16">
        <f>G132*H132</f>
        <v>0</v>
      </c>
    </row>
    <row r="133" spans="1:47" ht="12.75">
      <c r="A133" s="5"/>
      <c r="B133" s="13" t="s">
        <v>237</v>
      </c>
      <c r="C133" s="205" t="s">
        <v>397</v>
      </c>
      <c r="D133" s="206"/>
      <c r="E133" s="206"/>
      <c r="F133" s="5" t="s">
        <v>6</v>
      </c>
      <c r="G133" s="5" t="s">
        <v>6</v>
      </c>
      <c r="H133" s="23" t="s">
        <v>6</v>
      </c>
      <c r="I133" s="41">
        <f>SUM(I134:I134)</f>
        <v>0</v>
      </c>
      <c r="J133" s="41">
        <f>SUM(J134:J134)</f>
        <v>0</v>
      </c>
      <c r="K133" s="41">
        <f>SUM(K134:K134)</f>
        <v>0</v>
      </c>
      <c r="L133" s="33"/>
      <c r="AI133" s="33"/>
      <c r="AS133" s="41">
        <f>SUM(AJ134:AJ134)</f>
        <v>0</v>
      </c>
      <c r="AT133" s="41">
        <f>SUM(AK134:AK134)</f>
        <v>0</v>
      </c>
      <c r="AU133" s="41">
        <f>SUM(AL134:AL134)</f>
        <v>0</v>
      </c>
    </row>
    <row r="134" spans="1:62" ht="12.75">
      <c r="A134" s="4" t="s">
        <v>104</v>
      </c>
      <c r="B134" s="4" t="s">
        <v>238</v>
      </c>
      <c r="C134" s="203" t="s">
        <v>398</v>
      </c>
      <c r="D134" s="204"/>
      <c r="E134" s="204"/>
      <c r="F134" s="4" t="s">
        <v>449</v>
      </c>
      <c r="G134" s="16">
        <v>9.6</v>
      </c>
      <c r="H134" s="22">
        <v>0</v>
      </c>
      <c r="I134" s="16">
        <f>G134*AO134</f>
        <v>0</v>
      </c>
      <c r="J134" s="16">
        <f>G134*AP134</f>
        <v>0</v>
      </c>
      <c r="K134" s="16">
        <f>G134*H134</f>
        <v>0</v>
      </c>
      <c r="L134" s="32" t="s">
        <v>473</v>
      </c>
      <c r="Z134" s="38">
        <f>IF(AQ134="5",BJ134,0)</f>
        <v>0</v>
      </c>
      <c r="AB134" s="38">
        <f>IF(AQ134="1",BH134,0)</f>
        <v>0</v>
      </c>
      <c r="AC134" s="38">
        <f>IF(AQ134="1",BI134,0)</f>
        <v>0</v>
      </c>
      <c r="AD134" s="38">
        <f>IF(AQ134="7",BH134,0)</f>
        <v>0</v>
      </c>
      <c r="AE134" s="38">
        <f>IF(AQ134="7",BI134,0)</f>
        <v>0</v>
      </c>
      <c r="AF134" s="38">
        <f>IF(AQ134="2",BH134,0)</f>
        <v>0</v>
      </c>
      <c r="AG134" s="38">
        <f>IF(AQ134="2",BI134,0)</f>
        <v>0</v>
      </c>
      <c r="AH134" s="38">
        <f>IF(AQ134="0",BJ134,0)</f>
        <v>0</v>
      </c>
      <c r="AI134" s="33"/>
      <c r="AJ134" s="16">
        <f>IF(AN134=0,K134,0)</f>
        <v>0</v>
      </c>
      <c r="AK134" s="16">
        <f>IF(AN134=15,K134,0)</f>
        <v>0</v>
      </c>
      <c r="AL134" s="16">
        <f>IF(AN134=21,K134,0)</f>
        <v>0</v>
      </c>
      <c r="AN134" s="38">
        <v>21</v>
      </c>
      <c r="AO134" s="38">
        <f>H134*0.138580481622307</f>
        <v>0</v>
      </c>
      <c r="AP134" s="38">
        <f>H134*(1-0.138580481622307)</f>
        <v>0</v>
      </c>
      <c r="AQ134" s="32" t="s">
        <v>13</v>
      </c>
      <c r="AV134" s="38">
        <f>AW134+AX134</f>
        <v>0</v>
      </c>
      <c r="AW134" s="38">
        <f>G134*AO134</f>
        <v>0</v>
      </c>
      <c r="AX134" s="38">
        <f>G134*AP134</f>
        <v>0</v>
      </c>
      <c r="AY134" s="39" t="s">
        <v>508</v>
      </c>
      <c r="AZ134" s="39" t="s">
        <v>527</v>
      </c>
      <c r="BA134" s="33" t="s">
        <v>531</v>
      </c>
      <c r="BB134" s="33" t="s">
        <v>556</v>
      </c>
      <c r="BC134" s="38">
        <f>AW134+AX134</f>
        <v>0</v>
      </c>
      <c r="BD134" s="38">
        <f>H134/(100-BE134)*100</f>
        <v>0</v>
      </c>
      <c r="BE134" s="38">
        <v>0</v>
      </c>
      <c r="BF134" s="38">
        <f>134</f>
        <v>134</v>
      </c>
      <c r="BH134" s="16">
        <f>G134*AO134</f>
        <v>0</v>
      </c>
      <c r="BI134" s="16">
        <f>G134*AP134</f>
        <v>0</v>
      </c>
      <c r="BJ134" s="16">
        <f>G134*H134</f>
        <v>0</v>
      </c>
    </row>
    <row r="135" spans="1:47" ht="12.75">
      <c r="A135" s="5"/>
      <c r="B135" s="13" t="s">
        <v>93</v>
      </c>
      <c r="C135" s="205" t="s">
        <v>399</v>
      </c>
      <c r="D135" s="206"/>
      <c r="E135" s="206"/>
      <c r="F135" s="5" t="s">
        <v>6</v>
      </c>
      <c r="G135" s="5" t="s">
        <v>6</v>
      </c>
      <c r="H135" s="23" t="s">
        <v>6</v>
      </c>
      <c r="I135" s="41">
        <f>SUM(I136:I137)</f>
        <v>0</v>
      </c>
      <c r="J135" s="41">
        <f>SUM(J136:J137)</f>
        <v>0</v>
      </c>
      <c r="K135" s="41">
        <f>SUM(K136:K137)</f>
        <v>0</v>
      </c>
      <c r="L135" s="33"/>
      <c r="AI135" s="33"/>
      <c r="AS135" s="41">
        <f>SUM(AJ136:AJ137)</f>
        <v>0</v>
      </c>
      <c r="AT135" s="41">
        <f>SUM(AK136:AK137)</f>
        <v>0</v>
      </c>
      <c r="AU135" s="41">
        <f>SUM(AL136:AL137)</f>
        <v>0</v>
      </c>
    </row>
    <row r="136" spans="1:62" ht="12.75">
      <c r="A136" s="4" t="s">
        <v>105</v>
      </c>
      <c r="B136" s="4" t="s">
        <v>239</v>
      </c>
      <c r="C136" s="203" t="s">
        <v>400</v>
      </c>
      <c r="D136" s="204"/>
      <c r="E136" s="204"/>
      <c r="F136" s="4" t="s">
        <v>449</v>
      </c>
      <c r="G136" s="16">
        <v>10</v>
      </c>
      <c r="H136" s="22">
        <v>0</v>
      </c>
      <c r="I136" s="16">
        <f>G136*AO136</f>
        <v>0</v>
      </c>
      <c r="J136" s="16">
        <f>G136*AP136</f>
        <v>0</v>
      </c>
      <c r="K136" s="16">
        <f>G136*H136</f>
        <v>0</v>
      </c>
      <c r="L136" s="32" t="s">
        <v>473</v>
      </c>
      <c r="Z136" s="38">
        <f>IF(AQ136="5",BJ136,0)</f>
        <v>0</v>
      </c>
      <c r="AB136" s="38">
        <f>IF(AQ136="1",BH136,0)</f>
        <v>0</v>
      </c>
      <c r="AC136" s="38">
        <f>IF(AQ136="1",BI136,0)</f>
        <v>0</v>
      </c>
      <c r="AD136" s="38">
        <f>IF(AQ136="7",BH136,0)</f>
        <v>0</v>
      </c>
      <c r="AE136" s="38">
        <f>IF(AQ136="7",BI136,0)</f>
        <v>0</v>
      </c>
      <c r="AF136" s="38">
        <f>IF(AQ136="2",BH136,0)</f>
        <v>0</v>
      </c>
      <c r="AG136" s="38">
        <f>IF(AQ136="2",BI136,0)</f>
        <v>0</v>
      </c>
      <c r="AH136" s="38">
        <f>IF(AQ136="0",BJ136,0)</f>
        <v>0</v>
      </c>
      <c r="AI136" s="33"/>
      <c r="AJ136" s="16">
        <f>IF(AN136=0,K136,0)</f>
        <v>0</v>
      </c>
      <c r="AK136" s="16">
        <f>IF(AN136=15,K136,0)</f>
        <v>0</v>
      </c>
      <c r="AL136" s="16">
        <f>IF(AN136=21,K136,0)</f>
        <v>0</v>
      </c>
      <c r="AN136" s="38">
        <v>21</v>
      </c>
      <c r="AO136" s="38">
        <f>H136*0.857495107632094</f>
        <v>0</v>
      </c>
      <c r="AP136" s="38">
        <f>H136*(1-0.857495107632094)</f>
        <v>0</v>
      </c>
      <c r="AQ136" s="32" t="s">
        <v>7</v>
      </c>
      <c r="AV136" s="38">
        <f>AW136+AX136</f>
        <v>0</v>
      </c>
      <c r="AW136" s="38">
        <f>G136*AO136</f>
        <v>0</v>
      </c>
      <c r="AX136" s="38">
        <f>G136*AP136</f>
        <v>0</v>
      </c>
      <c r="AY136" s="39" t="s">
        <v>509</v>
      </c>
      <c r="AZ136" s="39" t="s">
        <v>528</v>
      </c>
      <c r="BA136" s="33" t="s">
        <v>531</v>
      </c>
      <c r="BB136" s="33" t="s">
        <v>557</v>
      </c>
      <c r="BC136" s="38">
        <f>AW136+AX136</f>
        <v>0</v>
      </c>
      <c r="BD136" s="38">
        <f>H136/(100-BE136)*100</f>
        <v>0</v>
      </c>
      <c r="BE136" s="38">
        <v>0</v>
      </c>
      <c r="BF136" s="38">
        <f>136</f>
        <v>136</v>
      </c>
      <c r="BH136" s="16">
        <f>G136*AO136</f>
        <v>0</v>
      </c>
      <c r="BI136" s="16">
        <f>G136*AP136</f>
        <v>0</v>
      </c>
      <c r="BJ136" s="16">
        <f>G136*H136</f>
        <v>0</v>
      </c>
    </row>
    <row r="137" spans="1:62" ht="12.75">
      <c r="A137" s="4" t="s">
        <v>106</v>
      </c>
      <c r="B137" s="4" t="s">
        <v>240</v>
      </c>
      <c r="C137" s="203" t="s">
        <v>401</v>
      </c>
      <c r="D137" s="204"/>
      <c r="E137" s="204"/>
      <c r="F137" s="4" t="s">
        <v>449</v>
      </c>
      <c r="G137" s="16">
        <v>9</v>
      </c>
      <c r="H137" s="22">
        <v>0</v>
      </c>
      <c r="I137" s="16">
        <f>G137*AO137</f>
        <v>0</v>
      </c>
      <c r="J137" s="16">
        <f>G137*AP137</f>
        <v>0</v>
      </c>
      <c r="K137" s="16">
        <f>G137*H137</f>
        <v>0</v>
      </c>
      <c r="L137" s="32" t="s">
        <v>473</v>
      </c>
      <c r="Z137" s="38">
        <f>IF(AQ137="5",BJ137,0)</f>
        <v>0</v>
      </c>
      <c r="AB137" s="38">
        <f>IF(AQ137="1",BH137,0)</f>
        <v>0</v>
      </c>
      <c r="AC137" s="38">
        <f>IF(AQ137="1",BI137,0)</f>
        <v>0</v>
      </c>
      <c r="AD137" s="38">
        <f>IF(AQ137="7",BH137,0)</f>
        <v>0</v>
      </c>
      <c r="AE137" s="38">
        <f>IF(AQ137="7",BI137,0)</f>
        <v>0</v>
      </c>
      <c r="AF137" s="38">
        <f>IF(AQ137="2",BH137,0)</f>
        <v>0</v>
      </c>
      <c r="AG137" s="38">
        <f>IF(AQ137="2",BI137,0)</f>
        <v>0</v>
      </c>
      <c r="AH137" s="38">
        <f>IF(AQ137="0",BJ137,0)</f>
        <v>0</v>
      </c>
      <c r="AI137" s="33"/>
      <c r="AJ137" s="16">
        <f>IF(AN137=0,K137,0)</f>
        <v>0</v>
      </c>
      <c r="AK137" s="16">
        <f>IF(AN137=15,K137,0)</f>
        <v>0</v>
      </c>
      <c r="AL137" s="16">
        <f>IF(AN137=21,K137,0)</f>
        <v>0</v>
      </c>
      <c r="AN137" s="38">
        <v>21</v>
      </c>
      <c r="AO137" s="38">
        <f>H137*0.00420633163604162</f>
        <v>0</v>
      </c>
      <c r="AP137" s="38">
        <f>H137*(1-0.00420633163604162)</f>
        <v>0</v>
      </c>
      <c r="AQ137" s="32" t="s">
        <v>7</v>
      </c>
      <c r="AV137" s="38">
        <f>AW137+AX137</f>
        <v>0</v>
      </c>
      <c r="AW137" s="38">
        <f>G137*AO137</f>
        <v>0</v>
      </c>
      <c r="AX137" s="38">
        <f>G137*AP137</f>
        <v>0</v>
      </c>
      <c r="AY137" s="39" t="s">
        <v>509</v>
      </c>
      <c r="AZ137" s="39" t="s">
        <v>528</v>
      </c>
      <c r="BA137" s="33" t="s">
        <v>531</v>
      </c>
      <c r="BB137" s="33" t="s">
        <v>557</v>
      </c>
      <c r="BC137" s="38">
        <f>AW137+AX137</f>
        <v>0</v>
      </c>
      <c r="BD137" s="38">
        <f>H137/(100-BE137)*100</f>
        <v>0</v>
      </c>
      <c r="BE137" s="38">
        <v>0</v>
      </c>
      <c r="BF137" s="38">
        <f>137</f>
        <v>137</v>
      </c>
      <c r="BH137" s="16">
        <f>G137*AO137</f>
        <v>0</v>
      </c>
      <c r="BI137" s="16">
        <f>G137*AP137</f>
        <v>0</v>
      </c>
      <c r="BJ137" s="16">
        <f>G137*H137</f>
        <v>0</v>
      </c>
    </row>
    <row r="138" spans="1:47" ht="12.75">
      <c r="A138" s="5"/>
      <c r="B138" s="13" t="s">
        <v>95</v>
      </c>
      <c r="C138" s="205" t="s">
        <v>402</v>
      </c>
      <c r="D138" s="206"/>
      <c r="E138" s="206"/>
      <c r="F138" s="5" t="s">
        <v>6</v>
      </c>
      <c r="G138" s="5" t="s">
        <v>6</v>
      </c>
      <c r="H138" s="23" t="s">
        <v>6</v>
      </c>
      <c r="I138" s="41">
        <f>SUM(I139:I139)</f>
        <v>0</v>
      </c>
      <c r="J138" s="41">
        <f>SUM(J139:J139)</f>
        <v>0</v>
      </c>
      <c r="K138" s="41">
        <f>SUM(K139:K139)</f>
        <v>0</v>
      </c>
      <c r="L138" s="33"/>
      <c r="AI138" s="33"/>
      <c r="AS138" s="41">
        <f>SUM(AJ139:AJ139)</f>
        <v>0</v>
      </c>
      <c r="AT138" s="41">
        <f>SUM(AK139:AK139)</f>
        <v>0</v>
      </c>
      <c r="AU138" s="41">
        <f>SUM(AL139:AL139)</f>
        <v>0</v>
      </c>
    </row>
    <row r="139" spans="1:62" ht="12.75">
      <c r="A139" s="4" t="s">
        <v>107</v>
      </c>
      <c r="B139" s="4" t="s">
        <v>241</v>
      </c>
      <c r="C139" s="203" t="s">
        <v>403</v>
      </c>
      <c r="D139" s="204"/>
      <c r="E139" s="204"/>
      <c r="F139" s="4" t="s">
        <v>448</v>
      </c>
      <c r="G139" s="16">
        <v>1</v>
      </c>
      <c r="H139" s="22">
        <v>0</v>
      </c>
      <c r="I139" s="16">
        <f>G139*AO139</f>
        <v>0</v>
      </c>
      <c r="J139" s="16">
        <f>G139*AP139</f>
        <v>0</v>
      </c>
      <c r="K139" s="16">
        <f>G139*H139</f>
        <v>0</v>
      </c>
      <c r="L139" s="32" t="s">
        <v>473</v>
      </c>
      <c r="Z139" s="38">
        <f>IF(AQ139="5",BJ139,0)</f>
        <v>0</v>
      </c>
      <c r="AB139" s="38">
        <f>IF(AQ139="1",BH139,0)</f>
        <v>0</v>
      </c>
      <c r="AC139" s="38">
        <f>IF(AQ139="1",BI139,0)</f>
        <v>0</v>
      </c>
      <c r="AD139" s="38">
        <f>IF(AQ139="7",BH139,0)</f>
        <v>0</v>
      </c>
      <c r="AE139" s="38">
        <f>IF(AQ139="7",BI139,0)</f>
        <v>0</v>
      </c>
      <c r="AF139" s="38">
        <f>IF(AQ139="2",BH139,0)</f>
        <v>0</v>
      </c>
      <c r="AG139" s="38">
        <f>IF(AQ139="2",BI139,0)</f>
        <v>0</v>
      </c>
      <c r="AH139" s="38">
        <f>IF(AQ139="0",BJ139,0)</f>
        <v>0</v>
      </c>
      <c r="AI139" s="33"/>
      <c r="AJ139" s="16">
        <f>IF(AN139=0,K139,0)</f>
        <v>0</v>
      </c>
      <c r="AK139" s="16">
        <f>IF(AN139=15,K139,0)</f>
        <v>0</v>
      </c>
      <c r="AL139" s="16">
        <f>IF(AN139=21,K139,0)</f>
        <v>0</v>
      </c>
      <c r="AN139" s="38">
        <v>21</v>
      </c>
      <c r="AO139" s="38">
        <f>H139*0.46972320731528</f>
        <v>0</v>
      </c>
      <c r="AP139" s="38">
        <f>H139*(1-0.46972320731528)</f>
        <v>0</v>
      </c>
      <c r="AQ139" s="32" t="s">
        <v>7</v>
      </c>
      <c r="AV139" s="38">
        <f>AW139+AX139</f>
        <v>0</v>
      </c>
      <c r="AW139" s="38">
        <f>G139*AO139</f>
        <v>0</v>
      </c>
      <c r="AX139" s="38">
        <f>G139*AP139</f>
        <v>0</v>
      </c>
      <c r="AY139" s="39" t="s">
        <v>510</v>
      </c>
      <c r="AZ139" s="39" t="s">
        <v>528</v>
      </c>
      <c r="BA139" s="33" t="s">
        <v>531</v>
      </c>
      <c r="BB139" s="33" t="s">
        <v>558</v>
      </c>
      <c r="BC139" s="38">
        <f>AW139+AX139</f>
        <v>0</v>
      </c>
      <c r="BD139" s="38">
        <f>H139/(100-BE139)*100</f>
        <v>0</v>
      </c>
      <c r="BE139" s="38">
        <v>0</v>
      </c>
      <c r="BF139" s="38">
        <f>139</f>
        <v>139</v>
      </c>
      <c r="BH139" s="16">
        <f>G139*AO139</f>
        <v>0</v>
      </c>
      <c r="BI139" s="16">
        <f>G139*AP139</f>
        <v>0</v>
      </c>
      <c r="BJ139" s="16">
        <f>G139*H139</f>
        <v>0</v>
      </c>
    </row>
    <row r="140" spans="1:47" ht="12.75">
      <c r="A140" s="5"/>
      <c r="B140" s="13" t="s">
        <v>97</v>
      </c>
      <c r="C140" s="205" t="s">
        <v>404</v>
      </c>
      <c r="D140" s="206"/>
      <c r="E140" s="206"/>
      <c r="F140" s="5" t="s">
        <v>6</v>
      </c>
      <c r="G140" s="5" t="s">
        <v>6</v>
      </c>
      <c r="H140" s="23" t="s">
        <v>6</v>
      </c>
      <c r="I140" s="41">
        <f>SUM(I141:I143)</f>
        <v>0</v>
      </c>
      <c r="J140" s="41">
        <f>SUM(J141:J143)</f>
        <v>0</v>
      </c>
      <c r="K140" s="41">
        <f>SUM(K141:K143)</f>
        <v>0</v>
      </c>
      <c r="L140" s="33"/>
      <c r="AI140" s="33"/>
      <c r="AS140" s="41">
        <f>SUM(AJ141:AJ143)</f>
        <v>0</v>
      </c>
      <c r="AT140" s="41">
        <f>SUM(AK141:AK143)</f>
        <v>0</v>
      </c>
      <c r="AU140" s="41">
        <f>SUM(AL141:AL143)</f>
        <v>0</v>
      </c>
    </row>
    <row r="141" spans="1:62" ht="12.75">
      <c r="A141" s="4" t="s">
        <v>108</v>
      </c>
      <c r="B141" s="4" t="s">
        <v>242</v>
      </c>
      <c r="C141" s="203" t="s">
        <v>405</v>
      </c>
      <c r="D141" s="204"/>
      <c r="E141" s="204"/>
      <c r="F141" s="4" t="s">
        <v>449</v>
      </c>
      <c r="G141" s="16">
        <v>14</v>
      </c>
      <c r="H141" s="22">
        <v>0</v>
      </c>
      <c r="I141" s="16">
        <f>G141*AO141</f>
        <v>0</v>
      </c>
      <c r="J141" s="16">
        <f>G141*AP141</f>
        <v>0</v>
      </c>
      <c r="K141" s="16">
        <f>G141*H141</f>
        <v>0</v>
      </c>
      <c r="L141" s="32" t="s">
        <v>473</v>
      </c>
      <c r="Z141" s="38">
        <f>IF(AQ141="5",BJ141,0)</f>
        <v>0</v>
      </c>
      <c r="AB141" s="38">
        <f>IF(AQ141="1",BH141,0)</f>
        <v>0</v>
      </c>
      <c r="AC141" s="38">
        <f>IF(AQ141="1",BI141,0)</f>
        <v>0</v>
      </c>
      <c r="AD141" s="38">
        <f>IF(AQ141="7",BH141,0)</f>
        <v>0</v>
      </c>
      <c r="AE141" s="38">
        <f>IF(AQ141="7",BI141,0)</f>
        <v>0</v>
      </c>
      <c r="AF141" s="38">
        <f>IF(AQ141="2",BH141,0)</f>
        <v>0</v>
      </c>
      <c r="AG141" s="38">
        <f>IF(AQ141="2",BI141,0)</f>
        <v>0</v>
      </c>
      <c r="AH141" s="38">
        <f>IF(AQ141="0",BJ141,0)</f>
        <v>0</v>
      </c>
      <c r="AI141" s="33"/>
      <c r="AJ141" s="16">
        <f>IF(AN141=0,K141,0)</f>
        <v>0</v>
      </c>
      <c r="AK141" s="16">
        <f>IF(AN141=15,K141,0)</f>
        <v>0</v>
      </c>
      <c r="AL141" s="16">
        <f>IF(AN141=21,K141,0)</f>
        <v>0</v>
      </c>
      <c r="AN141" s="38">
        <v>21</v>
      </c>
      <c r="AO141" s="38">
        <f>H141*0.726404223227753</f>
        <v>0</v>
      </c>
      <c r="AP141" s="38">
        <f>H141*(1-0.726404223227753)</f>
        <v>0</v>
      </c>
      <c r="AQ141" s="32" t="s">
        <v>7</v>
      </c>
      <c r="AV141" s="38">
        <f>AW141+AX141</f>
        <v>0</v>
      </c>
      <c r="AW141" s="38">
        <f>G141*AO141</f>
        <v>0</v>
      </c>
      <c r="AX141" s="38">
        <f>G141*AP141</f>
        <v>0</v>
      </c>
      <c r="AY141" s="39" t="s">
        <v>511</v>
      </c>
      <c r="AZ141" s="39" t="s">
        <v>529</v>
      </c>
      <c r="BA141" s="33" t="s">
        <v>531</v>
      </c>
      <c r="BB141" s="33" t="s">
        <v>559</v>
      </c>
      <c r="BC141" s="38">
        <f>AW141+AX141</f>
        <v>0</v>
      </c>
      <c r="BD141" s="38">
        <f>H141/(100-BE141)*100</f>
        <v>0</v>
      </c>
      <c r="BE141" s="38">
        <v>0</v>
      </c>
      <c r="BF141" s="38">
        <f>141</f>
        <v>141</v>
      </c>
      <c r="BH141" s="16">
        <f>G141*AO141</f>
        <v>0</v>
      </c>
      <c r="BI141" s="16">
        <f>G141*AP141</f>
        <v>0</v>
      </c>
      <c r="BJ141" s="16">
        <f>G141*H141</f>
        <v>0</v>
      </c>
    </row>
    <row r="142" spans="1:62" ht="12.75">
      <c r="A142" s="4" t="s">
        <v>109</v>
      </c>
      <c r="B142" s="4" t="s">
        <v>243</v>
      </c>
      <c r="C142" s="203" t="s">
        <v>406</v>
      </c>
      <c r="D142" s="204"/>
      <c r="E142" s="204"/>
      <c r="F142" s="4" t="s">
        <v>449</v>
      </c>
      <c r="G142" s="16">
        <v>31.5</v>
      </c>
      <c r="H142" s="22">
        <v>0</v>
      </c>
      <c r="I142" s="16">
        <f>G142*AO142</f>
        <v>0</v>
      </c>
      <c r="J142" s="16">
        <f>G142*AP142</f>
        <v>0</v>
      </c>
      <c r="K142" s="16">
        <f>G142*H142</f>
        <v>0</v>
      </c>
      <c r="L142" s="32" t="s">
        <v>473</v>
      </c>
      <c r="Z142" s="38">
        <f>IF(AQ142="5",BJ142,0)</f>
        <v>0</v>
      </c>
      <c r="AB142" s="38">
        <f>IF(AQ142="1",BH142,0)</f>
        <v>0</v>
      </c>
      <c r="AC142" s="38">
        <f>IF(AQ142="1",BI142,0)</f>
        <v>0</v>
      </c>
      <c r="AD142" s="38">
        <f>IF(AQ142="7",BH142,0)</f>
        <v>0</v>
      </c>
      <c r="AE142" s="38">
        <f>IF(AQ142="7",BI142,0)</f>
        <v>0</v>
      </c>
      <c r="AF142" s="38">
        <f>IF(AQ142="2",BH142,0)</f>
        <v>0</v>
      </c>
      <c r="AG142" s="38">
        <f>IF(AQ142="2",BI142,0)</f>
        <v>0</v>
      </c>
      <c r="AH142" s="38">
        <f>IF(AQ142="0",BJ142,0)</f>
        <v>0</v>
      </c>
      <c r="AI142" s="33"/>
      <c r="AJ142" s="16">
        <f>IF(AN142=0,K142,0)</f>
        <v>0</v>
      </c>
      <c r="AK142" s="16">
        <f>IF(AN142=15,K142,0)</f>
        <v>0</v>
      </c>
      <c r="AL142" s="16">
        <f>IF(AN142=21,K142,0)</f>
        <v>0</v>
      </c>
      <c r="AN142" s="38">
        <v>21</v>
      </c>
      <c r="AO142" s="38">
        <f>H142*0.752567567567567</f>
        <v>0</v>
      </c>
      <c r="AP142" s="38">
        <f>H142*(1-0.752567567567567)</f>
        <v>0</v>
      </c>
      <c r="AQ142" s="32" t="s">
        <v>7</v>
      </c>
      <c r="AV142" s="38">
        <f>AW142+AX142</f>
        <v>0</v>
      </c>
      <c r="AW142" s="38">
        <f>G142*AO142</f>
        <v>0</v>
      </c>
      <c r="AX142" s="38">
        <f>G142*AP142</f>
        <v>0</v>
      </c>
      <c r="AY142" s="39" t="s">
        <v>511</v>
      </c>
      <c r="AZ142" s="39" t="s">
        <v>529</v>
      </c>
      <c r="BA142" s="33" t="s">
        <v>531</v>
      </c>
      <c r="BB142" s="33" t="s">
        <v>559</v>
      </c>
      <c r="BC142" s="38">
        <f>AW142+AX142</f>
        <v>0</v>
      </c>
      <c r="BD142" s="38">
        <f>H142/(100-BE142)*100</f>
        <v>0</v>
      </c>
      <c r="BE142" s="38">
        <v>0</v>
      </c>
      <c r="BF142" s="38">
        <f>142</f>
        <v>142</v>
      </c>
      <c r="BH142" s="16">
        <f>G142*AO142</f>
        <v>0</v>
      </c>
      <c r="BI142" s="16">
        <f>G142*AP142</f>
        <v>0</v>
      </c>
      <c r="BJ142" s="16">
        <f>G142*H142</f>
        <v>0</v>
      </c>
    </row>
    <row r="143" spans="1:62" ht="12.75">
      <c r="A143" s="4" t="s">
        <v>110</v>
      </c>
      <c r="B143" s="4" t="s">
        <v>244</v>
      </c>
      <c r="C143" s="203" t="s">
        <v>407</v>
      </c>
      <c r="D143" s="204"/>
      <c r="E143" s="204"/>
      <c r="F143" s="4" t="s">
        <v>452</v>
      </c>
      <c r="G143" s="16">
        <v>7.85</v>
      </c>
      <c r="H143" s="22">
        <v>0</v>
      </c>
      <c r="I143" s="16">
        <f>G143*AO143</f>
        <v>0</v>
      </c>
      <c r="J143" s="16">
        <f>G143*AP143</f>
        <v>0</v>
      </c>
      <c r="K143" s="16">
        <f>G143*H143</f>
        <v>0</v>
      </c>
      <c r="L143" s="32" t="s">
        <v>473</v>
      </c>
      <c r="Z143" s="38">
        <f>IF(AQ143="5",BJ143,0)</f>
        <v>0</v>
      </c>
      <c r="AB143" s="38">
        <f>IF(AQ143="1",BH143,0)</f>
        <v>0</v>
      </c>
      <c r="AC143" s="38">
        <f>IF(AQ143="1",BI143,0)</f>
        <v>0</v>
      </c>
      <c r="AD143" s="38">
        <f>IF(AQ143="7",BH143,0)</f>
        <v>0</v>
      </c>
      <c r="AE143" s="38">
        <f>IF(AQ143="7",BI143,0)</f>
        <v>0</v>
      </c>
      <c r="AF143" s="38">
        <f>IF(AQ143="2",BH143,0)</f>
        <v>0</v>
      </c>
      <c r="AG143" s="38">
        <f>IF(AQ143="2",BI143,0)</f>
        <v>0</v>
      </c>
      <c r="AH143" s="38">
        <f>IF(AQ143="0",BJ143,0)</f>
        <v>0</v>
      </c>
      <c r="AI143" s="33"/>
      <c r="AJ143" s="16">
        <f>IF(AN143=0,K143,0)</f>
        <v>0</v>
      </c>
      <c r="AK143" s="16">
        <f>IF(AN143=15,K143,0)</f>
        <v>0</v>
      </c>
      <c r="AL143" s="16">
        <f>IF(AN143=21,K143,0)</f>
        <v>0</v>
      </c>
      <c r="AN143" s="38">
        <v>21</v>
      </c>
      <c r="AO143" s="38">
        <f>H143*0.780343362831858</f>
        <v>0</v>
      </c>
      <c r="AP143" s="38">
        <f>H143*(1-0.780343362831858)</f>
        <v>0</v>
      </c>
      <c r="AQ143" s="32" t="s">
        <v>7</v>
      </c>
      <c r="AV143" s="38">
        <f>AW143+AX143</f>
        <v>0</v>
      </c>
      <c r="AW143" s="38">
        <f>G143*AO143</f>
        <v>0</v>
      </c>
      <c r="AX143" s="38">
        <f>G143*AP143</f>
        <v>0</v>
      </c>
      <c r="AY143" s="39" t="s">
        <v>511</v>
      </c>
      <c r="AZ143" s="39" t="s">
        <v>529</v>
      </c>
      <c r="BA143" s="33" t="s">
        <v>531</v>
      </c>
      <c r="BB143" s="33" t="s">
        <v>559</v>
      </c>
      <c r="BC143" s="38">
        <f>AW143+AX143</f>
        <v>0</v>
      </c>
      <c r="BD143" s="38">
        <f>H143/(100-BE143)*100</f>
        <v>0</v>
      </c>
      <c r="BE143" s="38">
        <v>0</v>
      </c>
      <c r="BF143" s="38">
        <f>143</f>
        <v>143</v>
      </c>
      <c r="BH143" s="16">
        <f>G143*AO143</f>
        <v>0</v>
      </c>
      <c r="BI143" s="16">
        <f>G143*AP143</f>
        <v>0</v>
      </c>
      <c r="BJ143" s="16">
        <f>G143*H143</f>
        <v>0</v>
      </c>
    </row>
    <row r="144" spans="1:47" ht="12.75">
      <c r="A144" s="5"/>
      <c r="B144" s="13" t="s">
        <v>99</v>
      </c>
      <c r="C144" s="205" t="s">
        <v>408</v>
      </c>
      <c r="D144" s="206"/>
      <c r="E144" s="206"/>
      <c r="F144" s="5" t="s">
        <v>6</v>
      </c>
      <c r="G144" s="5" t="s">
        <v>6</v>
      </c>
      <c r="H144" s="23" t="s">
        <v>6</v>
      </c>
      <c r="I144" s="41">
        <f>SUM(I145:I149)</f>
        <v>0</v>
      </c>
      <c r="J144" s="41">
        <f>SUM(J145:J149)</f>
        <v>0</v>
      </c>
      <c r="K144" s="41">
        <f>SUM(K145:K149)</f>
        <v>0</v>
      </c>
      <c r="L144" s="33"/>
      <c r="AI144" s="33"/>
      <c r="AS144" s="41">
        <f>SUM(AJ145:AJ149)</f>
        <v>0</v>
      </c>
      <c r="AT144" s="41">
        <f>SUM(AK145:AK149)</f>
        <v>0</v>
      </c>
      <c r="AU144" s="41">
        <f>SUM(AL145:AL149)</f>
        <v>0</v>
      </c>
    </row>
    <row r="145" spans="1:62" ht="12.75">
      <c r="A145" s="4" t="s">
        <v>111</v>
      </c>
      <c r="B145" s="4" t="s">
        <v>245</v>
      </c>
      <c r="C145" s="203" t="s">
        <v>409</v>
      </c>
      <c r="D145" s="204"/>
      <c r="E145" s="204"/>
      <c r="F145" s="4" t="s">
        <v>449</v>
      </c>
      <c r="G145" s="16">
        <v>26</v>
      </c>
      <c r="H145" s="22">
        <v>0</v>
      </c>
      <c r="I145" s="16">
        <f>G145*AO145</f>
        <v>0</v>
      </c>
      <c r="J145" s="16">
        <f>G145*AP145</f>
        <v>0</v>
      </c>
      <c r="K145" s="16">
        <f>G145*H145</f>
        <v>0</v>
      </c>
      <c r="L145" s="32" t="s">
        <v>473</v>
      </c>
      <c r="Z145" s="38">
        <f>IF(AQ145="5",BJ145,0)</f>
        <v>0</v>
      </c>
      <c r="AB145" s="38">
        <f>IF(AQ145="1",BH145,0)</f>
        <v>0</v>
      </c>
      <c r="AC145" s="38">
        <f>IF(AQ145="1",BI145,0)</f>
        <v>0</v>
      </c>
      <c r="AD145" s="38">
        <f>IF(AQ145="7",BH145,0)</f>
        <v>0</v>
      </c>
      <c r="AE145" s="38">
        <f>IF(AQ145="7",BI145,0)</f>
        <v>0</v>
      </c>
      <c r="AF145" s="38">
        <f>IF(AQ145="2",BH145,0)</f>
        <v>0</v>
      </c>
      <c r="AG145" s="38">
        <f>IF(AQ145="2",BI145,0)</f>
        <v>0</v>
      </c>
      <c r="AH145" s="38">
        <f>IF(AQ145="0",BJ145,0)</f>
        <v>0</v>
      </c>
      <c r="AI145" s="33"/>
      <c r="AJ145" s="16">
        <f>IF(AN145=0,K145,0)</f>
        <v>0</v>
      </c>
      <c r="AK145" s="16">
        <f>IF(AN145=15,K145,0)</f>
        <v>0</v>
      </c>
      <c r="AL145" s="16">
        <f>IF(AN145=21,K145,0)</f>
        <v>0</v>
      </c>
      <c r="AN145" s="38">
        <v>21</v>
      </c>
      <c r="AO145" s="38">
        <f>H145*0.621530896884308</f>
        <v>0</v>
      </c>
      <c r="AP145" s="38">
        <f>H145*(1-0.621530896884308)</f>
        <v>0</v>
      </c>
      <c r="AQ145" s="32" t="s">
        <v>7</v>
      </c>
      <c r="AV145" s="38">
        <f>AW145+AX145</f>
        <v>0</v>
      </c>
      <c r="AW145" s="38">
        <f>G145*AO145</f>
        <v>0</v>
      </c>
      <c r="AX145" s="38">
        <f>G145*AP145</f>
        <v>0</v>
      </c>
      <c r="AY145" s="39" t="s">
        <v>512</v>
      </c>
      <c r="AZ145" s="39" t="s">
        <v>529</v>
      </c>
      <c r="BA145" s="33" t="s">
        <v>531</v>
      </c>
      <c r="BB145" s="33" t="s">
        <v>560</v>
      </c>
      <c r="BC145" s="38">
        <f>AW145+AX145</f>
        <v>0</v>
      </c>
      <c r="BD145" s="38">
        <f>H145/(100-BE145)*100</f>
        <v>0</v>
      </c>
      <c r="BE145" s="38">
        <v>0</v>
      </c>
      <c r="BF145" s="38">
        <f>145</f>
        <v>145</v>
      </c>
      <c r="BH145" s="16">
        <f>G145*AO145</f>
        <v>0</v>
      </c>
      <c r="BI145" s="16">
        <f>G145*AP145</f>
        <v>0</v>
      </c>
      <c r="BJ145" s="16">
        <f>G145*H145</f>
        <v>0</v>
      </c>
    </row>
    <row r="146" spans="1:62" ht="12.75">
      <c r="A146" s="4" t="s">
        <v>112</v>
      </c>
      <c r="B146" s="4" t="s">
        <v>246</v>
      </c>
      <c r="C146" s="203" t="s">
        <v>410</v>
      </c>
      <c r="D146" s="204"/>
      <c r="E146" s="204"/>
      <c r="F146" s="4" t="s">
        <v>447</v>
      </c>
      <c r="G146" s="16">
        <v>39</v>
      </c>
      <c r="H146" s="22">
        <v>0</v>
      </c>
      <c r="I146" s="16">
        <f>G146*AO146</f>
        <v>0</v>
      </c>
      <c r="J146" s="16">
        <f>G146*AP146</f>
        <v>0</v>
      </c>
      <c r="K146" s="16">
        <f>G146*H146</f>
        <v>0</v>
      </c>
      <c r="L146" s="32" t="s">
        <v>473</v>
      </c>
      <c r="Z146" s="38">
        <f>IF(AQ146="5",BJ146,0)</f>
        <v>0</v>
      </c>
      <c r="AB146" s="38">
        <f>IF(AQ146="1",BH146,0)</f>
        <v>0</v>
      </c>
      <c r="AC146" s="38">
        <f>IF(AQ146="1",BI146,0)</f>
        <v>0</v>
      </c>
      <c r="AD146" s="38">
        <f>IF(AQ146="7",BH146,0)</f>
        <v>0</v>
      </c>
      <c r="AE146" s="38">
        <f>IF(AQ146="7",BI146,0)</f>
        <v>0</v>
      </c>
      <c r="AF146" s="38">
        <f>IF(AQ146="2",BH146,0)</f>
        <v>0</v>
      </c>
      <c r="AG146" s="38">
        <f>IF(AQ146="2",BI146,0)</f>
        <v>0</v>
      </c>
      <c r="AH146" s="38">
        <f>IF(AQ146="0",BJ146,0)</f>
        <v>0</v>
      </c>
      <c r="AI146" s="33"/>
      <c r="AJ146" s="16">
        <f>IF(AN146=0,K146,0)</f>
        <v>0</v>
      </c>
      <c r="AK146" s="16">
        <f>IF(AN146=15,K146,0)</f>
        <v>0</v>
      </c>
      <c r="AL146" s="16">
        <f>IF(AN146=21,K146,0)</f>
        <v>0</v>
      </c>
      <c r="AN146" s="38">
        <v>21</v>
      </c>
      <c r="AO146" s="38">
        <f>H146*0.912244897959184</f>
        <v>0</v>
      </c>
      <c r="AP146" s="38">
        <f>H146*(1-0.912244897959184)</f>
        <v>0</v>
      </c>
      <c r="AQ146" s="32" t="s">
        <v>7</v>
      </c>
      <c r="AV146" s="38">
        <f>AW146+AX146</f>
        <v>0</v>
      </c>
      <c r="AW146" s="38">
        <f>G146*AO146</f>
        <v>0</v>
      </c>
      <c r="AX146" s="38">
        <f>G146*AP146</f>
        <v>0</v>
      </c>
      <c r="AY146" s="39" t="s">
        <v>512</v>
      </c>
      <c r="AZ146" s="39" t="s">
        <v>529</v>
      </c>
      <c r="BA146" s="33" t="s">
        <v>531</v>
      </c>
      <c r="BB146" s="33" t="s">
        <v>560</v>
      </c>
      <c r="BC146" s="38">
        <f>AW146+AX146</f>
        <v>0</v>
      </c>
      <c r="BD146" s="38">
        <f>H146/(100-BE146)*100</f>
        <v>0</v>
      </c>
      <c r="BE146" s="38">
        <v>0</v>
      </c>
      <c r="BF146" s="38">
        <f>146</f>
        <v>146</v>
      </c>
      <c r="BH146" s="16">
        <f>G146*AO146</f>
        <v>0</v>
      </c>
      <c r="BI146" s="16">
        <f>G146*AP146</f>
        <v>0</v>
      </c>
      <c r="BJ146" s="16">
        <f>G146*H146</f>
        <v>0</v>
      </c>
    </row>
    <row r="147" spans="1:62" ht="12.75">
      <c r="A147" s="4" t="s">
        <v>113</v>
      </c>
      <c r="B147" s="4" t="s">
        <v>247</v>
      </c>
      <c r="C147" s="203" t="s">
        <v>411</v>
      </c>
      <c r="D147" s="204"/>
      <c r="E147" s="204"/>
      <c r="F147" s="4" t="s">
        <v>449</v>
      </c>
      <c r="G147" s="16">
        <v>16</v>
      </c>
      <c r="H147" s="22">
        <v>0</v>
      </c>
      <c r="I147" s="16">
        <f>G147*AO147</f>
        <v>0</v>
      </c>
      <c r="J147" s="16">
        <f>G147*AP147</f>
        <v>0</v>
      </c>
      <c r="K147" s="16">
        <f>G147*H147</f>
        <v>0</v>
      </c>
      <c r="L147" s="32" t="s">
        <v>473</v>
      </c>
      <c r="Z147" s="38">
        <f>IF(AQ147="5",BJ147,0)</f>
        <v>0</v>
      </c>
      <c r="AB147" s="38">
        <f>IF(AQ147="1",BH147,0)</f>
        <v>0</v>
      </c>
      <c r="AC147" s="38">
        <f>IF(AQ147="1",BI147,0)</f>
        <v>0</v>
      </c>
      <c r="AD147" s="38">
        <f>IF(AQ147="7",BH147,0)</f>
        <v>0</v>
      </c>
      <c r="AE147" s="38">
        <f>IF(AQ147="7",BI147,0)</f>
        <v>0</v>
      </c>
      <c r="AF147" s="38">
        <f>IF(AQ147="2",BH147,0)</f>
        <v>0</v>
      </c>
      <c r="AG147" s="38">
        <f>IF(AQ147="2",BI147,0)</f>
        <v>0</v>
      </c>
      <c r="AH147" s="38">
        <f>IF(AQ147="0",BJ147,0)</f>
        <v>0</v>
      </c>
      <c r="AI147" s="33"/>
      <c r="AJ147" s="16">
        <f>IF(AN147=0,K147,0)</f>
        <v>0</v>
      </c>
      <c r="AK147" s="16">
        <f>IF(AN147=15,K147,0)</f>
        <v>0</v>
      </c>
      <c r="AL147" s="16">
        <f>IF(AN147=21,K147,0)</f>
        <v>0</v>
      </c>
      <c r="AN147" s="38">
        <v>21</v>
      </c>
      <c r="AO147" s="38">
        <f>H147*0</f>
        <v>0</v>
      </c>
      <c r="AP147" s="38">
        <f>H147*(1-0)</f>
        <v>0</v>
      </c>
      <c r="AQ147" s="32" t="s">
        <v>7</v>
      </c>
      <c r="AV147" s="38">
        <f>AW147+AX147</f>
        <v>0</v>
      </c>
      <c r="AW147" s="38">
        <f>G147*AO147</f>
        <v>0</v>
      </c>
      <c r="AX147" s="38">
        <f>G147*AP147</f>
        <v>0</v>
      </c>
      <c r="AY147" s="39" t="s">
        <v>512</v>
      </c>
      <c r="AZ147" s="39" t="s">
        <v>529</v>
      </c>
      <c r="BA147" s="33" t="s">
        <v>531</v>
      </c>
      <c r="BB147" s="33" t="s">
        <v>560</v>
      </c>
      <c r="BC147" s="38">
        <f>AW147+AX147</f>
        <v>0</v>
      </c>
      <c r="BD147" s="38">
        <f>H147/(100-BE147)*100</f>
        <v>0</v>
      </c>
      <c r="BE147" s="38">
        <v>0</v>
      </c>
      <c r="BF147" s="38">
        <f>147</f>
        <v>147</v>
      </c>
      <c r="BH147" s="16">
        <f>G147*AO147</f>
        <v>0</v>
      </c>
      <c r="BI147" s="16">
        <f>G147*AP147</f>
        <v>0</v>
      </c>
      <c r="BJ147" s="16">
        <f>G147*H147</f>
        <v>0</v>
      </c>
    </row>
    <row r="148" spans="1:62" ht="12.75">
      <c r="A148" s="4" t="s">
        <v>114</v>
      </c>
      <c r="B148" s="4" t="s">
        <v>248</v>
      </c>
      <c r="C148" s="203" t="s">
        <v>412</v>
      </c>
      <c r="D148" s="204"/>
      <c r="E148" s="204"/>
      <c r="F148" s="4" t="s">
        <v>447</v>
      </c>
      <c r="G148" s="16">
        <v>16</v>
      </c>
      <c r="H148" s="22">
        <v>0</v>
      </c>
      <c r="I148" s="16">
        <f>G148*AO148</f>
        <v>0</v>
      </c>
      <c r="J148" s="16">
        <f>G148*AP148</f>
        <v>0</v>
      </c>
      <c r="K148" s="16">
        <f>G148*H148</f>
        <v>0</v>
      </c>
      <c r="L148" s="32" t="s">
        <v>473</v>
      </c>
      <c r="Z148" s="38">
        <f>IF(AQ148="5",BJ148,0)</f>
        <v>0</v>
      </c>
      <c r="AB148" s="38">
        <f>IF(AQ148="1",BH148,0)</f>
        <v>0</v>
      </c>
      <c r="AC148" s="38">
        <f>IF(AQ148="1",BI148,0)</f>
        <v>0</v>
      </c>
      <c r="AD148" s="38">
        <f>IF(AQ148="7",BH148,0)</f>
        <v>0</v>
      </c>
      <c r="AE148" s="38">
        <f>IF(AQ148="7",BI148,0)</f>
        <v>0</v>
      </c>
      <c r="AF148" s="38">
        <f>IF(AQ148="2",BH148,0)</f>
        <v>0</v>
      </c>
      <c r="AG148" s="38">
        <f>IF(AQ148="2",BI148,0)</f>
        <v>0</v>
      </c>
      <c r="AH148" s="38">
        <f>IF(AQ148="0",BJ148,0)</f>
        <v>0</v>
      </c>
      <c r="AI148" s="33"/>
      <c r="AJ148" s="16">
        <f>IF(AN148=0,K148,0)</f>
        <v>0</v>
      </c>
      <c r="AK148" s="16">
        <f>IF(AN148=15,K148,0)</f>
        <v>0</v>
      </c>
      <c r="AL148" s="16">
        <f>IF(AN148=21,K148,0)</f>
        <v>0</v>
      </c>
      <c r="AN148" s="38">
        <v>21</v>
      </c>
      <c r="AO148" s="38">
        <f>H148*0</f>
        <v>0</v>
      </c>
      <c r="AP148" s="38">
        <f>H148*(1-0)</f>
        <v>0</v>
      </c>
      <c r="AQ148" s="32" t="s">
        <v>7</v>
      </c>
      <c r="AV148" s="38">
        <f>AW148+AX148</f>
        <v>0</v>
      </c>
      <c r="AW148" s="38">
        <f>G148*AO148</f>
        <v>0</v>
      </c>
      <c r="AX148" s="38">
        <f>G148*AP148</f>
        <v>0</v>
      </c>
      <c r="AY148" s="39" t="s">
        <v>512</v>
      </c>
      <c r="AZ148" s="39" t="s">
        <v>529</v>
      </c>
      <c r="BA148" s="33" t="s">
        <v>531</v>
      </c>
      <c r="BB148" s="33" t="s">
        <v>560</v>
      </c>
      <c r="BC148" s="38">
        <f>AW148+AX148</f>
        <v>0</v>
      </c>
      <c r="BD148" s="38">
        <f>H148/(100-BE148)*100</f>
        <v>0</v>
      </c>
      <c r="BE148" s="38">
        <v>0</v>
      </c>
      <c r="BF148" s="38">
        <f>148</f>
        <v>148</v>
      </c>
      <c r="BH148" s="16">
        <f>G148*AO148</f>
        <v>0</v>
      </c>
      <c r="BI148" s="16">
        <f>G148*AP148</f>
        <v>0</v>
      </c>
      <c r="BJ148" s="16">
        <f>G148*H148</f>
        <v>0</v>
      </c>
    </row>
    <row r="149" spans="1:62" ht="12.75">
      <c r="A149" s="4" t="s">
        <v>115</v>
      </c>
      <c r="B149" s="4" t="s">
        <v>249</v>
      </c>
      <c r="C149" s="203" t="s">
        <v>413</v>
      </c>
      <c r="D149" s="204"/>
      <c r="E149" s="204"/>
      <c r="F149" s="4" t="s">
        <v>452</v>
      </c>
      <c r="G149" s="16">
        <v>135</v>
      </c>
      <c r="H149" s="22">
        <v>0</v>
      </c>
      <c r="I149" s="16">
        <f>G149*AO149</f>
        <v>0</v>
      </c>
      <c r="J149" s="16">
        <f>G149*AP149</f>
        <v>0</v>
      </c>
      <c r="K149" s="16">
        <f>G149*H149</f>
        <v>0</v>
      </c>
      <c r="L149" s="32" t="s">
        <v>473</v>
      </c>
      <c r="Z149" s="38">
        <f>IF(AQ149="5",BJ149,0)</f>
        <v>0</v>
      </c>
      <c r="AB149" s="38">
        <f>IF(AQ149="1",BH149,0)</f>
        <v>0</v>
      </c>
      <c r="AC149" s="38">
        <f>IF(AQ149="1",BI149,0)</f>
        <v>0</v>
      </c>
      <c r="AD149" s="38">
        <f>IF(AQ149="7",BH149,0)</f>
        <v>0</v>
      </c>
      <c r="AE149" s="38">
        <f>IF(AQ149="7",BI149,0)</f>
        <v>0</v>
      </c>
      <c r="AF149" s="38">
        <f>IF(AQ149="2",BH149,0)</f>
        <v>0</v>
      </c>
      <c r="AG149" s="38">
        <f>IF(AQ149="2",BI149,0)</f>
        <v>0</v>
      </c>
      <c r="AH149" s="38">
        <f>IF(AQ149="0",BJ149,0)</f>
        <v>0</v>
      </c>
      <c r="AI149" s="33"/>
      <c r="AJ149" s="16">
        <f>IF(AN149=0,K149,0)</f>
        <v>0</v>
      </c>
      <c r="AK149" s="16">
        <f>IF(AN149=15,K149,0)</f>
        <v>0</v>
      </c>
      <c r="AL149" s="16">
        <f>IF(AN149=21,K149,0)</f>
        <v>0</v>
      </c>
      <c r="AN149" s="38">
        <v>21</v>
      </c>
      <c r="AO149" s="38">
        <f>H149*0.638320126782884</f>
        <v>0</v>
      </c>
      <c r="AP149" s="38">
        <f>H149*(1-0.638320126782884)</f>
        <v>0</v>
      </c>
      <c r="AQ149" s="32" t="s">
        <v>7</v>
      </c>
      <c r="AV149" s="38">
        <f>AW149+AX149</f>
        <v>0</v>
      </c>
      <c r="AW149" s="38">
        <f>G149*AO149</f>
        <v>0</v>
      </c>
      <c r="AX149" s="38">
        <f>G149*AP149</f>
        <v>0</v>
      </c>
      <c r="AY149" s="39" t="s">
        <v>512</v>
      </c>
      <c r="AZ149" s="39" t="s">
        <v>529</v>
      </c>
      <c r="BA149" s="33" t="s">
        <v>531</v>
      </c>
      <c r="BB149" s="33" t="s">
        <v>560</v>
      </c>
      <c r="BC149" s="38">
        <f>AW149+AX149</f>
        <v>0</v>
      </c>
      <c r="BD149" s="38">
        <f>H149/(100-BE149)*100</f>
        <v>0</v>
      </c>
      <c r="BE149" s="38">
        <v>0</v>
      </c>
      <c r="BF149" s="38">
        <f>149</f>
        <v>149</v>
      </c>
      <c r="BH149" s="16">
        <f>G149*AO149</f>
        <v>0</v>
      </c>
      <c r="BI149" s="16">
        <f>G149*AP149</f>
        <v>0</v>
      </c>
      <c r="BJ149" s="16">
        <f>G149*H149</f>
        <v>0</v>
      </c>
    </row>
    <row r="150" spans="1:47" ht="12.75">
      <c r="A150" s="5"/>
      <c r="B150" s="13" t="s">
        <v>100</v>
      </c>
      <c r="C150" s="205" t="s">
        <v>414</v>
      </c>
      <c r="D150" s="206"/>
      <c r="E150" s="206"/>
      <c r="F150" s="5" t="s">
        <v>6</v>
      </c>
      <c r="G150" s="5" t="s">
        <v>6</v>
      </c>
      <c r="H150" s="23" t="s">
        <v>6</v>
      </c>
      <c r="I150" s="41">
        <f>SUM(I151:I152)</f>
        <v>0</v>
      </c>
      <c r="J150" s="41">
        <f>SUM(J151:J152)</f>
        <v>0</v>
      </c>
      <c r="K150" s="41">
        <f>SUM(K151:K152)</f>
        <v>0</v>
      </c>
      <c r="L150" s="33"/>
      <c r="AI150" s="33"/>
      <c r="AS150" s="41">
        <f>SUM(AJ151:AJ152)</f>
        <v>0</v>
      </c>
      <c r="AT150" s="41">
        <f>SUM(AK151:AK152)</f>
        <v>0</v>
      </c>
      <c r="AU150" s="41">
        <f>SUM(AL151:AL152)</f>
        <v>0</v>
      </c>
    </row>
    <row r="151" spans="1:62" ht="12.75">
      <c r="A151" s="4" t="s">
        <v>116</v>
      </c>
      <c r="B151" s="4" t="s">
        <v>250</v>
      </c>
      <c r="C151" s="203" t="s">
        <v>415</v>
      </c>
      <c r="D151" s="204"/>
      <c r="E151" s="204"/>
      <c r="F151" s="4" t="s">
        <v>449</v>
      </c>
      <c r="G151" s="16">
        <v>8.6</v>
      </c>
      <c r="H151" s="22">
        <v>0</v>
      </c>
      <c r="I151" s="16">
        <f>G151*AO151</f>
        <v>0</v>
      </c>
      <c r="J151" s="16">
        <f>G151*AP151</f>
        <v>0</v>
      </c>
      <c r="K151" s="16">
        <f>G151*H151</f>
        <v>0</v>
      </c>
      <c r="L151" s="32" t="s">
        <v>473</v>
      </c>
      <c r="Z151" s="38">
        <f>IF(AQ151="5",BJ151,0)</f>
        <v>0</v>
      </c>
      <c r="AB151" s="38">
        <f>IF(AQ151="1",BH151,0)</f>
        <v>0</v>
      </c>
      <c r="AC151" s="38">
        <f>IF(AQ151="1",BI151,0)</f>
        <v>0</v>
      </c>
      <c r="AD151" s="38">
        <f>IF(AQ151="7",BH151,0)</f>
        <v>0</v>
      </c>
      <c r="AE151" s="38">
        <f>IF(AQ151="7",BI151,0)</f>
        <v>0</v>
      </c>
      <c r="AF151" s="38">
        <f>IF(AQ151="2",BH151,0)</f>
        <v>0</v>
      </c>
      <c r="AG151" s="38">
        <f>IF(AQ151="2",BI151,0)</f>
        <v>0</v>
      </c>
      <c r="AH151" s="38">
        <f>IF(AQ151="0",BJ151,0)</f>
        <v>0</v>
      </c>
      <c r="AI151" s="33"/>
      <c r="AJ151" s="16">
        <f>IF(AN151=0,K151,0)</f>
        <v>0</v>
      </c>
      <c r="AK151" s="16">
        <f>IF(AN151=15,K151,0)</f>
        <v>0</v>
      </c>
      <c r="AL151" s="16">
        <f>IF(AN151=21,K151,0)</f>
        <v>0</v>
      </c>
      <c r="AN151" s="38">
        <v>21</v>
      </c>
      <c r="AO151" s="38">
        <f>H151*0.0372019597169298</f>
        <v>0</v>
      </c>
      <c r="AP151" s="38">
        <f>H151*(1-0.0372019597169298)</f>
        <v>0</v>
      </c>
      <c r="AQ151" s="32" t="s">
        <v>7</v>
      </c>
      <c r="AV151" s="38">
        <f>AW151+AX151</f>
        <v>0</v>
      </c>
      <c r="AW151" s="38">
        <f>G151*AO151</f>
        <v>0</v>
      </c>
      <c r="AX151" s="38">
        <f>G151*AP151</f>
        <v>0</v>
      </c>
      <c r="AY151" s="39" t="s">
        <v>513</v>
      </c>
      <c r="AZ151" s="39" t="s">
        <v>529</v>
      </c>
      <c r="BA151" s="33" t="s">
        <v>531</v>
      </c>
      <c r="BB151" s="33" t="s">
        <v>561</v>
      </c>
      <c r="BC151" s="38">
        <f>AW151+AX151</f>
        <v>0</v>
      </c>
      <c r="BD151" s="38">
        <f>H151/(100-BE151)*100</f>
        <v>0</v>
      </c>
      <c r="BE151" s="38">
        <v>0</v>
      </c>
      <c r="BF151" s="38">
        <f>151</f>
        <v>151</v>
      </c>
      <c r="BH151" s="16">
        <f>G151*AO151</f>
        <v>0</v>
      </c>
      <c r="BI151" s="16">
        <f>G151*AP151</f>
        <v>0</v>
      </c>
      <c r="BJ151" s="16">
        <f>G151*H151</f>
        <v>0</v>
      </c>
    </row>
    <row r="152" spans="1:62" ht="12.75">
      <c r="A152" s="4" t="s">
        <v>117</v>
      </c>
      <c r="B152" s="4" t="s">
        <v>251</v>
      </c>
      <c r="C152" s="203" t="s">
        <v>416</v>
      </c>
      <c r="D152" s="204"/>
      <c r="E152" s="204"/>
      <c r="F152" s="4" t="s">
        <v>449</v>
      </c>
      <c r="G152" s="16">
        <v>8.6</v>
      </c>
      <c r="H152" s="22">
        <v>0</v>
      </c>
      <c r="I152" s="16">
        <f>G152*AO152</f>
        <v>0</v>
      </c>
      <c r="J152" s="16">
        <f>G152*AP152</f>
        <v>0</v>
      </c>
      <c r="K152" s="16">
        <f>G152*H152</f>
        <v>0</v>
      </c>
      <c r="L152" s="32" t="s">
        <v>473</v>
      </c>
      <c r="Z152" s="38">
        <f>IF(AQ152="5",BJ152,0)</f>
        <v>0</v>
      </c>
      <c r="AB152" s="38">
        <f>IF(AQ152="1",BH152,0)</f>
        <v>0</v>
      </c>
      <c r="AC152" s="38">
        <f>IF(AQ152="1",BI152,0)</f>
        <v>0</v>
      </c>
      <c r="AD152" s="38">
        <f>IF(AQ152="7",BH152,0)</f>
        <v>0</v>
      </c>
      <c r="AE152" s="38">
        <f>IF(AQ152="7",BI152,0)</f>
        <v>0</v>
      </c>
      <c r="AF152" s="38">
        <f>IF(AQ152="2",BH152,0)</f>
        <v>0</v>
      </c>
      <c r="AG152" s="38">
        <f>IF(AQ152="2",BI152,0)</f>
        <v>0</v>
      </c>
      <c r="AH152" s="38">
        <f>IF(AQ152="0",BJ152,0)</f>
        <v>0</v>
      </c>
      <c r="AI152" s="33"/>
      <c r="AJ152" s="16">
        <f>IF(AN152=0,K152,0)</f>
        <v>0</v>
      </c>
      <c r="AK152" s="16">
        <f>IF(AN152=15,K152,0)</f>
        <v>0</v>
      </c>
      <c r="AL152" s="16">
        <f>IF(AN152=21,K152,0)</f>
        <v>0</v>
      </c>
      <c r="AN152" s="38">
        <v>21</v>
      </c>
      <c r="AO152" s="38">
        <f>H152*0</f>
        <v>0</v>
      </c>
      <c r="AP152" s="38">
        <f>H152*(1-0)</f>
        <v>0</v>
      </c>
      <c r="AQ152" s="32" t="s">
        <v>7</v>
      </c>
      <c r="AV152" s="38">
        <f>AW152+AX152</f>
        <v>0</v>
      </c>
      <c r="AW152" s="38">
        <f>G152*AO152</f>
        <v>0</v>
      </c>
      <c r="AX152" s="38">
        <f>G152*AP152</f>
        <v>0</v>
      </c>
      <c r="AY152" s="39" t="s">
        <v>513</v>
      </c>
      <c r="AZ152" s="39" t="s">
        <v>529</v>
      </c>
      <c r="BA152" s="33" t="s">
        <v>531</v>
      </c>
      <c r="BB152" s="33" t="s">
        <v>561</v>
      </c>
      <c r="BC152" s="38">
        <f>AW152+AX152</f>
        <v>0</v>
      </c>
      <c r="BD152" s="38">
        <f>H152/(100-BE152)*100</f>
        <v>0</v>
      </c>
      <c r="BE152" s="38">
        <v>0</v>
      </c>
      <c r="BF152" s="38">
        <f>152</f>
        <v>152</v>
      </c>
      <c r="BH152" s="16">
        <f>G152*AO152</f>
        <v>0</v>
      </c>
      <c r="BI152" s="16">
        <f>G152*AP152</f>
        <v>0</v>
      </c>
      <c r="BJ152" s="16">
        <f>G152*H152</f>
        <v>0</v>
      </c>
    </row>
    <row r="153" spans="1:47" ht="12.75">
      <c r="A153" s="5"/>
      <c r="B153" s="13" t="s">
        <v>102</v>
      </c>
      <c r="C153" s="205" t="s">
        <v>417</v>
      </c>
      <c r="D153" s="206"/>
      <c r="E153" s="206"/>
      <c r="F153" s="5" t="s">
        <v>6</v>
      </c>
      <c r="G153" s="5" t="s">
        <v>6</v>
      </c>
      <c r="H153" s="23" t="s">
        <v>6</v>
      </c>
      <c r="I153" s="41">
        <f>SUM(I154:I161)</f>
        <v>0</v>
      </c>
      <c r="J153" s="41">
        <f>SUM(J154:J161)</f>
        <v>0</v>
      </c>
      <c r="K153" s="41">
        <f>SUM(K154:K161)</f>
        <v>0</v>
      </c>
      <c r="L153" s="33"/>
      <c r="AI153" s="33"/>
      <c r="AS153" s="41">
        <f>SUM(AJ154:AJ161)</f>
        <v>0</v>
      </c>
      <c r="AT153" s="41">
        <f>SUM(AK154:AK161)</f>
        <v>0</v>
      </c>
      <c r="AU153" s="41">
        <f>SUM(AL154:AL161)</f>
        <v>0</v>
      </c>
    </row>
    <row r="154" spans="1:62" ht="12.75">
      <c r="A154" s="4" t="s">
        <v>118</v>
      </c>
      <c r="B154" s="4" t="s">
        <v>252</v>
      </c>
      <c r="C154" s="203" t="s">
        <v>418</v>
      </c>
      <c r="D154" s="204"/>
      <c r="E154" s="204"/>
      <c r="F154" s="4" t="s">
        <v>452</v>
      </c>
      <c r="G154" s="16">
        <v>55.568</v>
      </c>
      <c r="H154" s="22">
        <v>0</v>
      </c>
      <c r="I154" s="16">
        <f aca="true" t="shared" si="110" ref="I154:I161">G154*AO154</f>
        <v>0</v>
      </c>
      <c r="J154" s="16">
        <f aca="true" t="shared" si="111" ref="J154:J161">G154*AP154</f>
        <v>0</v>
      </c>
      <c r="K154" s="16">
        <f aca="true" t="shared" si="112" ref="K154:K161">G154*H154</f>
        <v>0</v>
      </c>
      <c r="L154" s="32" t="s">
        <v>473</v>
      </c>
      <c r="Z154" s="38">
        <f aca="true" t="shared" si="113" ref="Z154:Z161">IF(AQ154="5",BJ154,0)</f>
        <v>0</v>
      </c>
      <c r="AB154" s="38">
        <f aca="true" t="shared" si="114" ref="AB154:AB161">IF(AQ154="1",BH154,0)</f>
        <v>0</v>
      </c>
      <c r="AC154" s="38">
        <f aca="true" t="shared" si="115" ref="AC154:AC161">IF(AQ154="1",BI154,0)</f>
        <v>0</v>
      </c>
      <c r="AD154" s="38">
        <f aca="true" t="shared" si="116" ref="AD154:AD161">IF(AQ154="7",BH154,0)</f>
        <v>0</v>
      </c>
      <c r="AE154" s="38">
        <f aca="true" t="shared" si="117" ref="AE154:AE161">IF(AQ154="7",BI154,0)</f>
        <v>0</v>
      </c>
      <c r="AF154" s="38">
        <f aca="true" t="shared" si="118" ref="AF154:AF161">IF(AQ154="2",BH154,0)</f>
        <v>0</v>
      </c>
      <c r="AG154" s="38">
        <f aca="true" t="shared" si="119" ref="AG154:AG161">IF(AQ154="2",BI154,0)</f>
        <v>0</v>
      </c>
      <c r="AH154" s="38">
        <f aca="true" t="shared" si="120" ref="AH154:AH161">IF(AQ154="0",BJ154,0)</f>
        <v>0</v>
      </c>
      <c r="AI154" s="33"/>
      <c r="AJ154" s="16">
        <f aca="true" t="shared" si="121" ref="AJ154:AJ161">IF(AN154=0,K154,0)</f>
        <v>0</v>
      </c>
      <c r="AK154" s="16">
        <f aca="true" t="shared" si="122" ref="AK154:AK161">IF(AN154=15,K154,0)</f>
        <v>0</v>
      </c>
      <c r="AL154" s="16">
        <f aca="true" t="shared" si="123" ref="AL154:AL161">IF(AN154=21,K154,0)</f>
        <v>0</v>
      </c>
      <c r="AN154" s="38">
        <v>21</v>
      </c>
      <c r="AO154" s="38">
        <f>H154*0.102910716671268</f>
        <v>0</v>
      </c>
      <c r="AP154" s="38">
        <f>H154*(1-0.102910716671268)</f>
        <v>0</v>
      </c>
      <c r="AQ154" s="32" t="s">
        <v>7</v>
      </c>
      <c r="AV154" s="38">
        <f aca="true" t="shared" si="124" ref="AV154:AV161">AW154+AX154</f>
        <v>0</v>
      </c>
      <c r="AW154" s="38">
        <f aca="true" t="shared" si="125" ref="AW154:AW161">G154*AO154</f>
        <v>0</v>
      </c>
      <c r="AX154" s="38">
        <f aca="true" t="shared" si="126" ref="AX154:AX161">G154*AP154</f>
        <v>0</v>
      </c>
      <c r="AY154" s="39" t="s">
        <v>514</v>
      </c>
      <c r="AZ154" s="39" t="s">
        <v>529</v>
      </c>
      <c r="BA154" s="33" t="s">
        <v>531</v>
      </c>
      <c r="BB154" s="33" t="s">
        <v>562</v>
      </c>
      <c r="BC154" s="38">
        <f aca="true" t="shared" si="127" ref="BC154:BC161">AW154+AX154</f>
        <v>0</v>
      </c>
      <c r="BD154" s="38">
        <f aca="true" t="shared" si="128" ref="BD154:BD161">H154/(100-BE154)*100</f>
        <v>0</v>
      </c>
      <c r="BE154" s="38">
        <v>0</v>
      </c>
      <c r="BF154" s="38">
        <f>154</f>
        <v>154</v>
      </c>
      <c r="BH154" s="16">
        <f aca="true" t="shared" si="129" ref="BH154:BH161">G154*AO154</f>
        <v>0</v>
      </c>
      <c r="BI154" s="16">
        <f aca="true" t="shared" si="130" ref="BI154:BI161">G154*AP154</f>
        <v>0</v>
      </c>
      <c r="BJ154" s="16">
        <f aca="true" t="shared" si="131" ref="BJ154:BJ161">G154*H154</f>
        <v>0</v>
      </c>
    </row>
    <row r="155" spans="1:62" ht="12.75">
      <c r="A155" s="4" t="s">
        <v>119</v>
      </c>
      <c r="B155" s="4" t="s">
        <v>253</v>
      </c>
      <c r="C155" s="203" t="s">
        <v>419</v>
      </c>
      <c r="D155" s="204"/>
      <c r="E155" s="204"/>
      <c r="F155" s="4" t="s">
        <v>452</v>
      </c>
      <c r="G155" s="16">
        <v>4.97</v>
      </c>
      <c r="H155" s="22">
        <v>0</v>
      </c>
      <c r="I155" s="16">
        <f t="shared" si="110"/>
        <v>0</v>
      </c>
      <c r="J155" s="16">
        <f t="shared" si="111"/>
        <v>0</v>
      </c>
      <c r="K155" s="16">
        <f t="shared" si="112"/>
        <v>0</v>
      </c>
      <c r="L155" s="32" t="s">
        <v>473</v>
      </c>
      <c r="Z155" s="38">
        <f t="shared" si="113"/>
        <v>0</v>
      </c>
      <c r="AB155" s="38">
        <f t="shared" si="114"/>
        <v>0</v>
      </c>
      <c r="AC155" s="38">
        <f t="shared" si="115"/>
        <v>0</v>
      </c>
      <c r="AD155" s="38">
        <f t="shared" si="116"/>
        <v>0</v>
      </c>
      <c r="AE155" s="38">
        <f t="shared" si="117"/>
        <v>0</v>
      </c>
      <c r="AF155" s="38">
        <f t="shared" si="118"/>
        <v>0</v>
      </c>
      <c r="AG155" s="38">
        <f t="shared" si="119"/>
        <v>0</v>
      </c>
      <c r="AH155" s="38">
        <f t="shared" si="120"/>
        <v>0</v>
      </c>
      <c r="AI155" s="33"/>
      <c r="AJ155" s="16">
        <f t="shared" si="121"/>
        <v>0</v>
      </c>
      <c r="AK155" s="16">
        <f t="shared" si="122"/>
        <v>0</v>
      </c>
      <c r="AL155" s="16">
        <f t="shared" si="123"/>
        <v>0</v>
      </c>
      <c r="AN155" s="38">
        <v>21</v>
      </c>
      <c r="AO155" s="38">
        <f>H155*0.000139672687917437</f>
        <v>0</v>
      </c>
      <c r="AP155" s="38">
        <f>H155*(1-0.000139672687917437)</f>
        <v>0</v>
      </c>
      <c r="AQ155" s="32" t="s">
        <v>7</v>
      </c>
      <c r="AV155" s="38">
        <f t="shared" si="124"/>
        <v>0</v>
      </c>
      <c r="AW155" s="38">
        <f t="shared" si="125"/>
        <v>0</v>
      </c>
      <c r="AX155" s="38">
        <f t="shared" si="126"/>
        <v>0</v>
      </c>
      <c r="AY155" s="39" t="s">
        <v>514</v>
      </c>
      <c r="AZ155" s="39" t="s">
        <v>529</v>
      </c>
      <c r="BA155" s="33" t="s">
        <v>531</v>
      </c>
      <c r="BB155" s="33" t="s">
        <v>562</v>
      </c>
      <c r="BC155" s="38">
        <f t="shared" si="127"/>
        <v>0</v>
      </c>
      <c r="BD155" s="38">
        <f t="shared" si="128"/>
        <v>0</v>
      </c>
      <c r="BE155" s="38">
        <v>0</v>
      </c>
      <c r="BF155" s="38">
        <f>155</f>
        <v>155</v>
      </c>
      <c r="BH155" s="16">
        <f t="shared" si="129"/>
        <v>0</v>
      </c>
      <c r="BI155" s="16">
        <f t="shared" si="130"/>
        <v>0</v>
      </c>
      <c r="BJ155" s="16">
        <f t="shared" si="131"/>
        <v>0</v>
      </c>
    </row>
    <row r="156" spans="1:62" ht="12.75">
      <c r="A156" s="4" t="s">
        <v>120</v>
      </c>
      <c r="B156" s="4" t="s">
        <v>254</v>
      </c>
      <c r="C156" s="203" t="s">
        <v>420</v>
      </c>
      <c r="D156" s="204"/>
      <c r="E156" s="204"/>
      <c r="F156" s="4" t="s">
        <v>452</v>
      </c>
      <c r="G156" s="16">
        <v>10.08</v>
      </c>
      <c r="H156" s="22">
        <v>0</v>
      </c>
      <c r="I156" s="16">
        <f t="shared" si="110"/>
        <v>0</v>
      </c>
      <c r="J156" s="16">
        <f t="shared" si="111"/>
        <v>0</v>
      </c>
      <c r="K156" s="16">
        <f t="shared" si="112"/>
        <v>0</v>
      </c>
      <c r="L156" s="32" t="s">
        <v>473</v>
      </c>
      <c r="Z156" s="38">
        <f t="shared" si="113"/>
        <v>0</v>
      </c>
      <c r="AB156" s="38">
        <f t="shared" si="114"/>
        <v>0</v>
      </c>
      <c r="AC156" s="38">
        <f t="shared" si="115"/>
        <v>0</v>
      </c>
      <c r="AD156" s="38">
        <f t="shared" si="116"/>
        <v>0</v>
      </c>
      <c r="AE156" s="38">
        <f t="shared" si="117"/>
        <v>0</v>
      </c>
      <c r="AF156" s="38">
        <f t="shared" si="118"/>
        <v>0</v>
      </c>
      <c r="AG156" s="38">
        <f t="shared" si="119"/>
        <v>0</v>
      </c>
      <c r="AH156" s="38">
        <f t="shared" si="120"/>
        <v>0</v>
      </c>
      <c r="AI156" s="33"/>
      <c r="AJ156" s="16">
        <f t="shared" si="121"/>
        <v>0</v>
      </c>
      <c r="AK156" s="16">
        <f t="shared" si="122"/>
        <v>0</v>
      </c>
      <c r="AL156" s="16">
        <f t="shared" si="123"/>
        <v>0</v>
      </c>
      <c r="AN156" s="38">
        <v>21</v>
      </c>
      <c r="AO156" s="38">
        <f>H156*0</f>
        <v>0</v>
      </c>
      <c r="AP156" s="38">
        <f>H156*(1-0)</f>
        <v>0</v>
      </c>
      <c r="AQ156" s="32" t="s">
        <v>7</v>
      </c>
      <c r="AV156" s="38">
        <f t="shared" si="124"/>
        <v>0</v>
      </c>
      <c r="AW156" s="38">
        <f t="shared" si="125"/>
        <v>0</v>
      </c>
      <c r="AX156" s="38">
        <f t="shared" si="126"/>
        <v>0</v>
      </c>
      <c r="AY156" s="39" t="s">
        <v>514</v>
      </c>
      <c r="AZ156" s="39" t="s">
        <v>529</v>
      </c>
      <c r="BA156" s="33" t="s">
        <v>531</v>
      </c>
      <c r="BB156" s="33" t="s">
        <v>562</v>
      </c>
      <c r="BC156" s="38">
        <f t="shared" si="127"/>
        <v>0</v>
      </c>
      <c r="BD156" s="38">
        <f t="shared" si="128"/>
        <v>0</v>
      </c>
      <c r="BE156" s="38">
        <v>0</v>
      </c>
      <c r="BF156" s="38">
        <f>156</f>
        <v>156</v>
      </c>
      <c r="BH156" s="16">
        <f t="shared" si="129"/>
        <v>0</v>
      </c>
      <c r="BI156" s="16">
        <f t="shared" si="130"/>
        <v>0</v>
      </c>
      <c r="BJ156" s="16">
        <f t="shared" si="131"/>
        <v>0</v>
      </c>
    </row>
    <row r="157" spans="1:62" ht="12.75">
      <c r="A157" s="4" t="s">
        <v>121</v>
      </c>
      <c r="B157" s="4" t="s">
        <v>255</v>
      </c>
      <c r="C157" s="203" t="s">
        <v>421</v>
      </c>
      <c r="D157" s="204"/>
      <c r="E157" s="204"/>
      <c r="F157" s="4" t="s">
        <v>448</v>
      </c>
      <c r="G157" s="16">
        <v>2</v>
      </c>
      <c r="H157" s="22">
        <v>0</v>
      </c>
      <c r="I157" s="16">
        <f t="shared" si="110"/>
        <v>0</v>
      </c>
      <c r="J157" s="16">
        <f t="shared" si="111"/>
        <v>0</v>
      </c>
      <c r="K157" s="16">
        <f t="shared" si="112"/>
        <v>0</v>
      </c>
      <c r="L157" s="32" t="s">
        <v>473</v>
      </c>
      <c r="Z157" s="38">
        <f t="shared" si="113"/>
        <v>0</v>
      </c>
      <c r="AB157" s="38">
        <f t="shared" si="114"/>
        <v>0</v>
      </c>
      <c r="AC157" s="38">
        <f t="shared" si="115"/>
        <v>0</v>
      </c>
      <c r="AD157" s="38">
        <f t="shared" si="116"/>
        <v>0</v>
      </c>
      <c r="AE157" s="38">
        <f t="shared" si="117"/>
        <v>0</v>
      </c>
      <c r="AF157" s="38">
        <f t="shared" si="118"/>
        <v>0</v>
      </c>
      <c r="AG157" s="38">
        <f t="shared" si="119"/>
        <v>0</v>
      </c>
      <c r="AH157" s="38">
        <f t="shared" si="120"/>
        <v>0</v>
      </c>
      <c r="AI157" s="33"/>
      <c r="AJ157" s="16">
        <f t="shared" si="121"/>
        <v>0</v>
      </c>
      <c r="AK157" s="16">
        <f t="shared" si="122"/>
        <v>0</v>
      </c>
      <c r="AL157" s="16">
        <f t="shared" si="123"/>
        <v>0</v>
      </c>
      <c r="AN157" s="38">
        <v>21</v>
      </c>
      <c r="AO157" s="38">
        <f>H157*0</f>
        <v>0</v>
      </c>
      <c r="AP157" s="38">
        <f>H157*(1-0)</f>
        <v>0</v>
      </c>
      <c r="AQ157" s="32" t="s">
        <v>7</v>
      </c>
      <c r="AV157" s="38">
        <f t="shared" si="124"/>
        <v>0</v>
      </c>
      <c r="AW157" s="38">
        <f t="shared" si="125"/>
        <v>0</v>
      </c>
      <c r="AX157" s="38">
        <f t="shared" si="126"/>
        <v>0</v>
      </c>
      <c r="AY157" s="39" t="s">
        <v>514</v>
      </c>
      <c r="AZ157" s="39" t="s">
        <v>529</v>
      </c>
      <c r="BA157" s="33" t="s">
        <v>531</v>
      </c>
      <c r="BB157" s="33" t="s">
        <v>562</v>
      </c>
      <c r="BC157" s="38">
        <f t="shared" si="127"/>
        <v>0</v>
      </c>
      <c r="BD157" s="38">
        <f t="shared" si="128"/>
        <v>0</v>
      </c>
      <c r="BE157" s="38">
        <v>0</v>
      </c>
      <c r="BF157" s="38">
        <f>157</f>
        <v>157</v>
      </c>
      <c r="BH157" s="16">
        <f t="shared" si="129"/>
        <v>0</v>
      </c>
      <c r="BI157" s="16">
        <f t="shared" si="130"/>
        <v>0</v>
      </c>
      <c r="BJ157" s="16">
        <f t="shared" si="131"/>
        <v>0</v>
      </c>
    </row>
    <row r="158" spans="1:62" ht="12.75">
      <c r="A158" s="4" t="s">
        <v>122</v>
      </c>
      <c r="B158" s="4" t="s">
        <v>256</v>
      </c>
      <c r="C158" s="203" t="s">
        <v>422</v>
      </c>
      <c r="D158" s="204"/>
      <c r="E158" s="204"/>
      <c r="F158" s="4" t="s">
        <v>452</v>
      </c>
      <c r="G158" s="16">
        <v>26.8</v>
      </c>
      <c r="H158" s="22">
        <v>0</v>
      </c>
      <c r="I158" s="16">
        <f t="shared" si="110"/>
        <v>0</v>
      </c>
      <c r="J158" s="16">
        <f t="shared" si="111"/>
        <v>0</v>
      </c>
      <c r="K158" s="16">
        <f t="shared" si="112"/>
        <v>0</v>
      </c>
      <c r="L158" s="32" t="s">
        <v>473</v>
      </c>
      <c r="Z158" s="38">
        <f t="shared" si="113"/>
        <v>0</v>
      </c>
      <c r="AB158" s="38">
        <f t="shared" si="114"/>
        <v>0</v>
      </c>
      <c r="AC158" s="38">
        <f t="shared" si="115"/>
        <v>0</v>
      </c>
      <c r="AD158" s="38">
        <f t="shared" si="116"/>
        <v>0</v>
      </c>
      <c r="AE158" s="38">
        <f t="shared" si="117"/>
        <v>0</v>
      </c>
      <c r="AF158" s="38">
        <f t="shared" si="118"/>
        <v>0</v>
      </c>
      <c r="AG158" s="38">
        <f t="shared" si="119"/>
        <v>0</v>
      </c>
      <c r="AH158" s="38">
        <f t="shared" si="120"/>
        <v>0</v>
      </c>
      <c r="AI158" s="33"/>
      <c r="AJ158" s="16">
        <f t="shared" si="121"/>
        <v>0</v>
      </c>
      <c r="AK158" s="16">
        <f t="shared" si="122"/>
        <v>0</v>
      </c>
      <c r="AL158" s="16">
        <f t="shared" si="123"/>
        <v>0</v>
      </c>
      <c r="AN158" s="38">
        <v>21</v>
      </c>
      <c r="AO158" s="38">
        <f>H158*0.000246589716684155</f>
        <v>0</v>
      </c>
      <c r="AP158" s="38">
        <f>H158*(1-0.000246589716684155)</f>
        <v>0</v>
      </c>
      <c r="AQ158" s="32" t="s">
        <v>7</v>
      </c>
      <c r="AV158" s="38">
        <f t="shared" si="124"/>
        <v>0</v>
      </c>
      <c r="AW158" s="38">
        <f t="shared" si="125"/>
        <v>0</v>
      </c>
      <c r="AX158" s="38">
        <f t="shared" si="126"/>
        <v>0</v>
      </c>
      <c r="AY158" s="39" t="s">
        <v>514</v>
      </c>
      <c r="AZ158" s="39" t="s">
        <v>529</v>
      </c>
      <c r="BA158" s="33" t="s">
        <v>531</v>
      </c>
      <c r="BB158" s="33" t="s">
        <v>562</v>
      </c>
      <c r="BC158" s="38">
        <f t="shared" si="127"/>
        <v>0</v>
      </c>
      <c r="BD158" s="38">
        <f t="shared" si="128"/>
        <v>0</v>
      </c>
      <c r="BE158" s="38">
        <v>0</v>
      </c>
      <c r="BF158" s="38">
        <f>158</f>
        <v>158</v>
      </c>
      <c r="BH158" s="16">
        <f t="shared" si="129"/>
        <v>0</v>
      </c>
      <c r="BI158" s="16">
        <f t="shared" si="130"/>
        <v>0</v>
      </c>
      <c r="BJ158" s="16">
        <f t="shared" si="131"/>
        <v>0</v>
      </c>
    </row>
    <row r="159" spans="1:62" ht="12.75">
      <c r="A159" s="4" t="s">
        <v>123</v>
      </c>
      <c r="B159" s="4" t="s">
        <v>257</v>
      </c>
      <c r="C159" s="203" t="s">
        <v>423</v>
      </c>
      <c r="D159" s="204"/>
      <c r="E159" s="204"/>
      <c r="F159" s="4" t="s">
        <v>453</v>
      </c>
      <c r="G159" s="16">
        <v>1.546</v>
      </c>
      <c r="H159" s="22">
        <v>0</v>
      </c>
      <c r="I159" s="16">
        <f t="shared" si="110"/>
        <v>0</v>
      </c>
      <c r="J159" s="16">
        <f t="shared" si="111"/>
        <v>0</v>
      </c>
      <c r="K159" s="16">
        <f t="shared" si="112"/>
        <v>0</v>
      </c>
      <c r="L159" s="32" t="s">
        <v>473</v>
      </c>
      <c r="Z159" s="38">
        <f t="shared" si="113"/>
        <v>0</v>
      </c>
      <c r="AB159" s="38">
        <f t="shared" si="114"/>
        <v>0</v>
      </c>
      <c r="AC159" s="38">
        <f t="shared" si="115"/>
        <v>0</v>
      </c>
      <c r="AD159" s="38">
        <f t="shared" si="116"/>
        <v>0</v>
      </c>
      <c r="AE159" s="38">
        <f t="shared" si="117"/>
        <v>0</v>
      </c>
      <c r="AF159" s="38">
        <f t="shared" si="118"/>
        <v>0</v>
      </c>
      <c r="AG159" s="38">
        <f t="shared" si="119"/>
        <v>0</v>
      </c>
      <c r="AH159" s="38">
        <f t="shared" si="120"/>
        <v>0</v>
      </c>
      <c r="AI159" s="33"/>
      <c r="AJ159" s="16">
        <f t="shared" si="121"/>
        <v>0</v>
      </c>
      <c r="AK159" s="16">
        <f t="shared" si="122"/>
        <v>0</v>
      </c>
      <c r="AL159" s="16">
        <f t="shared" si="123"/>
        <v>0</v>
      </c>
      <c r="AN159" s="38">
        <v>21</v>
      </c>
      <c r="AO159" s="38">
        <f>H159*0.0528341462345053</f>
        <v>0</v>
      </c>
      <c r="AP159" s="38">
        <f>H159*(1-0.0528341462345053)</f>
        <v>0</v>
      </c>
      <c r="AQ159" s="32" t="s">
        <v>7</v>
      </c>
      <c r="AV159" s="38">
        <f t="shared" si="124"/>
        <v>0</v>
      </c>
      <c r="AW159" s="38">
        <f t="shared" si="125"/>
        <v>0</v>
      </c>
      <c r="AX159" s="38">
        <f t="shared" si="126"/>
        <v>0</v>
      </c>
      <c r="AY159" s="39" t="s">
        <v>514</v>
      </c>
      <c r="AZ159" s="39" t="s">
        <v>529</v>
      </c>
      <c r="BA159" s="33" t="s">
        <v>531</v>
      </c>
      <c r="BB159" s="33" t="s">
        <v>562</v>
      </c>
      <c r="BC159" s="38">
        <f t="shared" si="127"/>
        <v>0</v>
      </c>
      <c r="BD159" s="38">
        <f t="shared" si="128"/>
        <v>0</v>
      </c>
      <c r="BE159" s="38">
        <v>0</v>
      </c>
      <c r="BF159" s="38">
        <f>159</f>
        <v>159</v>
      </c>
      <c r="BH159" s="16">
        <f t="shared" si="129"/>
        <v>0</v>
      </c>
      <c r="BI159" s="16">
        <f t="shared" si="130"/>
        <v>0</v>
      </c>
      <c r="BJ159" s="16">
        <f t="shared" si="131"/>
        <v>0</v>
      </c>
    </row>
    <row r="160" spans="1:62" ht="12.75">
      <c r="A160" s="4" t="s">
        <v>124</v>
      </c>
      <c r="B160" s="4" t="s">
        <v>258</v>
      </c>
      <c r="C160" s="203" t="s">
        <v>424</v>
      </c>
      <c r="D160" s="204"/>
      <c r="E160" s="204"/>
      <c r="F160" s="4" t="s">
        <v>448</v>
      </c>
      <c r="G160" s="16">
        <v>26</v>
      </c>
      <c r="H160" s="22">
        <v>0</v>
      </c>
      <c r="I160" s="16">
        <f t="shared" si="110"/>
        <v>0</v>
      </c>
      <c r="J160" s="16">
        <f t="shared" si="111"/>
        <v>0</v>
      </c>
      <c r="K160" s="16">
        <f t="shared" si="112"/>
        <v>0</v>
      </c>
      <c r="L160" s="32" t="s">
        <v>473</v>
      </c>
      <c r="Z160" s="38">
        <f t="shared" si="113"/>
        <v>0</v>
      </c>
      <c r="AB160" s="38">
        <f t="shared" si="114"/>
        <v>0</v>
      </c>
      <c r="AC160" s="38">
        <f t="shared" si="115"/>
        <v>0</v>
      </c>
      <c r="AD160" s="38">
        <f t="shared" si="116"/>
        <v>0</v>
      </c>
      <c r="AE160" s="38">
        <f t="shared" si="117"/>
        <v>0</v>
      </c>
      <c r="AF160" s="38">
        <f t="shared" si="118"/>
        <v>0</v>
      </c>
      <c r="AG160" s="38">
        <f t="shared" si="119"/>
        <v>0</v>
      </c>
      <c r="AH160" s="38">
        <f t="shared" si="120"/>
        <v>0</v>
      </c>
      <c r="AI160" s="33"/>
      <c r="AJ160" s="16">
        <f t="shared" si="121"/>
        <v>0</v>
      </c>
      <c r="AK160" s="16">
        <f t="shared" si="122"/>
        <v>0</v>
      </c>
      <c r="AL160" s="16">
        <f t="shared" si="123"/>
        <v>0</v>
      </c>
      <c r="AN160" s="38">
        <v>21</v>
      </c>
      <c r="AO160" s="38">
        <f>H160*0.0475325771429302</f>
        <v>0</v>
      </c>
      <c r="AP160" s="38">
        <f>H160*(1-0.0475325771429302)</f>
        <v>0</v>
      </c>
      <c r="AQ160" s="32" t="s">
        <v>7</v>
      </c>
      <c r="AV160" s="38">
        <f t="shared" si="124"/>
        <v>0</v>
      </c>
      <c r="AW160" s="38">
        <f t="shared" si="125"/>
        <v>0</v>
      </c>
      <c r="AX160" s="38">
        <f t="shared" si="126"/>
        <v>0</v>
      </c>
      <c r="AY160" s="39" t="s">
        <v>514</v>
      </c>
      <c r="AZ160" s="39" t="s">
        <v>529</v>
      </c>
      <c r="BA160" s="33" t="s">
        <v>531</v>
      </c>
      <c r="BB160" s="33" t="s">
        <v>562</v>
      </c>
      <c r="BC160" s="38">
        <f t="shared" si="127"/>
        <v>0</v>
      </c>
      <c r="BD160" s="38">
        <f t="shared" si="128"/>
        <v>0</v>
      </c>
      <c r="BE160" s="38">
        <v>0</v>
      </c>
      <c r="BF160" s="38">
        <f>160</f>
        <v>160</v>
      </c>
      <c r="BH160" s="16">
        <f t="shared" si="129"/>
        <v>0</v>
      </c>
      <c r="BI160" s="16">
        <f t="shared" si="130"/>
        <v>0</v>
      </c>
      <c r="BJ160" s="16">
        <f t="shared" si="131"/>
        <v>0</v>
      </c>
    </row>
    <row r="161" spans="1:62" ht="12.75">
      <c r="A161" s="4" t="s">
        <v>125</v>
      </c>
      <c r="B161" s="4" t="s">
        <v>259</v>
      </c>
      <c r="C161" s="203" t="s">
        <v>425</v>
      </c>
      <c r="D161" s="204"/>
      <c r="E161" s="204"/>
      <c r="F161" s="4" t="s">
        <v>449</v>
      </c>
      <c r="G161" s="16">
        <v>25.2</v>
      </c>
      <c r="H161" s="22">
        <v>0</v>
      </c>
      <c r="I161" s="16">
        <f t="shared" si="110"/>
        <v>0</v>
      </c>
      <c r="J161" s="16">
        <f t="shared" si="111"/>
        <v>0</v>
      </c>
      <c r="K161" s="16">
        <f t="shared" si="112"/>
        <v>0</v>
      </c>
      <c r="L161" s="32" t="s">
        <v>473</v>
      </c>
      <c r="Z161" s="38">
        <f t="shared" si="113"/>
        <v>0</v>
      </c>
      <c r="AB161" s="38">
        <f t="shared" si="114"/>
        <v>0</v>
      </c>
      <c r="AC161" s="38">
        <f t="shared" si="115"/>
        <v>0</v>
      </c>
      <c r="AD161" s="38">
        <f t="shared" si="116"/>
        <v>0</v>
      </c>
      <c r="AE161" s="38">
        <f t="shared" si="117"/>
        <v>0</v>
      </c>
      <c r="AF161" s="38">
        <f t="shared" si="118"/>
        <v>0</v>
      </c>
      <c r="AG161" s="38">
        <f t="shared" si="119"/>
        <v>0</v>
      </c>
      <c r="AH161" s="38">
        <f t="shared" si="120"/>
        <v>0</v>
      </c>
      <c r="AI161" s="33"/>
      <c r="AJ161" s="16">
        <f t="shared" si="121"/>
        <v>0</v>
      </c>
      <c r="AK161" s="16">
        <f t="shared" si="122"/>
        <v>0</v>
      </c>
      <c r="AL161" s="16">
        <f t="shared" si="123"/>
        <v>0</v>
      </c>
      <c r="AN161" s="38">
        <v>21</v>
      </c>
      <c r="AO161" s="38">
        <f>H161*0.0360338698872102</f>
        <v>0</v>
      </c>
      <c r="AP161" s="38">
        <f>H161*(1-0.0360338698872102)</f>
        <v>0</v>
      </c>
      <c r="AQ161" s="32" t="s">
        <v>7</v>
      </c>
      <c r="AV161" s="38">
        <f t="shared" si="124"/>
        <v>0</v>
      </c>
      <c r="AW161" s="38">
        <f t="shared" si="125"/>
        <v>0</v>
      </c>
      <c r="AX161" s="38">
        <f t="shared" si="126"/>
        <v>0</v>
      </c>
      <c r="AY161" s="39" t="s">
        <v>514</v>
      </c>
      <c r="AZ161" s="39" t="s">
        <v>529</v>
      </c>
      <c r="BA161" s="33" t="s">
        <v>531</v>
      </c>
      <c r="BB161" s="33" t="s">
        <v>562</v>
      </c>
      <c r="BC161" s="38">
        <f t="shared" si="127"/>
        <v>0</v>
      </c>
      <c r="BD161" s="38">
        <f t="shared" si="128"/>
        <v>0</v>
      </c>
      <c r="BE161" s="38">
        <v>0</v>
      </c>
      <c r="BF161" s="38">
        <f>161</f>
        <v>161</v>
      </c>
      <c r="BH161" s="16">
        <f t="shared" si="129"/>
        <v>0</v>
      </c>
      <c r="BI161" s="16">
        <f t="shared" si="130"/>
        <v>0</v>
      </c>
      <c r="BJ161" s="16">
        <f t="shared" si="131"/>
        <v>0</v>
      </c>
    </row>
    <row r="162" spans="1:47" ht="12.75">
      <c r="A162" s="5"/>
      <c r="B162" s="13" t="s">
        <v>103</v>
      </c>
      <c r="C162" s="205" t="s">
        <v>426</v>
      </c>
      <c r="D162" s="206"/>
      <c r="E162" s="206"/>
      <c r="F162" s="5" t="s">
        <v>6</v>
      </c>
      <c r="G162" s="5" t="s">
        <v>6</v>
      </c>
      <c r="H162" s="23" t="s">
        <v>6</v>
      </c>
      <c r="I162" s="41">
        <f>SUM(I163:I165)</f>
        <v>0</v>
      </c>
      <c r="J162" s="41">
        <f>SUM(J163:J165)</f>
        <v>0</v>
      </c>
      <c r="K162" s="41">
        <f>SUM(K163:K165)</f>
        <v>0</v>
      </c>
      <c r="L162" s="33"/>
      <c r="AI162" s="33"/>
      <c r="AS162" s="41">
        <f>SUM(AJ163:AJ165)</f>
        <v>0</v>
      </c>
      <c r="AT162" s="41">
        <f>SUM(AK163:AK165)</f>
        <v>0</v>
      </c>
      <c r="AU162" s="41">
        <f>SUM(AL163:AL165)</f>
        <v>0</v>
      </c>
    </row>
    <row r="163" spans="1:62" ht="12.75">
      <c r="A163" s="4" t="s">
        <v>126</v>
      </c>
      <c r="B163" s="4" t="s">
        <v>167</v>
      </c>
      <c r="C163" s="203" t="s">
        <v>310</v>
      </c>
      <c r="D163" s="204"/>
      <c r="E163" s="204"/>
      <c r="F163" s="4" t="s">
        <v>453</v>
      </c>
      <c r="G163" s="16">
        <v>129.65994</v>
      </c>
      <c r="H163" s="22">
        <v>0</v>
      </c>
      <c r="I163" s="16">
        <f>G163*AO163</f>
        <v>0</v>
      </c>
      <c r="J163" s="16">
        <f>G163*AP163</f>
        <v>0</v>
      </c>
      <c r="K163" s="16">
        <f>G163*H163</f>
        <v>0</v>
      </c>
      <c r="L163" s="32" t="s">
        <v>473</v>
      </c>
      <c r="Z163" s="38">
        <f>IF(AQ163="5",BJ163,0)</f>
        <v>0</v>
      </c>
      <c r="AB163" s="38">
        <f>IF(AQ163="1",BH163,0)</f>
        <v>0</v>
      </c>
      <c r="AC163" s="38">
        <f>IF(AQ163="1",BI163,0)</f>
        <v>0</v>
      </c>
      <c r="AD163" s="38">
        <f>IF(AQ163="7",BH163,0)</f>
        <v>0</v>
      </c>
      <c r="AE163" s="38">
        <f>IF(AQ163="7",BI163,0)</f>
        <v>0</v>
      </c>
      <c r="AF163" s="38">
        <f>IF(AQ163="2",BH163,0)</f>
        <v>0</v>
      </c>
      <c r="AG163" s="38">
        <f>IF(AQ163="2",BI163,0)</f>
        <v>0</v>
      </c>
      <c r="AH163" s="38">
        <f>IF(AQ163="0",BJ163,0)</f>
        <v>0</v>
      </c>
      <c r="AI163" s="33"/>
      <c r="AJ163" s="16">
        <f>IF(AN163=0,K163,0)</f>
        <v>0</v>
      </c>
      <c r="AK163" s="16">
        <f>IF(AN163=15,K163,0)</f>
        <v>0</v>
      </c>
      <c r="AL163" s="16">
        <f>IF(AN163=21,K163,0)</f>
        <v>0</v>
      </c>
      <c r="AN163" s="38">
        <v>21</v>
      </c>
      <c r="AO163" s="38">
        <f>H163*0</f>
        <v>0</v>
      </c>
      <c r="AP163" s="38">
        <f>H163*(1-0)</f>
        <v>0</v>
      </c>
      <c r="AQ163" s="32" t="s">
        <v>11</v>
      </c>
      <c r="AV163" s="38">
        <f>AW163+AX163</f>
        <v>0</v>
      </c>
      <c r="AW163" s="38">
        <f>G163*AO163</f>
        <v>0</v>
      </c>
      <c r="AX163" s="38">
        <f>G163*AP163</f>
        <v>0</v>
      </c>
      <c r="AY163" s="39" t="s">
        <v>515</v>
      </c>
      <c r="AZ163" s="39" t="s">
        <v>529</v>
      </c>
      <c r="BA163" s="33" t="s">
        <v>531</v>
      </c>
      <c r="BB163" s="33" t="s">
        <v>563</v>
      </c>
      <c r="BC163" s="38">
        <f>AW163+AX163</f>
        <v>0</v>
      </c>
      <c r="BD163" s="38">
        <f>H163/(100-BE163)*100</f>
        <v>0</v>
      </c>
      <c r="BE163" s="38">
        <v>0</v>
      </c>
      <c r="BF163" s="38">
        <f>163</f>
        <v>163</v>
      </c>
      <c r="BH163" s="16">
        <f>G163*AO163</f>
        <v>0</v>
      </c>
      <c r="BI163" s="16">
        <f>G163*AP163</f>
        <v>0</v>
      </c>
      <c r="BJ163" s="16">
        <f>G163*H163</f>
        <v>0</v>
      </c>
    </row>
    <row r="164" spans="1:62" ht="12.75">
      <c r="A164" s="4" t="s">
        <v>127</v>
      </c>
      <c r="B164" s="4" t="s">
        <v>260</v>
      </c>
      <c r="C164" s="203" t="s">
        <v>427</v>
      </c>
      <c r="D164" s="204"/>
      <c r="E164" s="204"/>
      <c r="F164" s="4" t="s">
        <v>453</v>
      </c>
      <c r="G164" s="16">
        <v>311.09503</v>
      </c>
      <c r="H164" s="22">
        <v>0</v>
      </c>
      <c r="I164" s="16">
        <f>G164*AO164</f>
        <v>0</v>
      </c>
      <c r="J164" s="16">
        <f>G164*AP164</f>
        <v>0</v>
      </c>
      <c r="K164" s="16">
        <f>G164*H164</f>
        <v>0</v>
      </c>
      <c r="L164" s="32" t="s">
        <v>473</v>
      </c>
      <c r="Z164" s="38">
        <f>IF(AQ164="5",BJ164,0)</f>
        <v>0</v>
      </c>
      <c r="AB164" s="38">
        <f>IF(AQ164="1",BH164,0)</f>
        <v>0</v>
      </c>
      <c r="AC164" s="38">
        <f>IF(AQ164="1",BI164,0)</f>
        <v>0</v>
      </c>
      <c r="AD164" s="38">
        <f>IF(AQ164="7",BH164,0)</f>
        <v>0</v>
      </c>
      <c r="AE164" s="38">
        <f>IF(AQ164="7",BI164,0)</f>
        <v>0</v>
      </c>
      <c r="AF164" s="38">
        <f>IF(AQ164="2",BH164,0)</f>
        <v>0</v>
      </c>
      <c r="AG164" s="38">
        <f>IF(AQ164="2",BI164,0)</f>
        <v>0</v>
      </c>
      <c r="AH164" s="38">
        <f>IF(AQ164="0",BJ164,0)</f>
        <v>0</v>
      </c>
      <c r="AI164" s="33"/>
      <c r="AJ164" s="16">
        <f>IF(AN164=0,K164,0)</f>
        <v>0</v>
      </c>
      <c r="AK164" s="16">
        <f>IF(AN164=15,K164,0)</f>
        <v>0</v>
      </c>
      <c r="AL164" s="16">
        <f>IF(AN164=21,K164,0)</f>
        <v>0</v>
      </c>
      <c r="AN164" s="38">
        <v>21</v>
      </c>
      <c r="AO164" s="38">
        <f>H164*0</f>
        <v>0</v>
      </c>
      <c r="AP164" s="38">
        <f>H164*(1-0)</f>
        <v>0</v>
      </c>
      <c r="AQ164" s="32" t="s">
        <v>11</v>
      </c>
      <c r="AV164" s="38">
        <f>AW164+AX164</f>
        <v>0</v>
      </c>
      <c r="AW164" s="38">
        <f>G164*AO164</f>
        <v>0</v>
      </c>
      <c r="AX164" s="38">
        <f>G164*AP164</f>
        <v>0</v>
      </c>
      <c r="AY164" s="39" t="s">
        <v>515</v>
      </c>
      <c r="AZ164" s="39" t="s">
        <v>529</v>
      </c>
      <c r="BA164" s="33" t="s">
        <v>531</v>
      </c>
      <c r="BB164" s="33" t="s">
        <v>563</v>
      </c>
      <c r="BC164" s="38">
        <f>AW164+AX164</f>
        <v>0</v>
      </c>
      <c r="BD164" s="38">
        <f>H164/(100-BE164)*100</f>
        <v>0</v>
      </c>
      <c r="BE164" s="38">
        <v>0</v>
      </c>
      <c r="BF164" s="38">
        <f>164</f>
        <v>164</v>
      </c>
      <c r="BH164" s="16">
        <f>G164*AO164</f>
        <v>0</v>
      </c>
      <c r="BI164" s="16">
        <f>G164*AP164</f>
        <v>0</v>
      </c>
      <c r="BJ164" s="16">
        <f>G164*H164</f>
        <v>0</v>
      </c>
    </row>
    <row r="165" spans="1:62" ht="12.75">
      <c r="A165" s="4" t="s">
        <v>128</v>
      </c>
      <c r="B165" s="4" t="s">
        <v>166</v>
      </c>
      <c r="C165" s="203" t="s">
        <v>428</v>
      </c>
      <c r="D165" s="204"/>
      <c r="E165" s="204"/>
      <c r="F165" s="4" t="s">
        <v>453</v>
      </c>
      <c r="G165" s="16">
        <v>319.8262</v>
      </c>
      <c r="H165" s="22">
        <v>0</v>
      </c>
      <c r="I165" s="16">
        <f>G165*AO165</f>
        <v>0</v>
      </c>
      <c r="J165" s="16">
        <f>G165*AP165</f>
        <v>0</v>
      </c>
      <c r="K165" s="16">
        <f>G165*H165</f>
        <v>0</v>
      </c>
      <c r="L165" s="32" t="s">
        <v>473</v>
      </c>
      <c r="Z165" s="38">
        <f>IF(AQ165="5",BJ165,0)</f>
        <v>0</v>
      </c>
      <c r="AB165" s="38">
        <f>IF(AQ165="1",BH165,0)</f>
        <v>0</v>
      </c>
      <c r="AC165" s="38">
        <f>IF(AQ165="1",BI165,0)</f>
        <v>0</v>
      </c>
      <c r="AD165" s="38">
        <f>IF(AQ165="7",BH165,0)</f>
        <v>0</v>
      </c>
      <c r="AE165" s="38">
        <f>IF(AQ165="7",BI165,0)</f>
        <v>0</v>
      </c>
      <c r="AF165" s="38">
        <f>IF(AQ165="2",BH165,0)</f>
        <v>0</v>
      </c>
      <c r="AG165" s="38">
        <f>IF(AQ165="2",BI165,0)</f>
        <v>0</v>
      </c>
      <c r="AH165" s="38">
        <f>IF(AQ165="0",BJ165,0)</f>
        <v>0</v>
      </c>
      <c r="AI165" s="33"/>
      <c r="AJ165" s="16">
        <f>IF(AN165=0,K165,0)</f>
        <v>0</v>
      </c>
      <c r="AK165" s="16">
        <f>IF(AN165=15,K165,0)</f>
        <v>0</v>
      </c>
      <c r="AL165" s="16">
        <f>IF(AN165=21,K165,0)</f>
        <v>0</v>
      </c>
      <c r="AN165" s="38">
        <v>21</v>
      </c>
      <c r="AO165" s="38">
        <f>H165*0</f>
        <v>0</v>
      </c>
      <c r="AP165" s="38">
        <f>H165*(1-0)</f>
        <v>0</v>
      </c>
      <c r="AQ165" s="32" t="s">
        <v>11</v>
      </c>
      <c r="AV165" s="38">
        <f>AW165+AX165</f>
        <v>0</v>
      </c>
      <c r="AW165" s="38">
        <f>G165*AO165</f>
        <v>0</v>
      </c>
      <c r="AX165" s="38">
        <f>G165*AP165</f>
        <v>0</v>
      </c>
      <c r="AY165" s="39" t="s">
        <v>515</v>
      </c>
      <c r="AZ165" s="39" t="s">
        <v>529</v>
      </c>
      <c r="BA165" s="33" t="s">
        <v>531</v>
      </c>
      <c r="BB165" s="33" t="s">
        <v>563</v>
      </c>
      <c r="BC165" s="38">
        <f>AW165+AX165</f>
        <v>0</v>
      </c>
      <c r="BD165" s="38">
        <f>H165/(100-BE165)*100</f>
        <v>0</v>
      </c>
      <c r="BE165" s="38">
        <v>0</v>
      </c>
      <c r="BF165" s="38">
        <f>165</f>
        <v>165</v>
      </c>
      <c r="BH165" s="16">
        <f>G165*AO165</f>
        <v>0</v>
      </c>
      <c r="BI165" s="16">
        <f>G165*AP165</f>
        <v>0</v>
      </c>
      <c r="BJ165" s="16">
        <f>G165*H165</f>
        <v>0</v>
      </c>
    </row>
    <row r="166" spans="1:47" ht="12.75">
      <c r="A166" s="5"/>
      <c r="B166" s="13" t="s">
        <v>261</v>
      </c>
      <c r="C166" s="205" t="s">
        <v>429</v>
      </c>
      <c r="D166" s="206"/>
      <c r="E166" s="206"/>
      <c r="F166" s="5" t="s">
        <v>6</v>
      </c>
      <c r="G166" s="5" t="s">
        <v>6</v>
      </c>
      <c r="H166" s="23" t="s">
        <v>6</v>
      </c>
      <c r="I166" s="41">
        <f>SUM(I167:I167)</f>
        <v>0</v>
      </c>
      <c r="J166" s="41">
        <f>SUM(J167:J167)</f>
        <v>0</v>
      </c>
      <c r="K166" s="41">
        <f>SUM(K167:K167)</f>
        <v>0</v>
      </c>
      <c r="L166" s="33"/>
      <c r="AI166" s="33"/>
      <c r="AS166" s="41">
        <f>SUM(AJ167:AJ167)</f>
        <v>0</v>
      </c>
      <c r="AT166" s="41">
        <f>SUM(AK167:AK167)</f>
        <v>0</v>
      </c>
      <c r="AU166" s="41">
        <f>SUM(AL167:AL167)</f>
        <v>0</v>
      </c>
    </row>
    <row r="167" spans="1:62" ht="12.75">
      <c r="A167" s="4" t="s">
        <v>129</v>
      </c>
      <c r="B167" s="4" t="s">
        <v>262</v>
      </c>
      <c r="C167" s="203" t="s">
        <v>430</v>
      </c>
      <c r="D167" s="204"/>
      <c r="E167" s="204"/>
      <c r="F167" s="4" t="s">
        <v>448</v>
      </c>
      <c r="G167" s="16">
        <v>8</v>
      </c>
      <c r="H167" s="22">
        <v>0</v>
      </c>
      <c r="I167" s="16">
        <f>G167*AO167</f>
        <v>0</v>
      </c>
      <c r="J167" s="16">
        <f>G167*AP167</f>
        <v>0</v>
      </c>
      <c r="K167" s="16">
        <f>G167*H167</f>
        <v>0</v>
      </c>
      <c r="L167" s="32" t="s">
        <v>473</v>
      </c>
      <c r="Z167" s="38">
        <f>IF(AQ167="5",BJ167,0)</f>
        <v>0</v>
      </c>
      <c r="AB167" s="38">
        <f>IF(AQ167="1",BH167,0)</f>
        <v>0</v>
      </c>
      <c r="AC167" s="38">
        <f>IF(AQ167="1",BI167,0)</f>
        <v>0</v>
      </c>
      <c r="AD167" s="38">
        <f>IF(AQ167="7",BH167,0)</f>
        <v>0</v>
      </c>
      <c r="AE167" s="38">
        <f>IF(AQ167="7",BI167,0)</f>
        <v>0</v>
      </c>
      <c r="AF167" s="38">
        <f>IF(AQ167="2",BH167,0)</f>
        <v>0</v>
      </c>
      <c r="AG167" s="38">
        <f>IF(AQ167="2",BI167,0)</f>
        <v>0</v>
      </c>
      <c r="AH167" s="38">
        <f>IF(AQ167="0",BJ167,0)</f>
        <v>0</v>
      </c>
      <c r="AI167" s="33"/>
      <c r="AJ167" s="16">
        <f>IF(AN167=0,K167,0)</f>
        <v>0</v>
      </c>
      <c r="AK167" s="16">
        <f>IF(AN167=15,K167,0)</f>
        <v>0</v>
      </c>
      <c r="AL167" s="16">
        <f>IF(AN167=21,K167,0)</f>
        <v>0</v>
      </c>
      <c r="AN167" s="38">
        <v>21</v>
      </c>
      <c r="AO167" s="38">
        <f>H167*0.187213352685051</f>
        <v>0</v>
      </c>
      <c r="AP167" s="38">
        <f>H167*(1-0.187213352685051)</f>
        <v>0</v>
      </c>
      <c r="AQ167" s="32" t="s">
        <v>8</v>
      </c>
      <c r="AV167" s="38">
        <f>AW167+AX167</f>
        <v>0</v>
      </c>
      <c r="AW167" s="38">
        <f>G167*AO167</f>
        <v>0</v>
      </c>
      <c r="AX167" s="38">
        <f>G167*AP167</f>
        <v>0</v>
      </c>
      <c r="AY167" s="39" t="s">
        <v>516</v>
      </c>
      <c r="AZ167" s="39" t="s">
        <v>529</v>
      </c>
      <c r="BA167" s="33" t="s">
        <v>531</v>
      </c>
      <c r="BB167" s="33" t="s">
        <v>564</v>
      </c>
      <c r="BC167" s="38">
        <f>AW167+AX167</f>
        <v>0</v>
      </c>
      <c r="BD167" s="38">
        <f>H167/(100-BE167)*100</f>
        <v>0</v>
      </c>
      <c r="BE167" s="38">
        <v>0</v>
      </c>
      <c r="BF167" s="38">
        <f>167</f>
        <v>167</v>
      </c>
      <c r="BH167" s="16">
        <f>G167*AO167</f>
        <v>0</v>
      </c>
      <c r="BI167" s="16">
        <f>G167*AP167</f>
        <v>0</v>
      </c>
      <c r="BJ167" s="16">
        <f>G167*H167</f>
        <v>0</v>
      </c>
    </row>
    <row r="168" spans="1:47" ht="12.75">
      <c r="A168" s="5"/>
      <c r="B168" s="13" t="s">
        <v>263</v>
      </c>
      <c r="C168" s="205" t="s">
        <v>431</v>
      </c>
      <c r="D168" s="206"/>
      <c r="E168" s="206"/>
      <c r="F168" s="5" t="s">
        <v>6</v>
      </c>
      <c r="G168" s="5" t="s">
        <v>6</v>
      </c>
      <c r="H168" s="23" t="s">
        <v>6</v>
      </c>
      <c r="I168" s="41">
        <f>SUM(I169:I169)</f>
        <v>0</v>
      </c>
      <c r="J168" s="41">
        <f>SUM(J169:J169)</f>
        <v>0</v>
      </c>
      <c r="K168" s="41">
        <f>SUM(K169:K169)</f>
        <v>0</v>
      </c>
      <c r="L168" s="33"/>
      <c r="AI168" s="33"/>
      <c r="AS168" s="41">
        <f>SUM(AJ169:AJ169)</f>
        <v>0</v>
      </c>
      <c r="AT168" s="41">
        <f>SUM(AK169:AK169)</f>
        <v>0</v>
      </c>
      <c r="AU168" s="41">
        <f>SUM(AL169:AL169)</f>
        <v>0</v>
      </c>
    </row>
    <row r="169" spans="1:62" ht="12.75">
      <c r="A169" s="4" t="s">
        <v>130</v>
      </c>
      <c r="B169" s="4" t="s">
        <v>264</v>
      </c>
      <c r="C169" s="203" t="s">
        <v>432</v>
      </c>
      <c r="D169" s="204"/>
      <c r="E169" s="204"/>
      <c r="F169" s="4" t="s">
        <v>449</v>
      </c>
      <c r="G169" s="16">
        <v>9.6</v>
      </c>
      <c r="H169" s="22">
        <v>0</v>
      </c>
      <c r="I169" s="16">
        <f>G169*AO169</f>
        <v>0</v>
      </c>
      <c r="J169" s="16">
        <f>G169*AP169</f>
        <v>0</v>
      </c>
      <c r="K169" s="16">
        <f>G169*H169</f>
        <v>0</v>
      </c>
      <c r="L169" s="32" t="s">
        <v>473</v>
      </c>
      <c r="Z169" s="38">
        <f>IF(AQ169="5",BJ169,0)</f>
        <v>0</v>
      </c>
      <c r="AB169" s="38">
        <f>IF(AQ169="1",BH169,0)</f>
        <v>0</v>
      </c>
      <c r="AC169" s="38">
        <f>IF(AQ169="1",BI169,0)</f>
        <v>0</v>
      </c>
      <c r="AD169" s="38">
        <f>IF(AQ169="7",BH169,0)</f>
        <v>0</v>
      </c>
      <c r="AE169" s="38">
        <f>IF(AQ169="7",BI169,0)</f>
        <v>0</v>
      </c>
      <c r="AF169" s="38">
        <f>IF(AQ169="2",BH169,0)</f>
        <v>0</v>
      </c>
      <c r="AG169" s="38">
        <f>IF(AQ169="2",BI169,0)</f>
        <v>0</v>
      </c>
      <c r="AH169" s="38">
        <f>IF(AQ169="0",BJ169,0)</f>
        <v>0</v>
      </c>
      <c r="AI169" s="33"/>
      <c r="AJ169" s="16">
        <f>IF(AN169=0,K169,0)</f>
        <v>0</v>
      </c>
      <c r="AK169" s="16">
        <f>IF(AN169=15,K169,0)</f>
        <v>0</v>
      </c>
      <c r="AL169" s="16">
        <f>IF(AN169=21,K169,0)</f>
        <v>0</v>
      </c>
      <c r="AN169" s="38">
        <v>21</v>
      </c>
      <c r="AO169" s="38">
        <f>H169*0.329912280701754</f>
        <v>0</v>
      </c>
      <c r="AP169" s="38">
        <f>H169*(1-0.329912280701754)</f>
        <v>0</v>
      </c>
      <c r="AQ169" s="32" t="s">
        <v>8</v>
      </c>
      <c r="AV169" s="38">
        <f>AW169+AX169</f>
        <v>0</v>
      </c>
      <c r="AW169" s="38">
        <f>G169*AO169</f>
        <v>0</v>
      </c>
      <c r="AX169" s="38">
        <f>G169*AP169</f>
        <v>0</v>
      </c>
      <c r="AY169" s="39" t="s">
        <v>517</v>
      </c>
      <c r="AZ169" s="39" t="s">
        <v>529</v>
      </c>
      <c r="BA169" s="33" t="s">
        <v>531</v>
      </c>
      <c r="BB169" s="33" t="s">
        <v>565</v>
      </c>
      <c r="BC169" s="38">
        <f>AW169+AX169</f>
        <v>0</v>
      </c>
      <c r="BD169" s="38">
        <f>H169/(100-BE169)*100</f>
        <v>0</v>
      </c>
      <c r="BE169" s="38">
        <v>0</v>
      </c>
      <c r="BF169" s="38">
        <f>169</f>
        <v>169</v>
      </c>
      <c r="BH169" s="16">
        <f>G169*AO169</f>
        <v>0</v>
      </c>
      <c r="BI169" s="16">
        <f>G169*AP169</f>
        <v>0</v>
      </c>
      <c r="BJ169" s="16">
        <f>G169*H169</f>
        <v>0</v>
      </c>
    </row>
    <row r="170" spans="1:47" ht="12.75">
      <c r="A170" s="5"/>
      <c r="B170" s="13"/>
      <c r="C170" s="205" t="s">
        <v>433</v>
      </c>
      <c r="D170" s="206"/>
      <c r="E170" s="206"/>
      <c r="F170" s="5" t="s">
        <v>6</v>
      </c>
      <c r="G170" s="5" t="s">
        <v>6</v>
      </c>
      <c r="H170" s="23" t="s">
        <v>6</v>
      </c>
      <c r="I170" s="41">
        <f>SUM(I171:I179)</f>
        <v>0</v>
      </c>
      <c r="J170" s="41">
        <f>SUM(J171:J179)</f>
        <v>0</v>
      </c>
      <c r="K170" s="41">
        <f>SUM(K171:K179)</f>
        <v>0</v>
      </c>
      <c r="L170" s="33"/>
      <c r="AI170" s="33"/>
      <c r="AS170" s="41">
        <f>SUM(AJ171:AJ179)</f>
        <v>0</v>
      </c>
      <c r="AT170" s="41">
        <f>SUM(AK171:AK179)</f>
        <v>0</v>
      </c>
      <c r="AU170" s="41">
        <f>SUM(AL171:AL179)</f>
        <v>0</v>
      </c>
    </row>
    <row r="171" spans="1:62" ht="12.75">
      <c r="A171" s="6" t="s">
        <v>131</v>
      </c>
      <c r="B171" s="6" t="s">
        <v>265</v>
      </c>
      <c r="C171" s="210" t="s">
        <v>434</v>
      </c>
      <c r="D171" s="211"/>
      <c r="E171" s="211"/>
      <c r="F171" s="6" t="s">
        <v>455</v>
      </c>
      <c r="G171" s="17">
        <v>4.08</v>
      </c>
      <c r="H171" s="24">
        <v>0</v>
      </c>
      <c r="I171" s="17">
        <f aca="true" t="shared" si="132" ref="I171:I179">G171*AO171</f>
        <v>0</v>
      </c>
      <c r="J171" s="17">
        <f aca="true" t="shared" si="133" ref="J171:J179">G171*AP171</f>
        <v>0</v>
      </c>
      <c r="K171" s="17">
        <f aca="true" t="shared" si="134" ref="K171:K179">G171*H171</f>
        <v>0</v>
      </c>
      <c r="L171" s="34"/>
      <c r="Z171" s="38">
        <f aca="true" t="shared" si="135" ref="Z171:Z179">IF(AQ171="5",BJ171,0)</f>
        <v>0</v>
      </c>
      <c r="AB171" s="38">
        <f aca="true" t="shared" si="136" ref="AB171:AB179">IF(AQ171="1",BH171,0)</f>
        <v>0</v>
      </c>
      <c r="AC171" s="38">
        <f aca="true" t="shared" si="137" ref="AC171:AC179">IF(AQ171="1",BI171,0)</f>
        <v>0</v>
      </c>
      <c r="AD171" s="38">
        <f aca="true" t="shared" si="138" ref="AD171:AD179">IF(AQ171="7",BH171,0)</f>
        <v>0</v>
      </c>
      <c r="AE171" s="38">
        <f aca="true" t="shared" si="139" ref="AE171:AE179">IF(AQ171="7",BI171,0)</f>
        <v>0</v>
      </c>
      <c r="AF171" s="38">
        <f aca="true" t="shared" si="140" ref="AF171:AF179">IF(AQ171="2",BH171,0)</f>
        <v>0</v>
      </c>
      <c r="AG171" s="38">
        <f aca="true" t="shared" si="141" ref="AG171:AG179">IF(AQ171="2",BI171,0)</f>
        <v>0</v>
      </c>
      <c r="AH171" s="38">
        <f aca="true" t="shared" si="142" ref="AH171:AH179">IF(AQ171="0",BJ171,0)</f>
        <v>0</v>
      </c>
      <c r="AI171" s="33"/>
      <c r="AJ171" s="17">
        <f aca="true" t="shared" si="143" ref="AJ171:AJ179">IF(AN171=0,K171,0)</f>
        <v>0</v>
      </c>
      <c r="AK171" s="17">
        <f aca="true" t="shared" si="144" ref="AK171:AK179">IF(AN171=15,K171,0)</f>
        <v>0</v>
      </c>
      <c r="AL171" s="17">
        <f aca="true" t="shared" si="145" ref="AL171:AL179">IF(AN171=21,K171,0)</f>
        <v>0</v>
      </c>
      <c r="AN171" s="38">
        <v>21</v>
      </c>
      <c r="AO171" s="38">
        <f aca="true" t="shared" si="146" ref="AO171:AO177">H171*1</f>
        <v>0</v>
      </c>
      <c r="AP171" s="38">
        <f aca="true" t="shared" si="147" ref="AP171:AP177">H171*(1-1)</f>
        <v>0</v>
      </c>
      <c r="AQ171" s="34" t="s">
        <v>483</v>
      </c>
      <c r="AV171" s="38">
        <f aca="true" t="shared" si="148" ref="AV171:AV179">AW171+AX171</f>
        <v>0</v>
      </c>
      <c r="AW171" s="38">
        <f aca="true" t="shared" si="149" ref="AW171:AW179">G171*AO171</f>
        <v>0</v>
      </c>
      <c r="AX171" s="38">
        <f aca="true" t="shared" si="150" ref="AX171:AX179">G171*AP171</f>
        <v>0</v>
      </c>
      <c r="AY171" s="39" t="s">
        <v>518</v>
      </c>
      <c r="AZ171" s="39" t="s">
        <v>530</v>
      </c>
      <c r="BA171" s="33" t="s">
        <v>531</v>
      </c>
      <c r="BC171" s="38">
        <f aca="true" t="shared" si="151" ref="BC171:BC179">AW171+AX171</f>
        <v>0</v>
      </c>
      <c r="BD171" s="38">
        <f aca="true" t="shared" si="152" ref="BD171:BD179">H171/(100-BE171)*100</f>
        <v>0</v>
      </c>
      <c r="BE171" s="38">
        <v>0</v>
      </c>
      <c r="BF171" s="38">
        <f>171</f>
        <v>171</v>
      </c>
      <c r="BH171" s="17">
        <f aca="true" t="shared" si="153" ref="BH171:BH179">G171*AO171</f>
        <v>0</v>
      </c>
      <c r="BI171" s="17">
        <f aca="true" t="shared" si="154" ref="BI171:BI179">G171*AP171</f>
        <v>0</v>
      </c>
      <c r="BJ171" s="17">
        <f aca="true" t="shared" si="155" ref="BJ171:BJ179">G171*H171</f>
        <v>0</v>
      </c>
    </row>
    <row r="172" spans="1:62" ht="12.75">
      <c r="A172" s="6" t="s">
        <v>132</v>
      </c>
      <c r="B172" s="6" t="s">
        <v>266</v>
      </c>
      <c r="C172" s="210" t="s">
        <v>435</v>
      </c>
      <c r="D172" s="211"/>
      <c r="E172" s="211"/>
      <c r="F172" s="6" t="s">
        <v>447</v>
      </c>
      <c r="G172" s="17">
        <v>33.6</v>
      </c>
      <c r="H172" s="24">
        <v>0</v>
      </c>
      <c r="I172" s="17">
        <f t="shared" si="132"/>
        <v>0</v>
      </c>
      <c r="J172" s="17">
        <f t="shared" si="133"/>
        <v>0</v>
      </c>
      <c r="K172" s="17">
        <f t="shared" si="134"/>
        <v>0</v>
      </c>
      <c r="L172" s="34" t="s">
        <v>473</v>
      </c>
      <c r="Z172" s="38">
        <f t="shared" si="135"/>
        <v>0</v>
      </c>
      <c r="AB172" s="38">
        <f t="shared" si="136"/>
        <v>0</v>
      </c>
      <c r="AC172" s="38">
        <f t="shared" si="137"/>
        <v>0</v>
      </c>
      <c r="AD172" s="38">
        <f t="shared" si="138"/>
        <v>0</v>
      </c>
      <c r="AE172" s="38">
        <f t="shared" si="139"/>
        <v>0</v>
      </c>
      <c r="AF172" s="38">
        <f t="shared" si="140"/>
        <v>0</v>
      </c>
      <c r="AG172" s="38">
        <f t="shared" si="141"/>
        <v>0</v>
      </c>
      <c r="AH172" s="38">
        <f t="shared" si="142"/>
        <v>0</v>
      </c>
      <c r="AI172" s="33"/>
      <c r="AJ172" s="17">
        <f t="shared" si="143"/>
        <v>0</v>
      </c>
      <c r="AK172" s="17">
        <f t="shared" si="144"/>
        <v>0</v>
      </c>
      <c r="AL172" s="17">
        <f t="shared" si="145"/>
        <v>0</v>
      </c>
      <c r="AN172" s="38">
        <v>21</v>
      </c>
      <c r="AO172" s="38">
        <f t="shared" si="146"/>
        <v>0</v>
      </c>
      <c r="AP172" s="38">
        <f t="shared" si="147"/>
        <v>0</v>
      </c>
      <c r="AQ172" s="34" t="s">
        <v>483</v>
      </c>
      <c r="AV172" s="38">
        <f t="shared" si="148"/>
        <v>0</v>
      </c>
      <c r="AW172" s="38">
        <f t="shared" si="149"/>
        <v>0</v>
      </c>
      <c r="AX172" s="38">
        <f t="shared" si="150"/>
        <v>0</v>
      </c>
      <c r="AY172" s="39" t="s">
        <v>518</v>
      </c>
      <c r="AZ172" s="39" t="s">
        <v>530</v>
      </c>
      <c r="BA172" s="33" t="s">
        <v>531</v>
      </c>
      <c r="BC172" s="38">
        <f t="shared" si="151"/>
        <v>0</v>
      </c>
      <c r="BD172" s="38">
        <f t="shared" si="152"/>
        <v>0</v>
      </c>
      <c r="BE172" s="38">
        <v>0</v>
      </c>
      <c r="BF172" s="38">
        <f>172</f>
        <v>172</v>
      </c>
      <c r="BH172" s="17">
        <f t="shared" si="153"/>
        <v>0</v>
      </c>
      <c r="BI172" s="17">
        <f t="shared" si="154"/>
        <v>0</v>
      </c>
      <c r="BJ172" s="17">
        <f t="shared" si="155"/>
        <v>0</v>
      </c>
    </row>
    <row r="173" spans="1:62" ht="12.75">
      <c r="A173" s="6" t="s">
        <v>133</v>
      </c>
      <c r="B173" s="6" t="s">
        <v>267</v>
      </c>
      <c r="C173" s="210" t="s">
        <v>436</v>
      </c>
      <c r="D173" s="211"/>
      <c r="E173" s="211"/>
      <c r="F173" s="6" t="s">
        <v>453</v>
      </c>
      <c r="G173" s="17">
        <v>0.06825</v>
      </c>
      <c r="H173" s="24">
        <v>0</v>
      </c>
      <c r="I173" s="17">
        <f t="shared" si="132"/>
        <v>0</v>
      </c>
      <c r="J173" s="17">
        <f t="shared" si="133"/>
        <v>0</v>
      </c>
      <c r="K173" s="17">
        <f t="shared" si="134"/>
        <v>0</v>
      </c>
      <c r="L173" s="34" t="s">
        <v>473</v>
      </c>
      <c r="Z173" s="38">
        <f t="shared" si="135"/>
        <v>0</v>
      </c>
      <c r="AB173" s="38">
        <f t="shared" si="136"/>
        <v>0</v>
      </c>
      <c r="AC173" s="38">
        <f t="shared" si="137"/>
        <v>0</v>
      </c>
      <c r="AD173" s="38">
        <f t="shared" si="138"/>
        <v>0</v>
      </c>
      <c r="AE173" s="38">
        <f t="shared" si="139"/>
        <v>0</v>
      </c>
      <c r="AF173" s="38">
        <f t="shared" si="140"/>
        <v>0</v>
      </c>
      <c r="AG173" s="38">
        <f t="shared" si="141"/>
        <v>0</v>
      </c>
      <c r="AH173" s="38">
        <f t="shared" si="142"/>
        <v>0</v>
      </c>
      <c r="AI173" s="33"/>
      <c r="AJ173" s="17">
        <f t="shared" si="143"/>
        <v>0</v>
      </c>
      <c r="AK173" s="17">
        <f t="shared" si="144"/>
        <v>0</v>
      </c>
      <c r="AL173" s="17">
        <f t="shared" si="145"/>
        <v>0</v>
      </c>
      <c r="AN173" s="38">
        <v>21</v>
      </c>
      <c r="AO173" s="38">
        <f t="shared" si="146"/>
        <v>0</v>
      </c>
      <c r="AP173" s="38">
        <f t="shared" si="147"/>
        <v>0</v>
      </c>
      <c r="AQ173" s="34" t="s">
        <v>483</v>
      </c>
      <c r="AV173" s="38">
        <f t="shared" si="148"/>
        <v>0</v>
      </c>
      <c r="AW173" s="38">
        <f t="shared" si="149"/>
        <v>0</v>
      </c>
      <c r="AX173" s="38">
        <f t="shared" si="150"/>
        <v>0</v>
      </c>
      <c r="AY173" s="39" t="s">
        <v>518</v>
      </c>
      <c r="AZ173" s="39" t="s">
        <v>530</v>
      </c>
      <c r="BA173" s="33" t="s">
        <v>531</v>
      </c>
      <c r="BC173" s="38">
        <f t="shared" si="151"/>
        <v>0</v>
      </c>
      <c r="BD173" s="38">
        <f t="shared" si="152"/>
        <v>0</v>
      </c>
      <c r="BE173" s="38">
        <v>0</v>
      </c>
      <c r="BF173" s="38">
        <f>173</f>
        <v>173</v>
      </c>
      <c r="BH173" s="17">
        <f t="shared" si="153"/>
        <v>0</v>
      </c>
      <c r="BI173" s="17">
        <f t="shared" si="154"/>
        <v>0</v>
      </c>
      <c r="BJ173" s="17">
        <f t="shared" si="155"/>
        <v>0</v>
      </c>
    </row>
    <row r="174" spans="1:62" ht="12.75">
      <c r="A174" s="6" t="s">
        <v>134</v>
      </c>
      <c r="B174" s="6" t="s">
        <v>268</v>
      </c>
      <c r="C174" s="210" t="s">
        <v>437</v>
      </c>
      <c r="D174" s="211"/>
      <c r="E174" s="211"/>
      <c r="F174" s="6" t="s">
        <v>448</v>
      </c>
      <c r="G174" s="17">
        <v>12.6</v>
      </c>
      <c r="H174" s="24">
        <v>0</v>
      </c>
      <c r="I174" s="17">
        <f t="shared" si="132"/>
        <v>0</v>
      </c>
      <c r="J174" s="17">
        <f t="shared" si="133"/>
        <v>0</v>
      </c>
      <c r="K174" s="17">
        <f t="shared" si="134"/>
        <v>0</v>
      </c>
      <c r="L174" s="34" t="s">
        <v>473</v>
      </c>
      <c r="Z174" s="38">
        <f t="shared" si="135"/>
        <v>0</v>
      </c>
      <c r="AB174" s="38">
        <f t="shared" si="136"/>
        <v>0</v>
      </c>
      <c r="AC174" s="38">
        <f t="shared" si="137"/>
        <v>0</v>
      </c>
      <c r="AD174" s="38">
        <f t="shared" si="138"/>
        <v>0</v>
      </c>
      <c r="AE174" s="38">
        <f t="shared" si="139"/>
        <v>0</v>
      </c>
      <c r="AF174" s="38">
        <f t="shared" si="140"/>
        <v>0</v>
      </c>
      <c r="AG174" s="38">
        <f t="shared" si="141"/>
        <v>0</v>
      </c>
      <c r="AH174" s="38">
        <f t="shared" si="142"/>
        <v>0</v>
      </c>
      <c r="AI174" s="33"/>
      <c r="AJ174" s="17">
        <f t="shared" si="143"/>
        <v>0</v>
      </c>
      <c r="AK174" s="17">
        <f t="shared" si="144"/>
        <v>0</v>
      </c>
      <c r="AL174" s="17">
        <f t="shared" si="145"/>
        <v>0</v>
      </c>
      <c r="AN174" s="38">
        <v>21</v>
      </c>
      <c r="AO174" s="38">
        <f t="shared" si="146"/>
        <v>0</v>
      </c>
      <c r="AP174" s="38">
        <f t="shared" si="147"/>
        <v>0</v>
      </c>
      <c r="AQ174" s="34" t="s">
        <v>483</v>
      </c>
      <c r="AV174" s="38">
        <f t="shared" si="148"/>
        <v>0</v>
      </c>
      <c r="AW174" s="38">
        <f t="shared" si="149"/>
        <v>0</v>
      </c>
      <c r="AX174" s="38">
        <f t="shared" si="150"/>
        <v>0</v>
      </c>
      <c r="AY174" s="39" t="s">
        <v>518</v>
      </c>
      <c r="AZ174" s="39" t="s">
        <v>530</v>
      </c>
      <c r="BA174" s="33" t="s">
        <v>531</v>
      </c>
      <c r="BC174" s="38">
        <f t="shared" si="151"/>
        <v>0</v>
      </c>
      <c r="BD174" s="38">
        <f t="shared" si="152"/>
        <v>0</v>
      </c>
      <c r="BE174" s="38">
        <v>0</v>
      </c>
      <c r="BF174" s="38">
        <f>174</f>
        <v>174</v>
      </c>
      <c r="BH174" s="17">
        <f t="shared" si="153"/>
        <v>0</v>
      </c>
      <c r="BI174" s="17">
        <f t="shared" si="154"/>
        <v>0</v>
      </c>
      <c r="BJ174" s="17">
        <f t="shared" si="155"/>
        <v>0</v>
      </c>
    </row>
    <row r="175" spans="1:62" ht="12.75">
      <c r="A175" s="6" t="s">
        <v>135</v>
      </c>
      <c r="B175" s="6" t="s">
        <v>269</v>
      </c>
      <c r="C175" s="210" t="s">
        <v>438</v>
      </c>
      <c r="D175" s="211"/>
      <c r="E175" s="211"/>
      <c r="F175" s="6" t="s">
        <v>448</v>
      </c>
      <c r="G175" s="17">
        <v>34.65</v>
      </c>
      <c r="H175" s="24">
        <v>0</v>
      </c>
      <c r="I175" s="17">
        <f t="shared" si="132"/>
        <v>0</v>
      </c>
      <c r="J175" s="17">
        <f t="shared" si="133"/>
        <v>0</v>
      </c>
      <c r="K175" s="17">
        <f t="shared" si="134"/>
        <v>0</v>
      </c>
      <c r="L175" s="34" t="s">
        <v>473</v>
      </c>
      <c r="Z175" s="38">
        <f t="shared" si="135"/>
        <v>0</v>
      </c>
      <c r="AB175" s="38">
        <f t="shared" si="136"/>
        <v>0</v>
      </c>
      <c r="AC175" s="38">
        <f t="shared" si="137"/>
        <v>0</v>
      </c>
      <c r="AD175" s="38">
        <f t="shared" si="138"/>
        <v>0</v>
      </c>
      <c r="AE175" s="38">
        <f t="shared" si="139"/>
        <v>0</v>
      </c>
      <c r="AF175" s="38">
        <f t="shared" si="140"/>
        <v>0</v>
      </c>
      <c r="AG175" s="38">
        <f t="shared" si="141"/>
        <v>0</v>
      </c>
      <c r="AH175" s="38">
        <f t="shared" si="142"/>
        <v>0</v>
      </c>
      <c r="AI175" s="33"/>
      <c r="AJ175" s="17">
        <f t="shared" si="143"/>
        <v>0</v>
      </c>
      <c r="AK175" s="17">
        <f t="shared" si="144"/>
        <v>0</v>
      </c>
      <c r="AL175" s="17">
        <f t="shared" si="145"/>
        <v>0</v>
      </c>
      <c r="AN175" s="38">
        <v>21</v>
      </c>
      <c r="AO175" s="38">
        <f t="shared" si="146"/>
        <v>0</v>
      </c>
      <c r="AP175" s="38">
        <f t="shared" si="147"/>
        <v>0</v>
      </c>
      <c r="AQ175" s="34" t="s">
        <v>483</v>
      </c>
      <c r="AV175" s="38">
        <f t="shared" si="148"/>
        <v>0</v>
      </c>
      <c r="AW175" s="38">
        <f t="shared" si="149"/>
        <v>0</v>
      </c>
      <c r="AX175" s="38">
        <f t="shared" si="150"/>
        <v>0</v>
      </c>
      <c r="AY175" s="39" t="s">
        <v>518</v>
      </c>
      <c r="AZ175" s="39" t="s">
        <v>530</v>
      </c>
      <c r="BA175" s="33" t="s">
        <v>531</v>
      </c>
      <c r="BC175" s="38">
        <f t="shared" si="151"/>
        <v>0</v>
      </c>
      <c r="BD175" s="38">
        <f t="shared" si="152"/>
        <v>0</v>
      </c>
      <c r="BE175" s="38">
        <v>0</v>
      </c>
      <c r="BF175" s="38">
        <f>175</f>
        <v>175</v>
      </c>
      <c r="BH175" s="17">
        <f t="shared" si="153"/>
        <v>0</v>
      </c>
      <c r="BI175" s="17">
        <f t="shared" si="154"/>
        <v>0</v>
      </c>
      <c r="BJ175" s="17">
        <f t="shared" si="155"/>
        <v>0</v>
      </c>
    </row>
    <row r="176" spans="1:62" ht="12.75">
      <c r="A176" s="6" t="s">
        <v>136</v>
      </c>
      <c r="B176" s="6" t="s">
        <v>270</v>
      </c>
      <c r="C176" s="210" t="s">
        <v>439</v>
      </c>
      <c r="D176" s="211"/>
      <c r="E176" s="211"/>
      <c r="F176" s="6" t="s">
        <v>448</v>
      </c>
      <c r="G176" s="17">
        <v>26.25</v>
      </c>
      <c r="H176" s="24">
        <v>0</v>
      </c>
      <c r="I176" s="17">
        <f t="shared" si="132"/>
        <v>0</v>
      </c>
      <c r="J176" s="17">
        <f t="shared" si="133"/>
        <v>0</v>
      </c>
      <c r="K176" s="17">
        <f t="shared" si="134"/>
        <v>0</v>
      </c>
      <c r="L176" s="34" t="s">
        <v>473</v>
      </c>
      <c r="Z176" s="38">
        <f t="shared" si="135"/>
        <v>0</v>
      </c>
      <c r="AB176" s="38">
        <f t="shared" si="136"/>
        <v>0</v>
      </c>
      <c r="AC176" s="38">
        <f t="shared" si="137"/>
        <v>0</v>
      </c>
      <c r="AD176" s="38">
        <f t="shared" si="138"/>
        <v>0</v>
      </c>
      <c r="AE176" s="38">
        <f t="shared" si="139"/>
        <v>0</v>
      </c>
      <c r="AF176" s="38">
        <f t="shared" si="140"/>
        <v>0</v>
      </c>
      <c r="AG176" s="38">
        <f t="shared" si="141"/>
        <v>0</v>
      </c>
      <c r="AH176" s="38">
        <f t="shared" si="142"/>
        <v>0</v>
      </c>
      <c r="AI176" s="33"/>
      <c r="AJ176" s="17">
        <f t="shared" si="143"/>
        <v>0</v>
      </c>
      <c r="AK176" s="17">
        <f t="shared" si="144"/>
        <v>0</v>
      </c>
      <c r="AL176" s="17">
        <f t="shared" si="145"/>
        <v>0</v>
      </c>
      <c r="AN176" s="38">
        <v>21</v>
      </c>
      <c r="AO176" s="38">
        <f t="shared" si="146"/>
        <v>0</v>
      </c>
      <c r="AP176" s="38">
        <f t="shared" si="147"/>
        <v>0</v>
      </c>
      <c r="AQ176" s="34" t="s">
        <v>483</v>
      </c>
      <c r="AV176" s="38">
        <f t="shared" si="148"/>
        <v>0</v>
      </c>
      <c r="AW176" s="38">
        <f t="shared" si="149"/>
        <v>0</v>
      </c>
      <c r="AX176" s="38">
        <f t="shared" si="150"/>
        <v>0</v>
      </c>
      <c r="AY176" s="39" t="s">
        <v>518</v>
      </c>
      <c r="AZ176" s="39" t="s">
        <v>530</v>
      </c>
      <c r="BA176" s="33" t="s">
        <v>531</v>
      </c>
      <c r="BC176" s="38">
        <f t="shared" si="151"/>
        <v>0</v>
      </c>
      <c r="BD176" s="38">
        <f t="shared" si="152"/>
        <v>0</v>
      </c>
      <c r="BE176" s="38">
        <v>0</v>
      </c>
      <c r="BF176" s="38">
        <f>176</f>
        <v>176</v>
      </c>
      <c r="BH176" s="17">
        <f t="shared" si="153"/>
        <v>0</v>
      </c>
      <c r="BI176" s="17">
        <f t="shared" si="154"/>
        <v>0</v>
      </c>
      <c r="BJ176" s="17">
        <f t="shared" si="155"/>
        <v>0</v>
      </c>
    </row>
    <row r="177" spans="1:62" ht="12.75">
      <c r="A177" s="6" t="s">
        <v>137</v>
      </c>
      <c r="B177" s="6" t="s">
        <v>271</v>
      </c>
      <c r="C177" s="210" t="s">
        <v>440</v>
      </c>
      <c r="D177" s="211"/>
      <c r="E177" s="211"/>
      <c r="F177" s="6" t="s">
        <v>453</v>
      </c>
      <c r="G177" s="17">
        <v>0.282</v>
      </c>
      <c r="H177" s="24">
        <v>0</v>
      </c>
      <c r="I177" s="17">
        <f t="shared" si="132"/>
        <v>0</v>
      </c>
      <c r="J177" s="17">
        <f t="shared" si="133"/>
        <v>0</v>
      </c>
      <c r="K177" s="17">
        <f t="shared" si="134"/>
        <v>0</v>
      </c>
      <c r="L177" s="34" t="s">
        <v>473</v>
      </c>
      <c r="Z177" s="38">
        <f t="shared" si="135"/>
        <v>0</v>
      </c>
      <c r="AB177" s="38">
        <f t="shared" si="136"/>
        <v>0</v>
      </c>
      <c r="AC177" s="38">
        <f t="shared" si="137"/>
        <v>0</v>
      </c>
      <c r="AD177" s="38">
        <f t="shared" si="138"/>
        <v>0</v>
      </c>
      <c r="AE177" s="38">
        <f t="shared" si="139"/>
        <v>0</v>
      </c>
      <c r="AF177" s="38">
        <f t="shared" si="140"/>
        <v>0</v>
      </c>
      <c r="AG177" s="38">
        <f t="shared" si="141"/>
        <v>0</v>
      </c>
      <c r="AH177" s="38">
        <f t="shared" si="142"/>
        <v>0</v>
      </c>
      <c r="AI177" s="33"/>
      <c r="AJ177" s="17">
        <f t="shared" si="143"/>
        <v>0</v>
      </c>
      <c r="AK177" s="17">
        <f t="shared" si="144"/>
        <v>0</v>
      </c>
      <c r="AL177" s="17">
        <f t="shared" si="145"/>
        <v>0</v>
      </c>
      <c r="AN177" s="38">
        <v>21</v>
      </c>
      <c r="AO177" s="38">
        <f t="shared" si="146"/>
        <v>0</v>
      </c>
      <c r="AP177" s="38">
        <f t="shared" si="147"/>
        <v>0</v>
      </c>
      <c r="AQ177" s="34" t="s">
        <v>483</v>
      </c>
      <c r="AV177" s="38">
        <f t="shared" si="148"/>
        <v>0</v>
      </c>
      <c r="AW177" s="38">
        <f t="shared" si="149"/>
        <v>0</v>
      </c>
      <c r="AX177" s="38">
        <f t="shared" si="150"/>
        <v>0</v>
      </c>
      <c r="AY177" s="39" t="s">
        <v>518</v>
      </c>
      <c r="AZ177" s="39" t="s">
        <v>530</v>
      </c>
      <c r="BA177" s="33" t="s">
        <v>531</v>
      </c>
      <c r="BC177" s="38">
        <f t="shared" si="151"/>
        <v>0</v>
      </c>
      <c r="BD177" s="38">
        <f t="shared" si="152"/>
        <v>0</v>
      </c>
      <c r="BE177" s="38">
        <v>0</v>
      </c>
      <c r="BF177" s="38">
        <f>177</f>
        <v>177</v>
      </c>
      <c r="BH177" s="17">
        <f t="shared" si="153"/>
        <v>0</v>
      </c>
      <c r="BI177" s="17">
        <f t="shared" si="154"/>
        <v>0</v>
      </c>
      <c r="BJ177" s="17">
        <f t="shared" si="155"/>
        <v>0</v>
      </c>
    </row>
    <row r="178" spans="1:62" ht="12.75">
      <c r="A178" s="4" t="s">
        <v>138</v>
      </c>
      <c r="B178" s="4" t="s">
        <v>272</v>
      </c>
      <c r="C178" s="203" t="s">
        <v>708</v>
      </c>
      <c r="D178" s="204"/>
      <c r="E178" s="204"/>
      <c r="F178" s="4" t="s">
        <v>453</v>
      </c>
      <c r="G178" s="16">
        <v>1193.59966</v>
      </c>
      <c r="H178" s="22">
        <v>0</v>
      </c>
      <c r="I178" s="16">
        <f t="shared" si="132"/>
        <v>0</v>
      </c>
      <c r="J178" s="16">
        <f t="shared" si="133"/>
        <v>0</v>
      </c>
      <c r="K178" s="16">
        <f t="shared" si="134"/>
        <v>0</v>
      </c>
      <c r="L178" s="32" t="s">
        <v>473</v>
      </c>
      <c r="Z178" s="38">
        <f t="shared" si="135"/>
        <v>0</v>
      </c>
      <c r="AB178" s="38">
        <f t="shared" si="136"/>
        <v>0</v>
      </c>
      <c r="AC178" s="38">
        <f t="shared" si="137"/>
        <v>0</v>
      </c>
      <c r="AD178" s="38">
        <f t="shared" si="138"/>
        <v>0</v>
      </c>
      <c r="AE178" s="38">
        <f t="shared" si="139"/>
        <v>0</v>
      </c>
      <c r="AF178" s="38">
        <f t="shared" si="140"/>
        <v>0</v>
      </c>
      <c r="AG178" s="38">
        <f t="shared" si="141"/>
        <v>0</v>
      </c>
      <c r="AH178" s="38">
        <f t="shared" si="142"/>
        <v>0</v>
      </c>
      <c r="AI178" s="33"/>
      <c r="AJ178" s="16">
        <f t="shared" si="143"/>
        <v>0</v>
      </c>
      <c r="AK178" s="16">
        <f t="shared" si="144"/>
        <v>0</v>
      </c>
      <c r="AL178" s="16">
        <f t="shared" si="145"/>
        <v>0</v>
      </c>
      <c r="AN178" s="38">
        <v>21</v>
      </c>
      <c r="AO178" s="38">
        <f>H178*0</f>
        <v>0</v>
      </c>
      <c r="AP178" s="38">
        <f>H178*(1-0)</f>
        <v>0</v>
      </c>
      <c r="AQ178" s="32" t="s">
        <v>11</v>
      </c>
      <c r="AV178" s="38">
        <f t="shared" si="148"/>
        <v>0</v>
      </c>
      <c r="AW178" s="38">
        <f t="shared" si="149"/>
        <v>0</v>
      </c>
      <c r="AX178" s="38">
        <f t="shared" si="150"/>
        <v>0</v>
      </c>
      <c r="AY178" s="39" t="s">
        <v>518</v>
      </c>
      <c r="AZ178" s="39" t="s">
        <v>530</v>
      </c>
      <c r="BA178" s="33" t="s">
        <v>531</v>
      </c>
      <c r="BB178" s="33" t="s">
        <v>532</v>
      </c>
      <c r="BC178" s="38">
        <f t="shared" si="151"/>
        <v>0</v>
      </c>
      <c r="BD178" s="38">
        <f t="shared" si="152"/>
        <v>0</v>
      </c>
      <c r="BE178" s="38">
        <v>0</v>
      </c>
      <c r="BF178" s="38">
        <f>179</f>
        <v>179</v>
      </c>
      <c r="BH178" s="16">
        <f t="shared" si="153"/>
        <v>0</v>
      </c>
      <c r="BI178" s="16">
        <f t="shared" si="154"/>
        <v>0</v>
      </c>
      <c r="BJ178" s="16">
        <f t="shared" si="155"/>
        <v>0</v>
      </c>
    </row>
    <row r="179" spans="1:62" ht="12.75">
      <c r="A179" s="7" t="s">
        <v>139</v>
      </c>
      <c r="B179" s="7" t="s">
        <v>273</v>
      </c>
      <c r="C179" s="207" t="s">
        <v>709</v>
      </c>
      <c r="D179" s="208"/>
      <c r="E179" s="208"/>
      <c r="F179" s="7" t="s">
        <v>448</v>
      </c>
      <c r="G179" s="18">
        <v>3.15</v>
      </c>
      <c r="H179" s="25">
        <v>0</v>
      </c>
      <c r="I179" s="18">
        <f t="shared" si="132"/>
        <v>0</v>
      </c>
      <c r="J179" s="18">
        <f t="shared" si="133"/>
        <v>0</v>
      </c>
      <c r="K179" s="18">
        <f t="shared" si="134"/>
        <v>0</v>
      </c>
      <c r="L179" s="35" t="s">
        <v>473</v>
      </c>
      <c r="Z179" s="38">
        <f t="shared" si="135"/>
        <v>0</v>
      </c>
      <c r="AB179" s="38">
        <f t="shared" si="136"/>
        <v>0</v>
      </c>
      <c r="AC179" s="38">
        <f t="shared" si="137"/>
        <v>0</v>
      </c>
      <c r="AD179" s="38">
        <f t="shared" si="138"/>
        <v>0</v>
      </c>
      <c r="AE179" s="38">
        <f t="shared" si="139"/>
        <v>0</v>
      </c>
      <c r="AF179" s="38">
        <f t="shared" si="140"/>
        <v>0</v>
      </c>
      <c r="AG179" s="38">
        <f t="shared" si="141"/>
        <v>0</v>
      </c>
      <c r="AH179" s="38">
        <f t="shared" si="142"/>
        <v>0</v>
      </c>
      <c r="AI179" s="33"/>
      <c r="AJ179" s="17">
        <f t="shared" si="143"/>
        <v>0</v>
      </c>
      <c r="AK179" s="17">
        <f t="shared" si="144"/>
        <v>0</v>
      </c>
      <c r="AL179" s="17">
        <f t="shared" si="145"/>
        <v>0</v>
      </c>
      <c r="AN179" s="38">
        <v>21</v>
      </c>
      <c r="AO179" s="38">
        <f>H179*1</f>
        <v>0</v>
      </c>
      <c r="AP179" s="38">
        <f>H179*(1-1)</f>
        <v>0</v>
      </c>
      <c r="AQ179" s="34" t="s">
        <v>483</v>
      </c>
      <c r="AV179" s="38">
        <f t="shared" si="148"/>
        <v>0</v>
      </c>
      <c r="AW179" s="38">
        <f t="shared" si="149"/>
        <v>0</v>
      </c>
      <c r="AX179" s="38">
        <f t="shared" si="150"/>
        <v>0</v>
      </c>
      <c r="AY179" s="39" t="s">
        <v>518</v>
      </c>
      <c r="AZ179" s="39" t="s">
        <v>530</v>
      </c>
      <c r="BA179" s="33" t="s">
        <v>531</v>
      </c>
      <c r="BC179" s="38">
        <f t="shared" si="151"/>
        <v>0</v>
      </c>
      <c r="BD179" s="38">
        <f t="shared" si="152"/>
        <v>0</v>
      </c>
      <c r="BE179" s="38">
        <v>0</v>
      </c>
      <c r="BF179" s="38">
        <f>180</f>
        <v>180</v>
      </c>
      <c r="BH179" s="17">
        <f t="shared" si="153"/>
        <v>0</v>
      </c>
      <c r="BI179" s="17">
        <f t="shared" si="154"/>
        <v>0</v>
      </c>
      <c r="BJ179" s="17">
        <f t="shared" si="155"/>
        <v>0</v>
      </c>
    </row>
    <row r="180" spans="1:12" ht="12.75">
      <c r="A180" s="8"/>
      <c r="B180" s="8"/>
      <c r="C180" s="8"/>
      <c r="D180" s="8"/>
      <c r="E180" s="8"/>
      <c r="F180" s="8"/>
      <c r="G180" s="8"/>
      <c r="H180" s="8"/>
      <c r="I180" s="209" t="s">
        <v>468</v>
      </c>
      <c r="J180" s="140"/>
      <c r="K180" s="42">
        <f>K12+K23+K32+K36+K38+K44+K48+K50+K52+K63+K65+K70+K72+K81+K86+K88+K98+K101+K107+K111+K117+K121+K126+K128+K133+K135+K138+K140+K144+K150+K153+K162+K166+K168+K170</f>
        <v>0</v>
      </c>
      <c r="L180" s="8"/>
    </row>
    <row r="181" ht="11.25" customHeight="1">
      <c r="A181" s="9" t="s">
        <v>140</v>
      </c>
    </row>
    <row r="182" spans="1:12" ht="12.75">
      <c r="A182" s="147" t="s">
        <v>141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8"/>
      <c r="L182" s="138"/>
    </row>
  </sheetData>
  <sheetProtection algorithmName="SHA-512" hashValue="4NfimcjuD1sClPI6xXx0nSwaEa3UfH1GwGOhTzBTPA7g2ZJQHVxpGpuVi6p3OZ09BdcfvJVEfEWjqSLCqT4i9w==" saltValue="rAGluuQqhK3jLjmr4aQ9Hw==" spinCount="100000" sheet="1" objects="1" scenarios="1"/>
  <mergeCells count="198">
    <mergeCell ref="C179:E179"/>
    <mergeCell ref="I180:J180"/>
    <mergeCell ref="A182:L182"/>
    <mergeCell ref="C171:E171"/>
    <mergeCell ref="C172:E172"/>
    <mergeCell ref="C173:E173"/>
    <mergeCell ref="C174:E174"/>
    <mergeCell ref="C175:E175"/>
    <mergeCell ref="C176:E176"/>
    <mergeCell ref="C177:E177"/>
    <mergeCell ref="C178:E178"/>
    <mergeCell ref="C162:E162"/>
    <mergeCell ref="C163:E163"/>
    <mergeCell ref="C164:E164"/>
    <mergeCell ref="C165:E165"/>
    <mergeCell ref="C166:E166"/>
    <mergeCell ref="C167:E167"/>
    <mergeCell ref="C168:E168"/>
    <mergeCell ref="C169:E169"/>
    <mergeCell ref="C170:E170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C152:E152"/>
    <mergeCell ref="C135:E135"/>
    <mergeCell ref="C136:E136"/>
    <mergeCell ref="C137:E137"/>
    <mergeCell ref="C138:E138"/>
    <mergeCell ref="C139:E139"/>
    <mergeCell ref="C140:E140"/>
    <mergeCell ref="C141:E141"/>
    <mergeCell ref="C142:E142"/>
    <mergeCell ref="C143:E143"/>
    <mergeCell ref="C126:E126"/>
    <mergeCell ref="C127:E127"/>
    <mergeCell ref="C128:E128"/>
    <mergeCell ref="C129:E129"/>
    <mergeCell ref="C130:E130"/>
    <mergeCell ref="C131:E131"/>
    <mergeCell ref="C132:E132"/>
    <mergeCell ref="C133:E133"/>
    <mergeCell ref="C134:E134"/>
    <mergeCell ref="C117:E117"/>
    <mergeCell ref="C118:E118"/>
    <mergeCell ref="C119:E119"/>
    <mergeCell ref="C120:E120"/>
    <mergeCell ref="C121:E121"/>
    <mergeCell ref="C122:E122"/>
    <mergeCell ref="C123:E123"/>
    <mergeCell ref="C124:E124"/>
    <mergeCell ref="C125:E125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81:E81"/>
    <mergeCell ref="C82:E82"/>
    <mergeCell ref="C83:E83"/>
    <mergeCell ref="C84:E84"/>
    <mergeCell ref="C85:E85"/>
    <mergeCell ref="C86:E86"/>
    <mergeCell ref="C87:E87"/>
    <mergeCell ref="C88:E88"/>
    <mergeCell ref="C89:E89"/>
    <mergeCell ref="C72:E72"/>
    <mergeCell ref="C73:E73"/>
    <mergeCell ref="C74:E74"/>
    <mergeCell ref="C75:E75"/>
    <mergeCell ref="C76:E76"/>
    <mergeCell ref="C77:E77"/>
    <mergeCell ref="C78:E78"/>
    <mergeCell ref="C79:E79"/>
    <mergeCell ref="C80:E80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54:E54"/>
    <mergeCell ref="C55:E55"/>
    <mergeCell ref="C56:E56"/>
    <mergeCell ref="C57:E57"/>
    <mergeCell ref="C58:E58"/>
    <mergeCell ref="C59:E59"/>
    <mergeCell ref="C60:E60"/>
    <mergeCell ref="C61:E61"/>
    <mergeCell ref="C62:E62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10:E10"/>
    <mergeCell ref="I10:K10"/>
    <mergeCell ref="C11:E11"/>
    <mergeCell ref="C12:E12"/>
    <mergeCell ref="C13:E13"/>
    <mergeCell ref="C14:E14"/>
    <mergeCell ref="C15:E15"/>
    <mergeCell ref="C16:E16"/>
    <mergeCell ref="C17:E17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 topLeftCell="A1">
      <pane ySplit="10" topLeftCell="A11" activePane="bottomLeft" state="frozen"/>
      <selection pane="topLeft" activeCell="L24" sqref="L24"/>
      <selection pane="bottomLeft" activeCell="L24" sqref="L24"/>
    </sheetView>
  </sheetViews>
  <sheetFormatPr defaultColWidth="11.57421875" defaultRowHeight="12.75"/>
  <cols>
    <col min="1" max="2" width="16.57421875" style="0" customWidth="1"/>
    <col min="3" max="3" width="41.7109375" style="0" customWidth="1"/>
    <col min="5" max="5" width="22.140625" style="0" customWidth="1"/>
    <col min="6" max="6" width="21.00390625" style="0" customWidth="1"/>
    <col min="7" max="7" width="20.8515625" style="0" customWidth="1"/>
    <col min="8" max="9" width="11.57421875" style="0" hidden="1" customWidth="1"/>
  </cols>
  <sheetData>
    <row r="1" spans="1:7" ht="73.15" customHeight="1">
      <c r="A1" s="181" t="s">
        <v>569</v>
      </c>
      <c r="B1" s="134"/>
      <c r="C1" s="134"/>
      <c r="D1" s="134"/>
      <c r="E1" s="134"/>
      <c r="F1" s="134"/>
      <c r="G1" s="134"/>
    </row>
    <row r="2" spans="1:8" ht="12.75">
      <c r="A2" s="135" t="s">
        <v>1</v>
      </c>
      <c r="B2" s="139" t="str">
        <f>'Stavební rozpočet'!C2</f>
        <v>MVE Litice, rekonstrukce mostu přes odpadní koryto</v>
      </c>
      <c r="C2" s="140"/>
      <c r="D2" s="142" t="s">
        <v>457</v>
      </c>
      <c r="E2" s="142" t="str">
        <f>'Stavební rozpočet'!I2</f>
        <v>Povodí Labe, státní podnik</v>
      </c>
      <c r="F2" s="136"/>
      <c r="G2" s="185"/>
      <c r="H2" s="36"/>
    </row>
    <row r="3" spans="1:8" ht="12.75">
      <c r="A3" s="137"/>
      <c r="B3" s="141"/>
      <c r="C3" s="141"/>
      <c r="D3" s="138"/>
      <c r="E3" s="138"/>
      <c r="F3" s="138"/>
      <c r="G3" s="144"/>
      <c r="H3" s="36"/>
    </row>
    <row r="4" spans="1:8" ht="12.75">
      <c r="A4" s="146" t="s">
        <v>2</v>
      </c>
      <c r="B4" s="147" t="str">
        <f>'Stavební rozpočet'!C4</f>
        <v>rekonstrukce mostu</v>
      </c>
      <c r="C4" s="138"/>
      <c r="D4" s="147" t="s">
        <v>458</v>
      </c>
      <c r="E4" s="147" t="str">
        <f>'Stavební rozpočet'!I4</f>
        <v>KUCIÁN statika s.r.o.</v>
      </c>
      <c r="F4" s="138"/>
      <c r="G4" s="144"/>
      <c r="H4" s="36"/>
    </row>
    <row r="5" spans="1:8" ht="12.75">
      <c r="A5" s="137"/>
      <c r="B5" s="138"/>
      <c r="C5" s="138"/>
      <c r="D5" s="138"/>
      <c r="E5" s="138"/>
      <c r="F5" s="138"/>
      <c r="G5" s="144"/>
      <c r="H5" s="36"/>
    </row>
    <row r="6" spans="1:8" ht="12.75">
      <c r="A6" s="146" t="s">
        <v>3</v>
      </c>
      <c r="B6" s="147" t="str">
        <f>'Stavební rozpočet'!C6</f>
        <v>Litice</v>
      </c>
      <c r="C6" s="138"/>
      <c r="D6" s="147" t="s">
        <v>459</v>
      </c>
      <c r="E6" s="147" t="str">
        <f>'Stavební rozpočet'!I6</f>
        <v>dle výběrového řízení</v>
      </c>
      <c r="F6" s="138"/>
      <c r="G6" s="144"/>
      <c r="H6" s="36"/>
    </row>
    <row r="7" spans="1:8" ht="12.75">
      <c r="A7" s="137"/>
      <c r="B7" s="138"/>
      <c r="C7" s="138"/>
      <c r="D7" s="138"/>
      <c r="E7" s="138"/>
      <c r="F7" s="138"/>
      <c r="G7" s="144"/>
      <c r="H7" s="36"/>
    </row>
    <row r="8" spans="1:8" ht="12.75">
      <c r="A8" s="146" t="s">
        <v>460</v>
      </c>
      <c r="B8" s="147" t="str">
        <f>'Stavební rozpočet'!I8</f>
        <v>Ing. Jaromír Kucián</v>
      </c>
      <c r="C8" s="138"/>
      <c r="D8" s="150" t="s">
        <v>444</v>
      </c>
      <c r="E8" s="147" t="str">
        <f>'Stavební rozpočet'!F8</f>
        <v>06.10.2020</v>
      </c>
      <c r="F8" s="138"/>
      <c r="G8" s="144"/>
      <c r="H8" s="36"/>
    </row>
    <row r="9" spans="1:8" ht="12.75">
      <c r="A9" s="188"/>
      <c r="B9" s="189"/>
      <c r="C9" s="189"/>
      <c r="D9" s="189"/>
      <c r="E9" s="189"/>
      <c r="F9" s="189"/>
      <c r="G9" s="212"/>
      <c r="H9" s="36"/>
    </row>
    <row r="10" spans="1:8" ht="12.75">
      <c r="A10" s="43" t="s">
        <v>570</v>
      </c>
      <c r="B10" s="45" t="s">
        <v>142</v>
      </c>
      <c r="C10" s="213" t="s">
        <v>277</v>
      </c>
      <c r="D10" s="214"/>
      <c r="E10" s="46" t="s">
        <v>571</v>
      </c>
      <c r="F10" s="46" t="s">
        <v>572</v>
      </c>
      <c r="G10" s="46" t="s">
        <v>573</v>
      </c>
      <c r="H10" s="36"/>
    </row>
    <row r="11" spans="1:9" ht="12.75">
      <c r="A11" s="44"/>
      <c r="B11" s="44" t="s">
        <v>17</v>
      </c>
      <c r="C11" s="215" t="s">
        <v>279</v>
      </c>
      <c r="D11" s="216"/>
      <c r="E11" s="48">
        <f>'Stavební rozpočet'!I12</f>
        <v>0</v>
      </c>
      <c r="F11" s="48">
        <f>'Stavební rozpočet'!J12</f>
        <v>0</v>
      </c>
      <c r="G11" s="48">
        <f>'Stavební rozpočet'!K12</f>
        <v>0</v>
      </c>
      <c r="H11" s="38" t="s">
        <v>574</v>
      </c>
      <c r="I11" s="38">
        <f aca="true" t="shared" si="0" ref="I11:I45">IF(H11="F",0,G11)</f>
        <v>0</v>
      </c>
    </row>
    <row r="12" spans="1:9" ht="12.75">
      <c r="A12" s="14"/>
      <c r="B12" s="14" t="s">
        <v>18</v>
      </c>
      <c r="C12" s="150" t="s">
        <v>290</v>
      </c>
      <c r="D12" s="138"/>
      <c r="E12" s="38">
        <f>'Stavební rozpočet'!I23</f>
        <v>0</v>
      </c>
      <c r="F12" s="38">
        <f>'Stavební rozpočet'!J23</f>
        <v>0</v>
      </c>
      <c r="G12" s="38">
        <f>'Stavební rozpočet'!K23</f>
        <v>0</v>
      </c>
      <c r="H12" s="38" t="s">
        <v>574</v>
      </c>
      <c r="I12" s="38">
        <f t="shared" si="0"/>
        <v>0</v>
      </c>
    </row>
    <row r="13" spans="1:9" ht="12.75">
      <c r="A13" s="14"/>
      <c r="B13" s="14" t="s">
        <v>19</v>
      </c>
      <c r="C13" s="150" t="s">
        <v>299</v>
      </c>
      <c r="D13" s="138"/>
      <c r="E13" s="38">
        <f>'Stavební rozpočet'!I32</f>
        <v>0</v>
      </c>
      <c r="F13" s="38">
        <f>'Stavební rozpočet'!J32</f>
        <v>0</v>
      </c>
      <c r="G13" s="38">
        <f>'Stavební rozpočet'!K32</f>
        <v>0</v>
      </c>
      <c r="H13" s="38" t="s">
        <v>574</v>
      </c>
      <c r="I13" s="38">
        <f t="shared" si="0"/>
        <v>0</v>
      </c>
    </row>
    <row r="14" spans="1:9" ht="12.75">
      <c r="A14" s="14"/>
      <c r="B14" s="14" t="s">
        <v>22</v>
      </c>
      <c r="C14" s="150" t="s">
        <v>303</v>
      </c>
      <c r="D14" s="138"/>
      <c r="E14" s="38">
        <f>'Stavební rozpočet'!I36</f>
        <v>0</v>
      </c>
      <c r="F14" s="38">
        <f>'Stavební rozpočet'!J36</f>
        <v>0</v>
      </c>
      <c r="G14" s="38">
        <f>'Stavební rozpočet'!K36</f>
        <v>0</v>
      </c>
      <c r="H14" s="38" t="s">
        <v>574</v>
      </c>
      <c r="I14" s="38">
        <f t="shared" si="0"/>
        <v>0</v>
      </c>
    </row>
    <row r="15" spans="1:9" ht="12.75">
      <c r="A15" s="14"/>
      <c r="B15" s="14" t="s">
        <v>23</v>
      </c>
      <c r="C15" s="150" t="s">
        <v>305</v>
      </c>
      <c r="D15" s="138"/>
      <c r="E15" s="38">
        <f>'Stavební rozpočet'!I38</f>
        <v>0</v>
      </c>
      <c r="F15" s="38">
        <f>'Stavební rozpočet'!J38</f>
        <v>0</v>
      </c>
      <c r="G15" s="38">
        <f>'Stavební rozpočet'!K38</f>
        <v>0</v>
      </c>
      <c r="H15" s="38" t="s">
        <v>574</v>
      </c>
      <c r="I15" s="38">
        <f t="shared" si="0"/>
        <v>0</v>
      </c>
    </row>
    <row r="16" spans="1:9" ht="12.75">
      <c r="A16" s="14"/>
      <c r="B16" s="14" t="s">
        <v>24</v>
      </c>
      <c r="C16" s="150" t="s">
        <v>311</v>
      </c>
      <c r="D16" s="138"/>
      <c r="E16" s="38">
        <f>'Stavební rozpočet'!I44</f>
        <v>0</v>
      </c>
      <c r="F16" s="38">
        <f>'Stavební rozpočet'!J44</f>
        <v>0</v>
      </c>
      <c r="G16" s="38">
        <f>'Stavební rozpočet'!K44</f>
        <v>0</v>
      </c>
      <c r="H16" s="38" t="s">
        <v>574</v>
      </c>
      <c r="I16" s="38">
        <f t="shared" si="0"/>
        <v>0</v>
      </c>
    </row>
    <row r="17" spans="1:9" ht="12.75">
      <c r="A17" s="14"/>
      <c r="B17" s="14" t="s">
        <v>27</v>
      </c>
      <c r="C17" s="150" t="s">
        <v>315</v>
      </c>
      <c r="D17" s="138"/>
      <c r="E17" s="38">
        <f>'Stavební rozpočet'!I48</f>
        <v>0</v>
      </c>
      <c r="F17" s="38">
        <f>'Stavební rozpočet'!J48</f>
        <v>0</v>
      </c>
      <c r="G17" s="38">
        <f>'Stavební rozpočet'!K48</f>
        <v>0</v>
      </c>
      <c r="H17" s="38" t="s">
        <v>574</v>
      </c>
      <c r="I17" s="38">
        <f t="shared" si="0"/>
        <v>0</v>
      </c>
    </row>
    <row r="18" spans="1:9" ht="12.75">
      <c r="A18" s="14"/>
      <c r="B18" s="14" t="s">
        <v>29</v>
      </c>
      <c r="C18" s="150" t="s">
        <v>317</v>
      </c>
      <c r="D18" s="138"/>
      <c r="E18" s="38">
        <f>'Stavební rozpočet'!I50</f>
        <v>0</v>
      </c>
      <c r="F18" s="38">
        <f>'Stavební rozpočet'!J50</f>
        <v>0</v>
      </c>
      <c r="G18" s="38">
        <f>'Stavební rozpočet'!K50</f>
        <v>0</v>
      </c>
      <c r="H18" s="38" t="s">
        <v>574</v>
      </c>
      <c r="I18" s="38">
        <f t="shared" si="0"/>
        <v>0</v>
      </c>
    </row>
    <row r="19" spans="1:9" ht="12.75">
      <c r="A19" s="14"/>
      <c r="B19" s="14" t="s">
        <v>33</v>
      </c>
      <c r="C19" s="150" t="s">
        <v>319</v>
      </c>
      <c r="D19" s="138"/>
      <c r="E19" s="38">
        <f>'Stavební rozpočet'!I52</f>
        <v>0</v>
      </c>
      <c r="F19" s="38">
        <f>'Stavební rozpočet'!J52</f>
        <v>0</v>
      </c>
      <c r="G19" s="38">
        <f>'Stavební rozpočet'!K52</f>
        <v>0</v>
      </c>
      <c r="H19" s="38" t="s">
        <v>574</v>
      </c>
      <c r="I19" s="38">
        <f t="shared" si="0"/>
        <v>0</v>
      </c>
    </row>
    <row r="20" spans="1:9" ht="12.75">
      <c r="A20" s="14"/>
      <c r="B20" s="14" t="s">
        <v>34</v>
      </c>
      <c r="C20" s="150" t="s">
        <v>330</v>
      </c>
      <c r="D20" s="138"/>
      <c r="E20" s="38">
        <f>'Stavební rozpočet'!I63</f>
        <v>0</v>
      </c>
      <c r="F20" s="38">
        <f>'Stavební rozpočet'!J63</f>
        <v>0</v>
      </c>
      <c r="G20" s="38">
        <f>'Stavební rozpočet'!K63</f>
        <v>0</v>
      </c>
      <c r="H20" s="38" t="s">
        <v>574</v>
      </c>
      <c r="I20" s="38">
        <f t="shared" si="0"/>
        <v>0</v>
      </c>
    </row>
    <row r="21" spans="1:9" ht="12.75">
      <c r="A21" s="14"/>
      <c r="B21" s="14" t="s">
        <v>37</v>
      </c>
      <c r="C21" s="150" t="s">
        <v>332</v>
      </c>
      <c r="D21" s="138"/>
      <c r="E21" s="38">
        <f>'Stavební rozpočet'!I65</f>
        <v>0</v>
      </c>
      <c r="F21" s="38">
        <f>'Stavební rozpočet'!J65</f>
        <v>0</v>
      </c>
      <c r="G21" s="38">
        <f>'Stavební rozpočet'!K65</f>
        <v>0</v>
      </c>
      <c r="H21" s="38" t="s">
        <v>574</v>
      </c>
      <c r="I21" s="38">
        <f t="shared" si="0"/>
        <v>0</v>
      </c>
    </row>
    <row r="22" spans="1:9" ht="12.75">
      <c r="A22" s="14"/>
      <c r="B22" s="14" t="s">
        <v>38</v>
      </c>
      <c r="C22" s="150" t="s">
        <v>337</v>
      </c>
      <c r="D22" s="138"/>
      <c r="E22" s="38">
        <f>'Stavební rozpočet'!I70</f>
        <v>0</v>
      </c>
      <c r="F22" s="38">
        <f>'Stavební rozpočet'!J70</f>
        <v>0</v>
      </c>
      <c r="G22" s="38">
        <f>'Stavební rozpočet'!K70</f>
        <v>0</v>
      </c>
      <c r="H22" s="38" t="s">
        <v>574</v>
      </c>
      <c r="I22" s="38">
        <f t="shared" si="0"/>
        <v>0</v>
      </c>
    </row>
    <row r="23" spans="1:9" ht="12.75">
      <c r="A23" s="14"/>
      <c r="B23" s="14" t="s">
        <v>39</v>
      </c>
      <c r="C23" s="150" t="s">
        <v>339</v>
      </c>
      <c r="D23" s="138"/>
      <c r="E23" s="38">
        <f>'Stavební rozpočet'!I72</f>
        <v>0</v>
      </c>
      <c r="F23" s="38">
        <f>'Stavební rozpočet'!J72</f>
        <v>0</v>
      </c>
      <c r="G23" s="38">
        <f>'Stavební rozpočet'!K72</f>
        <v>0</v>
      </c>
      <c r="H23" s="38" t="s">
        <v>574</v>
      </c>
      <c r="I23" s="38">
        <f t="shared" si="0"/>
        <v>0</v>
      </c>
    </row>
    <row r="24" spans="1:9" ht="12.75">
      <c r="A24" s="14"/>
      <c r="B24" s="14" t="s">
        <v>40</v>
      </c>
      <c r="C24" s="150" t="s">
        <v>347</v>
      </c>
      <c r="D24" s="138"/>
      <c r="E24" s="38">
        <f>'Stavební rozpočet'!I81</f>
        <v>0</v>
      </c>
      <c r="F24" s="38">
        <f>'Stavební rozpočet'!J81</f>
        <v>0</v>
      </c>
      <c r="G24" s="38">
        <f>'Stavební rozpočet'!K81</f>
        <v>0</v>
      </c>
      <c r="H24" s="38" t="s">
        <v>574</v>
      </c>
      <c r="I24" s="38">
        <f t="shared" si="0"/>
        <v>0</v>
      </c>
    </row>
    <row r="25" spans="1:9" ht="12.75">
      <c r="A25" s="14"/>
      <c r="B25" s="14" t="s">
        <v>47</v>
      </c>
      <c r="C25" s="150" t="s">
        <v>352</v>
      </c>
      <c r="D25" s="138"/>
      <c r="E25" s="38">
        <f>'Stavební rozpočet'!I86</f>
        <v>0</v>
      </c>
      <c r="F25" s="38">
        <f>'Stavební rozpočet'!J86</f>
        <v>0</v>
      </c>
      <c r="G25" s="38">
        <f>'Stavební rozpočet'!K86</f>
        <v>0</v>
      </c>
      <c r="H25" s="38" t="s">
        <v>574</v>
      </c>
      <c r="I25" s="38">
        <f t="shared" si="0"/>
        <v>0</v>
      </c>
    </row>
    <row r="26" spans="1:9" ht="12.75">
      <c r="A26" s="14"/>
      <c r="B26" s="14" t="s">
        <v>48</v>
      </c>
      <c r="C26" s="150" t="s">
        <v>354</v>
      </c>
      <c r="D26" s="138"/>
      <c r="E26" s="38">
        <f>'Stavební rozpočet'!I88</f>
        <v>0</v>
      </c>
      <c r="F26" s="38">
        <f>'Stavební rozpočet'!J88</f>
        <v>0</v>
      </c>
      <c r="G26" s="38">
        <f>'Stavební rozpočet'!K88</f>
        <v>0</v>
      </c>
      <c r="H26" s="38" t="s">
        <v>574</v>
      </c>
      <c r="I26" s="38">
        <f t="shared" si="0"/>
        <v>0</v>
      </c>
    </row>
    <row r="27" spans="1:9" ht="12.75">
      <c r="A27" s="14"/>
      <c r="B27" s="14" t="s">
        <v>51</v>
      </c>
      <c r="C27" s="150" t="s">
        <v>364</v>
      </c>
      <c r="D27" s="138"/>
      <c r="E27" s="38">
        <f>'Stavební rozpočet'!I98</f>
        <v>0</v>
      </c>
      <c r="F27" s="38">
        <f>'Stavební rozpočet'!J98</f>
        <v>0</v>
      </c>
      <c r="G27" s="38">
        <f>'Stavební rozpočet'!K98</f>
        <v>0</v>
      </c>
      <c r="H27" s="38" t="s">
        <v>574</v>
      </c>
      <c r="I27" s="38">
        <f t="shared" si="0"/>
        <v>0</v>
      </c>
    </row>
    <row r="28" spans="1:9" ht="12.75">
      <c r="A28" s="14"/>
      <c r="B28" s="14" t="s">
        <v>52</v>
      </c>
      <c r="C28" s="150" t="s">
        <v>367</v>
      </c>
      <c r="D28" s="138"/>
      <c r="E28" s="38">
        <f>'Stavební rozpočet'!I101</f>
        <v>0</v>
      </c>
      <c r="F28" s="38">
        <f>'Stavební rozpočet'!J101</f>
        <v>0</v>
      </c>
      <c r="G28" s="38">
        <f>'Stavební rozpočet'!K101</f>
        <v>0</v>
      </c>
      <c r="H28" s="38" t="s">
        <v>574</v>
      </c>
      <c r="I28" s="38">
        <f t="shared" si="0"/>
        <v>0</v>
      </c>
    </row>
    <row r="29" spans="1:9" ht="12.75">
      <c r="A29" s="14"/>
      <c r="B29" s="14" t="s">
        <v>62</v>
      </c>
      <c r="C29" s="150" t="s">
        <v>373</v>
      </c>
      <c r="D29" s="138"/>
      <c r="E29" s="38">
        <f>'Stavební rozpočet'!I107</f>
        <v>0</v>
      </c>
      <c r="F29" s="38">
        <f>'Stavební rozpočet'!J107</f>
        <v>0</v>
      </c>
      <c r="G29" s="38">
        <f>'Stavební rozpočet'!K107</f>
        <v>0</v>
      </c>
      <c r="H29" s="38" t="s">
        <v>574</v>
      </c>
      <c r="I29" s="38">
        <f t="shared" si="0"/>
        <v>0</v>
      </c>
    </row>
    <row r="30" spans="1:9" ht="12.75">
      <c r="A30" s="14"/>
      <c r="B30" s="14" t="s">
        <v>63</v>
      </c>
      <c r="C30" s="150" t="s">
        <v>377</v>
      </c>
      <c r="D30" s="138"/>
      <c r="E30" s="38">
        <f>'Stavební rozpočet'!I111</f>
        <v>0</v>
      </c>
      <c r="F30" s="38">
        <f>'Stavební rozpočet'!J111</f>
        <v>0</v>
      </c>
      <c r="G30" s="38">
        <f>'Stavební rozpočet'!K111</f>
        <v>0</v>
      </c>
      <c r="H30" s="38" t="s">
        <v>574</v>
      </c>
      <c r="I30" s="38">
        <f t="shared" si="0"/>
        <v>0</v>
      </c>
    </row>
    <row r="31" spans="1:9" ht="12.75">
      <c r="A31" s="14"/>
      <c r="B31" s="14" t="s">
        <v>65</v>
      </c>
      <c r="C31" s="150" t="s">
        <v>383</v>
      </c>
      <c r="D31" s="138"/>
      <c r="E31" s="38">
        <f>'Stavební rozpočet'!I117</f>
        <v>0</v>
      </c>
      <c r="F31" s="38">
        <f>'Stavební rozpočet'!J117</f>
        <v>0</v>
      </c>
      <c r="G31" s="38">
        <f>'Stavební rozpočet'!K117</f>
        <v>0</v>
      </c>
      <c r="H31" s="38" t="s">
        <v>574</v>
      </c>
      <c r="I31" s="38">
        <f t="shared" si="0"/>
        <v>0</v>
      </c>
    </row>
    <row r="32" spans="1:9" ht="12.75">
      <c r="A32" s="14"/>
      <c r="B32" s="14" t="s">
        <v>225</v>
      </c>
      <c r="C32" s="150" t="s">
        <v>387</v>
      </c>
      <c r="D32" s="138"/>
      <c r="E32" s="38">
        <f>'Stavební rozpočet'!I121</f>
        <v>0</v>
      </c>
      <c r="F32" s="38">
        <f>'Stavební rozpočet'!J121</f>
        <v>0</v>
      </c>
      <c r="G32" s="38">
        <f>'Stavební rozpočet'!K121</f>
        <v>0</v>
      </c>
      <c r="H32" s="38" t="s">
        <v>574</v>
      </c>
      <c r="I32" s="38">
        <f t="shared" si="0"/>
        <v>0</v>
      </c>
    </row>
    <row r="33" spans="1:9" ht="12.75">
      <c r="A33" s="14"/>
      <c r="B33" s="14" t="s">
        <v>230</v>
      </c>
      <c r="C33" s="150" t="s">
        <v>392</v>
      </c>
      <c r="D33" s="138"/>
      <c r="E33" s="38">
        <f>'Stavební rozpočet'!I126</f>
        <v>0</v>
      </c>
      <c r="F33" s="38">
        <f>'Stavební rozpočet'!J126</f>
        <v>0</v>
      </c>
      <c r="G33" s="38">
        <f>'Stavební rozpočet'!K126</f>
        <v>0</v>
      </c>
      <c r="H33" s="38" t="s">
        <v>574</v>
      </c>
      <c r="I33" s="38">
        <f t="shared" si="0"/>
        <v>0</v>
      </c>
    </row>
    <row r="34" spans="1:9" ht="12.75">
      <c r="A34" s="14"/>
      <c r="B34" s="14" t="s">
        <v>232</v>
      </c>
      <c r="C34" s="150" t="s">
        <v>394</v>
      </c>
      <c r="D34" s="138"/>
      <c r="E34" s="38">
        <f>'Stavební rozpočet'!I128</f>
        <v>0</v>
      </c>
      <c r="F34" s="38">
        <f>'Stavební rozpočet'!J128</f>
        <v>0</v>
      </c>
      <c r="G34" s="38">
        <f>'Stavební rozpočet'!K128</f>
        <v>0</v>
      </c>
      <c r="H34" s="38" t="s">
        <v>574</v>
      </c>
      <c r="I34" s="38">
        <f t="shared" si="0"/>
        <v>0</v>
      </c>
    </row>
    <row r="35" spans="1:9" ht="12.75">
      <c r="A35" s="14"/>
      <c r="B35" s="14" t="s">
        <v>237</v>
      </c>
      <c r="C35" s="150" t="s">
        <v>397</v>
      </c>
      <c r="D35" s="138"/>
      <c r="E35" s="38">
        <f>'Stavební rozpočet'!I133</f>
        <v>0</v>
      </c>
      <c r="F35" s="38">
        <f>'Stavební rozpočet'!J133</f>
        <v>0</v>
      </c>
      <c r="G35" s="38">
        <f>'Stavební rozpočet'!K133</f>
        <v>0</v>
      </c>
      <c r="H35" s="38" t="s">
        <v>574</v>
      </c>
      <c r="I35" s="38">
        <f t="shared" si="0"/>
        <v>0</v>
      </c>
    </row>
    <row r="36" spans="1:9" ht="12.75">
      <c r="A36" s="14"/>
      <c r="B36" s="14" t="s">
        <v>93</v>
      </c>
      <c r="C36" s="150" t="s">
        <v>399</v>
      </c>
      <c r="D36" s="138"/>
      <c r="E36" s="38">
        <f>'Stavební rozpočet'!I135</f>
        <v>0</v>
      </c>
      <c r="F36" s="38">
        <f>'Stavební rozpočet'!J135</f>
        <v>0</v>
      </c>
      <c r="G36" s="38">
        <f>'Stavební rozpočet'!K135</f>
        <v>0</v>
      </c>
      <c r="H36" s="38" t="s">
        <v>574</v>
      </c>
      <c r="I36" s="38">
        <f t="shared" si="0"/>
        <v>0</v>
      </c>
    </row>
    <row r="37" spans="1:9" ht="12.75">
      <c r="A37" s="14"/>
      <c r="B37" s="14" t="s">
        <v>95</v>
      </c>
      <c r="C37" s="150" t="s">
        <v>402</v>
      </c>
      <c r="D37" s="138"/>
      <c r="E37" s="38">
        <f>'Stavební rozpočet'!I138</f>
        <v>0</v>
      </c>
      <c r="F37" s="38">
        <f>'Stavební rozpočet'!J138</f>
        <v>0</v>
      </c>
      <c r="G37" s="38">
        <f>'Stavební rozpočet'!K138</f>
        <v>0</v>
      </c>
      <c r="H37" s="38" t="s">
        <v>574</v>
      </c>
      <c r="I37" s="38">
        <f t="shared" si="0"/>
        <v>0</v>
      </c>
    </row>
    <row r="38" spans="1:9" ht="12.75">
      <c r="A38" s="14"/>
      <c r="B38" s="14" t="s">
        <v>97</v>
      </c>
      <c r="C38" s="150" t="s">
        <v>404</v>
      </c>
      <c r="D38" s="138"/>
      <c r="E38" s="38">
        <f>'Stavební rozpočet'!I140</f>
        <v>0</v>
      </c>
      <c r="F38" s="38">
        <f>'Stavební rozpočet'!J140</f>
        <v>0</v>
      </c>
      <c r="G38" s="38">
        <f>'Stavební rozpočet'!K140</f>
        <v>0</v>
      </c>
      <c r="H38" s="38" t="s">
        <v>574</v>
      </c>
      <c r="I38" s="38">
        <f t="shared" si="0"/>
        <v>0</v>
      </c>
    </row>
    <row r="39" spans="1:9" ht="12.75">
      <c r="A39" s="14"/>
      <c r="B39" s="14" t="s">
        <v>99</v>
      </c>
      <c r="C39" s="150" t="s">
        <v>408</v>
      </c>
      <c r="D39" s="138"/>
      <c r="E39" s="38">
        <f>'Stavební rozpočet'!I144</f>
        <v>0</v>
      </c>
      <c r="F39" s="38">
        <f>'Stavební rozpočet'!J144</f>
        <v>0</v>
      </c>
      <c r="G39" s="38">
        <f>'Stavební rozpočet'!K144</f>
        <v>0</v>
      </c>
      <c r="H39" s="38" t="s">
        <v>574</v>
      </c>
      <c r="I39" s="38">
        <f t="shared" si="0"/>
        <v>0</v>
      </c>
    </row>
    <row r="40" spans="1:9" ht="12.75">
      <c r="A40" s="14"/>
      <c r="B40" s="14" t="s">
        <v>100</v>
      </c>
      <c r="C40" s="150" t="s">
        <v>414</v>
      </c>
      <c r="D40" s="138"/>
      <c r="E40" s="38">
        <f>'Stavební rozpočet'!I150</f>
        <v>0</v>
      </c>
      <c r="F40" s="38">
        <f>'Stavební rozpočet'!J150</f>
        <v>0</v>
      </c>
      <c r="G40" s="38">
        <f>'Stavební rozpočet'!K150</f>
        <v>0</v>
      </c>
      <c r="H40" s="38" t="s">
        <v>574</v>
      </c>
      <c r="I40" s="38">
        <f t="shared" si="0"/>
        <v>0</v>
      </c>
    </row>
    <row r="41" spans="1:9" ht="12.75">
      <c r="A41" s="14"/>
      <c r="B41" s="14" t="s">
        <v>102</v>
      </c>
      <c r="C41" s="150" t="s">
        <v>417</v>
      </c>
      <c r="D41" s="138"/>
      <c r="E41" s="38">
        <f>'Stavební rozpočet'!I153</f>
        <v>0</v>
      </c>
      <c r="F41" s="38">
        <f>'Stavební rozpočet'!J153</f>
        <v>0</v>
      </c>
      <c r="G41" s="38">
        <f>'Stavební rozpočet'!K153</f>
        <v>0</v>
      </c>
      <c r="H41" s="38" t="s">
        <v>574</v>
      </c>
      <c r="I41" s="38">
        <f t="shared" si="0"/>
        <v>0</v>
      </c>
    </row>
    <row r="42" spans="1:9" ht="12.75">
      <c r="A42" s="14"/>
      <c r="B42" s="14" t="s">
        <v>103</v>
      </c>
      <c r="C42" s="150" t="s">
        <v>426</v>
      </c>
      <c r="D42" s="138"/>
      <c r="E42" s="38">
        <f>'Stavební rozpočet'!I162</f>
        <v>0</v>
      </c>
      <c r="F42" s="38">
        <f>'Stavební rozpočet'!J162</f>
        <v>0</v>
      </c>
      <c r="G42" s="38">
        <f>'Stavební rozpočet'!K162</f>
        <v>0</v>
      </c>
      <c r="H42" s="38" t="s">
        <v>574</v>
      </c>
      <c r="I42" s="38">
        <f t="shared" si="0"/>
        <v>0</v>
      </c>
    </row>
    <row r="43" spans="1:9" ht="12.75">
      <c r="A43" s="14"/>
      <c r="B43" s="14" t="s">
        <v>261</v>
      </c>
      <c r="C43" s="150" t="s">
        <v>429</v>
      </c>
      <c r="D43" s="138"/>
      <c r="E43" s="38">
        <f>'Stavební rozpočet'!I166</f>
        <v>0</v>
      </c>
      <c r="F43" s="38">
        <f>'Stavební rozpočet'!J166</f>
        <v>0</v>
      </c>
      <c r="G43" s="38">
        <f>'Stavební rozpočet'!K166</f>
        <v>0</v>
      </c>
      <c r="H43" s="38" t="s">
        <v>574</v>
      </c>
      <c r="I43" s="38">
        <f t="shared" si="0"/>
        <v>0</v>
      </c>
    </row>
    <row r="44" spans="1:9" ht="12.75">
      <c r="A44" s="14"/>
      <c r="B44" s="14" t="s">
        <v>263</v>
      </c>
      <c r="C44" s="150" t="s">
        <v>431</v>
      </c>
      <c r="D44" s="138"/>
      <c r="E44" s="38">
        <f>'Stavební rozpočet'!I168</f>
        <v>0</v>
      </c>
      <c r="F44" s="38">
        <f>'Stavební rozpočet'!J168</f>
        <v>0</v>
      </c>
      <c r="G44" s="38">
        <f>'Stavební rozpočet'!K168</f>
        <v>0</v>
      </c>
      <c r="H44" s="38" t="s">
        <v>574</v>
      </c>
      <c r="I44" s="38">
        <f t="shared" si="0"/>
        <v>0</v>
      </c>
    </row>
    <row r="45" spans="1:9" ht="12.75">
      <c r="A45" s="14"/>
      <c r="B45" s="14"/>
      <c r="C45" s="150" t="s">
        <v>433</v>
      </c>
      <c r="D45" s="138"/>
      <c r="E45" s="38">
        <f>'Stavební rozpočet'!I170</f>
        <v>0</v>
      </c>
      <c r="F45" s="38">
        <f>'Stavební rozpočet'!J170</f>
        <v>0</v>
      </c>
      <c r="G45" s="38">
        <f>'Stavební rozpočet'!K170</f>
        <v>0</v>
      </c>
      <c r="H45" s="38" t="s">
        <v>574</v>
      </c>
      <c r="I45" s="38">
        <f t="shared" si="0"/>
        <v>0</v>
      </c>
    </row>
    <row r="47" spans="4:10" ht="12.75">
      <c r="D47" s="47" t="s">
        <v>468</v>
      </c>
      <c r="E47" s="128">
        <f>SUM(E11:E45)</f>
        <v>0</v>
      </c>
      <c r="F47" s="128">
        <f>SUM(F11:F45)</f>
        <v>0</v>
      </c>
      <c r="G47" s="49">
        <f>SUM(I11:I45)</f>
        <v>0</v>
      </c>
      <c r="J47" t="s">
        <v>702</v>
      </c>
    </row>
  </sheetData>
  <sheetProtection algorithmName="SHA-512" hashValue="l/oBEXGjJ6j0LbCNu1KthwTx3unMGgAy2F0MDR67X6J3ZsJcuW73qEQ7MCTq4FUlOEiCq0uh8jGZABhSXYFEcw==" saltValue="YMj55MB7XD1M2c2nSPTyYg==" spinCount="100000" sheet="1" objects="1" scenarios="1"/>
  <mergeCells count="53">
    <mergeCell ref="C41:D41"/>
    <mergeCell ref="C42:D42"/>
    <mergeCell ref="C43:D43"/>
    <mergeCell ref="C44:D44"/>
    <mergeCell ref="C45:D45"/>
    <mergeCell ref="C36:D36"/>
    <mergeCell ref="C37:D37"/>
    <mergeCell ref="C38:D38"/>
    <mergeCell ref="C39:D39"/>
    <mergeCell ref="C40:D4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A8:A9"/>
    <mergeCell ref="B8:C9"/>
    <mergeCell ref="D8:D9"/>
    <mergeCell ref="E8:G9"/>
    <mergeCell ref="C10:D10"/>
    <mergeCell ref="A4:A5"/>
    <mergeCell ref="B4:C5"/>
    <mergeCell ref="D4:D5"/>
    <mergeCell ref="E4:G5"/>
    <mergeCell ref="A6:A7"/>
    <mergeCell ref="B6:C7"/>
    <mergeCell ref="D6:D7"/>
    <mergeCell ref="E6:G7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3"/>
  <sheetViews>
    <sheetView tabSelected="1" workbookViewId="0" topLeftCell="A37">
      <selection activeCell="D51" sqref="D51"/>
    </sheetView>
  </sheetViews>
  <sheetFormatPr defaultColWidth="9.00390625" defaultRowHeight="12.75"/>
  <cols>
    <col min="1" max="1" width="3.8515625" style="120" customWidth="1"/>
    <col min="2" max="2" width="4.57421875" style="121" customWidth="1"/>
    <col min="3" max="3" width="10.00390625" style="121" customWidth="1"/>
    <col min="4" max="4" width="42.8515625" style="121" customWidth="1"/>
    <col min="5" max="5" width="7.421875" style="121" customWidth="1"/>
    <col min="6" max="6" width="9.28125" style="122" customWidth="1"/>
    <col min="7" max="7" width="13.421875" style="82" customWidth="1"/>
    <col min="8" max="8" width="11.421875" style="122" customWidth="1"/>
    <col min="9" max="256" width="9.00390625" style="81" customWidth="1"/>
    <col min="257" max="257" width="3.8515625" style="81" customWidth="1"/>
    <col min="258" max="258" width="4.57421875" style="81" customWidth="1"/>
    <col min="259" max="259" width="10.00390625" style="81" customWidth="1"/>
    <col min="260" max="260" width="42.8515625" style="81" customWidth="1"/>
    <col min="261" max="261" width="3.7109375" style="81" customWidth="1"/>
    <col min="262" max="262" width="9.28125" style="81" customWidth="1"/>
    <col min="263" max="263" width="13.421875" style="81" customWidth="1"/>
    <col min="264" max="264" width="16.421875" style="81" customWidth="1"/>
    <col min="265" max="512" width="9.00390625" style="81" customWidth="1"/>
    <col min="513" max="513" width="3.8515625" style="81" customWidth="1"/>
    <col min="514" max="514" width="4.57421875" style="81" customWidth="1"/>
    <col min="515" max="515" width="10.00390625" style="81" customWidth="1"/>
    <col min="516" max="516" width="42.8515625" style="81" customWidth="1"/>
    <col min="517" max="517" width="3.7109375" style="81" customWidth="1"/>
    <col min="518" max="518" width="9.28125" style="81" customWidth="1"/>
    <col min="519" max="519" width="13.421875" style="81" customWidth="1"/>
    <col min="520" max="520" width="16.421875" style="81" customWidth="1"/>
    <col min="521" max="768" width="9.00390625" style="81" customWidth="1"/>
    <col min="769" max="769" width="3.8515625" style="81" customWidth="1"/>
    <col min="770" max="770" width="4.57421875" style="81" customWidth="1"/>
    <col min="771" max="771" width="10.00390625" style="81" customWidth="1"/>
    <col min="772" max="772" width="42.8515625" style="81" customWidth="1"/>
    <col min="773" max="773" width="3.7109375" style="81" customWidth="1"/>
    <col min="774" max="774" width="9.28125" style="81" customWidth="1"/>
    <col min="775" max="775" width="13.421875" style="81" customWidth="1"/>
    <col min="776" max="776" width="16.421875" style="81" customWidth="1"/>
    <col min="777" max="1024" width="9.00390625" style="81" customWidth="1"/>
    <col min="1025" max="1025" width="3.8515625" style="81" customWidth="1"/>
    <col min="1026" max="1026" width="4.57421875" style="81" customWidth="1"/>
    <col min="1027" max="1027" width="10.00390625" style="81" customWidth="1"/>
    <col min="1028" max="1028" width="42.8515625" style="81" customWidth="1"/>
    <col min="1029" max="1029" width="3.7109375" style="81" customWidth="1"/>
    <col min="1030" max="1030" width="9.28125" style="81" customWidth="1"/>
    <col min="1031" max="1031" width="13.421875" style="81" customWidth="1"/>
    <col min="1032" max="1032" width="16.421875" style="81" customWidth="1"/>
    <col min="1033" max="1280" width="9.00390625" style="81" customWidth="1"/>
    <col min="1281" max="1281" width="3.8515625" style="81" customWidth="1"/>
    <col min="1282" max="1282" width="4.57421875" style="81" customWidth="1"/>
    <col min="1283" max="1283" width="10.00390625" style="81" customWidth="1"/>
    <col min="1284" max="1284" width="42.8515625" style="81" customWidth="1"/>
    <col min="1285" max="1285" width="3.7109375" style="81" customWidth="1"/>
    <col min="1286" max="1286" width="9.28125" style="81" customWidth="1"/>
    <col min="1287" max="1287" width="13.421875" style="81" customWidth="1"/>
    <col min="1288" max="1288" width="16.421875" style="81" customWidth="1"/>
    <col min="1289" max="1536" width="9.00390625" style="81" customWidth="1"/>
    <col min="1537" max="1537" width="3.8515625" style="81" customWidth="1"/>
    <col min="1538" max="1538" width="4.57421875" style="81" customWidth="1"/>
    <col min="1539" max="1539" width="10.00390625" style="81" customWidth="1"/>
    <col min="1540" max="1540" width="42.8515625" style="81" customWidth="1"/>
    <col min="1541" max="1541" width="3.7109375" style="81" customWidth="1"/>
    <col min="1542" max="1542" width="9.28125" style="81" customWidth="1"/>
    <col min="1543" max="1543" width="13.421875" style="81" customWidth="1"/>
    <col min="1544" max="1544" width="16.421875" style="81" customWidth="1"/>
    <col min="1545" max="1792" width="9.00390625" style="81" customWidth="1"/>
    <col min="1793" max="1793" width="3.8515625" style="81" customWidth="1"/>
    <col min="1794" max="1794" width="4.57421875" style="81" customWidth="1"/>
    <col min="1795" max="1795" width="10.00390625" style="81" customWidth="1"/>
    <col min="1796" max="1796" width="42.8515625" style="81" customWidth="1"/>
    <col min="1797" max="1797" width="3.7109375" style="81" customWidth="1"/>
    <col min="1798" max="1798" width="9.28125" style="81" customWidth="1"/>
    <col min="1799" max="1799" width="13.421875" style="81" customWidth="1"/>
    <col min="1800" max="1800" width="16.421875" style="81" customWidth="1"/>
    <col min="1801" max="2048" width="9.00390625" style="81" customWidth="1"/>
    <col min="2049" max="2049" width="3.8515625" style="81" customWidth="1"/>
    <col min="2050" max="2050" width="4.57421875" style="81" customWidth="1"/>
    <col min="2051" max="2051" width="10.00390625" style="81" customWidth="1"/>
    <col min="2052" max="2052" width="42.8515625" style="81" customWidth="1"/>
    <col min="2053" max="2053" width="3.7109375" style="81" customWidth="1"/>
    <col min="2054" max="2054" width="9.28125" style="81" customWidth="1"/>
    <col min="2055" max="2055" width="13.421875" style="81" customWidth="1"/>
    <col min="2056" max="2056" width="16.421875" style="81" customWidth="1"/>
    <col min="2057" max="2304" width="9.00390625" style="81" customWidth="1"/>
    <col min="2305" max="2305" width="3.8515625" style="81" customWidth="1"/>
    <col min="2306" max="2306" width="4.57421875" style="81" customWidth="1"/>
    <col min="2307" max="2307" width="10.00390625" style="81" customWidth="1"/>
    <col min="2308" max="2308" width="42.8515625" style="81" customWidth="1"/>
    <col min="2309" max="2309" width="3.7109375" style="81" customWidth="1"/>
    <col min="2310" max="2310" width="9.28125" style="81" customWidth="1"/>
    <col min="2311" max="2311" width="13.421875" style="81" customWidth="1"/>
    <col min="2312" max="2312" width="16.421875" style="81" customWidth="1"/>
    <col min="2313" max="2560" width="9.00390625" style="81" customWidth="1"/>
    <col min="2561" max="2561" width="3.8515625" style="81" customWidth="1"/>
    <col min="2562" max="2562" width="4.57421875" style="81" customWidth="1"/>
    <col min="2563" max="2563" width="10.00390625" style="81" customWidth="1"/>
    <col min="2564" max="2564" width="42.8515625" style="81" customWidth="1"/>
    <col min="2565" max="2565" width="3.7109375" style="81" customWidth="1"/>
    <col min="2566" max="2566" width="9.28125" style="81" customWidth="1"/>
    <col min="2567" max="2567" width="13.421875" style="81" customWidth="1"/>
    <col min="2568" max="2568" width="16.421875" style="81" customWidth="1"/>
    <col min="2569" max="2816" width="9.00390625" style="81" customWidth="1"/>
    <col min="2817" max="2817" width="3.8515625" style="81" customWidth="1"/>
    <col min="2818" max="2818" width="4.57421875" style="81" customWidth="1"/>
    <col min="2819" max="2819" width="10.00390625" style="81" customWidth="1"/>
    <col min="2820" max="2820" width="42.8515625" style="81" customWidth="1"/>
    <col min="2821" max="2821" width="3.7109375" style="81" customWidth="1"/>
    <col min="2822" max="2822" width="9.28125" style="81" customWidth="1"/>
    <col min="2823" max="2823" width="13.421875" style="81" customWidth="1"/>
    <col min="2824" max="2824" width="16.421875" style="81" customWidth="1"/>
    <col min="2825" max="3072" width="9.00390625" style="81" customWidth="1"/>
    <col min="3073" max="3073" width="3.8515625" style="81" customWidth="1"/>
    <col min="3074" max="3074" width="4.57421875" style="81" customWidth="1"/>
    <col min="3075" max="3075" width="10.00390625" style="81" customWidth="1"/>
    <col min="3076" max="3076" width="42.8515625" style="81" customWidth="1"/>
    <col min="3077" max="3077" width="3.7109375" style="81" customWidth="1"/>
    <col min="3078" max="3078" width="9.28125" style="81" customWidth="1"/>
    <col min="3079" max="3079" width="13.421875" style="81" customWidth="1"/>
    <col min="3080" max="3080" width="16.421875" style="81" customWidth="1"/>
    <col min="3081" max="3328" width="9.00390625" style="81" customWidth="1"/>
    <col min="3329" max="3329" width="3.8515625" style="81" customWidth="1"/>
    <col min="3330" max="3330" width="4.57421875" style="81" customWidth="1"/>
    <col min="3331" max="3331" width="10.00390625" style="81" customWidth="1"/>
    <col min="3332" max="3332" width="42.8515625" style="81" customWidth="1"/>
    <col min="3333" max="3333" width="3.7109375" style="81" customWidth="1"/>
    <col min="3334" max="3334" width="9.28125" style="81" customWidth="1"/>
    <col min="3335" max="3335" width="13.421875" style="81" customWidth="1"/>
    <col min="3336" max="3336" width="16.421875" style="81" customWidth="1"/>
    <col min="3337" max="3584" width="9.00390625" style="81" customWidth="1"/>
    <col min="3585" max="3585" width="3.8515625" style="81" customWidth="1"/>
    <col min="3586" max="3586" width="4.57421875" style="81" customWidth="1"/>
    <col min="3587" max="3587" width="10.00390625" style="81" customWidth="1"/>
    <col min="3588" max="3588" width="42.8515625" style="81" customWidth="1"/>
    <col min="3589" max="3589" width="3.7109375" style="81" customWidth="1"/>
    <col min="3590" max="3590" width="9.28125" style="81" customWidth="1"/>
    <col min="3591" max="3591" width="13.421875" style="81" customWidth="1"/>
    <col min="3592" max="3592" width="16.421875" style="81" customWidth="1"/>
    <col min="3593" max="3840" width="9.00390625" style="81" customWidth="1"/>
    <col min="3841" max="3841" width="3.8515625" style="81" customWidth="1"/>
    <col min="3842" max="3842" width="4.57421875" style="81" customWidth="1"/>
    <col min="3843" max="3843" width="10.00390625" style="81" customWidth="1"/>
    <col min="3844" max="3844" width="42.8515625" style="81" customWidth="1"/>
    <col min="3845" max="3845" width="3.7109375" style="81" customWidth="1"/>
    <col min="3846" max="3846" width="9.28125" style="81" customWidth="1"/>
    <col min="3847" max="3847" width="13.421875" style="81" customWidth="1"/>
    <col min="3848" max="3848" width="16.421875" style="81" customWidth="1"/>
    <col min="3849" max="4096" width="9.00390625" style="81" customWidth="1"/>
    <col min="4097" max="4097" width="3.8515625" style="81" customWidth="1"/>
    <col min="4098" max="4098" width="4.57421875" style="81" customWidth="1"/>
    <col min="4099" max="4099" width="10.00390625" style="81" customWidth="1"/>
    <col min="4100" max="4100" width="42.8515625" style="81" customWidth="1"/>
    <col min="4101" max="4101" width="3.7109375" style="81" customWidth="1"/>
    <col min="4102" max="4102" width="9.28125" style="81" customWidth="1"/>
    <col min="4103" max="4103" width="13.421875" style="81" customWidth="1"/>
    <col min="4104" max="4104" width="16.421875" style="81" customWidth="1"/>
    <col min="4105" max="4352" width="9.00390625" style="81" customWidth="1"/>
    <col min="4353" max="4353" width="3.8515625" style="81" customWidth="1"/>
    <col min="4354" max="4354" width="4.57421875" style="81" customWidth="1"/>
    <col min="4355" max="4355" width="10.00390625" style="81" customWidth="1"/>
    <col min="4356" max="4356" width="42.8515625" style="81" customWidth="1"/>
    <col min="4357" max="4357" width="3.7109375" style="81" customWidth="1"/>
    <col min="4358" max="4358" width="9.28125" style="81" customWidth="1"/>
    <col min="4359" max="4359" width="13.421875" style="81" customWidth="1"/>
    <col min="4360" max="4360" width="16.421875" style="81" customWidth="1"/>
    <col min="4361" max="4608" width="9.00390625" style="81" customWidth="1"/>
    <col min="4609" max="4609" width="3.8515625" style="81" customWidth="1"/>
    <col min="4610" max="4610" width="4.57421875" style="81" customWidth="1"/>
    <col min="4611" max="4611" width="10.00390625" style="81" customWidth="1"/>
    <col min="4612" max="4612" width="42.8515625" style="81" customWidth="1"/>
    <col min="4613" max="4613" width="3.7109375" style="81" customWidth="1"/>
    <col min="4614" max="4614" width="9.28125" style="81" customWidth="1"/>
    <col min="4615" max="4615" width="13.421875" style="81" customWidth="1"/>
    <col min="4616" max="4616" width="16.421875" style="81" customWidth="1"/>
    <col min="4617" max="4864" width="9.00390625" style="81" customWidth="1"/>
    <col min="4865" max="4865" width="3.8515625" style="81" customWidth="1"/>
    <col min="4866" max="4866" width="4.57421875" style="81" customWidth="1"/>
    <col min="4867" max="4867" width="10.00390625" style="81" customWidth="1"/>
    <col min="4868" max="4868" width="42.8515625" style="81" customWidth="1"/>
    <col min="4869" max="4869" width="3.7109375" style="81" customWidth="1"/>
    <col min="4870" max="4870" width="9.28125" style="81" customWidth="1"/>
    <col min="4871" max="4871" width="13.421875" style="81" customWidth="1"/>
    <col min="4872" max="4872" width="16.421875" style="81" customWidth="1"/>
    <col min="4873" max="5120" width="9.00390625" style="81" customWidth="1"/>
    <col min="5121" max="5121" width="3.8515625" style="81" customWidth="1"/>
    <col min="5122" max="5122" width="4.57421875" style="81" customWidth="1"/>
    <col min="5123" max="5123" width="10.00390625" style="81" customWidth="1"/>
    <col min="5124" max="5124" width="42.8515625" style="81" customWidth="1"/>
    <col min="5125" max="5125" width="3.7109375" style="81" customWidth="1"/>
    <col min="5126" max="5126" width="9.28125" style="81" customWidth="1"/>
    <col min="5127" max="5127" width="13.421875" style="81" customWidth="1"/>
    <col min="5128" max="5128" width="16.421875" style="81" customWidth="1"/>
    <col min="5129" max="5376" width="9.00390625" style="81" customWidth="1"/>
    <col min="5377" max="5377" width="3.8515625" style="81" customWidth="1"/>
    <col min="5378" max="5378" width="4.57421875" style="81" customWidth="1"/>
    <col min="5379" max="5379" width="10.00390625" style="81" customWidth="1"/>
    <col min="5380" max="5380" width="42.8515625" style="81" customWidth="1"/>
    <col min="5381" max="5381" width="3.7109375" style="81" customWidth="1"/>
    <col min="5382" max="5382" width="9.28125" style="81" customWidth="1"/>
    <col min="5383" max="5383" width="13.421875" style="81" customWidth="1"/>
    <col min="5384" max="5384" width="16.421875" style="81" customWidth="1"/>
    <col min="5385" max="5632" width="9.00390625" style="81" customWidth="1"/>
    <col min="5633" max="5633" width="3.8515625" style="81" customWidth="1"/>
    <col min="5634" max="5634" width="4.57421875" style="81" customWidth="1"/>
    <col min="5635" max="5635" width="10.00390625" style="81" customWidth="1"/>
    <col min="5636" max="5636" width="42.8515625" style="81" customWidth="1"/>
    <col min="5637" max="5637" width="3.7109375" style="81" customWidth="1"/>
    <col min="5638" max="5638" width="9.28125" style="81" customWidth="1"/>
    <col min="5639" max="5639" width="13.421875" style="81" customWidth="1"/>
    <col min="5640" max="5640" width="16.421875" style="81" customWidth="1"/>
    <col min="5641" max="5888" width="9.00390625" style="81" customWidth="1"/>
    <col min="5889" max="5889" width="3.8515625" style="81" customWidth="1"/>
    <col min="5890" max="5890" width="4.57421875" style="81" customWidth="1"/>
    <col min="5891" max="5891" width="10.00390625" style="81" customWidth="1"/>
    <col min="5892" max="5892" width="42.8515625" style="81" customWidth="1"/>
    <col min="5893" max="5893" width="3.7109375" style="81" customWidth="1"/>
    <col min="5894" max="5894" width="9.28125" style="81" customWidth="1"/>
    <col min="5895" max="5895" width="13.421875" style="81" customWidth="1"/>
    <col min="5896" max="5896" width="16.421875" style="81" customWidth="1"/>
    <col min="5897" max="6144" width="9.00390625" style="81" customWidth="1"/>
    <col min="6145" max="6145" width="3.8515625" style="81" customWidth="1"/>
    <col min="6146" max="6146" width="4.57421875" style="81" customWidth="1"/>
    <col min="6147" max="6147" width="10.00390625" style="81" customWidth="1"/>
    <col min="6148" max="6148" width="42.8515625" style="81" customWidth="1"/>
    <col min="6149" max="6149" width="3.7109375" style="81" customWidth="1"/>
    <col min="6150" max="6150" width="9.28125" style="81" customWidth="1"/>
    <col min="6151" max="6151" width="13.421875" style="81" customWidth="1"/>
    <col min="6152" max="6152" width="16.421875" style="81" customWidth="1"/>
    <col min="6153" max="6400" width="9.00390625" style="81" customWidth="1"/>
    <col min="6401" max="6401" width="3.8515625" style="81" customWidth="1"/>
    <col min="6402" max="6402" width="4.57421875" style="81" customWidth="1"/>
    <col min="6403" max="6403" width="10.00390625" style="81" customWidth="1"/>
    <col min="6404" max="6404" width="42.8515625" style="81" customWidth="1"/>
    <col min="6405" max="6405" width="3.7109375" style="81" customWidth="1"/>
    <col min="6406" max="6406" width="9.28125" style="81" customWidth="1"/>
    <col min="6407" max="6407" width="13.421875" style="81" customWidth="1"/>
    <col min="6408" max="6408" width="16.421875" style="81" customWidth="1"/>
    <col min="6409" max="6656" width="9.00390625" style="81" customWidth="1"/>
    <col min="6657" max="6657" width="3.8515625" style="81" customWidth="1"/>
    <col min="6658" max="6658" width="4.57421875" style="81" customWidth="1"/>
    <col min="6659" max="6659" width="10.00390625" style="81" customWidth="1"/>
    <col min="6660" max="6660" width="42.8515625" style="81" customWidth="1"/>
    <col min="6661" max="6661" width="3.7109375" style="81" customWidth="1"/>
    <col min="6662" max="6662" width="9.28125" style="81" customWidth="1"/>
    <col min="6663" max="6663" width="13.421875" style="81" customWidth="1"/>
    <col min="6664" max="6664" width="16.421875" style="81" customWidth="1"/>
    <col min="6665" max="6912" width="9.00390625" style="81" customWidth="1"/>
    <col min="6913" max="6913" width="3.8515625" style="81" customWidth="1"/>
    <col min="6914" max="6914" width="4.57421875" style="81" customWidth="1"/>
    <col min="6915" max="6915" width="10.00390625" style="81" customWidth="1"/>
    <col min="6916" max="6916" width="42.8515625" style="81" customWidth="1"/>
    <col min="6917" max="6917" width="3.7109375" style="81" customWidth="1"/>
    <col min="6918" max="6918" width="9.28125" style="81" customWidth="1"/>
    <col min="6919" max="6919" width="13.421875" style="81" customWidth="1"/>
    <col min="6920" max="6920" width="16.421875" style="81" customWidth="1"/>
    <col min="6921" max="7168" width="9.00390625" style="81" customWidth="1"/>
    <col min="7169" max="7169" width="3.8515625" style="81" customWidth="1"/>
    <col min="7170" max="7170" width="4.57421875" style="81" customWidth="1"/>
    <col min="7171" max="7171" width="10.00390625" style="81" customWidth="1"/>
    <col min="7172" max="7172" width="42.8515625" style="81" customWidth="1"/>
    <col min="7173" max="7173" width="3.7109375" style="81" customWidth="1"/>
    <col min="7174" max="7174" width="9.28125" style="81" customWidth="1"/>
    <col min="7175" max="7175" width="13.421875" style="81" customWidth="1"/>
    <col min="7176" max="7176" width="16.421875" style="81" customWidth="1"/>
    <col min="7177" max="7424" width="9.00390625" style="81" customWidth="1"/>
    <col min="7425" max="7425" width="3.8515625" style="81" customWidth="1"/>
    <col min="7426" max="7426" width="4.57421875" style="81" customWidth="1"/>
    <col min="7427" max="7427" width="10.00390625" style="81" customWidth="1"/>
    <col min="7428" max="7428" width="42.8515625" style="81" customWidth="1"/>
    <col min="7429" max="7429" width="3.7109375" style="81" customWidth="1"/>
    <col min="7430" max="7430" width="9.28125" style="81" customWidth="1"/>
    <col min="7431" max="7431" width="13.421875" style="81" customWidth="1"/>
    <col min="7432" max="7432" width="16.421875" style="81" customWidth="1"/>
    <col min="7433" max="7680" width="9.00390625" style="81" customWidth="1"/>
    <col min="7681" max="7681" width="3.8515625" style="81" customWidth="1"/>
    <col min="7682" max="7682" width="4.57421875" style="81" customWidth="1"/>
    <col min="7683" max="7683" width="10.00390625" style="81" customWidth="1"/>
    <col min="7684" max="7684" width="42.8515625" style="81" customWidth="1"/>
    <col min="7685" max="7685" width="3.7109375" style="81" customWidth="1"/>
    <col min="7686" max="7686" width="9.28125" style="81" customWidth="1"/>
    <col min="7687" max="7687" width="13.421875" style="81" customWidth="1"/>
    <col min="7688" max="7688" width="16.421875" style="81" customWidth="1"/>
    <col min="7689" max="7936" width="9.00390625" style="81" customWidth="1"/>
    <col min="7937" max="7937" width="3.8515625" style="81" customWidth="1"/>
    <col min="7938" max="7938" width="4.57421875" style="81" customWidth="1"/>
    <col min="7939" max="7939" width="10.00390625" style="81" customWidth="1"/>
    <col min="7940" max="7940" width="42.8515625" style="81" customWidth="1"/>
    <col min="7941" max="7941" width="3.7109375" style="81" customWidth="1"/>
    <col min="7942" max="7942" width="9.28125" style="81" customWidth="1"/>
    <col min="7943" max="7943" width="13.421875" style="81" customWidth="1"/>
    <col min="7944" max="7944" width="16.421875" style="81" customWidth="1"/>
    <col min="7945" max="8192" width="9.00390625" style="81" customWidth="1"/>
    <col min="8193" max="8193" width="3.8515625" style="81" customWidth="1"/>
    <col min="8194" max="8194" width="4.57421875" style="81" customWidth="1"/>
    <col min="8195" max="8195" width="10.00390625" style="81" customWidth="1"/>
    <col min="8196" max="8196" width="42.8515625" style="81" customWidth="1"/>
    <col min="8197" max="8197" width="3.7109375" style="81" customWidth="1"/>
    <col min="8198" max="8198" width="9.28125" style="81" customWidth="1"/>
    <col min="8199" max="8199" width="13.421875" style="81" customWidth="1"/>
    <col min="8200" max="8200" width="16.421875" style="81" customWidth="1"/>
    <col min="8201" max="8448" width="9.00390625" style="81" customWidth="1"/>
    <col min="8449" max="8449" width="3.8515625" style="81" customWidth="1"/>
    <col min="8450" max="8450" width="4.57421875" style="81" customWidth="1"/>
    <col min="8451" max="8451" width="10.00390625" style="81" customWidth="1"/>
    <col min="8452" max="8452" width="42.8515625" style="81" customWidth="1"/>
    <col min="8453" max="8453" width="3.7109375" style="81" customWidth="1"/>
    <col min="8454" max="8454" width="9.28125" style="81" customWidth="1"/>
    <col min="8455" max="8455" width="13.421875" style="81" customWidth="1"/>
    <col min="8456" max="8456" width="16.421875" style="81" customWidth="1"/>
    <col min="8457" max="8704" width="9.00390625" style="81" customWidth="1"/>
    <col min="8705" max="8705" width="3.8515625" style="81" customWidth="1"/>
    <col min="8706" max="8706" width="4.57421875" style="81" customWidth="1"/>
    <col min="8707" max="8707" width="10.00390625" style="81" customWidth="1"/>
    <col min="8708" max="8708" width="42.8515625" style="81" customWidth="1"/>
    <col min="8709" max="8709" width="3.7109375" style="81" customWidth="1"/>
    <col min="8710" max="8710" width="9.28125" style="81" customWidth="1"/>
    <col min="8711" max="8711" width="13.421875" style="81" customWidth="1"/>
    <col min="8712" max="8712" width="16.421875" style="81" customWidth="1"/>
    <col min="8713" max="8960" width="9.00390625" style="81" customWidth="1"/>
    <col min="8961" max="8961" width="3.8515625" style="81" customWidth="1"/>
    <col min="8962" max="8962" width="4.57421875" style="81" customWidth="1"/>
    <col min="8963" max="8963" width="10.00390625" style="81" customWidth="1"/>
    <col min="8964" max="8964" width="42.8515625" style="81" customWidth="1"/>
    <col min="8965" max="8965" width="3.7109375" style="81" customWidth="1"/>
    <col min="8966" max="8966" width="9.28125" style="81" customWidth="1"/>
    <col min="8967" max="8967" width="13.421875" style="81" customWidth="1"/>
    <col min="8968" max="8968" width="16.421875" style="81" customWidth="1"/>
    <col min="8969" max="9216" width="9.00390625" style="81" customWidth="1"/>
    <col min="9217" max="9217" width="3.8515625" style="81" customWidth="1"/>
    <col min="9218" max="9218" width="4.57421875" style="81" customWidth="1"/>
    <col min="9219" max="9219" width="10.00390625" style="81" customWidth="1"/>
    <col min="9220" max="9220" width="42.8515625" style="81" customWidth="1"/>
    <col min="9221" max="9221" width="3.7109375" style="81" customWidth="1"/>
    <col min="9222" max="9222" width="9.28125" style="81" customWidth="1"/>
    <col min="9223" max="9223" width="13.421875" style="81" customWidth="1"/>
    <col min="9224" max="9224" width="16.421875" style="81" customWidth="1"/>
    <col min="9225" max="9472" width="9.00390625" style="81" customWidth="1"/>
    <col min="9473" max="9473" width="3.8515625" style="81" customWidth="1"/>
    <col min="9474" max="9474" width="4.57421875" style="81" customWidth="1"/>
    <col min="9475" max="9475" width="10.00390625" style="81" customWidth="1"/>
    <col min="9476" max="9476" width="42.8515625" style="81" customWidth="1"/>
    <col min="9477" max="9477" width="3.7109375" style="81" customWidth="1"/>
    <col min="9478" max="9478" width="9.28125" style="81" customWidth="1"/>
    <col min="9479" max="9479" width="13.421875" style="81" customWidth="1"/>
    <col min="9480" max="9480" width="16.421875" style="81" customWidth="1"/>
    <col min="9481" max="9728" width="9.00390625" style="81" customWidth="1"/>
    <col min="9729" max="9729" width="3.8515625" style="81" customWidth="1"/>
    <col min="9730" max="9730" width="4.57421875" style="81" customWidth="1"/>
    <col min="9731" max="9731" width="10.00390625" style="81" customWidth="1"/>
    <col min="9732" max="9732" width="42.8515625" style="81" customWidth="1"/>
    <col min="9733" max="9733" width="3.7109375" style="81" customWidth="1"/>
    <col min="9734" max="9734" width="9.28125" style="81" customWidth="1"/>
    <col min="9735" max="9735" width="13.421875" style="81" customWidth="1"/>
    <col min="9736" max="9736" width="16.421875" style="81" customWidth="1"/>
    <col min="9737" max="9984" width="9.00390625" style="81" customWidth="1"/>
    <col min="9985" max="9985" width="3.8515625" style="81" customWidth="1"/>
    <col min="9986" max="9986" width="4.57421875" style="81" customWidth="1"/>
    <col min="9987" max="9987" width="10.00390625" style="81" customWidth="1"/>
    <col min="9988" max="9988" width="42.8515625" style="81" customWidth="1"/>
    <col min="9989" max="9989" width="3.7109375" style="81" customWidth="1"/>
    <col min="9990" max="9990" width="9.28125" style="81" customWidth="1"/>
    <col min="9991" max="9991" width="13.421875" style="81" customWidth="1"/>
    <col min="9992" max="9992" width="16.421875" style="81" customWidth="1"/>
    <col min="9993" max="10240" width="9.00390625" style="81" customWidth="1"/>
    <col min="10241" max="10241" width="3.8515625" style="81" customWidth="1"/>
    <col min="10242" max="10242" width="4.57421875" style="81" customWidth="1"/>
    <col min="10243" max="10243" width="10.00390625" style="81" customWidth="1"/>
    <col min="10244" max="10244" width="42.8515625" style="81" customWidth="1"/>
    <col min="10245" max="10245" width="3.7109375" style="81" customWidth="1"/>
    <col min="10246" max="10246" width="9.28125" style="81" customWidth="1"/>
    <col min="10247" max="10247" width="13.421875" style="81" customWidth="1"/>
    <col min="10248" max="10248" width="16.421875" style="81" customWidth="1"/>
    <col min="10249" max="10496" width="9.00390625" style="81" customWidth="1"/>
    <col min="10497" max="10497" width="3.8515625" style="81" customWidth="1"/>
    <col min="10498" max="10498" width="4.57421875" style="81" customWidth="1"/>
    <col min="10499" max="10499" width="10.00390625" style="81" customWidth="1"/>
    <col min="10500" max="10500" width="42.8515625" style="81" customWidth="1"/>
    <col min="10501" max="10501" width="3.7109375" style="81" customWidth="1"/>
    <col min="10502" max="10502" width="9.28125" style="81" customWidth="1"/>
    <col min="10503" max="10503" width="13.421875" style="81" customWidth="1"/>
    <col min="10504" max="10504" width="16.421875" style="81" customWidth="1"/>
    <col min="10505" max="10752" width="9.00390625" style="81" customWidth="1"/>
    <col min="10753" max="10753" width="3.8515625" style="81" customWidth="1"/>
    <col min="10754" max="10754" width="4.57421875" style="81" customWidth="1"/>
    <col min="10755" max="10755" width="10.00390625" style="81" customWidth="1"/>
    <col min="10756" max="10756" width="42.8515625" style="81" customWidth="1"/>
    <col min="10757" max="10757" width="3.7109375" style="81" customWidth="1"/>
    <col min="10758" max="10758" width="9.28125" style="81" customWidth="1"/>
    <col min="10759" max="10759" width="13.421875" style="81" customWidth="1"/>
    <col min="10760" max="10760" width="16.421875" style="81" customWidth="1"/>
    <col min="10761" max="11008" width="9.00390625" style="81" customWidth="1"/>
    <col min="11009" max="11009" width="3.8515625" style="81" customWidth="1"/>
    <col min="11010" max="11010" width="4.57421875" style="81" customWidth="1"/>
    <col min="11011" max="11011" width="10.00390625" style="81" customWidth="1"/>
    <col min="11012" max="11012" width="42.8515625" style="81" customWidth="1"/>
    <col min="11013" max="11013" width="3.7109375" style="81" customWidth="1"/>
    <col min="11014" max="11014" width="9.28125" style="81" customWidth="1"/>
    <col min="11015" max="11015" width="13.421875" style="81" customWidth="1"/>
    <col min="11016" max="11016" width="16.421875" style="81" customWidth="1"/>
    <col min="11017" max="11264" width="9.00390625" style="81" customWidth="1"/>
    <col min="11265" max="11265" width="3.8515625" style="81" customWidth="1"/>
    <col min="11266" max="11266" width="4.57421875" style="81" customWidth="1"/>
    <col min="11267" max="11267" width="10.00390625" style="81" customWidth="1"/>
    <col min="11268" max="11268" width="42.8515625" style="81" customWidth="1"/>
    <col min="11269" max="11269" width="3.7109375" style="81" customWidth="1"/>
    <col min="11270" max="11270" width="9.28125" style="81" customWidth="1"/>
    <col min="11271" max="11271" width="13.421875" style="81" customWidth="1"/>
    <col min="11272" max="11272" width="16.421875" style="81" customWidth="1"/>
    <col min="11273" max="11520" width="9.00390625" style="81" customWidth="1"/>
    <col min="11521" max="11521" width="3.8515625" style="81" customWidth="1"/>
    <col min="11522" max="11522" width="4.57421875" style="81" customWidth="1"/>
    <col min="11523" max="11523" width="10.00390625" style="81" customWidth="1"/>
    <col min="11524" max="11524" width="42.8515625" style="81" customWidth="1"/>
    <col min="11525" max="11525" width="3.7109375" style="81" customWidth="1"/>
    <col min="11526" max="11526" width="9.28125" style="81" customWidth="1"/>
    <col min="11527" max="11527" width="13.421875" style="81" customWidth="1"/>
    <col min="11528" max="11528" width="16.421875" style="81" customWidth="1"/>
    <col min="11529" max="11776" width="9.00390625" style="81" customWidth="1"/>
    <col min="11777" max="11777" width="3.8515625" style="81" customWidth="1"/>
    <col min="11778" max="11778" width="4.57421875" style="81" customWidth="1"/>
    <col min="11779" max="11779" width="10.00390625" style="81" customWidth="1"/>
    <col min="11780" max="11780" width="42.8515625" style="81" customWidth="1"/>
    <col min="11781" max="11781" width="3.7109375" style="81" customWidth="1"/>
    <col min="11782" max="11782" width="9.28125" style="81" customWidth="1"/>
    <col min="11783" max="11783" width="13.421875" style="81" customWidth="1"/>
    <col min="11784" max="11784" width="16.421875" style="81" customWidth="1"/>
    <col min="11785" max="12032" width="9.00390625" style="81" customWidth="1"/>
    <col min="12033" max="12033" width="3.8515625" style="81" customWidth="1"/>
    <col min="12034" max="12034" width="4.57421875" style="81" customWidth="1"/>
    <col min="12035" max="12035" width="10.00390625" style="81" customWidth="1"/>
    <col min="12036" max="12036" width="42.8515625" style="81" customWidth="1"/>
    <col min="12037" max="12037" width="3.7109375" style="81" customWidth="1"/>
    <col min="12038" max="12038" width="9.28125" style="81" customWidth="1"/>
    <col min="12039" max="12039" width="13.421875" style="81" customWidth="1"/>
    <col min="12040" max="12040" width="16.421875" style="81" customWidth="1"/>
    <col min="12041" max="12288" width="9.00390625" style="81" customWidth="1"/>
    <col min="12289" max="12289" width="3.8515625" style="81" customWidth="1"/>
    <col min="12290" max="12290" width="4.57421875" style="81" customWidth="1"/>
    <col min="12291" max="12291" width="10.00390625" style="81" customWidth="1"/>
    <col min="12292" max="12292" width="42.8515625" style="81" customWidth="1"/>
    <col min="12293" max="12293" width="3.7109375" style="81" customWidth="1"/>
    <col min="12294" max="12294" width="9.28125" style="81" customWidth="1"/>
    <col min="12295" max="12295" width="13.421875" style="81" customWidth="1"/>
    <col min="12296" max="12296" width="16.421875" style="81" customWidth="1"/>
    <col min="12297" max="12544" width="9.00390625" style="81" customWidth="1"/>
    <col min="12545" max="12545" width="3.8515625" style="81" customWidth="1"/>
    <col min="12546" max="12546" width="4.57421875" style="81" customWidth="1"/>
    <col min="12547" max="12547" width="10.00390625" style="81" customWidth="1"/>
    <col min="12548" max="12548" width="42.8515625" style="81" customWidth="1"/>
    <col min="12549" max="12549" width="3.7109375" style="81" customWidth="1"/>
    <col min="12550" max="12550" width="9.28125" style="81" customWidth="1"/>
    <col min="12551" max="12551" width="13.421875" style="81" customWidth="1"/>
    <col min="12552" max="12552" width="16.421875" style="81" customWidth="1"/>
    <col min="12553" max="12800" width="9.00390625" style="81" customWidth="1"/>
    <col min="12801" max="12801" width="3.8515625" style="81" customWidth="1"/>
    <col min="12802" max="12802" width="4.57421875" style="81" customWidth="1"/>
    <col min="12803" max="12803" width="10.00390625" style="81" customWidth="1"/>
    <col min="12804" max="12804" width="42.8515625" style="81" customWidth="1"/>
    <col min="12805" max="12805" width="3.7109375" style="81" customWidth="1"/>
    <col min="12806" max="12806" width="9.28125" style="81" customWidth="1"/>
    <col min="12807" max="12807" width="13.421875" style="81" customWidth="1"/>
    <col min="12808" max="12808" width="16.421875" style="81" customWidth="1"/>
    <col min="12809" max="13056" width="9.00390625" style="81" customWidth="1"/>
    <col min="13057" max="13057" width="3.8515625" style="81" customWidth="1"/>
    <col min="13058" max="13058" width="4.57421875" style="81" customWidth="1"/>
    <col min="13059" max="13059" width="10.00390625" style="81" customWidth="1"/>
    <col min="13060" max="13060" width="42.8515625" style="81" customWidth="1"/>
    <col min="13061" max="13061" width="3.7109375" style="81" customWidth="1"/>
    <col min="13062" max="13062" width="9.28125" style="81" customWidth="1"/>
    <col min="13063" max="13063" width="13.421875" style="81" customWidth="1"/>
    <col min="13064" max="13064" width="16.421875" style="81" customWidth="1"/>
    <col min="13065" max="13312" width="9.00390625" style="81" customWidth="1"/>
    <col min="13313" max="13313" width="3.8515625" style="81" customWidth="1"/>
    <col min="13314" max="13314" width="4.57421875" style="81" customWidth="1"/>
    <col min="13315" max="13315" width="10.00390625" style="81" customWidth="1"/>
    <col min="13316" max="13316" width="42.8515625" style="81" customWidth="1"/>
    <col min="13317" max="13317" width="3.7109375" style="81" customWidth="1"/>
    <col min="13318" max="13318" width="9.28125" style="81" customWidth="1"/>
    <col min="13319" max="13319" width="13.421875" style="81" customWidth="1"/>
    <col min="13320" max="13320" width="16.421875" style="81" customWidth="1"/>
    <col min="13321" max="13568" width="9.00390625" style="81" customWidth="1"/>
    <col min="13569" max="13569" width="3.8515625" style="81" customWidth="1"/>
    <col min="13570" max="13570" width="4.57421875" style="81" customWidth="1"/>
    <col min="13571" max="13571" width="10.00390625" style="81" customWidth="1"/>
    <col min="13572" max="13572" width="42.8515625" style="81" customWidth="1"/>
    <col min="13573" max="13573" width="3.7109375" style="81" customWidth="1"/>
    <col min="13574" max="13574" width="9.28125" style="81" customWidth="1"/>
    <col min="13575" max="13575" width="13.421875" style="81" customWidth="1"/>
    <col min="13576" max="13576" width="16.421875" style="81" customWidth="1"/>
    <col min="13577" max="13824" width="9.00390625" style="81" customWidth="1"/>
    <col min="13825" max="13825" width="3.8515625" style="81" customWidth="1"/>
    <col min="13826" max="13826" width="4.57421875" style="81" customWidth="1"/>
    <col min="13827" max="13827" width="10.00390625" style="81" customWidth="1"/>
    <col min="13828" max="13828" width="42.8515625" style="81" customWidth="1"/>
    <col min="13829" max="13829" width="3.7109375" style="81" customWidth="1"/>
    <col min="13830" max="13830" width="9.28125" style="81" customWidth="1"/>
    <col min="13831" max="13831" width="13.421875" style="81" customWidth="1"/>
    <col min="13832" max="13832" width="16.421875" style="81" customWidth="1"/>
    <col min="13833" max="14080" width="9.00390625" style="81" customWidth="1"/>
    <col min="14081" max="14081" width="3.8515625" style="81" customWidth="1"/>
    <col min="14082" max="14082" width="4.57421875" style="81" customWidth="1"/>
    <col min="14083" max="14083" width="10.00390625" style="81" customWidth="1"/>
    <col min="14084" max="14084" width="42.8515625" style="81" customWidth="1"/>
    <col min="14085" max="14085" width="3.7109375" style="81" customWidth="1"/>
    <col min="14086" max="14086" width="9.28125" style="81" customWidth="1"/>
    <col min="14087" max="14087" width="13.421875" style="81" customWidth="1"/>
    <col min="14088" max="14088" width="16.421875" style="81" customWidth="1"/>
    <col min="14089" max="14336" width="9.00390625" style="81" customWidth="1"/>
    <col min="14337" max="14337" width="3.8515625" style="81" customWidth="1"/>
    <col min="14338" max="14338" width="4.57421875" style="81" customWidth="1"/>
    <col min="14339" max="14339" width="10.00390625" style="81" customWidth="1"/>
    <col min="14340" max="14340" width="42.8515625" style="81" customWidth="1"/>
    <col min="14341" max="14341" width="3.7109375" style="81" customWidth="1"/>
    <col min="14342" max="14342" width="9.28125" style="81" customWidth="1"/>
    <col min="14343" max="14343" width="13.421875" style="81" customWidth="1"/>
    <col min="14344" max="14344" width="16.421875" style="81" customWidth="1"/>
    <col min="14345" max="14592" width="9.00390625" style="81" customWidth="1"/>
    <col min="14593" max="14593" width="3.8515625" style="81" customWidth="1"/>
    <col min="14594" max="14594" width="4.57421875" style="81" customWidth="1"/>
    <col min="14595" max="14595" width="10.00390625" style="81" customWidth="1"/>
    <col min="14596" max="14596" width="42.8515625" style="81" customWidth="1"/>
    <col min="14597" max="14597" width="3.7109375" style="81" customWidth="1"/>
    <col min="14598" max="14598" width="9.28125" style="81" customWidth="1"/>
    <col min="14599" max="14599" width="13.421875" style="81" customWidth="1"/>
    <col min="14600" max="14600" width="16.421875" style="81" customWidth="1"/>
    <col min="14601" max="14848" width="9.00390625" style="81" customWidth="1"/>
    <col min="14849" max="14849" width="3.8515625" style="81" customWidth="1"/>
    <col min="14850" max="14850" width="4.57421875" style="81" customWidth="1"/>
    <col min="14851" max="14851" width="10.00390625" style="81" customWidth="1"/>
    <col min="14852" max="14852" width="42.8515625" style="81" customWidth="1"/>
    <col min="14853" max="14853" width="3.7109375" style="81" customWidth="1"/>
    <col min="14854" max="14854" width="9.28125" style="81" customWidth="1"/>
    <col min="14855" max="14855" width="13.421875" style="81" customWidth="1"/>
    <col min="14856" max="14856" width="16.421875" style="81" customWidth="1"/>
    <col min="14857" max="15104" width="9.00390625" style="81" customWidth="1"/>
    <col min="15105" max="15105" width="3.8515625" style="81" customWidth="1"/>
    <col min="15106" max="15106" width="4.57421875" style="81" customWidth="1"/>
    <col min="15107" max="15107" width="10.00390625" style="81" customWidth="1"/>
    <col min="15108" max="15108" width="42.8515625" style="81" customWidth="1"/>
    <col min="15109" max="15109" width="3.7109375" style="81" customWidth="1"/>
    <col min="15110" max="15110" width="9.28125" style="81" customWidth="1"/>
    <col min="15111" max="15111" width="13.421875" style="81" customWidth="1"/>
    <col min="15112" max="15112" width="16.421875" style="81" customWidth="1"/>
    <col min="15113" max="15360" width="9.00390625" style="81" customWidth="1"/>
    <col min="15361" max="15361" width="3.8515625" style="81" customWidth="1"/>
    <col min="15362" max="15362" width="4.57421875" style="81" customWidth="1"/>
    <col min="15363" max="15363" width="10.00390625" style="81" customWidth="1"/>
    <col min="15364" max="15364" width="42.8515625" style="81" customWidth="1"/>
    <col min="15365" max="15365" width="3.7109375" style="81" customWidth="1"/>
    <col min="15366" max="15366" width="9.28125" style="81" customWidth="1"/>
    <col min="15367" max="15367" width="13.421875" style="81" customWidth="1"/>
    <col min="15368" max="15368" width="16.421875" style="81" customWidth="1"/>
    <col min="15369" max="15616" width="9.00390625" style="81" customWidth="1"/>
    <col min="15617" max="15617" width="3.8515625" style="81" customWidth="1"/>
    <col min="15618" max="15618" width="4.57421875" style="81" customWidth="1"/>
    <col min="15619" max="15619" width="10.00390625" style="81" customWidth="1"/>
    <col min="15620" max="15620" width="42.8515625" style="81" customWidth="1"/>
    <col min="15621" max="15621" width="3.7109375" style="81" customWidth="1"/>
    <col min="15622" max="15622" width="9.28125" style="81" customWidth="1"/>
    <col min="15623" max="15623" width="13.421875" style="81" customWidth="1"/>
    <col min="15624" max="15624" width="16.421875" style="81" customWidth="1"/>
    <col min="15625" max="15872" width="9.00390625" style="81" customWidth="1"/>
    <col min="15873" max="15873" width="3.8515625" style="81" customWidth="1"/>
    <col min="15874" max="15874" width="4.57421875" style="81" customWidth="1"/>
    <col min="15875" max="15875" width="10.00390625" style="81" customWidth="1"/>
    <col min="15876" max="15876" width="42.8515625" style="81" customWidth="1"/>
    <col min="15877" max="15877" width="3.7109375" style="81" customWidth="1"/>
    <col min="15878" max="15878" width="9.28125" style="81" customWidth="1"/>
    <col min="15879" max="15879" width="13.421875" style="81" customWidth="1"/>
    <col min="15880" max="15880" width="16.421875" style="81" customWidth="1"/>
    <col min="15881" max="16128" width="9.00390625" style="81" customWidth="1"/>
    <col min="16129" max="16129" width="3.8515625" style="81" customWidth="1"/>
    <col min="16130" max="16130" width="4.57421875" style="81" customWidth="1"/>
    <col min="16131" max="16131" width="10.00390625" style="81" customWidth="1"/>
    <col min="16132" max="16132" width="42.8515625" style="81" customWidth="1"/>
    <col min="16133" max="16133" width="3.7109375" style="81" customWidth="1"/>
    <col min="16134" max="16134" width="9.28125" style="81" customWidth="1"/>
    <col min="16135" max="16135" width="13.421875" style="81" customWidth="1"/>
    <col min="16136" max="16136" width="16.421875" style="81" customWidth="1"/>
    <col min="16137" max="16384" width="9.00390625" style="81" customWidth="1"/>
  </cols>
  <sheetData>
    <row r="1" spans="1:8" s="69" customFormat="1" ht="19.5" customHeight="1">
      <c r="A1" s="67" t="s">
        <v>615</v>
      </c>
      <c r="B1" s="68"/>
      <c r="C1" s="68"/>
      <c r="D1" s="68"/>
      <c r="E1" s="68"/>
      <c r="F1" s="68"/>
      <c r="G1" s="68"/>
      <c r="H1" s="68"/>
    </row>
    <row r="2" spans="1:8" s="69" customFormat="1" ht="12.75" customHeight="1">
      <c r="A2" s="70" t="s">
        <v>616</v>
      </c>
      <c r="B2" s="71"/>
      <c r="C2" s="72" t="s">
        <v>617</v>
      </c>
      <c r="D2" s="71"/>
      <c r="E2" s="73"/>
      <c r="F2" s="73"/>
      <c r="G2" s="68"/>
      <c r="H2" s="73"/>
    </row>
    <row r="3" spans="1:8" s="69" customFormat="1" ht="12.75" customHeight="1">
      <c r="A3" s="70" t="s">
        <v>618</v>
      </c>
      <c r="B3" s="71"/>
      <c r="C3" s="71"/>
      <c r="D3" s="71"/>
      <c r="E3" s="73"/>
      <c r="F3" s="68"/>
      <c r="G3" s="68"/>
      <c r="H3" s="68"/>
    </row>
    <row r="4" spans="1:8" s="69" customFormat="1" ht="12.75" customHeight="1">
      <c r="A4" s="70" t="s">
        <v>619</v>
      </c>
      <c r="B4" s="71"/>
      <c r="C4" s="71" t="s">
        <v>620</v>
      </c>
      <c r="D4" s="71"/>
      <c r="E4" s="73"/>
      <c r="F4" s="68"/>
      <c r="G4" s="68"/>
      <c r="H4" s="68"/>
    </row>
    <row r="5" spans="1:8" s="69" customFormat="1" ht="12.75" customHeight="1">
      <c r="A5" s="74" t="s">
        <v>621</v>
      </c>
      <c r="B5" s="74"/>
      <c r="C5" s="74"/>
      <c r="D5" s="73"/>
      <c r="E5" s="73"/>
      <c r="F5" s="68"/>
      <c r="G5" s="68"/>
      <c r="H5" s="68" t="s">
        <v>622</v>
      </c>
    </row>
    <row r="6" spans="1:8" s="69" customFormat="1" ht="6" customHeight="1" thickBot="1">
      <c r="A6" s="68"/>
      <c r="B6" s="68"/>
      <c r="C6" s="68"/>
      <c r="D6" s="68"/>
      <c r="E6" s="68"/>
      <c r="F6" s="68"/>
      <c r="G6" s="68"/>
      <c r="H6" s="68"/>
    </row>
    <row r="7" spans="1:8" s="69" customFormat="1" ht="25.5" customHeight="1" thickBot="1">
      <c r="A7" s="75" t="s">
        <v>623</v>
      </c>
      <c r="B7" s="75" t="s">
        <v>624</v>
      </c>
      <c r="C7" s="75" t="s">
        <v>625</v>
      </c>
      <c r="D7" s="75" t="s">
        <v>626</v>
      </c>
      <c r="E7" s="75" t="s">
        <v>446</v>
      </c>
      <c r="F7" s="75" t="s">
        <v>627</v>
      </c>
      <c r="G7" s="75" t="s">
        <v>628</v>
      </c>
      <c r="H7" s="75" t="s">
        <v>629</v>
      </c>
    </row>
    <row r="8" spans="1:8" s="69" customFormat="1" ht="12.75" customHeight="1" thickBot="1">
      <c r="A8" s="75" t="s">
        <v>7</v>
      </c>
      <c r="B8" s="75" t="s">
        <v>8</v>
      </c>
      <c r="C8" s="75" t="s">
        <v>9</v>
      </c>
      <c r="D8" s="75" t="s">
        <v>10</v>
      </c>
      <c r="E8" s="75" t="s">
        <v>11</v>
      </c>
      <c r="F8" s="75" t="s">
        <v>12</v>
      </c>
      <c r="G8" s="75" t="s">
        <v>13</v>
      </c>
      <c r="H8" s="75" t="s">
        <v>14</v>
      </c>
    </row>
    <row r="9" spans="1:8" s="69" customFormat="1" ht="4.5" customHeight="1">
      <c r="A9" s="76"/>
      <c r="B9" s="76"/>
      <c r="C9" s="76"/>
      <c r="D9" s="76"/>
      <c r="E9" s="76"/>
      <c r="F9" s="76"/>
      <c r="G9" s="76"/>
      <c r="H9" s="76"/>
    </row>
    <row r="10" spans="1:8" s="69" customFormat="1" ht="21" customHeight="1">
      <c r="A10" s="83"/>
      <c r="B10" s="84"/>
      <c r="C10" s="84" t="s">
        <v>630</v>
      </c>
      <c r="D10" s="84" t="s">
        <v>631</v>
      </c>
      <c r="E10" s="84"/>
      <c r="F10" s="85"/>
      <c r="G10" s="77"/>
      <c r="H10" s="85"/>
    </row>
    <row r="11" spans="1:8" s="69" customFormat="1" ht="20.25" customHeight="1" thickBot="1">
      <c r="A11" s="86"/>
      <c r="B11" s="87"/>
      <c r="C11" s="87" t="s">
        <v>7</v>
      </c>
      <c r="D11" s="87" t="s">
        <v>632</v>
      </c>
      <c r="E11" s="87"/>
      <c r="F11" s="88"/>
      <c r="G11" s="78"/>
      <c r="H11" s="88"/>
    </row>
    <row r="12" spans="1:8" s="69" customFormat="1" ht="24" customHeight="1" thickBot="1">
      <c r="A12" s="89">
        <v>1</v>
      </c>
      <c r="B12" s="90" t="s">
        <v>633</v>
      </c>
      <c r="C12" s="90" t="s">
        <v>634</v>
      </c>
      <c r="D12" s="90" t="s">
        <v>635</v>
      </c>
      <c r="E12" s="90" t="s">
        <v>636</v>
      </c>
      <c r="F12" s="91">
        <v>1</v>
      </c>
      <c r="G12" s="129">
        <v>0</v>
      </c>
      <c r="H12" s="91">
        <f>ROUND(F12*G12,2)</f>
        <v>0</v>
      </c>
    </row>
    <row r="13" spans="1:8" s="69" customFormat="1" ht="13.5" customHeight="1">
      <c r="A13" s="92"/>
      <c r="B13" s="93"/>
      <c r="C13" s="93"/>
      <c r="D13" s="93" t="s">
        <v>637</v>
      </c>
      <c r="E13" s="93"/>
      <c r="F13" s="94"/>
      <c r="G13" s="124"/>
      <c r="H13" s="94"/>
    </row>
    <row r="14" spans="1:8" s="69" customFormat="1" ht="21" customHeight="1">
      <c r="A14" s="95"/>
      <c r="B14" s="96"/>
      <c r="C14" s="96"/>
      <c r="D14" s="96" t="s">
        <v>638</v>
      </c>
      <c r="E14" s="96"/>
      <c r="F14" s="97"/>
      <c r="G14" s="125"/>
      <c r="H14" s="97"/>
    </row>
    <row r="15" spans="1:8" s="69" customFormat="1" ht="13.5" customHeight="1">
      <c r="A15" s="95"/>
      <c r="B15" s="96"/>
      <c r="C15" s="96"/>
      <c r="D15" s="96" t="s">
        <v>639</v>
      </c>
      <c r="E15" s="96"/>
      <c r="F15" s="97"/>
      <c r="G15" s="125"/>
      <c r="H15" s="97"/>
    </row>
    <row r="16" spans="1:8" s="69" customFormat="1" ht="21" customHeight="1">
      <c r="A16" s="95"/>
      <c r="B16" s="96"/>
      <c r="C16" s="96"/>
      <c r="D16" s="96" t="s">
        <v>640</v>
      </c>
      <c r="E16" s="96"/>
      <c r="F16" s="97"/>
      <c r="G16" s="125"/>
      <c r="H16" s="97"/>
    </row>
    <row r="17" spans="1:8" s="69" customFormat="1" ht="21" customHeight="1">
      <c r="A17" s="95"/>
      <c r="B17" s="96"/>
      <c r="C17" s="96"/>
      <c r="D17" s="96" t="s">
        <v>641</v>
      </c>
      <c r="E17" s="96"/>
      <c r="F17" s="97"/>
      <c r="G17" s="125"/>
      <c r="H17" s="97"/>
    </row>
    <row r="18" spans="1:8" s="69" customFormat="1" ht="13.5" customHeight="1">
      <c r="A18" s="95"/>
      <c r="B18" s="96"/>
      <c r="C18" s="96"/>
      <c r="D18" s="96" t="s">
        <v>642</v>
      </c>
      <c r="E18" s="96"/>
      <c r="F18" s="97"/>
      <c r="G18" s="125"/>
      <c r="H18" s="97"/>
    </row>
    <row r="19" spans="1:8" s="69" customFormat="1" ht="21" customHeight="1">
      <c r="A19" s="95"/>
      <c r="B19" s="96"/>
      <c r="C19" s="96"/>
      <c r="D19" s="96" t="s">
        <v>643</v>
      </c>
      <c r="E19" s="96"/>
      <c r="F19" s="97"/>
      <c r="G19" s="125"/>
      <c r="H19" s="97"/>
    </row>
    <row r="20" spans="1:8" s="69" customFormat="1" ht="13.5" customHeight="1">
      <c r="A20" s="95"/>
      <c r="B20" s="96"/>
      <c r="C20" s="96"/>
      <c r="D20" s="96" t="s">
        <v>644</v>
      </c>
      <c r="E20" s="96"/>
      <c r="F20" s="97"/>
      <c r="G20" s="125"/>
      <c r="H20" s="97"/>
    </row>
    <row r="21" spans="1:8" s="69" customFormat="1" ht="21" customHeight="1">
      <c r="A21" s="95"/>
      <c r="B21" s="96"/>
      <c r="C21" s="96"/>
      <c r="D21" s="96" t="s">
        <v>645</v>
      </c>
      <c r="E21" s="96"/>
      <c r="F21" s="97"/>
      <c r="G21" s="125"/>
      <c r="H21" s="97"/>
    </row>
    <row r="22" spans="1:8" s="69" customFormat="1" ht="21" customHeight="1">
      <c r="A22" s="95"/>
      <c r="B22" s="96"/>
      <c r="C22" s="96"/>
      <c r="D22" s="96" t="s">
        <v>646</v>
      </c>
      <c r="E22" s="96"/>
      <c r="F22" s="97"/>
      <c r="G22" s="125"/>
      <c r="H22" s="97"/>
    </row>
    <row r="23" spans="1:8" s="69" customFormat="1" ht="21" customHeight="1">
      <c r="A23" s="95"/>
      <c r="B23" s="96"/>
      <c r="C23" s="96"/>
      <c r="D23" s="96" t="s">
        <v>647</v>
      </c>
      <c r="E23" s="96"/>
      <c r="F23" s="97"/>
      <c r="G23" s="125"/>
      <c r="H23" s="97"/>
    </row>
    <row r="24" spans="1:8" s="69" customFormat="1" ht="21" customHeight="1" thickBot="1">
      <c r="A24" s="98"/>
      <c r="B24" s="99"/>
      <c r="C24" s="99"/>
      <c r="D24" s="99" t="s">
        <v>648</v>
      </c>
      <c r="E24" s="99"/>
      <c r="F24" s="100"/>
      <c r="G24" s="126"/>
      <c r="H24" s="100"/>
    </row>
    <row r="25" spans="1:8" s="69" customFormat="1" ht="24" customHeight="1" thickBot="1">
      <c r="A25" s="89">
        <v>3</v>
      </c>
      <c r="B25" s="90" t="s">
        <v>633</v>
      </c>
      <c r="C25" s="90" t="s">
        <v>649</v>
      </c>
      <c r="D25" s="90" t="s">
        <v>650</v>
      </c>
      <c r="E25" s="90" t="s">
        <v>636</v>
      </c>
      <c r="F25" s="91">
        <v>1</v>
      </c>
      <c r="G25" s="129">
        <v>0</v>
      </c>
      <c r="H25" s="91">
        <f>ROUND(F25*G25,2)</f>
        <v>0</v>
      </c>
    </row>
    <row r="26" spans="1:8" s="69" customFormat="1" ht="21" customHeight="1" thickBot="1">
      <c r="A26" s="101"/>
      <c r="B26" s="102"/>
      <c r="C26" s="102"/>
      <c r="D26" s="102" t="s">
        <v>651</v>
      </c>
      <c r="E26" s="102"/>
      <c r="F26" s="103"/>
      <c r="G26" s="127"/>
      <c r="H26" s="103"/>
    </row>
    <row r="27" spans="1:8" s="69" customFormat="1" ht="20.25" customHeight="1" thickBot="1">
      <c r="A27" s="86"/>
      <c r="B27" s="87"/>
      <c r="C27" s="87" t="s">
        <v>652</v>
      </c>
      <c r="D27" s="87" t="s">
        <v>653</v>
      </c>
      <c r="E27" s="87"/>
      <c r="F27" s="88"/>
      <c r="G27" s="123"/>
      <c r="H27" s="88"/>
    </row>
    <row r="28" spans="1:8" s="69" customFormat="1" ht="13.5" customHeight="1">
      <c r="A28" s="104">
        <v>4</v>
      </c>
      <c r="B28" s="105" t="s">
        <v>633</v>
      </c>
      <c r="C28" s="105" t="s">
        <v>654</v>
      </c>
      <c r="D28" s="106" t="s">
        <v>655</v>
      </c>
      <c r="E28" s="105" t="s">
        <v>636</v>
      </c>
      <c r="F28" s="107">
        <v>1</v>
      </c>
      <c r="G28" s="130">
        <v>0</v>
      </c>
      <c r="H28" s="107">
        <f>ROUND(F28*G28,2)</f>
        <v>0</v>
      </c>
    </row>
    <row r="29" spans="1:8" s="69" customFormat="1" ht="34.5" customHeight="1">
      <c r="A29" s="108">
        <v>5</v>
      </c>
      <c r="B29" s="109" t="s">
        <v>633</v>
      </c>
      <c r="C29" s="109" t="s">
        <v>656</v>
      </c>
      <c r="D29" s="109" t="s">
        <v>657</v>
      </c>
      <c r="E29" s="109" t="s">
        <v>636</v>
      </c>
      <c r="F29" s="110">
        <v>1</v>
      </c>
      <c r="G29" s="131">
        <v>0</v>
      </c>
      <c r="H29" s="110">
        <f>ROUND(F29*G29,2)</f>
        <v>0</v>
      </c>
    </row>
    <row r="30" spans="1:8" s="69" customFormat="1" ht="13.5" customHeight="1">
      <c r="A30" s="108">
        <v>6</v>
      </c>
      <c r="B30" s="109" t="s">
        <v>633</v>
      </c>
      <c r="C30" s="109" t="s">
        <v>658</v>
      </c>
      <c r="D30" s="109" t="s">
        <v>659</v>
      </c>
      <c r="E30" s="109" t="s">
        <v>636</v>
      </c>
      <c r="F30" s="110">
        <v>1</v>
      </c>
      <c r="G30" s="131">
        <v>0</v>
      </c>
      <c r="H30" s="110">
        <f>ROUND(F30*G30,2)</f>
        <v>0</v>
      </c>
    </row>
    <row r="31" spans="1:8" s="69" customFormat="1" ht="24" customHeight="1">
      <c r="A31" s="108">
        <v>9</v>
      </c>
      <c r="B31" s="109" t="s">
        <v>633</v>
      </c>
      <c r="C31" s="109" t="s">
        <v>660</v>
      </c>
      <c r="D31" s="109" t="s">
        <v>661</v>
      </c>
      <c r="E31" s="109" t="s">
        <v>636</v>
      </c>
      <c r="F31" s="110">
        <v>1</v>
      </c>
      <c r="G31" s="131">
        <v>0</v>
      </c>
      <c r="H31" s="110">
        <f>ROUND(F31*G31,2)</f>
        <v>0</v>
      </c>
    </row>
    <row r="32" spans="1:8" s="69" customFormat="1" ht="20.25" customHeight="1" thickBot="1">
      <c r="A32" s="86"/>
      <c r="B32" s="87"/>
      <c r="C32" s="87" t="s">
        <v>662</v>
      </c>
      <c r="D32" s="87" t="s">
        <v>663</v>
      </c>
      <c r="E32" s="87"/>
      <c r="F32" s="88"/>
      <c r="G32" s="123"/>
      <c r="H32" s="88"/>
    </row>
    <row r="33" spans="1:8" s="69" customFormat="1" ht="13.5" customHeight="1">
      <c r="A33" s="104">
        <v>11</v>
      </c>
      <c r="B33" s="105" t="s">
        <v>633</v>
      </c>
      <c r="C33" s="105" t="s">
        <v>664</v>
      </c>
      <c r="D33" s="105" t="s">
        <v>665</v>
      </c>
      <c r="E33" s="105" t="s">
        <v>636</v>
      </c>
      <c r="F33" s="107">
        <v>1</v>
      </c>
      <c r="G33" s="130">
        <v>0</v>
      </c>
      <c r="H33" s="107">
        <f aca="true" t="shared" si="0" ref="H33:H34">ROUND(F33*G33,2)</f>
        <v>0</v>
      </c>
    </row>
    <row r="34" spans="1:8" s="69" customFormat="1" ht="24" customHeight="1" thickBot="1">
      <c r="A34" s="111">
        <v>12</v>
      </c>
      <c r="B34" s="112" t="s">
        <v>633</v>
      </c>
      <c r="C34" s="112" t="s">
        <v>666</v>
      </c>
      <c r="D34" s="112" t="s">
        <v>667</v>
      </c>
      <c r="E34" s="112" t="s">
        <v>636</v>
      </c>
      <c r="F34" s="113">
        <v>1</v>
      </c>
      <c r="G34" s="132">
        <v>0</v>
      </c>
      <c r="H34" s="113">
        <f t="shared" si="0"/>
        <v>0</v>
      </c>
    </row>
    <row r="35" spans="1:8" s="69" customFormat="1" ht="21" customHeight="1">
      <c r="A35" s="92"/>
      <c r="B35" s="93"/>
      <c r="C35" s="93"/>
      <c r="D35" s="93" t="s">
        <v>668</v>
      </c>
      <c r="E35" s="93"/>
      <c r="F35" s="94"/>
      <c r="G35" s="124"/>
      <c r="H35" s="94"/>
    </row>
    <row r="36" spans="1:8" s="69" customFormat="1" ht="13.5" customHeight="1">
      <c r="A36" s="95"/>
      <c r="B36" s="96"/>
      <c r="C36" s="96"/>
      <c r="D36" s="96" t="s">
        <v>669</v>
      </c>
      <c r="E36" s="96"/>
      <c r="F36" s="97"/>
      <c r="G36" s="125"/>
      <c r="H36" s="97"/>
    </row>
    <row r="37" spans="1:8" s="69" customFormat="1" ht="21" customHeight="1" thickBot="1">
      <c r="A37" s="98"/>
      <c r="B37" s="99"/>
      <c r="C37" s="99"/>
      <c r="D37" s="99" t="s">
        <v>670</v>
      </c>
      <c r="E37" s="99"/>
      <c r="F37" s="100"/>
      <c r="G37" s="126"/>
      <c r="H37" s="100"/>
    </row>
    <row r="38" spans="1:8" s="69" customFormat="1" ht="24" customHeight="1" thickBot="1">
      <c r="A38" s="89">
        <v>13</v>
      </c>
      <c r="B38" s="90" t="s">
        <v>633</v>
      </c>
      <c r="C38" s="90" t="s">
        <v>671</v>
      </c>
      <c r="D38" s="90" t="s">
        <v>672</v>
      </c>
      <c r="E38" s="90" t="s">
        <v>636</v>
      </c>
      <c r="F38" s="91">
        <v>1</v>
      </c>
      <c r="G38" s="129">
        <v>0</v>
      </c>
      <c r="H38" s="91">
        <f>ROUND(F38*G38,2)</f>
        <v>0</v>
      </c>
    </row>
    <row r="39" spans="1:8" s="69" customFormat="1" ht="20.25" customHeight="1" thickBot="1">
      <c r="A39" s="86"/>
      <c r="B39" s="87"/>
      <c r="C39" s="87" t="s">
        <v>673</v>
      </c>
      <c r="D39" s="87" t="s">
        <v>674</v>
      </c>
      <c r="E39" s="87"/>
      <c r="F39" s="88"/>
      <c r="G39" s="123"/>
      <c r="H39" s="88"/>
    </row>
    <row r="40" spans="1:8" s="69" customFormat="1" ht="34.5" customHeight="1">
      <c r="A40" s="104">
        <v>14</v>
      </c>
      <c r="B40" s="105" t="s">
        <v>633</v>
      </c>
      <c r="C40" s="105" t="s">
        <v>675</v>
      </c>
      <c r="D40" s="105" t="s">
        <v>676</v>
      </c>
      <c r="E40" s="105" t="s">
        <v>636</v>
      </c>
      <c r="F40" s="107">
        <v>1</v>
      </c>
      <c r="G40" s="130">
        <v>0</v>
      </c>
      <c r="H40" s="107">
        <f aca="true" t="shared" si="1" ref="H40:H47">ROUND(F40*G40,2)</f>
        <v>0</v>
      </c>
    </row>
    <row r="41" spans="1:8" s="69" customFormat="1" ht="13.5" customHeight="1">
      <c r="A41" s="108">
        <v>15</v>
      </c>
      <c r="B41" s="109" t="s">
        <v>633</v>
      </c>
      <c r="C41" s="109" t="s">
        <v>677</v>
      </c>
      <c r="D41" s="109" t="s">
        <v>678</v>
      </c>
      <c r="E41" s="109" t="s">
        <v>636</v>
      </c>
      <c r="F41" s="110">
        <v>1</v>
      </c>
      <c r="G41" s="131">
        <v>0</v>
      </c>
      <c r="H41" s="110">
        <f t="shared" si="1"/>
        <v>0</v>
      </c>
    </row>
    <row r="42" spans="1:8" s="69" customFormat="1" ht="34.5" customHeight="1">
      <c r="A42" s="108">
        <v>16</v>
      </c>
      <c r="B42" s="109" t="s">
        <v>633</v>
      </c>
      <c r="C42" s="109" t="s">
        <v>679</v>
      </c>
      <c r="D42" s="109" t="s">
        <v>680</v>
      </c>
      <c r="E42" s="109" t="s">
        <v>636</v>
      </c>
      <c r="F42" s="110">
        <v>1</v>
      </c>
      <c r="G42" s="131">
        <v>0</v>
      </c>
      <c r="H42" s="110">
        <f t="shared" si="1"/>
        <v>0</v>
      </c>
    </row>
    <row r="43" spans="1:8" s="69" customFormat="1" ht="13.5" customHeight="1">
      <c r="A43" s="108">
        <v>18</v>
      </c>
      <c r="B43" s="109" t="s">
        <v>633</v>
      </c>
      <c r="C43" s="109" t="s">
        <v>681</v>
      </c>
      <c r="D43" s="109" t="s">
        <v>682</v>
      </c>
      <c r="E43" s="109" t="s">
        <v>636</v>
      </c>
      <c r="F43" s="110">
        <v>1</v>
      </c>
      <c r="G43" s="131">
        <v>0</v>
      </c>
      <c r="H43" s="110">
        <f t="shared" si="1"/>
        <v>0</v>
      </c>
    </row>
    <row r="44" spans="1:8" s="69" customFormat="1" ht="24" customHeight="1">
      <c r="A44" s="108">
        <v>19</v>
      </c>
      <c r="B44" s="109" t="s">
        <v>633</v>
      </c>
      <c r="C44" s="109" t="s">
        <v>683</v>
      </c>
      <c r="D44" s="109" t="s">
        <v>684</v>
      </c>
      <c r="E44" s="109" t="s">
        <v>636</v>
      </c>
      <c r="F44" s="110">
        <v>1</v>
      </c>
      <c r="G44" s="131">
        <v>0</v>
      </c>
      <c r="H44" s="110">
        <f t="shared" si="1"/>
        <v>0</v>
      </c>
    </row>
    <row r="45" spans="1:8" s="69" customFormat="1" ht="24" customHeight="1">
      <c r="A45" s="108">
        <v>21</v>
      </c>
      <c r="B45" s="109" t="s">
        <v>633</v>
      </c>
      <c r="C45" s="109" t="s">
        <v>685</v>
      </c>
      <c r="D45" s="109" t="s">
        <v>686</v>
      </c>
      <c r="E45" s="109" t="s">
        <v>636</v>
      </c>
      <c r="F45" s="110">
        <v>1</v>
      </c>
      <c r="G45" s="131">
        <v>0</v>
      </c>
      <c r="H45" s="110">
        <f t="shared" si="1"/>
        <v>0</v>
      </c>
    </row>
    <row r="46" spans="1:8" s="69" customFormat="1" ht="24" customHeight="1">
      <c r="A46" s="108">
        <v>22</v>
      </c>
      <c r="B46" s="109" t="s">
        <v>633</v>
      </c>
      <c r="C46" s="109" t="s">
        <v>687</v>
      </c>
      <c r="D46" s="109" t="s">
        <v>688</v>
      </c>
      <c r="E46" s="109" t="s">
        <v>636</v>
      </c>
      <c r="F46" s="110">
        <v>1</v>
      </c>
      <c r="G46" s="131">
        <v>0</v>
      </c>
      <c r="H46" s="110">
        <f t="shared" si="1"/>
        <v>0</v>
      </c>
    </row>
    <row r="47" spans="1:8" s="69" customFormat="1" ht="13.5" customHeight="1" thickBot="1">
      <c r="A47" s="111">
        <v>23</v>
      </c>
      <c r="B47" s="112" t="s">
        <v>633</v>
      </c>
      <c r="C47" s="112" t="s">
        <v>689</v>
      </c>
      <c r="D47" s="112" t="s">
        <v>690</v>
      </c>
      <c r="E47" s="112" t="s">
        <v>636</v>
      </c>
      <c r="F47" s="113">
        <v>1</v>
      </c>
      <c r="G47" s="132">
        <v>0</v>
      </c>
      <c r="H47" s="113">
        <f t="shared" si="1"/>
        <v>0</v>
      </c>
    </row>
    <row r="48" spans="1:8" s="69" customFormat="1" ht="13.5" customHeight="1">
      <c r="A48" s="92"/>
      <c r="B48" s="93"/>
      <c r="C48" s="93"/>
      <c r="D48" s="93" t="s">
        <v>691</v>
      </c>
      <c r="E48" s="93"/>
      <c r="F48" s="94"/>
      <c r="G48" s="124"/>
      <c r="H48" s="94"/>
    </row>
    <row r="49" spans="1:8" s="69" customFormat="1" ht="21" customHeight="1">
      <c r="A49" s="95"/>
      <c r="B49" s="96"/>
      <c r="C49" s="96"/>
      <c r="D49" s="96" t="s">
        <v>692</v>
      </c>
      <c r="E49" s="96"/>
      <c r="F49" s="97"/>
      <c r="G49" s="125"/>
      <c r="H49" s="97"/>
    </row>
    <row r="50" spans="1:8" s="69" customFormat="1" ht="13.5" customHeight="1" thickBot="1">
      <c r="A50" s="98"/>
      <c r="B50" s="99"/>
      <c r="C50" s="99"/>
      <c r="D50" s="99" t="s">
        <v>693</v>
      </c>
      <c r="E50" s="99"/>
      <c r="F50" s="100"/>
      <c r="G50" s="126"/>
      <c r="H50" s="100"/>
    </row>
    <row r="51" spans="1:8" s="69" customFormat="1" ht="45" customHeight="1">
      <c r="A51" s="104">
        <v>24</v>
      </c>
      <c r="B51" s="105" t="s">
        <v>633</v>
      </c>
      <c r="C51" s="105" t="s">
        <v>694</v>
      </c>
      <c r="D51" s="105" t="s">
        <v>695</v>
      </c>
      <c r="E51" s="105" t="s">
        <v>636</v>
      </c>
      <c r="F51" s="107">
        <v>1</v>
      </c>
      <c r="G51" s="130">
        <v>0</v>
      </c>
      <c r="H51" s="107">
        <f aca="true" t="shared" si="2" ref="H51:H54">ROUND(F51*G51,2)</f>
        <v>0</v>
      </c>
    </row>
    <row r="52" spans="1:8" s="69" customFormat="1" ht="24" customHeight="1">
      <c r="A52" s="108">
        <v>25</v>
      </c>
      <c r="B52" s="109" t="s">
        <v>633</v>
      </c>
      <c r="C52" s="109" t="s">
        <v>696</v>
      </c>
      <c r="D52" s="109" t="s">
        <v>710</v>
      </c>
      <c r="E52" s="109" t="s">
        <v>636</v>
      </c>
      <c r="F52" s="110">
        <v>1</v>
      </c>
      <c r="G52" s="131">
        <v>0</v>
      </c>
      <c r="H52" s="110">
        <f t="shared" si="2"/>
        <v>0</v>
      </c>
    </row>
    <row r="53" spans="1:8" s="69" customFormat="1" ht="24" customHeight="1">
      <c r="A53" s="108">
        <v>26</v>
      </c>
      <c r="B53" s="109" t="s">
        <v>633</v>
      </c>
      <c r="C53" s="109" t="s">
        <v>697</v>
      </c>
      <c r="D53" s="109" t="s">
        <v>703</v>
      </c>
      <c r="E53" s="109" t="s">
        <v>636</v>
      </c>
      <c r="F53" s="110">
        <v>1</v>
      </c>
      <c r="G53" s="131">
        <v>0</v>
      </c>
      <c r="H53" s="110">
        <f t="shared" si="2"/>
        <v>0</v>
      </c>
    </row>
    <row r="54" spans="1:8" s="69" customFormat="1" ht="24" customHeight="1">
      <c r="A54" s="108">
        <v>28</v>
      </c>
      <c r="B54" s="109" t="s">
        <v>633</v>
      </c>
      <c r="C54" s="109" t="s">
        <v>698</v>
      </c>
      <c r="D54" s="109" t="s">
        <v>699</v>
      </c>
      <c r="E54" s="109" t="s">
        <v>636</v>
      </c>
      <c r="F54" s="110">
        <v>1</v>
      </c>
      <c r="G54" s="131">
        <v>0</v>
      </c>
      <c r="H54" s="110">
        <f t="shared" si="2"/>
        <v>0</v>
      </c>
    </row>
    <row r="55" spans="1:8" s="69" customFormat="1" ht="21" customHeight="1">
      <c r="A55" s="114"/>
      <c r="B55" s="115"/>
      <c r="C55" s="115"/>
      <c r="D55" s="115" t="s">
        <v>700</v>
      </c>
      <c r="E55" s="115"/>
      <c r="F55" s="116"/>
      <c r="G55" s="79"/>
      <c r="H55" s="116">
        <f>SUM(H12:H54)</f>
        <v>0</v>
      </c>
    </row>
    <row r="56" spans="1:8" ht="12" customHeight="1">
      <c r="A56" s="117"/>
      <c r="B56" s="118"/>
      <c r="C56" s="118"/>
      <c r="D56" s="118"/>
      <c r="E56" s="118"/>
      <c r="F56" s="119"/>
      <c r="G56" s="80"/>
      <c r="H56" s="119"/>
    </row>
    <row r="57" spans="1:8" ht="12" customHeight="1">
      <c r="A57" s="117"/>
      <c r="B57" s="118"/>
      <c r="C57" s="118"/>
      <c r="D57" s="118"/>
      <c r="E57" s="118"/>
      <c r="F57" s="119"/>
      <c r="G57" s="80"/>
      <c r="H57" s="119"/>
    </row>
    <row r="58" spans="1:8" ht="12" customHeight="1">
      <c r="A58" s="117"/>
      <c r="B58" s="118"/>
      <c r="C58" s="118"/>
      <c r="D58" s="118"/>
      <c r="E58" s="118"/>
      <c r="F58" s="119"/>
      <c r="G58" s="80"/>
      <c r="H58" s="119"/>
    </row>
    <row r="59" spans="1:8" ht="12" customHeight="1">
      <c r="A59" s="117"/>
      <c r="B59" s="118"/>
      <c r="C59" s="118"/>
      <c r="D59" s="118"/>
      <c r="E59" s="118"/>
      <c r="F59" s="119"/>
      <c r="G59" s="80"/>
      <c r="H59" s="119"/>
    </row>
    <row r="60" spans="1:8" ht="12" customHeight="1">
      <c r="A60" s="117"/>
      <c r="B60" s="118"/>
      <c r="C60" s="118"/>
      <c r="D60" s="118"/>
      <c r="E60" s="118"/>
      <c r="F60" s="119"/>
      <c r="G60" s="80"/>
      <c r="H60" s="119"/>
    </row>
    <row r="61" spans="1:8" ht="12" customHeight="1">
      <c r="A61" s="117"/>
      <c r="B61" s="118"/>
      <c r="C61" s="118"/>
      <c r="D61" s="118"/>
      <c r="E61" s="118"/>
      <c r="F61" s="119"/>
      <c r="G61" s="80"/>
      <c r="H61" s="119"/>
    </row>
    <row r="62" spans="1:8" ht="12" customHeight="1">
      <c r="A62" s="117"/>
      <c r="B62" s="118"/>
      <c r="C62" s="118"/>
      <c r="D62" s="118"/>
      <c r="E62" s="118"/>
      <c r="F62" s="119"/>
      <c r="G62" s="80"/>
      <c r="H62" s="119"/>
    </row>
    <row r="63" spans="1:8" ht="12" customHeight="1">
      <c r="A63" s="117"/>
      <c r="B63" s="118"/>
      <c r="C63" s="118"/>
      <c r="D63" s="118"/>
      <c r="E63" s="118"/>
      <c r="F63" s="119"/>
      <c r="G63" s="80"/>
      <c r="H63" s="119"/>
    </row>
    <row r="64" spans="1:8" ht="12" customHeight="1">
      <c r="A64" s="117"/>
      <c r="B64" s="118"/>
      <c r="C64" s="118"/>
      <c r="D64" s="118"/>
      <c r="E64" s="118"/>
      <c r="F64" s="119"/>
      <c r="G64" s="80"/>
      <c r="H64" s="119"/>
    </row>
    <row r="65" spans="1:8" ht="12" customHeight="1">
      <c r="A65" s="117"/>
      <c r="B65" s="118"/>
      <c r="C65" s="118"/>
      <c r="D65" s="118"/>
      <c r="E65" s="118"/>
      <c r="F65" s="119"/>
      <c r="G65" s="80"/>
      <c r="H65" s="119"/>
    </row>
    <row r="66" spans="1:8" ht="12" customHeight="1">
      <c r="A66" s="117"/>
      <c r="B66" s="118"/>
      <c r="C66" s="118"/>
      <c r="D66" s="118"/>
      <c r="E66" s="118"/>
      <c r="F66" s="119"/>
      <c r="G66" s="80"/>
      <c r="H66" s="119"/>
    </row>
    <row r="67" spans="1:8" ht="12" customHeight="1">
      <c r="A67" s="117"/>
      <c r="B67" s="118"/>
      <c r="C67" s="118"/>
      <c r="D67" s="118"/>
      <c r="E67" s="118"/>
      <c r="F67" s="119"/>
      <c r="G67" s="80"/>
      <c r="H67" s="119"/>
    </row>
    <row r="68" spans="1:8" ht="12" customHeight="1">
      <c r="A68" s="117"/>
      <c r="B68" s="118"/>
      <c r="C68" s="118"/>
      <c r="D68" s="118"/>
      <c r="E68" s="118"/>
      <c r="F68" s="119"/>
      <c r="G68" s="80"/>
      <c r="H68" s="119"/>
    </row>
    <row r="69" spans="1:8" ht="12" customHeight="1">
      <c r="A69" s="117"/>
      <c r="B69" s="118"/>
      <c r="C69" s="118"/>
      <c r="D69" s="118"/>
      <c r="E69" s="118"/>
      <c r="F69" s="119"/>
      <c r="G69" s="80"/>
      <c r="H69" s="119"/>
    </row>
    <row r="70" spans="1:8" ht="12" customHeight="1">
      <c r="A70" s="117"/>
      <c r="B70" s="118"/>
      <c r="C70" s="118"/>
      <c r="D70" s="118"/>
      <c r="E70" s="118"/>
      <c r="F70" s="119"/>
      <c r="G70" s="80"/>
      <c r="H70" s="119"/>
    </row>
    <row r="71" spans="1:8" ht="12" customHeight="1">
      <c r="A71" s="117"/>
      <c r="B71" s="118"/>
      <c r="C71" s="118"/>
      <c r="D71" s="118"/>
      <c r="E71" s="118"/>
      <c r="F71" s="119"/>
      <c r="G71" s="80"/>
      <c r="H71" s="119"/>
    </row>
    <row r="72" spans="1:8" ht="12" customHeight="1">
      <c r="A72" s="117"/>
      <c r="B72" s="118"/>
      <c r="C72" s="118"/>
      <c r="D72" s="118"/>
      <c r="E72" s="118"/>
      <c r="F72" s="119"/>
      <c r="G72" s="80"/>
      <c r="H72" s="119"/>
    </row>
    <row r="73" spans="1:8" ht="12" customHeight="1">
      <c r="A73" s="117"/>
      <c r="B73" s="118"/>
      <c r="C73" s="118"/>
      <c r="D73" s="118"/>
      <c r="E73" s="118"/>
      <c r="F73" s="119"/>
      <c r="G73" s="80"/>
      <c r="H73" s="119"/>
    </row>
    <row r="74" spans="1:8" ht="12" customHeight="1">
      <c r="A74" s="117"/>
      <c r="B74" s="118"/>
      <c r="C74" s="118"/>
      <c r="D74" s="118"/>
      <c r="E74" s="118"/>
      <c r="F74" s="119"/>
      <c r="G74" s="80"/>
      <c r="H74" s="119"/>
    </row>
    <row r="75" spans="1:8" ht="12" customHeight="1">
      <c r="A75" s="117"/>
      <c r="B75" s="118"/>
      <c r="C75" s="118"/>
      <c r="D75" s="118"/>
      <c r="E75" s="118"/>
      <c r="F75" s="119"/>
      <c r="G75" s="80"/>
      <c r="H75" s="119"/>
    </row>
    <row r="76" spans="1:8" ht="12" customHeight="1">
      <c r="A76" s="117"/>
      <c r="B76" s="118"/>
      <c r="C76" s="118"/>
      <c r="D76" s="118"/>
      <c r="E76" s="118"/>
      <c r="F76" s="119"/>
      <c r="G76" s="80"/>
      <c r="H76" s="119"/>
    </row>
    <row r="77" spans="1:8" ht="12" customHeight="1">
      <c r="A77" s="117"/>
      <c r="B77" s="118"/>
      <c r="C77" s="118"/>
      <c r="D77" s="118"/>
      <c r="E77" s="118"/>
      <c r="F77" s="119"/>
      <c r="G77" s="80"/>
      <c r="H77" s="119"/>
    </row>
    <row r="78" spans="1:8" ht="12" customHeight="1">
      <c r="A78" s="117"/>
      <c r="B78" s="118"/>
      <c r="C78" s="118"/>
      <c r="D78" s="118"/>
      <c r="E78" s="118"/>
      <c r="F78" s="119"/>
      <c r="G78" s="80"/>
      <c r="H78" s="119"/>
    </row>
    <row r="79" spans="1:8" ht="12" customHeight="1">
      <c r="A79" s="117"/>
      <c r="B79" s="118"/>
      <c r="C79" s="118"/>
      <c r="D79" s="118"/>
      <c r="E79" s="118"/>
      <c r="F79" s="119"/>
      <c r="G79" s="80"/>
      <c r="H79" s="119"/>
    </row>
    <row r="80" spans="1:8" ht="12" customHeight="1">
      <c r="A80" s="117"/>
      <c r="B80" s="118"/>
      <c r="C80" s="118"/>
      <c r="D80" s="118"/>
      <c r="E80" s="118"/>
      <c r="F80" s="119"/>
      <c r="G80" s="80"/>
      <c r="H80" s="119"/>
    </row>
    <row r="81" spans="1:8" ht="12" customHeight="1">
      <c r="A81" s="117"/>
      <c r="B81" s="118"/>
      <c r="C81" s="118"/>
      <c r="D81" s="118"/>
      <c r="E81" s="118"/>
      <c r="F81" s="119"/>
      <c r="G81" s="80"/>
      <c r="H81" s="119"/>
    </row>
    <row r="82" spans="1:8" ht="12" customHeight="1">
      <c r="A82" s="117"/>
      <c r="B82" s="118"/>
      <c r="C82" s="118"/>
      <c r="D82" s="118"/>
      <c r="E82" s="118"/>
      <c r="F82" s="119"/>
      <c r="G82" s="80"/>
      <c r="H82" s="119"/>
    </row>
    <row r="83" spans="1:8" ht="12" customHeight="1">
      <c r="A83" s="117"/>
      <c r="B83" s="118"/>
      <c r="C83" s="118"/>
      <c r="D83" s="118"/>
      <c r="E83" s="118"/>
      <c r="F83" s="119"/>
      <c r="G83" s="80"/>
      <c r="H83" s="119"/>
    </row>
    <row r="84" spans="1:8" ht="12" customHeight="1">
      <c r="A84" s="117"/>
      <c r="B84" s="118"/>
      <c r="C84" s="118"/>
      <c r="D84" s="118"/>
      <c r="E84" s="118"/>
      <c r="F84" s="119"/>
      <c r="G84" s="80"/>
      <c r="H84" s="119"/>
    </row>
    <row r="85" spans="1:8" ht="12" customHeight="1">
      <c r="A85" s="117"/>
      <c r="B85" s="118"/>
      <c r="C85" s="118"/>
      <c r="D85" s="118"/>
      <c r="E85" s="118"/>
      <c r="F85" s="119"/>
      <c r="G85" s="80"/>
      <c r="H85" s="119"/>
    </row>
    <row r="86" spans="1:8" ht="12" customHeight="1">
      <c r="A86" s="117"/>
      <c r="B86" s="118"/>
      <c r="C86" s="118"/>
      <c r="D86" s="118"/>
      <c r="E86" s="118"/>
      <c r="F86" s="119"/>
      <c r="G86" s="80"/>
      <c r="H86" s="119"/>
    </row>
    <row r="87" spans="1:8" ht="12" customHeight="1">
      <c r="A87" s="117"/>
      <c r="B87" s="118"/>
      <c r="C87" s="118"/>
      <c r="D87" s="118"/>
      <c r="E87" s="118"/>
      <c r="F87" s="119"/>
      <c r="G87" s="80"/>
      <c r="H87" s="119"/>
    </row>
    <row r="88" spans="1:8" ht="12" customHeight="1">
      <c r="A88" s="117"/>
      <c r="B88" s="118"/>
      <c r="C88" s="118"/>
      <c r="D88" s="118"/>
      <c r="E88" s="118"/>
      <c r="F88" s="119"/>
      <c r="G88" s="80"/>
      <c r="H88" s="119"/>
    </row>
    <row r="89" spans="1:8" ht="12" customHeight="1">
      <c r="A89" s="117"/>
      <c r="B89" s="118"/>
      <c r="C89" s="118"/>
      <c r="D89" s="118"/>
      <c r="E89" s="118"/>
      <c r="F89" s="119"/>
      <c r="G89" s="80"/>
      <c r="H89" s="119"/>
    </row>
    <row r="90" spans="1:8" ht="12" customHeight="1">
      <c r="A90" s="117"/>
      <c r="B90" s="118"/>
      <c r="C90" s="118"/>
      <c r="D90" s="118"/>
      <c r="E90" s="118"/>
      <c r="F90" s="119"/>
      <c r="G90" s="80"/>
      <c r="H90" s="119"/>
    </row>
    <row r="91" spans="1:8" ht="12" customHeight="1">
      <c r="A91" s="117"/>
      <c r="B91" s="118"/>
      <c r="C91" s="118"/>
      <c r="D91" s="118"/>
      <c r="E91" s="118"/>
      <c r="F91" s="119"/>
      <c r="G91" s="80"/>
      <c r="H91" s="119"/>
    </row>
    <row r="92" spans="1:8" ht="12" customHeight="1">
      <c r="A92" s="117"/>
      <c r="B92" s="118"/>
      <c r="C92" s="118"/>
      <c r="D92" s="118"/>
      <c r="E92" s="118"/>
      <c r="F92" s="119"/>
      <c r="G92" s="80"/>
      <c r="H92" s="119"/>
    </row>
    <row r="93" spans="1:8" ht="12" customHeight="1">
      <c r="A93" s="117"/>
      <c r="B93" s="118"/>
      <c r="C93" s="118"/>
      <c r="D93" s="118"/>
      <c r="E93" s="118"/>
      <c r="F93" s="119"/>
      <c r="G93" s="80"/>
      <c r="H93" s="119"/>
    </row>
    <row r="94" spans="1:8" ht="12" customHeight="1">
      <c r="A94" s="117"/>
      <c r="B94" s="118"/>
      <c r="C94" s="118"/>
      <c r="D94" s="118"/>
      <c r="E94" s="118"/>
      <c r="F94" s="119"/>
      <c r="G94" s="80"/>
      <c r="H94" s="119"/>
    </row>
    <row r="95" spans="1:8" ht="12" customHeight="1">
      <c r="A95" s="117"/>
      <c r="B95" s="118"/>
      <c r="C95" s="118"/>
      <c r="D95" s="118"/>
      <c r="E95" s="118"/>
      <c r="F95" s="119"/>
      <c r="G95" s="80"/>
      <c r="H95" s="119"/>
    </row>
    <row r="96" spans="1:8" ht="12" customHeight="1">
      <c r="A96" s="117"/>
      <c r="B96" s="118"/>
      <c r="C96" s="118"/>
      <c r="D96" s="118"/>
      <c r="E96" s="118"/>
      <c r="F96" s="119"/>
      <c r="G96" s="80"/>
      <c r="H96" s="119"/>
    </row>
    <row r="97" spans="1:8" ht="12" customHeight="1">
      <c r="A97" s="117"/>
      <c r="B97" s="118"/>
      <c r="C97" s="118"/>
      <c r="D97" s="118"/>
      <c r="E97" s="118"/>
      <c r="F97" s="119"/>
      <c r="G97" s="80"/>
      <c r="H97" s="119"/>
    </row>
    <row r="98" spans="1:8" ht="12" customHeight="1">
      <c r="A98" s="117"/>
      <c r="B98" s="118"/>
      <c r="C98" s="118"/>
      <c r="D98" s="118"/>
      <c r="E98" s="118"/>
      <c r="F98" s="119"/>
      <c r="G98" s="80"/>
      <c r="H98" s="119"/>
    </row>
    <row r="99" spans="1:8" ht="12" customHeight="1">
      <c r="A99" s="117"/>
      <c r="B99" s="118"/>
      <c r="C99" s="118"/>
      <c r="D99" s="118"/>
      <c r="E99" s="118"/>
      <c r="F99" s="119"/>
      <c r="G99" s="80"/>
      <c r="H99" s="119"/>
    </row>
    <row r="100" spans="1:8" ht="12" customHeight="1">
      <c r="A100" s="117"/>
      <c r="B100" s="118"/>
      <c r="C100" s="118"/>
      <c r="D100" s="118"/>
      <c r="E100" s="118"/>
      <c r="F100" s="119"/>
      <c r="G100" s="80"/>
      <c r="H100" s="119"/>
    </row>
    <row r="101" spans="1:8" ht="12" customHeight="1">
      <c r="A101" s="117"/>
      <c r="B101" s="118"/>
      <c r="C101" s="118"/>
      <c r="D101" s="118"/>
      <c r="E101" s="118"/>
      <c r="F101" s="119"/>
      <c r="G101" s="80"/>
      <c r="H101" s="119"/>
    </row>
    <row r="102" spans="1:8" ht="12" customHeight="1">
      <c r="A102" s="117"/>
      <c r="B102" s="118"/>
      <c r="C102" s="118"/>
      <c r="D102" s="118"/>
      <c r="E102" s="118"/>
      <c r="F102" s="119"/>
      <c r="G102" s="80"/>
      <c r="H102" s="119"/>
    </row>
    <row r="103" spans="1:8" ht="12" customHeight="1">
      <c r="A103" s="117"/>
      <c r="B103" s="118"/>
      <c r="C103" s="118"/>
      <c r="D103" s="118"/>
      <c r="E103" s="118"/>
      <c r="F103" s="119"/>
      <c r="G103" s="80"/>
      <c r="H103" s="119"/>
    </row>
    <row r="104" spans="1:8" ht="12" customHeight="1">
      <c r="A104" s="117"/>
      <c r="B104" s="118"/>
      <c r="C104" s="118"/>
      <c r="D104" s="118"/>
      <c r="E104" s="118"/>
      <c r="F104" s="119"/>
      <c r="G104" s="80"/>
      <c r="H104" s="119"/>
    </row>
    <row r="105" spans="1:8" ht="12" customHeight="1">
      <c r="A105" s="117"/>
      <c r="B105" s="118"/>
      <c r="C105" s="118"/>
      <c r="D105" s="118"/>
      <c r="E105" s="118"/>
      <c r="F105" s="119"/>
      <c r="G105" s="80"/>
      <c r="H105" s="119"/>
    </row>
    <row r="106" spans="1:8" ht="12" customHeight="1">
      <c r="A106" s="117"/>
      <c r="B106" s="118"/>
      <c r="C106" s="118"/>
      <c r="D106" s="118"/>
      <c r="E106" s="118"/>
      <c r="F106" s="119"/>
      <c r="G106" s="80"/>
      <c r="H106" s="119"/>
    </row>
    <row r="107" spans="1:8" ht="12" customHeight="1">
      <c r="A107" s="117"/>
      <c r="B107" s="118"/>
      <c r="C107" s="118"/>
      <c r="D107" s="118"/>
      <c r="E107" s="118"/>
      <c r="F107" s="119"/>
      <c r="G107" s="80"/>
      <c r="H107" s="119"/>
    </row>
    <row r="108" spans="1:8" ht="12" customHeight="1">
      <c r="A108" s="117"/>
      <c r="B108" s="118"/>
      <c r="C108" s="118"/>
      <c r="D108" s="118"/>
      <c r="E108" s="118"/>
      <c r="F108" s="119"/>
      <c r="G108" s="80"/>
      <c r="H108" s="119"/>
    </row>
    <row r="109" spans="1:8" ht="12" customHeight="1">
      <c r="A109" s="117"/>
      <c r="B109" s="118"/>
      <c r="C109" s="118"/>
      <c r="D109" s="118"/>
      <c r="E109" s="118"/>
      <c r="F109" s="119"/>
      <c r="G109" s="80"/>
      <c r="H109" s="119"/>
    </row>
    <row r="110" spans="1:8" ht="12" customHeight="1">
      <c r="A110" s="117"/>
      <c r="B110" s="118"/>
      <c r="C110" s="118"/>
      <c r="D110" s="118"/>
      <c r="E110" s="118"/>
      <c r="F110" s="119"/>
      <c r="G110" s="80"/>
      <c r="H110" s="119"/>
    </row>
    <row r="111" spans="1:8" ht="12" customHeight="1">
      <c r="A111" s="117"/>
      <c r="B111" s="118"/>
      <c r="C111" s="118"/>
      <c r="D111" s="118"/>
      <c r="E111" s="118"/>
      <c r="F111" s="119"/>
      <c r="G111" s="80"/>
      <c r="H111" s="119"/>
    </row>
    <row r="112" spans="1:8" ht="12" customHeight="1">
      <c r="A112" s="117"/>
      <c r="B112" s="118"/>
      <c r="C112" s="118"/>
      <c r="D112" s="118"/>
      <c r="E112" s="118"/>
      <c r="F112" s="119"/>
      <c r="G112" s="80"/>
      <c r="H112" s="119"/>
    </row>
    <row r="113" spans="1:8" ht="12" customHeight="1">
      <c r="A113" s="117"/>
      <c r="B113" s="118"/>
      <c r="C113" s="118"/>
      <c r="D113" s="118"/>
      <c r="E113" s="118"/>
      <c r="F113" s="119"/>
      <c r="G113" s="80"/>
      <c r="H113" s="119"/>
    </row>
    <row r="114" spans="1:8" ht="12" customHeight="1">
      <c r="A114" s="117"/>
      <c r="B114" s="118"/>
      <c r="C114" s="118"/>
      <c r="D114" s="118"/>
      <c r="E114" s="118"/>
      <c r="F114" s="119"/>
      <c r="G114" s="80"/>
      <c r="H114" s="119"/>
    </row>
    <row r="115" spans="1:8" ht="12" customHeight="1">
      <c r="A115" s="117"/>
      <c r="B115" s="118"/>
      <c r="C115" s="118"/>
      <c r="D115" s="118"/>
      <c r="E115" s="118"/>
      <c r="F115" s="119"/>
      <c r="G115" s="80"/>
      <c r="H115" s="119"/>
    </row>
    <row r="116" spans="1:8" ht="12" customHeight="1">
      <c r="A116" s="117"/>
      <c r="B116" s="118"/>
      <c r="C116" s="118"/>
      <c r="D116" s="118"/>
      <c r="E116" s="118"/>
      <c r="F116" s="119"/>
      <c r="G116" s="80"/>
      <c r="H116" s="119"/>
    </row>
    <row r="117" spans="1:8" ht="12" customHeight="1">
      <c r="A117" s="117"/>
      <c r="B117" s="118"/>
      <c r="C117" s="118"/>
      <c r="D117" s="118"/>
      <c r="E117" s="118"/>
      <c r="F117" s="119"/>
      <c r="G117" s="80"/>
      <c r="H117" s="119"/>
    </row>
    <row r="118" spans="1:8" ht="12" customHeight="1">
      <c r="A118" s="117"/>
      <c r="B118" s="118"/>
      <c r="C118" s="118"/>
      <c r="D118" s="118"/>
      <c r="E118" s="118"/>
      <c r="F118" s="119"/>
      <c r="G118" s="80"/>
      <c r="H118" s="119"/>
    </row>
    <row r="119" spans="1:8" ht="12" customHeight="1">
      <c r="A119" s="117"/>
      <c r="B119" s="118"/>
      <c r="C119" s="118"/>
      <c r="D119" s="118"/>
      <c r="E119" s="118"/>
      <c r="F119" s="119"/>
      <c r="G119" s="80"/>
      <c r="H119" s="119"/>
    </row>
    <row r="120" spans="1:8" ht="12" customHeight="1">
      <c r="A120" s="117"/>
      <c r="B120" s="118"/>
      <c r="C120" s="118"/>
      <c r="D120" s="118"/>
      <c r="E120" s="118"/>
      <c r="F120" s="119"/>
      <c r="G120" s="80"/>
      <c r="H120" s="119"/>
    </row>
    <row r="121" spans="1:8" ht="12" customHeight="1">
      <c r="A121" s="117"/>
      <c r="B121" s="118"/>
      <c r="C121" s="118"/>
      <c r="D121" s="118"/>
      <c r="E121" s="118"/>
      <c r="F121" s="119"/>
      <c r="G121" s="80"/>
      <c r="H121" s="119"/>
    </row>
    <row r="122" spans="1:8" ht="12" customHeight="1">
      <c r="A122" s="117"/>
      <c r="B122" s="118"/>
      <c r="C122" s="118"/>
      <c r="D122" s="118"/>
      <c r="E122" s="118"/>
      <c r="F122" s="119"/>
      <c r="G122" s="80"/>
      <c r="H122" s="119"/>
    </row>
    <row r="123" spans="1:8" ht="12" customHeight="1">
      <c r="A123" s="117"/>
      <c r="B123" s="118"/>
      <c r="C123" s="118"/>
      <c r="D123" s="118"/>
      <c r="E123" s="118"/>
      <c r="F123" s="119"/>
      <c r="G123" s="80"/>
      <c r="H123" s="119"/>
    </row>
    <row r="124" spans="1:8" ht="12" customHeight="1">
      <c r="A124" s="117"/>
      <c r="B124" s="118"/>
      <c r="C124" s="118"/>
      <c r="D124" s="118"/>
      <c r="E124" s="118"/>
      <c r="F124" s="119"/>
      <c r="G124" s="80"/>
      <c r="H124" s="119"/>
    </row>
    <row r="125" spans="1:8" ht="12" customHeight="1">
      <c r="A125" s="117"/>
      <c r="B125" s="118"/>
      <c r="C125" s="118"/>
      <c r="D125" s="118"/>
      <c r="E125" s="118"/>
      <c r="F125" s="119"/>
      <c r="G125" s="80"/>
      <c r="H125" s="119"/>
    </row>
    <row r="126" spans="1:8" ht="12" customHeight="1">
      <c r="A126" s="117"/>
      <c r="B126" s="118"/>
      <c r="C126" s="118"/>
      <c r="D126" s="118"/>
      <c r="E126" s="118"/>
      <c r="F126" s="119"/>
      <c r="G126" s="80"/>
      <c r="H126" s="119"/>
    </row>
    <row r="127" spans="1:8" ht="12" customHeight="1">
      <c r="A127" s="117"/>
      <c r="B127" s="118"/>
      <c r="C127" s="118"/>
      <c r="D127" s="118"/>
      <c r="E127" s="118"/>
      <c r="F127" s="119"/>
      <c r="G127" s="80"/>
      <c r="H127" s="119"/>
    </row>
    <row r="128" spans="1:8" ht="12" customHeight="1">
      <c r="A128" s="117"/>
      <c r="B128" s="118"/>
      <c r="C128" s="118"/>
      <c r="D128" s="118"/>
      <c r="E128" s="118"/>
      <c r="F128" s="119"/>
      <c r="G128" s="80"/>
      <c r="H128" s="119"/>
    </row>
    <row r="129" spans="1:8" ht="12" customHeight="1">
      <c r="A129" s="117"/>
      <c r="B129" s="118"/>
      <c r="C129" s="118"/>
      <c r="D129" s="118"/>
      <c r="E129" s="118"/>
      <c r="F129" s="119"/>
      <c r="G129" s="80"/>
      <c r="H129" s="119"/>
    </row>
    <row r="130" spans="1:8" ht="12" customHeight="1">
      <c r="A130" s="117"/>
      <c r="B130" s="118"/>
      <c r="C130" s="118"/>
      <c r="D130" s="118"/>
      <c r="E130" s="118"/>
      <c r="F130" s="119"/>
      <c r="G130" s="80"/>
      <c r="H130" s="119"/>
    </row>
    <row r="131" spans="1:8" ht="12" customHeight="1">
      <c r="A131" s="117"/>
      <c r="B131" s="118"/>
      <c r="C131" s="118"/>
      <c r="D131" s="118"/>
      <c r="E131" s="118"/>
      <c r="F131" s="119"/>
      <c r="G131" s="80"/>
      <c r="H131" s="119"/>
    </row>
    <row r="132" spans="1:8" ht="12" customHeight="1">
      <c r="A132" s="117"/>
      <c r="B132" s="118"/>
      <c r="C132" s="118"/>
      <c r="D132" s="118"/>
      <c r="E132" s="118"/>
      <c r="F132" s="119"/>
      <c r="G132" s="80"/>
      <c r="H132" s="119"/>
    </row>
    <row r="133" spans="1:8" ht="12" customHeight="1">
      <c r="A133" s="117"/>
      <c r="B133" s="118"/>
      <c r="C133" s="118"/>
      <c r="D133" s="118"/>
      <c r="E133" s="118"/>
      <c r="F133" s="119"/>
      <c r="G133" s="80"/>
      <c r="H133" s="119"/>
    </row>
    <row r="134" spans="1:8" ht="12" customHeight="1">
      <c r="A134" s="117"/>
      <c r="B134" s="118"/>
      <c r="C134" s="118"/>
      <c r="D134" s="118"/>
      <c r="E134" s="118"/>
      <c r="F134" s="119"/>
      <c r="G134" s="80"/>
      <c r="H134" s="119"/>
    </row>
    <row r="135" spans="1:8" ht="12" customHeight="1">
      <c r="A135" s="117"/>
      <c r="B135" s="118"/>
      <c r="C135" s="118"/>
      <c r="D135" s="118"/>
      <c r="E135" s="118"/>
      <c r="F135" s="119"/>
      <c r="G135" s="80"/>
      <c r="H135" s="119"/>
    </row>
    <row r="136" spans="1:8" ht="12" customHeight="1">
      <c r="A136" s="117"/>
      <c r="B136" s="118"/>
      <c r="C136" s="118"/>
      <c r="D136" s="118"/>
      <c r="E136" s="118"/>
      <c r="F136" s="119"/>
      <c r="G136" s="80"/>
      <c r="H136" s="119"/>
    </row>
    <row r="137" spans="1:8" ht="12" customHeight="1">
      <c r="A137" s="117"/>
      <c r="B137" s="118"/>
      <c r="C137" s="118"/>
      <c r="D137" s="118"/>
      <c r="E137" s="118"/>
      <c r="F137" s="119"/>
      <c r="G137" s="80"/>
      <c r="H137" s="119"/>
    </row>
    <row r="138" spans="1:8" ht="12" customHeight="1">
      <c r="A138" s="117"/>
      <c r="B138" s="118"/>
      <c r="C138" s="118"/>
      <c r="D138" s="118"/>
      <c r="E138" s="118"/>
      <c r="F138" s="119"/>
      <c r="G138" s="80"/>
      <c r="H138" s="119"/>
    </row>
    <row r="139" spans="1:8" ht="12" customHeight="1">
      <c r="A139" s="117"/>
      <c r="B139" s="118"/>
      <c r="C139" s="118"/>
      <c r="D139" s="118"/>
      <c r="E139" s="118"/>
      <c r="F139" s="119"/>
      <c r="G139" s="80"/>
      <c r="H139" s="119"/>
    </row>
    <row r="140" spans="1:8" ht="12" customHeight="1">
      <c r="A140" s="117"/>
      <c r="B140" s="118"/>
      <c r="C140" s="118"/>
      <c r="D140" s="118"/>
      <c r="E140" s="118"/>
      <c r="F140" s="119"/>
      <c r="G140" s="80"/>
      <c r="H140" s="119"/>
    </row>
    <row r="141" spans="1:8" ht="12" customHeight="1">
      <c r="A141" s="117"/>
      <c r="B141" s="118"/>
      <c r="C141" s="118"/>
      <c r="D141" s="118"/>
      <c r="E141" s="118"/>
      <c r="F141" s="119"/>
      <c r="G141" s="80"/>
      <c r="H141" s="119"/>
    </row>
    <row r="142" spans="1:8" ht="12" customHeight="1">
      <c r="A142" s="117"/>
      <c r="B142" s="118"/>
      <c r="C142" s="118"/>
      <c r="D142" s="118"/>
      <c r="E142" s="118"/>
      <c r="F142" s="119"/>
      <c r="G142" s="80"/>
      <c r="H142" s="119"/>
    </row>
    <row r="143" spans="1:8" ht="12" customHeight="1">
      <c r="A143" s="117"/>
      <c r="B143" s="118"/>
      <c r="C143" s="118"/>
      <c r="D143" s="118"/>
      <c r="E143" s="118"/>
      <c r="F143" s="119"/>
      <c r="G143" s="80"/>
      <c r="H143" s="119"/>
    </row>
    <row r="144" spans="1:8" ht="12" customHeight="1">
      <c r="A144" s="117"/>
      <c r="B144" s="118"/>
      <c r="C144" s="118"/>
      <c r="D144" s="118"/>
      <c r="E144" s="118"/>
      <c r="F144" s="119"/>
      <c r="G144" s="80"/>
      <c r="H144" s="119"/>
    </row>
    <row r="145" spans="1:8" ht="12" customHeight="1">
      <c r="A145" s="117"/>
      <c r="B145" s="118"/>
      <c r="C145" s="118"/>
      <c r="D145" s="118"/>
      <c r="E145" s="118"/>
      <c r="F145" s="119"/>
      <c r="G145" s="80"/>
      <c r="H145" s="119"/>
    </row>
    <row r="146" spans="1:8" ht="12" customHeight="1">
      <c r="A146" s="117"/>
      <c r="B146" s="118"/>
      <c r="C146" s="118"/>
      <c r="D146" s="118"/>
      <c r="E146" s="118"/>
      <c r="F146" s="119"/>
      <c r="G146" s="80"/>
      <c r="H146" s="119"/>
    </row>
    <row r="147" spans="1:8" ht="12" customHeight="1">
      <c r="A147" s="117"/>
      <c r="B147" s="118"/>
      <c r="C147" s="118"/>
      <c r="D147" s="118"/>
      <c r="E147" s="118"/>
      <c r="F147" s="119"/>
      <c r="G147" s="80"/>
      <c r="H147" s="119"/>
    </row>
    <row r="148" spans="1:8" ht="12" customHeight="1">
      <c r="A148" s="117"/>
      <c r="B148" s="118"/>
      <c r="C148" s="118"/>
      <c r="D148" s="118"/>
      <c r="E148" s="118"/>
      <c r="F148" s="119"/>
      <c r="G148" s="80"/>
      <c r="H148" s="119"/>
    </row>
    <row r="149" spans="1:8" ht="12" customHeight="1">
      <c r="A149" s="117"/>
      <c r="B149" s="118"/>
      <c r="C149" s="118"/>
      <c r="D149" s="118"/>
      <c r="E149" s="118"/>
      <c r="F149" s="119"/>
      <c r="G149" s="80"/>
      <c r="H149" s="119"/>
    </row>
    <row r="150" spans="1:8" ht="12" customHeight="1">
      <c r="A150" s="117"/>
      <c r="B150" s="118"/>
      <c r="C150" s="118"/>
      <c r="D150" s="118"/>
      <c r="E150" s="118"/>
      <c r="F150" s="119"/>
      <c r="G150" s="80"/>
      <c r="H150" s="119"/>
    </row>
    <row r="151" spans="1:8" ht="12" customHeight="1">
      <c r="A151" s="117"/>
      <c r="B151" s="118"/>
      <c r="C151" s="118"/>
      <c r="D151" s="118"/>
      <c r="E151" s="118"/>
      <c r="F151" s="119"/>
      <c r="G151" s="80"/>
      <c r="H151" s="119"/>
    </row>
    <row r="152" spans="1:8" ht="12" customHeight="1">
      <c r="A152" s="117"/>
      <c r="B152" s="118"/>
      <c r="C152" s="118"/>
      <c r="D152" s="118"/>
      <c r="E152" s="118"/>
      <c r="F152" s="119"/>
      <c r="G152" s="80"/>
      <c r="H152" s="119"/>
    </row>
    <row r="153" spans="1:8" ht="12" customHeight="1">
      <c r="A153" s="117"/>
      <c r="B153" s="118"/>
      <c r="C153" s="118"/>
      <c r="D153" s="118"/>
      <c r="E153" s="118"/>
      <c r="F153" s="119"/>
      <c r="G153" s="80"/>
      <c r="H153" s="119"/>
    </row>
    <row r="154" spans="1:8" ht="12" customHeight="1">
      <c r="A154" s="117"/>
      <c r="B154" s="118"/>
      <c r="C154" s="118"/>
      <c r="D154" s="118"/>
      <c r="E154" s="118"/>
      <c r="F154" s="119"/>
      <c r="G154" s="80"/>
      <c r="H154" s="119"/>
    </row>
    <row r="155" spans="1:8" ht="12" customHeight="1">
      <c r="A155" s="117"/>
      <c r="B155" s="118"/>
      <c r="C155" s="118"/>
      <c r="D155" s="118"/>
      <c r="E155" s="118"/>
      <c r="F155" s="119"/>
      <c r="G155" s="80"/>
      <c r="H155" s="119"/>
    </row>
    <row r="156" spans="1:8" ht="12" customHeight="1">
      <c r="A156" s="117"/>
      <c r="B156" s="118"/>
      <c r="C156" s="118"/>
      <c r="D156" s="118"/>
      <c r="E156" s="118"/>
      <c r="F156" s="119"/>
      <c r="G156" s="80"/>
      <c r="H156" s="119"/>
    </row>
    <row r="157" spans="1:8" ht="12" customHeight="1">
      <c r="A157" s="117"/>
      <c r="B157" s="118"/>
      <c r="C157" s="118"/>
      <c r="D157" s="118"/>
      <c r="E157" s="118"/>
      <c r="F157" s="119"/>
      <c r="G157" s="80"/>
      <c r="H157" s="119"/>
    </row>
    <row r="158" spans="1:8" ht="12" customHeight="1">
      <c r="A158" s="117"/>
      <c r="B158" s="118"/>
      <c r="C158" s="118"/>
      <c r="D158" s="118"/>
      <c r="E158" s="118"/>
      <c r="F158" s="119"/>
      <c r="G158" s="80"/>
      <c r="H158" s="119"/>
    </row>
    <row r="159" spans="1:8" ht="12" customHeight="1">
      <c r="A159" s="117"/>
      <c r="B159" s="118"/>
      <c r="C159" s="118"/>
      <c r="D159" s="118"/>
      <c r="E159" s="118"/>
      <c r="F159" s="119"/>
      <c r="G159" s="80"/>
      <c r="H159" s="119"/>
    </row>
    <row r="160" spans="1:8" ht="12" customHeight="1">
      <c r="A160" s="117"/>
      <c r="B160" s="118"/>
      <c r="C160" s="118"/>
      <c r="D160" s="118"/>
      <c r="E160" s="118"/>
      <c r="F160" s="119"/>
      <c r="G160" s="80"/>
      <c r="H160" s="119"/>
    </row>
    <row r="161" spans="1:8" ht="12" customHeight="1">
      <c r="A161" s="117"/>
      <c r="B161" s="118"/>
      <c r="C161" s="118"/>
      <c r="D161" s="118"/>
      <c r="E161" s="118"/>
      <c r="F161" s="119"/>
      <c r="G161" s="80"/>
      <c r="H161" s="119"/>
    </row>
    <row r="162" spans="1:8" ht="12" customHeight="1">
      <c r="A162" s="117"/>
      <c r="B162" s="118"/>
      <c r="C162" s="118"/>
      <c r="D162" s="118"/>
      <c r="E162" s="118"/>
      <c r="F162" s="119"/>
      <c r="G162" s="80"/>
      <c r="H162" s="119"/>
    </row>
    <row r="163" spans="1:8" ht="12" customHeight="1">
      <c r="A163" s="117"/>
      <c r="B163" s="118"/>
      <c r="C163" s="118"/>
      <c r="D163" s="118"/>
      <c r="E163" s="118"/>
      <c r="F163" s="119"/>
      <c r="G163" s="80"/>
      <c r="H163" s="119"/>
    </row>
    <row r="164" spans="1:8" ht="12" customHeight="1">
      <c r="A164" s="117"/>
      <c r="B164" s="118"/>
      <c r="C164" s="118"/>
      <c r="D164" s="118"/>
      <c r="E164" s="118"/>
      <c r="F164" s="119"/>
      <c r="G164" s="80"/>
      <c r="H164" s="119"/>
    </row>
    <row r="165" spans="1:8" ht="12" customHeight="1">
      <c r="A165" s="117"/>
      <c r="B165" s="118"/>
      <c r="C165" s="118"/>
      <c r="D165" s="118"/>
      <c r="E165" s="118"/>
      <c r="F165" s="119"/>
      <c r="G165" s="80"/>
      <c r="H165" s="119"/>
    </row>
    <row r="166" spans="1:8" ht="12" customHeight="1">
      <c r="A166" s="117"/>
      <c r="B166" s="118"/>
      <c r="C166" s="118"/>
      <c r="D166" s="118"/>
      <c r="E166" s="118"/>
      <c r="F166" s="119"/>
      <c r="G166" s="80"/>
      <c r="H166" s="119"/>
    </row>
    <row r="167" spans="1:8" ht="12" customHeight="1">
      <c r="A167" s="117"/>
      <c r="B167" s="118"/>
      <c r="C167" s="118"/>
      <c r="D167" s="118"/>
      <c r="E167" s="118"/>
      <c r="F167" s="119"/>
      <c r="G167" s="80"/>
      <c r="H167" s="119"/>
    </row>
    <row r="168" spans="1:8" ht="12" customHeight="1">
      <c r="A168" s="117"/>
      <c r="B168" s="118"/>
      <c r="C168" s="118"/>
      <c r="D168" s="118"/>
      <c r="E168" s="118"/>
      <c r="F168" s="119"/>
      <c r="G168" s="80"/>
      <c r="H168" s="119"/>
    </row>
    <row r="169" spans="1:8" ht="12" customHeight="1">
      <c r="A169" s="117"/>
      <c r="B169" s="118"/>
      <c r="C169" s="118"/>
      <c r="D169" s="118"/>
      <c r="E169" s="118"/>
      <c r="F169" s="119"/>
      <c r="G169" s="80"/>
      <c r="H169" s="119"/>
    </row>
    <row r="170" spans="1:8" ht="12" customHeight="1">
      <c r="A170" s="117"/>
      <c r="B170" s="118"/>
      <c r="C170" s="118"/>
      <c r="D170" s="118"/>
      <c r="E170" s="118"/>
      <c r="F170" s="119"/>
      <c r="G170" s="80"/>
      <c r="H170" s="119"/>
    </row>
    <row r="171" spans="1:8" ht="12" customHeight="1">
      <c r="A171" s="117"/>
      <c r="B171" s="118"/>
      <c r="C171" s="118"/>
      <c r="D171" s="118"/>
      <c r="E171" s="118"/>
      <c r="F171" s="119"/>
      <c r="G171" s="80"/>
      <c r="H171" s="119"/>
    </row>
    <row r="172" spans="1:8" ht="12" customHeight="1">
      <c r="A172" s="117"/>
      <c r="B172" s="118"/>
      <c r="C172" s="118"/>
      <c r="D172" s="118"/>
      <c r="E172" s="118"/>
      <c r="F172" s="119"/>
      <c r="G172" s="80"/>
      <c r="H172" s="119"/>
    </row>
    <row r="173" spans="1:8" ht="12" customHeight="1">
      <c r="A173" s="117"/>
      <c r="B173" s="118"/>
      <c r="C173" s="118"/>
      <c r="D173" s="118"/>
      <c r="E173" s="118"/>
      <c r="F173" s="119"/>
      <c r="G173" s="80"/>
      <c r="H173" s="119"/>
    </row>
    <row r="174" spans="1:8" ht="12" customHeight="1">
      <c r="A174" s="117"/>
      <c r="B174" s="118"/>
      <c r="C174" s="118"/>
      <c r="D174" s="118"/>
      <c r="E174" s="118"/>
      <c r="F174" s="119"/>
      <c r="G174" s="80"/>
      <c r="H174" s="119"/>
    </row>
    <row r="175" spans="1:8" ht="12" customHeight="1">
      <c r="A175" s="117"/>
      <c r="B175" s="118"/>
      <c r="C175" s="118"/>
      <c r="D175" s="118"/>
      <c r="E175" s="118"/>
      <c r="F175" s="119"/>
      <c r="G175" s="80"/>
      <c r="H175" s="119"/>
    </row>
    <row r="176" spans="1:8" ht="12" customHeight="1">
      <c r="A176" s="117"/>
      <c r="B176" s="118"/>
      <c r="C176" s="118"/>
      <c r="D176" s="118"/>
      <c r="E176" s="118"/>
      <c r="F176" s="119"/>
      <c r="G176" s="80"/>
      <c r="H176" s="119"/>
    </row>
    <row r="177" spans="1:8" ht="12" customHeight="1">
      <c r="A177" s="117"/>
      <c r="B177" s="118"/>
      <c r="C177" s="118"/>
      <c r="D177" s="118"/>
      <c r="E177" s="118"/>
      <c r="F177" s="119"/>
      <c r="G177" s="80"/>
      <c r="H177" s="119"/>
    </row>
    <row r="178" spans="1:8" ht="12" customHeight="1">
      <c r="A178" s="117"/>
      <c r="B178" s="118"/>
      <c r="C178" s="118"/>
      <c r="D178" s="118"/>
      <c r="E178" s="118"/>
      <c r="F178" s="119"/>
      <c r="G178" s="80"/>
      <c r="H178" s="119"/>
    </row>
    <row r="179" spans="1:8" ht="12" customHeight="1">
      <c r="A179" s="117"/>
      <c r="B179" s="118"/>
      <c r="C179" s="118"/>
      <c r="D179" s="118"/>
      <c r="E179" s="118"/>
      <c r="F179" s="119"/>
      <c r="G179" s="80"/>
      <c r="H179" s="119"/>
    </row>
    <row r="180" spans="1:8" ht="12" customHeight="1">
      <c r="A180" s="117"/>
      <c r="B180" s="118"/>
      <c r="C180" s="118"/>
      <c r="D180" s="118"/>
      <c r="E180" s="118"/>
      <c r="F180" s="119"/>
      <c r="G180" s="80"/>
      <c r="H180" s="119"/>
    </row>
    <row r="181" spans="1:8" ht="12" customHeight="1">
      <c r="A181" s="117"/>
      <c r="B181" s="118"/>
      <c r="C181" s="118"/>
      <c r="D181" s="118"/>
      <c r="E181" s="118"/>
      <c r="F181" s="119"/>
      <c r="G181" s="80"/>
      <c r="H181" s="119"/>
    </row>
    <row r="182" spans="1:8" ht="12" customHeight="1">
      <c r="A182" s="117"/>
      <c r="B182" s="118"/>
      <c r="C182" s="118"/>
      <c r="D182" s="118"/>
      <c r="E182" s="118"/>
      <c r="F182" s="119"/>
      <c r="G182" s="80"/>
      <c r="H182" s="119"/>
    </row>
    <row r="183" spans="1:8" ht="12" customHeight="1">
      <c r="A183" s="117"/>
      <c r="B183" s="118"/>
      <c r="C183" s="118"/>
      <c r="D183" s="118"/>
      <c r="E183" s="118"/>
      <c r="F183" s="119"/>
      <c r="G183" s="80"/>
      <c r="H183" s="119"/>
    </row>
    <row r="184" spans="1:8" ht="12" customHeight="1">
      <c r="A184" s="117"/>
      <c r="B184" s="118"/>
      <c r="C184" s="118"/>
      <c r="D184" s="118"/>
      <c r="E184" s="118"/>
      <c r="F184" s="119"/>
      <c r="G184" s="80"/>
      <c r="H184" s="119"/>
    </row>
    <row r="185" spans="1:8" ht="12" customHeight="1">
      <c r="A185" s="117"/>
      <c r="B185" s="118"/>
      <c r="C185" s="118"/>
      <c r="D185" s="118"/>
      <c r="E185" s="118"/>
      <c r="F185" s="119"/>
      <c r="G185" s="80"/>
      <c r="H185" s="119"/>
    </row>
    <row r="186" spans="1:8" ht="12" customHeight="1">
      <c r="A186" s="117"/>
      <c r="B186" s="118"/>
      <c r="C186" s="118"/>
      <c r="D186" s="118"/>
      <c r="E186" s="118"/>
      <c r="F186" s="119"/>
      <c r="G186" s="80"/>
      <c r="H186" s="119"/>
    </row>
    <row r="187" spans="1:8" ht="12" customHeight="1">
      <c r="A187" s="117"/>
      <c r="B187" s="118"/>
      <c r="C187" s="118"/>
      <c r="D187" s="118"/>
      <c r="E187" s="118"/>
      <c r="F187" s="119"/>
      <c r="G187" s="80"/>
      <c r="H187" s="119"/>
    </row>
    <row r="188" spans="1:8" ht="12" customHeight="1">
      <c r="A188" s="117"/>
      <c r="B188" s="118"/>
      <c r="C188" s="118"/>
      <c r="D188" s="118"/>
      <c r="E188" s="118"/>
      <c r="F188" s="119"/>
      <c r="G188" s="80"/>
      <c r="H188" s="119"/>
    </row>
    <row r="189" spans="1:8" ht="12" customHeight="1">
      <c r="A189" s="117"/>
      <c r="B189" s="118"/>
      <c r="C189" s="118"/>
      <c r="D189" s="118"/>
      <c r="E189" s="118"/>
      <c r="F189" s="119"/>
      <c r="G189" s="80"/>
      <c r="H189" s="119"/>
    </row>
    <row r="190" spans="1:8" ht="12" customHeight="1">
      <c r="A190" s="117"/>
      <c r="B190" s="118"/>
      <c r="C190" s="118"/>
      <c r="D190" s="118"/>
      <c r="E190" s="118"/>
      <c r="F190" s="119"/>
      <c r="G190" s="80"/>
      <c r="H190" s="119"/>
    </row>
    <row r="191" spans="1:8" ht="12" customHeight="1">
      <c r="A191" s="117"/>
      <c r="B191" s="118"/>
      <c r="C191" s="118"/>
      <c r="D191" s="118"/>
      <c r="E191" s="118"/>
      <c r="F191" s="119"/>
      <c r="G191" s="80"/>
      <c r="H191" s="119"/>
    </row>
    <row r="192" spans="1:8" ht="12" customHeight="1">
      <c r="A192" s="117"/>
      <c r="B192" s="118"/>
      <c r="C192" s="118"/>
      <c r="D192" s="118"/>
      <c r="E192" s="118"/>
      <c r="F192" s="119"/>
      <c r="G192" s="80"/>
      <c r="H192" s="119"/>
    </row>
    <row r="193" spans="1:8" ht="12" customHeight="1">
      <c r="A193" s="117"/>
      <c r="B193" s="118"/>
      <c r="C193" s="118"/>
      <c r="D193" s="118"/>
      <c r="E193" s="118"/>
      <c r="F193" s="119"/>
      <c r="G193" s="80"/>
      <c r="H193" s="119"/>
    </row>
  </sheetData>
  <sheetProtection algorithmName="SHA-512" hashValue="mawBYJsYgaVeT8vx06AwojYr05GXQ1NnnrVIKp7UrTRDnZaytjt/oqSqf/QOEIlNiAkTGRyHcO3cmeloZSFmlA==" saltValue="BAIAtt/1y26cCX220YbOCw==" spinCount="100000" sheet="1" objects="1" scenarios="1"/>
  <printOptions/>
  <pageMargins left="0.394" right="0.394" top="0.591" bottom="0.591" header="0.5" footer="0.5"/>
  <pageSetup fitToHeight="0" fitToWidth="1" horizontalDpi="600" verticalDpi="600" orientation="landscape" paperSize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Hana Pištová</cp:lastModifiedBy>
  <dcterms:created xsi:type="dcterms:W3CDTF">2021-08-11T10:20:36Z</dcterms:created>
  <dcterms:modified xsi:type="dcterms:W3CDTF">2021-08-23T10:30:43Z</dcterms:modified>
  <cp:category/>
  <cp:version/>
  <cp:contentType/>
  <cp:contentStatus/>
</cp:coreProperties>
</file>