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tavební rozpočet" sheetId="1" r:id="rId1"/>
    <sheet name="Stavební rozpočet - součet" sheetId="2" r:id="rId2"/>
    <sheet name="Krycí list rozpočtu" sheetId="3" r:id="rId3"/>
    <sheet name="VORN" sheetId="4" r:id="rId4"/>
  </sheets>
  <definedNames>
    <definedName name="_xlfn.SINGLE" hidden="1">#NAME?</definedName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<sst xmlns="http://schemas.openxmlformats.org/spreadsheetml/2006/main" count="649" uniqueCount="266">
  <si>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</si>
  <si>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</si>
  <si>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</si>
  <si>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</si>
  <si>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</si>
  <si>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</si>
  <si>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</si>
  <si>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</si>
  <si>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</si>
  <si>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</si>
  <si>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</si>
  <si>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</si>
  <si>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</si>
  <si>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</si>
  <si>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</si>
  <si>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</si>
  <si>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</si>
  <si>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</si>
  <si>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</si>
  <si>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</si>
  <si>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</si>
  <si>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</si>
  <si>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</si>
  <si>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</si>
  <si>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</si>
  <si>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</si>
  <si>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</si>
  <si>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</si>
  <si>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</si>
  <si>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</si>
  <si>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</si>
  <si>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</si>
  <si>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</si>
  <si>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</si>
  <si>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</si>
  <si>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</si>
  <si>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</si>
  <si>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</si>
  <si>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</si>
  <si>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</si>
  <si>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Poznámka:</t>
  </si>
  <si>
    <t>Kód</t>
  </si>
  <si>
    <t>122301101R00</t>
  </si>
  <si>
    <t>174100050RAC</t>
  </si>
  <si>
    <t>199000007R00</t>
  </si>
  <si>
    <t>273321321R00</t>
  </si>
  <si>
    <t>273351215RT1</t>
  </si>
  <si>
    <t>273351216R00</t>
  </si>
  <si>
    <t>273361921R00</t>
  </si>
  <si>
    <t>56</t>
  </si>
  <si>
    <t>564831111R00</t>
  </si>
  <si>
    <t>721</t>
  </si>
  <si>
    <t>721176224R00</t>
  </si>
  <si>
    <t>721176222R00</t>
  </si>
  <si>
    <t>721110806R00</t>
  </si>
  <si>
    <t>721110917R00</t>
  </si>
  <si>
    <t>721176232R00</t>
  </si>
  <si>
    <t>721194103R00</t>
  </si>
  <si>
    <t>89</t>
  </si>
  <si>
    <t>894431111R00</t>
  </si>
  <si>
    <t>894431112R00</t>
  </si>
  <si>
    <t>94</t>
  </si>
  <si>
    <t>948944139R00</t>
  </si>
  <si>
    <t>948944112R00</t>
  </si>
  <si>
    <t>948944129R00</t>
  </si>
  <si>
    <t>M23</t>
  </si>
  <si>
    <t>230170004R00</t>
  </si>
  <si>
    <t>230170014R00</t>
  </si>
  <si>
    <t>S</t>
  </si>
  <si>
    <t>979087213R00</t>
  </si>
  <si>
    <t>979087212R00</t>
  </si>
  <si>
    <t>979081111RT3</t>
  </si>
  <si>
    <t>979081121RT3</t>
  </si>
  <si>
    <t>979093111R00</t>
  </si>
  <si>
    <t>979990108R00</t>
  </si>
  <si>
    <t>28697713</t>
  </si>
  <si>
    <t>28697784</t>
  </si>
  <si>
    <t>01VRN</t>
  </si>
  <si>
    <t>012002VRN</t>
  </si>
  <si>
    <t>03VRN</t>
  </si>
  <si>
    <t>030001VRN</t>
  </si>
  <si>
    <t>06VRN</t>
  </si>
  <si>
    <t>065002VRN</t>
  </si>
  <si>
    <t>Rekonstrukce čištění odpadních vod - septik</t>
  </si>
  <si>
    <t>Kostelec u Křížků č.p. 75</t>
  </si>
  <si>
    <t>Zkrácený popis</t>
  </si>
  <si>
    <t>Rozměry</t>
  </si>
  <si>
    <t>Odkopávky a prokopávky</t>
  </si>
  <si>
    <t>Odkopávky nezapažené v hor. 4 do 100 m3</t>
  </si>
  <si>
    <t>Konstrukce ze zemin</t>
  </si>
  <si>
    <t>Zásyp jam,rýh a šachet štěrkopískem</t>
  </si>
  <si>
    <t>Hloubení pro podzemní stěny, ražení a hloubení důlní</t>
  </si>
  <si>
    <t>Poplatek za skládku - hor. 3</t>
  </si>
  <si>
    <t>Základy</t>
  </si>
  <si>
    <t>Železobeton základových desek C 20/25</t>
  </si>
  <si>
    <t>Bednění stěn základových desek - zřízení</t>
  </si>
  <si>
    <t>Bednění stěn základových desek - odstranění</t>
  </si>
  <si>
    <t>Výztuž základových desek ze svařovaných sítí</t>
  </si>
  <si>
    <t>Podkladní vrstvy komunikací, letišť a ploch</t>
  </si>
  <si>
    <t>Podklad ze štěrkodrti po zhutnění tloušťky 10 cm</t>
  </si>
  <si>
    <t>Vnitřní kanalizace</t>
  </si>
  <si>
    <t>Potrubí KG svodné (ležaté) v zemi D 160 x 4,0 mm</t>
  </si>
  <si>
    <t>Potrubí KG svodné (ležaté) v zemi D 110 x 3,2 mm</t>
  </si>
  <si>
    <t>Demontáž potrubí z kameninových trub DN 200</t>
  </si>
  <si>
    <t>Oprava-propojení dosavadního potrubí kamenin DN150</t>
  </si>
  <si>
    <t>Potrubí KG svodné (ležaté) zavěšené D 110 x 3,2 mm</t>
  </si>
  <si>
    <t>Vyvedení odpadních výpustek D 32 x 1,8</t>
  </si>
  <si>
    <t>Ostatní konstrukce a práce na trubním vedení</t>
  </si>
  <si>
    <t>Osazení plastové jímky 10m3</t>
  </si>
  <si>
    <t>Osazení plastové šachty biologického filtru</t>
  </si>
  <si>
    <t>Lešení a stavební výtahy</t>
  </si>
  <si>
    <t>Příplatek za demontáž skruží v hor. silně vodnaté do 2m</t>
  </si>
  <si>
    <t>Demontáž skruží v hor. suché, skruže čtyřdílné do 2m</t>
  </si>
  <si>
    <t>Demontáž skruží v hor. suché, skruže čtyřdílné do 1,2m</t>
  </si>
  <si>
    <t>Příplatek za demontáž skruží v hornině mokré do 1,2m</t>
  </si>
  <si>
    <t>Montáže potrubí</t>
  </si>
  <si>
    <t>Příprava pro zkoušku těsnosti, DN 150 - 200</t>
  </si>
  <si>
    <t>Zkouška těsnosti potrubí, DN 150 - 200</t>
  </si>
  <si>
    <t>Přesuny sutí</t>
  </si>
  <si>
    <t>Nakládání vybour.hmot na dop.prostředky-betonová suť</t>
  </si>
  <si>
    <t>Nakládání suti na dopravní prostředky - zemina</t>
  </si>
  <si>
    <t>Odvoz suti a vybour. hmot na skládku do 1 km</t>
  </si>
  <si>
    <t>Příplatek k odvozu za každý další 1 km</t>
  </si>
  <si>
    <t>Uložení suti na skládku bez zhutnění</t>
  </si>
  <si>
    <t>Poplatek za skládku suti - železobeton</t>
  </si>
  <si>
    <t>Ostatní materiál</t>
  </si>
  <si>
    <t>Septik plastový SK4-EK 3K tříkomorový</t>
  </si>
  <si>
    <t>Filtr biologický zemní BF4-EK</t>
  </si>
  <si>
    <t>VORN - Vedlejší a ostatní rozpočtové náklady</t>
  </si>
  <si>
    <t>Průzkumy, geodetické a projektové práce</t>
  </si>
  <si>
    <t>Geodetické práce</t>
  </si>
  <si>
    <t>Zařízení staveniště</t>
  </si>
  <si>
    <t>Územní vlivy</t>
  </si>
  <si>
    <t>Mimostaveništní doprava</t>
  </si>
  <si>
    <t>Doba výstavby:</t>
  </si>
  <si>
    <t>Začátek výstavby:</t>
  </si>
  <si>
    <t>Konec výstavby:</t>
  </si>
  <si>
    <t>Zpracováno dne:</t>
  </si>
  <si>
    <t>01.06.2022</t>
  </si>
  <si>
    <t>14.05.2022</t>
  </si>
  <si>
    <t>MJ</t>
  </si>
  <si>
    <t>m3</t>
  </si>
  <si>
    <t>t</t>
  </si>
  <si>
    <t>m2</t>
  </si>
  <si>
    <t>m</t>
  </si>
  <si>
    <t>kus</t>
  </si>
  <si>
    <t>sada</t>
  </si>
  <si>
    <t>Soubor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</si>
  <si>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</si>
  <si>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</si>
  <si>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</si>
  <si>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</si>
  <si>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</si>
  <si>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</si>
  <si>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</si>
  <si>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</si>
  <si>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</si>
  <si>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</si>
  <si>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</si>
  <si>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</si>
  <si>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</si>
  <si>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</si>
  <si>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</si>
  <si>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2021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</si>
  <si>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</si>
  <si>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</si>
  <si>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</si>
  <si>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</si>
  <si>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</si>
  <si>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</si>
  <si>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</si>
  <si>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</si>
  <si>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</si>
  <si>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</si>
  <si>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99</t>
  </si>
  <si>
    <t>12_</t>
  </si>
  <si>
    <t>17_</t>
  </si>
  <si>
    <t>19_</t>
  </si>
  <si>
    <t>27_</t>
  </si>
  <si>
    <t>56_</t>
  </si>
  <si>
    <t>721_</t>
  </si>
  <si>
    <t>89_</t>
  </si>
  <si>
    <t>94_</t>
  </si>
  <si>
    <t>M23_</t>
  </si>
  <si>
    <t>S_</t>
  </si>
  <si>
    <t>Z99999_</t>
  </si>
  <si>
    <t>01VRN_</t>
  </si>
  <si>
    <t>03VRN_</t>
  </si>
  <si>
    <t>06VRN_</t>
  </si>
  <si>
    <t>1_</t>
  </si>
  <si>
    <t>2_</t>
  </si>
  <si>
    <t>5_</t>
  </si>
  <si>
    <t>72_</t>
  </si>
  <si>
    <t>8_</t>
  </si>
  <si>
    <t>9_</t>
  </si>
  <si>
    <t>Z_</t>
  </si>
  <si>
    <t> 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</si>
  <si>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</si>
  <si>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</si>
  <si>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</si>
  <si>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</si>
  <si>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</si>
  <si>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</si>
  <si>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</si>
  <si>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</si>
  <si>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</si>
  <si>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</si>
  <si>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</si>
  <si>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</si>
  <si>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</si>
  <si>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</si>
  <si>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F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</si>
  <si>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</si>
  <si>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</si>
  <si>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</si>
  <si>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</si>
  <si>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</si>
  <si>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</si>
  <si>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</si>
  <si>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</si>
  <si>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</si>
  <si>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</si>
  <si>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</si>
  <si>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</si>
  <si>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</si>
  <si>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</si>
  <si>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</si>
  <si>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</si>
  <si>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</si>
  <si>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</si>
  <si>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</si>
  <si>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</si>
  <si>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</si>
  <si>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</si>
  <si>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</si>
  <si>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</si>
  <si>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</si>
  <si>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</si>
  <si>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</si>
  <si>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</si>
  <si>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</si>
  <si>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</si>
  <si>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</si>
  <si>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</si>
  <si>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</si>
  <si>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</si>
  <si>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</si>
  <si>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</si>
  <si>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</si>
  <si>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</si>
  <si>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</si>
  <si>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</si>
  <si>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</si>
  <si>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</si>
  <si>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</si>
  <si>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</si>
  <si>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</si>
  <si>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</si>
  <si>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Vedlejší a ostatní rozpočtové náklady VORN</t>
  </si>
  <si>
    <t>Ostatní rozpočtové náklady (VORN)</t>
  </si>
  <si>
    <t>Celkem VORN</t>
  </si>
  <si>
    <t>Vedlejší a ostatní rozpočtové náklady</t>
  </si>
  <si>
    <t>Kč</t>
  </si>
  <si>
    <t>%</t>
  </si>
  <si>
    <t>Základna</t>
  </si>
  <si>
    <t>ardeo, s.r.o.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</si>
</sst>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5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0" fillId="34" borderId="35" xfId="0" applyNumberFormat="1" applyFont="1" applyFill="1" applyBorder="1" applyAlignment="1" applyProtection="1">
      <alignment horizontal="center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2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2" fillId="0" borderId="35" xfId="0" applyNumberFormat="1" applyFont="1" applyFill="1" applyBorder="1" applyAlignment="1" applyProtection="1">
      <alignment horizontal="right" vertical="center"/>
      <protection/>
    </xf>
    <xf numFmtId="49" fontId="12" fillId="0" borderId="35" xfId="0" applyNumberFormat="1" applyFont="1" applyFill="1" applyBorder="1" applyAlignment="1" applyProtection="1">
      <alignment horizontal="right" vertical="center"/>
      <protection/>
    </xf>
    <xf numFmtId="4" fontId="12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1" fillId="34" borderId="39" xfId="0" applyNumberFormat="1" applyFont="1" applyFill="1" applyBorder="1" applyAlignment="1" applyProtection="1">
      <alignment horizontal="right"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49" fontId="3" fillId="0" borderId="42" xfId="0" applyNumberFormat="1" applyFont="1" applyFill="1" applyBorder="1" applyAlignment="1" applyProtection="1">
      <alignment horizontal="right" vertical="center"/>
      <protection/>
    </xf>
    <xf numFmtId="4" fontId="1" fillId="0" borderId="35" xfId="0" applyNumberFormat="1" applyFont="1" applyFill="1" applyBorder="1" applyAlignment="1" applyProtection="1">
      <alignment horizontal="right" vertical="center"/>
      <protection/>
    </xf>
    <xf numFmtId="4" fontId="1" fillId="0" borderId="23" xfId="0" applyNumberFormat="1" applyFont="1" applyFill="1" applyBorder="1" applyAlignment="1" applyProtection="1">
      <alignment horizontal="righ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right" vertical="center"/>
      <protection/>
    </xf>
    <xf numFmtId="4" fontId="3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5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13" fillId="0" borderId="50" xfId="0" applyNumberFormat="1" applyFont="1" applyFill="1" applyBorder="1" applyAlignment="1" applyProtection="1">
      <alignment horizontal="left" vertical="center"/>
      <protection/>
    </xf>
    <xf numFmtId="0" fontId="13" fillId="0" borderId="39" xfId="0" applyNumberFormat="1" applyFont="1" applyFill="1" applyBorder="1" applyAlignment="1" applyProtection="1">
      <alignment horizontal="left" vertical="center"/>
      <protection/>
    </xf>
    <xf numFmtId="49" fontId="12" fillId="0" borderId="50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49" fontId="11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49" fontId="11" fillId="34" borderId="50" xfId="0" applyNumberFormat="1" applyFont="1" applyFill="1" applyBorder="1" applyAlignment="1" applyProtection="1">
      <alignment horizontal="left" vertical="center"/>
      <protection/>
    </xf>
    <xf numFmtId="0" fontId="11" fillId="34" borderId="49" xfId="0" applyNumberFormat="1" applyFont="1" applyFill="1" applyBorder="1" applyAlignment="1" applyProtection="1">
      <alignment horizontal="left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3" xfId="0" applyNumberFormat="1" applyFont="1" applyFill="1" applyBorder="1" applyAlignment="1" applyProtection="1">
      <alignment horizontal="left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55" xfId="0" applyNumberFormat="1" applyFont="1" applyFill="1" applyBorder="1" applyAlignment="1" applyProtection="1">
      <alignment horizontal="left" vertical="center"/>
      <protection/>
    </xf>
    <xf numFmtId="49" fontId="11" fillId="0" borderId="41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49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49" fontId="11" fillId="0" borderId="58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59" xfId="0" applyNumberFormat="1" applyFont="1" applyFill="1" applyBorder="1" applyAlignment="1" applyProtection="1">
      <alignment horizontal="left" vertical="center"/>
      <protection/>
    </xf>
    <xf numFmtId="4" fontId="11" fillId="0" borderId="58" xfId="0" applyNumberFormat="1" applyFont="1" applyFill="1" applyBorder="1" applyAlignment="1" applyProtection="1">
      <alignment horizontal="right" vertical="center"/>
      <protection/>
    </xf>
    <xf numFmtId="0" fontId="11" fillId="0" borderId="40" xfId="0" applyNumberFormat="1" applyFont="1" applyFill="1" applyBorder="1" applyAlignment="1" applyProtection="1">
      <alignment horizontal="right" vertical="center"/>
      <protection/>
    </xf>
    <xf numFmtId="0" fontId="11" fillId="0" borderId="59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O6" sqref="O6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45.57421875" style="0" customWidth="1"/>
    <col min="5" max="6" width="11.57421875" style="0" customWidth="1"/>
    <col min="7" max="7" width="6.710937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4" ht="12.75">
      <c r="A2" s="86" t="s">
        <v>1</v>
      </c>
      <c r="B2" s="87"/>
      <c r="C2" s="90" t="s">
        <v>83</v>
      </c>
      <c r="D2" s="91"/>
      <c r="E2" s="93" t="s">
        <v>134</v>
      </c>
      <c r="F2" s="87"/>
      <c r="G2" s="93" t="s">
        <v>6</v>
      </c>
      <c r="H2" s="87"/>
      <c r="I2" s="94" t="s">
        <v>149</v>
      </c>
      <c r="J2" s="93" t="s">
        <v>155</v>
      </c>
      <c r="K2" s="87"/>
      <c r="L2" s="87"/>
      <c r="M2" s="95"/>
      <c r="N2" s="36"/>
    </row>
    <row r="3" spans="1:14" ht="12.75">
      <c r="A3" s="88"/>
      <c r="B3" s="89"/>
      <c r="C3" s="92"/>
      <c r="D3" s="92"/>
      <c r="E3" s="89"/>
      <c r="F3" s="89"/>
      <c r="G3" s="89"/>
      <c r="H3" s="89"/>
      <c r="I3" s="89"/>
      <c r="J3" s="89"/>
      <c r="K3" s="89"/>
      <c r="L3" s="89"/>
      <c r="M3" s="96"/>
      <c r="N3" s="36"/>
    </row>
    <row r="4" spans="1:14" ht="12.75">
      <c r="A4" s="97" t="s">
        <v>2</v>
      </c>
      <c r="B4" s="89"/>
      <c r="C4" s="98" t="s">
        <v>6</v>
      </c>
      <c r="D4" s="89"/>
      <c r="E4" s="99" t="s">
        <v>135</v>
      </c>
      <c r="F4" s="89"/>
      <c r="G4" s="99" t="s">
        <v>138</v>
      </c>
      <c r="H4" s="89"/>
      <c r="I4" s="98" t="s">
        <v>150</v>
      </c>
      <c r="J4" s="99" t="s">
        <v>155</v>
      </c>
      <c r="K4" s="89"/>
      <c r="L4" s="89"/>
      <c r="M4" s="96"/>
      <c r="N4" s="36"/>
    </row>
    <row r="5" spans="1:14" ht="12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6"/>
      <c r="N5" s="36"/>
    </row>
    <row r="6" spans="1:14" ht="12.75">
      <c r="A6" s="97" t="s">
        <v>3</v>
      </c>
      <c r="B6" s="89"/>
      <c r="C6" s="98" t="s">
        <v>84</v>
      </c>
      <c r="D6" s="89"/>
      <c r="E6" s="99" t="s">
        <v>136</v>
      </c>
      <c r="F6" s="89"/>
      <c r="G6" s="99" t="s">
        <v>6</v>
      </c>
      <c r="H6" s="89"/>
      <c r="I6" s="98" t="s">
        <v>151</v>
      </c>
      <c r="J6" s="99" t="s">
        <v>155</v>
      </c>
      <c r="K6" s="89"/>
      <c r="L6" s="89"/>
      <c r="M6" s="96"/>
      <c r="N6" s="36"/>
    </row>
    <row r="7" spans="1:14" ht="12.7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6"/>
      <c r="N7" s="36"/>
    </row>
    <row r="8" spans="1:14" ht="12.75">
      <c r="A8" s="97" t="s">
        <v>4</v>
      </c>
      <c r="B8" s="89"/>
      <c r="C8" s="98" t="s">
        <v>6</v>
      </c>
      <c r="D8" s="89"/>
      <c r="E8" s="99" t="s">
        <v>137</v>
      </c>
      <c r="F8" s="89"/>
      <c r="G8" s="99" t="s">
        <v>139</v>
      </c>
      <c r="H8" s="89"/>
      <c r="I8" s="98" t="s">
        <v>152</v>
      </c>
      <c r="J8" s="98" t="s">
        <v>265</v>
      </c>
      <c r="K8" s="89"/>
      <c r="L8" s="89"/>
      <c r="M8" s="96"/>
      <c r="N8" s="36"/>
    </row>
    <row r="9" spans="1:14" ht="12.75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36"/>
    </row>
    <row r="10" spans="1:64" ht="12.75">
      <c r="A10" s="1" t="s">
        <v>5</v>
      </c>
      <c r="B10" s="10" t="s">
        <v>41</v>
      </c>
      <c r="C10" s="103" t="s">
        <v>85</v>
      </c>
      <c r="D10" s="104"/>
      <c r="E10" s="104"/>
      <c r="F10" s="105"/>
      <c r="G10" s="10" t="s">
        <v>140</v>
      </c>
      <c r="H10" s="20" t="s">
        <v>148</v>
      </c>
      <c r="I10" s="24" t="s">
        <v>153</v>
      </c>
      <c r="J10" s="106" t="s">
        <v>156</v>
      </c>
      <c r="K10" s="107"/>
      <c r="L10" s="108"/>
      <c r="M10" s="29" t="s">
        <v>161</v>
      </c>
      <c r="N10" s="37"/>
      <c r="BK10" s="38" t="s">
        <v>201</v>
      </c>
      <c r="BL10" s="43" t="s">
        <v>204</v>
      </c>
    </row>
    <row r="11" spans="1:62" ht="12.75">
      <c r="A11" s="2" t="s">
        <v>6</v>
      </c>
      <c r="B11" s="11" t="s">
        <v>6</v>
      </c>
      <c r="C11" s="109" t="s">
        <v>86</v>
      </c>
      <c r="D11" s="110"/>
      <c r="E11" s="110"/>
      <c r="F11" s="111"/>
      <c r="G11" s="11" t="s">
        <v>6</v>
      </c>
      <c r="H11" s="11" t="s">
        <v>6</v>
      </c>
      <c r="I11" s="25" t="s">
        <v>154</v>
      </c>
      <c r="J11" s="26" t="s">
        <v>157</v>
      </c>
      <c r="K11" s="27" t="s">
        <v>159</v>
      </c>
      <c r="L11" s="28" t="s">
        <v>160</v>
      </c>
      <c r="M11" s="30" t="s">
        <v>162</v>
      </c>
      <c r="N11" s="37"/>
      <c r="Z11" s="38" t="s">
        <v>164</v>
      </c>
      <c r="AA11" s="38" t="s">
        <v>165</v>
      </c>
      <c r="AB11" s="38" t="s">
        <v>166</v>
      </c>
      <c r="AC11" s="38" t="s">
        <v>167</v>
      </c>
      <c r="AD11" s="38" t="s">
        <v>168</v>
      </c>
      <c r="AE11" s="38" t="s">
        <v>169</v>
      </c>
      <c r="AF11" s="38" t="s">
        <v>170</v>
      </c>
      <c r="AG11" s="38" t="s">
        <v>171</v>
      </c>
      <c r="AH11" s="38" t="s">
        <v>172</v>
      </c>
      <c r="BH11" s="38" t="s">
        <v>198</v>
      </c>
      <c r="BI11" s="38" t="s">
        <v>199</v>
      </c>
      <c r="BJ11" s="38" t="s">
        <v>200</v>
      </c>
    </row>
    <row r="12" spans="1:47" ht="12.75">
      <c r="A12" s="3"/>
      <c r="B12" s="12" t="s">
        <v>18</v>
      </c>
      <c r="C12" s="112" t="s">
        <v>87</v>
      </c>
      <c r="D12" s="113"/>
      <c r="E12" s="113"/>
      <c r="F12" s="113"/>
      <c r="G12" s="18" t="s">
        <v>6</v>
      </c>
      <c r="H12" s="18" t="s">
        <v>6</v>
      </c>
      <c r="I12" s="18" t="s">
        <v>6</v>
      </c>
      <c r="J12" s="44">
        <f>SUM(J13:J13)</f>
        <v>0</v>
      </c>
      <c r="K12" s="44">
        <f>SUM(K13:K13)</f>
        <v>0</v>
      </c>
      <c r="L12" s="44">
        <f>SUM(L13:L13)</f>
        <v>0</v>
      </c>
      <c r="M12" s="31"/>
      <c r="N12" s="36"/>
      <c r="AI12" s="38"/>
      <c r="AS12" s="45">
        <f>SUM(AJ13:AJ13)</f>
        <v>0</v>
      </c>
      <c r="AT12" s="45">
        <f>SUM(AK13:AK13)</f>
        <v>0</v>
      </c>
      <c r="AU12" s="45">
        <f>SUM(AL13:AL13)</f>
        <v>0</v>
      </c>
    </row>
    <row r="13" spans="1:64" ht="12.75">
      <c r="A13" s="4" t="s">
        <v>7</v>
      </c>
      <c r="B13" s="13" t="s">
        <v>42</v>
      </c>
      <c r="C13" s="114" t="s">
        <v>88</v>
      </c>
      <c r="D13" s="115"/>
      <c r="E13" s="115"/>
      <c r="F13" s="115"/>
      <c r="G13" s="13" t="s">
        <v>141</v>
      </c>
      <c r="H13" s="21">
        <v>67.92</v>
      </c>
      <c r="I13" s="21">
        <v>0</v>
      </c>
      <c r="J13" s="21">
        <f>H13*AO13</f>
        <v>0</v>
      </c>
      <c r="K13" s="21">
        <f>H13*AP13</f>
        <v>0</v>
      </c>
      <c r="L13" s="21">
        <f>H13*I13</f>
        <v>0</v>
      </c>
      <c r="M13" s="32" t="s">
        <v>163</v>
      </c>
      <c r="N13" s="36"/>
      <c r="Z13" s="39">
        <f>IF(AQ13="5",BJ13,0)</f>
        <v>0</v>
      </c>
      <c r="AB13" s="39">
        <f>IF(AQ13="1",BH13,0)</f>
        <v>0</v>
      </c>
      <c r="AC13" s="39">
        <f>IF(AQ13="1",BI13,0)</f>
        <v>0</v>
      </c>
      <c r="AD13" s="39">
        <f>IF(AQ13="7",BH13,0)</f>
        <v>0</v>
      </c>
      <c r="AE13" s="39">
        <f>IF(AQ13="7",BI13,0)</f>
        <v>0</v>
      </c>
      <c r="AF13" s="39">
        <f>IF(AQ13="2",BH13,0)</f>
        <v>0</v>
      </c>
      <c r="AG13" s="39">
        <f>IF(AQ13="2",BI13,0)</f>
        <v>0</v>
      </c>
      <c r="AH13" s="39">
        <f>IF(AQ13="0",BJ13,0)</f>
        <v>0</v>
      </c>
      <c r="AI13" s="38"/>
      <c r="AJ13" s="21">
        <f>IF(AN13=0,L13,0)</f>
        <v>0</v>
      </c>
      <c r="AK13" s="21">
        <f>IF(AN13=15,L13,0)</f>
        <v>0</v>
      </c>
      <c r="AL13" s="21">
        <f>IF(AN13=21,L13,0)</f>
        <v>0</v>
      </c>
      <c r="AN13" s="39">
        <v>15</v>
      </c>
      <c r="AO13" s="39">
        <f>I13*0</f>
        <v>0</v>
      </c>
      <c r="AP13" s="39">
        <f>I13*(1-0)</f>
        <v>0</v>
      </c>
      <c r="AQ13" s="40" t="s">
        <v>7</v>
      </c>
      <c r="AV13" s="39">
        <f>AW13+AX13</f>
        <v>0</v>
      </c>
      <c r="AW13" s="39">
        <f>H13*AO13</f>
        <v>0</v>
      </c>
      <c r="AX13" s="39">
        <f>H13*AP13</f>
        <v>0</v>
      </c>
      <c r="AY13" s="42" t="s">
        <v>175</v>
      </c>
      <c r="AZ13" s="42" t="s">
        <v>189</v>
      </c>
      <c r="BA13" s="38" t="s">
        <v>197</v>
      </c>
      <c r="BC13" s="39">
        <f>AW13+AX13</f>
        <v>0</v>
      </c>
      <c r="BD13" s="39">
        <f>I13/(100-BE13)*100</f>
        <v>0</v>
      </c>
      <c r="BE13" s="39">
        <v>0</v>
      </c>
      <c r="BF13" s="39">
        <f>13</f>
        <v>13</v>
      </c>
      <c r="BH13" s="21">
        <f>H13*AO13</f>
        <v>0</v>
      </c>
      <c r="BI13" s="21">
        <f>H13*AP13</f>
        <v>0</v>
      </c>
      <c r="BJ13" s="21">
        <f>H13*I13</f>
        <v>0</v>
      </c>
      <c r="BK13" s="21" t="s">
        <v>202</v>
      </c>
      <c r="BL13" s="39">
        <v>12</v>
      </c>
    </row>
    <row r="14" spans="1:47" ht="12.75">
      <c r="A14" s="5"/>
      <c r="B14" s="14" t="s">
        <v>23</v>
      </c>
      <c r="C14" s="116" t="s">
        <v>89</v>
      </c>
      <c r="D14" s="117"/>
      <c r="E14" s="117"/>
      <c r="F14" s="117"/>
      <c r="G14" s="19" t="s">
        <v>6</v>
      </c>
      <c r="H14" s="19" t="s">
        <v>6</v>
      </c>
      <c r="I14" s="19" t="s">
        <v>6</v>
      </c>
      <c r="J14" s="45">
        <f>SUM(J15:J15)</f>
        <v>0</v>
      </c>
      <c r="K14" s="45">
        <f>SUM(K15:K15)</f>
        <v>0</v>
      </c>
      <c r="L14" s="45">
        <f>SUM(L15:L15)</f>
        <v>0</v>
      </c>
      <c r="M14" s="33"/>
      <c r="N14" s="36"/>
      <c r="AI14" s="38"/>
      <c r="AS14" s="45">
        <f>SUM(AJ15:AJ15)</f>
        <v>0</v>
      </c>
      <c r="AT14" s="45">
        <f>SUM(AK15:AK15)</f>
        <v>0</v>
      </c>
      <c r="AU14" s="45">
        <f>SUM(AL15:AL15)</f>
        <v>0</v>
      </c>
    </row>
    <row r="15" spans="1:64" ht="12.75">
      <c r="A15" s="4" t="s">
        <v>8</v>
      </c>
      <c r="B15" s="13" t="s">
        <v>43</v>
      </c>
      <c r="C15" s="114" t="s">
        <v>90</v>
      </c>
      <c r="D15" s="115"/>
      <c r="E15" s="115"/>
      <c r="F15" s="115"/>
      <c r="G15" s="13" t="s">
        <v>141</v>
      </c>
      <c r="H15" s="21">
        <v>95.3</v>
      </c>
      <c r="I15" s="21">
        <v>0</v>
      </c>
      <c r="J15" s="21">
        <f>H15*AO15</f>
        <v>0</v>
      </c>
      <c r="K15" s="21">
        <f>H15*AP15</f>
        <v>0</v>
      </c>
      <c r="L15" s="21">
        <f>H15*I15</f>
        <v>0</v>
      </c>
      <c r="M15" s="32" t="s">
        <v>163</v>
      </c>
      <c r="N15" s="36"/>
      <c r="Z15" s="39">
        <f>IF(AQ15="5",BJ15,0)</f>
        <v>0</v>
      </c>
      <c r="AB15" s="39">
        <f>IF(AQ15="1",BH15,0)</f>
        <v>0</v>
      </c>
      <c r="AC15" s="39">
        <f>IF(AQ15="1",BI15,0)</f>
        <v>0</v>
      </c>
      <c r="AD15" s="39">
        <f>IF(AQ15="7",BH15,0)</f>
        <v>0</v>
      </c>
      <c r="AE15" s="39">
        <f>IF(AQ15="7",BI15,0)</f>
        <v>0</v>
      </c>
      <c r="AF15" s="39">
        <f>IF(AQ15="2",BH15,0)</f>
        <v>0</v>
      </c>
      <c r="AG15" s="39">
        <f>IF(AQ15="2",BI15,0)</f>
        <v>0</v>
      </c>
      <c r="AH15" s="39">
        <f>IF(AQ15="0",BJ15,0)</f>
        <v>0</v>
      </c>
      <c r="AI15" s="38"/>
      <c r="AJ15" s="21">
        <f>IF(AN15=0,L15,0)</f>
        <v>0</v>
      </c>
      <c r="AK15" s="21">
        <f>IF(AN15=15,L15,0)</f>
        <v>0</v>
      </c>
      <c r="AL15" s="21">
        <f>IF(AN15=21,L15,0)</f>
        <v>0</v>
      </c>
      <c r="AN15" s="39">
        <v>15</v>
      </c>
      <c r="AO15" s="39">
        <f>I15*0.552258414402667</f>
        <v>0</v>
      </c>
      <c r="AP15" s="39">
        <f>I15*(1-0.552258414402667)</f>
        <v>0</v>
      </c>
      <c r="AQ15" s="40" t="s">
        <v>7</v>
      </c>
      <c r="AV15" s="39">
        <f>AW15+AX15</f>
        <v>0</v>
      </c>
      <c r="AW15" s="39">
        <f>H15*AO15</f>
        <v>0</v>
      </c>
      <c r="AX15" s="39">
        <f>H15*AP15</f>
        <v>0</v>
      </c>
      <c r="AY15" s="42" t="s">
        <v>176</v>
      </c>
      <c r="AZ15" s="42" t="s">
        <v>189</v>
      </c>
      <c r="BA15" s="38" t="s">
        <v>197</v>
      </c>
      <c r="BC15" s="39">
        <f>AW15+AX15</f>
        <v>0</v>
      </c>
      <c r="BD15" s="39">
        <f>I15/(100-BE15)*100</f>
        <v>0</v>
      </c>
      <c r="BE15" s="39">
        <v>0</v>
      </c>
      <c r="BF15" s="39">
        <f>15</f>
        <v>15</v>
      </c>
      <c r="BH15" s="21">
        <f>H15*AO15</f>
        <v>0</v>
      </c>
      <c r="BI15" s="21">
        <f>H15*AP15</f>
        <v>0</v>
      </c>
      <c r="BJ15" s="21">
        <f>H15*I15</f>
        <v>0</v>
      </c>
      <c r="BK15" s="21" t="s">
        <v>202</v>
      </c>
      <c r="BL15" s="39">
        <v>17</v>
      </c>
    </row>
    <row r="16" spans="1:47" ht="12.75">
      <c r="A16" s="5"/>
      <c r="B16" s="14" t="s">
        <v>25</v>
      </c>
      <c r="C16" s="116" t="s">
        <v>91</v>
      </c>
      <c r="D16" s="117"/>
      <c r="E16" s="117"/>
      <c r="F16" s="117"/>
      <c r="G16" s="19" t="s">
        <v>6</v>
      </c>
      <c r="H16" s="19" t="s">
        <v>6</v>
      </c>
      <c r="I16" s="19" t="s">
        <v>6</v>
      </c>
      <c r="J16" s="45">
        <f>SUM(J17:J17)</f>
        <v>0</v>
      </c>
      <c r="K16" s="45">
        <f>SUM(K17:K17)</f>
        <v>0</v>
      </c>
      <c r="L16" s="45">
        <f>SUM(L17:L17)</f>
        <v>0</v>
      </c>
      <c r="M16" s="33"/>
      <c r="N16" s="36"/>
      <c r="AI16" s="38"/>
      <c r="AS16" s="45">
        <f>SUM(AJ17:AJ17)</f>
        <v>0</v>
      </c>
      <c r="AT16" s="45">
        <f>SUM(AK17:AK17)</f>
        <v>0</v>
      </c>
      <c r="AU16" s="45">
        <f>SUM(AL17:AL17)</f>
        <v>0</v>
      </c>
    </row>
    <row r="17" spans="1:64" ht="12.75">
      <c r="A17" s="4" t="s">
        <v>9</v>
      </c>
      <c r="B17" s="13" t="s">
        <v>44</v>
      </c>
      <c r="C17" s="114" t="s">
        <v>92</v>
      </c>
      <c r="D17" s="115"/>
      <c r="E17" s="115"/>
      <c r="F17" s="115"/>
      <c r="G17" s="13" t="s">
        <v>142</v>
      </c>
      <c r="H17" s="21">
        <v>96.2</v>
      </c>
      <c r="I17" s="21">
        <v>0</v>
      </c>
      <c r="J17" s="21">
        <f>H17*AO17</f>
        <v>0</v>
      </c>
      <c r="K17" s="21">
        <f>H17*AP17</f>
        <v>0</v>
      </c>
      <c r="L17" s="21">
        <f>H17*I17</f>
        <v>0</v>
      </c>
      <c r="M17" s="32" t="s">
        <v>163</v>
      </c>
      <c r="N17" s="36"/>
      <c r="Z17" s="39">
        <f>IF(AQ17="5",BJ17,0)</f>
        <v>0</v>
      </c>
      <c r="AB17" s="39">
        <f>IF(AQ17="1",BH17,0)</f>
        <v>0</v>
      </c>
      <c r="AC17" s="39">
        <f>IF(AQ17="1",BI17,0)</f>
        <v>0</v>
      </c>
      <c r="AD17" s="39">
        <f>IF(AQ17="7",BH17,0)</f>
        <v>0</v>
      </c>
      <c r="AE17" s="39">
        <f>IF(AQ17="7",BI17,0)</f>
        <v>0</v>
      </c>
      <c r="AF17" s="39">
        <f>IF(AQ17="2",BH17,0)</f>
        <v>0</v>
      </c>
      <c r="AG17" s="39">
        <f>IF(AQ17="2",BI17,0)</f>
        <v>0</v>
      </c>
      <c r="AH17" s="39">
        <f>IF(AQ17="0",BJ17,0)</f>
        <v>0</v>
      </c>
      <c r="AI17" s="38"/>
      <c r="AJ17" s="21">
        <f>IF(AN17=0,L17,0)</f>
        <v>0</v>
      </c>
      <c r="AK17" s="21">
        <f>IF(AN17=15,L17,0)</f>
        <v>0</v>
      </c>
      <c r="AL17" s="21">
        <f>IF(AN17=21,L17,0)</f>
        <v>0</v>
      </c>
      <c r="AN17" s="39">
        <v>15</v>
      </c>
      <c r="AO17" s="39">
        <f>I17*0</f>
        <v>0</v>
      </c>
      <c r="AP17" s="39">
        <f>I17*(1-0)</f>
        <v>0</v>
      </c>
      <c r="AQ17" s="40" t="s">
        <v>7</v>
      </c>
      <c r="AV17" s="39">
        <f>AW17+AX17</f>
        <v>0</v>
      </c>
      <c r="AW17" s="39">
        <f>H17*AO17</f>
        <v>0</v>
      </c>
      <c r="AX17" s="39">
        <f>H17*AP17</f>
        <v>0</v>
      </c>
      <c r="AY17" s="42" t="s">
        <v>177</v>
      </c>
      <c r="AZ17" s="42" t="s">
        <v>189</v>
      </c>
      <c r="BA17" s="38" t="s">
        <v>197</v>
      </c>
      <c r="BC17" s="39">
        <f>AW17+AX17</f>
        <v>0</v>
      </c>
      <c r="BD17" s="39">
        <f>I17/(100-BE17)*100</f>
        <v>0</v>
      </c>
      <c r="BE17" s="39">
        <v>0</v>
      </c>
      <c r="BF17" s="39">
        <f>17</f>
        <v>17</v>
      </c>
      <c r="BH17" s="21">
        <f>H17*AO17</f>
        <v>0</v>
      </c>
      <c r="BI17" s="21">
        <f>H17*AP17</f>
        <v>0</v>
      </c>
      <c r="BJ17" s="21">
        <f>H17*I17</f>
        <v>0</v>
      </c>
      <c r="BK17" s="21" t="s">
        <v>202</v>
      </c>
      <c r="BL17" s="39">
        <v>19</v>
      </c>
    </row>
    <row r="18" spans="1:47" ht="12.75">
      <c r="A18" s="5"/>
      <c r="B18" s="14" t="s">
        <v>33</v>
      </c>
      <c r="C18" s="116" t="s">
        <v>93</v>
      </c>
      <c r="D18" s="117"/>
      <c r="E18" s="117"/>
      <c r="F18" s="117"/>
      <c r="G18" s="19" t="s">
        <v>6</v>
      </c>
      <c r="H18" s="19" t="s">
        <v>6</v>
      </c>
      <c r="I18" s="19" t="s">
        <v>6</v>
      </c>
      <c r="J18" s="45">
        <f>SUM(J19:J22)</f>
        <v>0</v>
      </c>
      <c r="K18" s="45">
        <f>SUM(K19:K22)</f>
        <v>0</v>
      </c>
      <c r="L18" s="45">
        <f>SUM(L19:L22)</f>
        <v>0</v>
      </c>
      <c r="M18" s="33"/>
      <c r="N18" s="36"/>
      <c r="AI18" s="38"/>
      <c r="AS18" s="45">
        <f>SUM(AJ19:AJ22)</f>
        <v>0</v>
      </c>
      <c r="AT18" s="45">
        <f>SUM(AK19:AK22)</f>
        <v>0</v>
      </c>
      <c r="AU18" s="45">
        <f>SUM(AL19:AL22)</f>
        <v>0</v>
      </c>
    </row>
    <row r="19" spans="1:64" ht="12.75">
      <c r="A19" s="4" t="s">
        <v>10</v>
      </c>
      <c r="B19" s="13" t="s">
        <v>45</v>
      </c>
      <c r="C19" s="114" t="s">
        <v>94</v>
      </c>
      <c r="D19" s="115"/>
      <c r="E19" s="115"/>
      <c r="F19" s="115"/>
      <c r="G19" s="13" t="s">
        <v>141</v>
      </c>
      <c r="H19" s="21">
        <v>3.9</v>
      </c>
      <c r="I19" s="21">
        <v>0</v>
      </c>
      <c r="J19" s="21">
        <f>H19*AO19</f>
        <v>0</v>
      </c>
      <c r="K19" s="21">
        <f>H19*AP19</f>
        <v>0</v>
      </c>
      <c r="L19" s="21">
        <f>H19*I19</f>
        <v>0</v>
      </c>
      <c r="M19" s="32" t="s">
        <v>163</v>
      </c>
      <c r="N19" s="36"/>
      <c r="Z19" s="39">
        <f>IF(AQ19="5",BJ19,0)</f>
        <v>0</v>
      </c>
      <c r="AB19" s="39">
        <f>IF(AQ19="1",BH19,0)</f>
        <v>0</v>
      </c>
      <c r="AC19" s="39">
        <f>IF(AQ19="1",BI19,0)</f>
        <v>0</v>
      </c>
      <c r="AD19" s="39">
        <f>IF(AQ19="7",BH19,0)</f>
        <v>0</v>
      </c>
      <c r="AE19" s="39">
        <f>IF(AQ19="7",BI19,0)</f>
        <v>0</v>
      </c>
      <c r="AF19" s="39">
        <f>IF(AQ19="2",BH19,0)</f>
        <v>0</v>
      </c>
      <c r="AG19" s="39">
        <f>IF(AQ19="2",BI19,0)</f>
        <v>0</v>
      </c>
      <c r="AH19" s="39">
        <f>IF(AQ19="0",BJ19,0)</f>
        <v>0</v>
      </c>
      <c r="AI19" s="38"/>
      <c r="AJ19" s="21">
        <f>IF(AN19=0,L19,0)</f>
        <v>0</v>
      </c>
      <c r="AK19" s="21">
        <f>IF(AN19=15,L19,0)</f>
        <v>0</v>
      </c>
      <c r="AL19" s="21">
        <f>IF(AN19=21,L19,0)</f>
        <v>0</v>
      </c>
      <c r="AN19" s="39">
        <v>15</v>
      </c>
      <c r="AO19" s="39">
        <f>I19*0.902045454545454</f>
        <v>0</v>
      </c>
      <c r="AP19" s="39">
        <f>I19*(1-0.902045454545454)</f>
        <v>0</v>
      </c>
      <c r="AQ19" s="40" t="s">
        <v>7</v>
      </c>
      <c r="AV19" s="39">
        <f>AW19+AX19</f>
        <v>0</v>
      </c>
      <c r="AW19" s="39">
        <f>H19*AO19</f>
        <v>0</v>
      </c>
      <c r="AX19" s="39">
        <f>H19*AP19</f>
        <v>0</v>
      </c>
      <c r="AY19" s="42" t="s">
        <v>178</v>
      </c>
      <c r="AZ19" s="42" t="s">
        <v>190</v>
      </c>
      <c r="BA19" s="38" t="s">
        <v>197</v>
      </c>
      <c r="BC19" s="39">
        <f>AW19+AX19</f>
        <v>0</v>
      </c>
      <c r="BD19" s="39">
        <f>I19/(100-BE19)*100</f>
        <v>0</v>
      </c>
      <c r="BE19" s="39">
        <v>0</v>
      </c>
      <c r="BF19" s="39">
        <f>19</f>
        <v>19</v>
      </c>
      <c r="BH19" s="21">
        <f>H19*AO19</f>
        <v>0</v>
      </c>
      <c r="BI19" s="21">
        <f>H19*AP19</f>
        <v>0</v>
      </c>
      <c r="BJ19" s="21">
        <f>H19*I19</f>
        <v>0</v>
      </c>
      <c r="BK19" s="21" t="s">
        <v>202</v>
      </c>
      <c r="BL19" s="39">
        <v>27</v>
      </c>
    </row>
    <row r="20" spans="1:64" ht="12.75">
      <c r="A20" s="4" t="s">
        <v>11</v>
      </c>
      <c r="B20" s="13" t="s">
        <v>46</v>
      </c>
      <c r="C20" s="114" t="s">
        <v>95</v>
      </c>
      <c r="D20" s="115"/>
      <c r="E20" s="115"/>
      <c r="F20" s="115"/>
      <c r="G20" s="13" t="s">
        <v>143</v>
      </c>
      <c r="H20" s="21">
        <v>5</v>
      </c>
      <c r="I20" s="21">
        <v>0</v>
      </c>
      <c r="J20" s="21">
        <f>H20*AO20</f>
        <v>0</v>
      </c>
      <c r="K20" s="21">
        <f>H20*AP20</f>
        <v>0</v>
      </c>
      <c r="L20" s="21">
        <f>H20*I20</f>
        <v>0</v>
      </c>
      <c r="M20" s="32" t="s">
        <v>163</v>
      </c>
      <c r="N20" s="36"/>
      <c r="Z20" s="39">
        <f>IF(AQ20="5",BJ20,0)</f>
        <v>0</v>
      </c>
      <c r="AB20" s="39">
        <f>IF(AQ20="1",BH20,0)</f>
        <v>0</v>
      </c>
      <c r="AC20" s="39">
        <f>IF(AQ20="1",BI20,0)</f>
        <v>0</v>
      </c>
      <c r="AD20" s="39">
        <f>IF(AQ20="7",BH20,0)</f>
        <v>0</v>
      </c>
      <c r="AE20" s="39">
        <f>IF(AQ20="7",BI20,0)</f>
        <v>0</v>
      </c>
      <c r="AF20" s="39">
        <f>IF(AQ20="2",BH20,0)</f>
        <v>0</v>
      </c>
      <c r="AG20" s="39">
        <f>IF(AQ20="2",BI20,0)</f>
        <v>0</v>
      </c>
      <c r="AH20" s="39">
        <f>IF(AQ20="0",BJ20,0)</f>
        <v>0</v>
      </c>
      <c r="AI20" s="38"/>
      <c r="AJ20" s="21">
        <f>IF(AN20=0,L20,0)</f>
        <v>0</v>
      </c>
      <c r="AK20" s="21">
        <f>IF(AN20=15,L20,0)</f>
        <v>0</v>
      </c>
      <c r="AL20" s="21">
        <f>IF(AN20=21,L20,0)</f>
        <v>0</v>
      </c>
      <c r="AN20" s="39">
        <v>15</v>
      </c>
      <c r="AO20" s="39">
        <f>I20*0.605123229911006</f>
        <v>0</v>
      </c>
      <c r="AP20" s="39">
        <f>I20*(1-0.605123229911006)</f>
        <v>0</v>
      </c>
      <c r="AQ20" s="40" t="s">
        <v>7</v>
      </c>
      <c r="AV20" s="39">
        <f>AW20+AX20</f>
        <v>0</v>
      </c>
      <c r="AW20" s="39">
        <f>H20*AO20</f>
        <v>0</v>
      </c>
      <c r="AX20" s="39">
        <f>H20*AP20</f>
        <v>0</v>
      </c>
      <c r="AY20" s="42" t="s">
        <v>178</v>
      </c>
      <c r="AZ20" s="42" t="s">
        <v>190</v>
      </c>
      <c r="BA20" s="38" t="s">
        <v>197</v>
      </c>
      <c r="BC20" s="39">
        <f>AW20+AX20</f>
        <v>0</v>
      </c>
      <c r="BD20" s="39">
        <f>I20/(100-BE20)*100</f>
        <v>0</v>
      </c>
      <c r="BE20" s="39">
        <v>0</v>
      </c>
      <c r="BF20" s="39">
        <f>20</f>
        <v>20</v>
      </c>
      <c r="BH20" s="21">
        <f>H20*AO20</f>
        <v>0</v>
      </c>
      <c r="BI20" s="21">
        <f>H20*AP20</f>
        <v>0</v>
      </c>
      <c r="BJ20" s="21">
        <f>H20*I20</f>
        <v>0</v>
      </c>
      <c r="BK20" s="21" t="s">
        <v>202</v>
      </c>
      <c r="BL20" s="39">
        <v>27</v>
      </c>
    </row>
    <row r="21" spans="1:64" ht="12.75">
      <c r="A21" s="4" t="s">
        <v>12</v>
      </c>
      <c r="B21" s="13" t="s">
        <v>47</v>
      </c>
      <c r="C21" s="114" t="s">
        <v>96</v>
      </c>
      <c r="D21" s="115"/>
      <c r="E21" s="115"/>
      <c r="F21" s="115"/>
      <c r="G21" s="13" t="s">
        <v>143</v>
      </c>
      <c r="H21" s="21">
        <v>5</v>
      </c>
      <c r="I21" s="21">
        <v>0</v>
      </c>
      <c r="J21" s="21">
        <f>H21*AO21</f>
        <v>0</v>
      </c>
      <c r="K21" s="21">
        <f>H21*AP21</f>
        <v>0</v>
      </c>
      <c r="L21" s="21">
        <f>H21*I21</f>
        <v>0</v>
      </c>
      <c r="M21" s="32" t="s">
        <v>163</v>
      </c>
      <c r="N21" s="36"/>
      <c r="Z21" s="39">
        <f>IF(AQ21="5",BJ21,0)</f>
        <v>0</v>
      </c>
      <c r="AB21" s="39">
        <f>IF(AQ21="1",BH21,0)</f>
        <v>0</v>
      </c>
      <c r="AC21" s="39">
        <f>IF(AQ21="1",BI21,0)</f>
        <v>0</v>
      </c>
      <c r="AD21" s="39">
        <f>IF(AQ21="7",BH21,0)</f>
        <v>0</v>
      </c>
      <c r="AE21" s="39">
        <f>IF(AQ21="7",BI21,0)</f>
        <v>0</v>
      </c>
      <c r="AF21" s="39">
        <f>IF(AQ21="2",BH21,0)</f>
        <v>0</v>
      </c>
      <c r="AG21" s="39">
        <f>IF(AQ21="2",BI21,0)</f>
        <v>0</v>
      </c>
      <c r="AH21" s="39">
        <f>IF(AQ21="0",BJ21,0)</f>
        <v>0</v>
      </c>
      <c r="AI21" s="38"/>
      <c r="AJ21" s="21">
        <f>IF(AN21=0,L21,0)</f>
        <v>0</v>
      </c>
      <c r="AK21" s="21">
        <f>IF(AN21=15,L21,0)</f>
        <v>0</v>
      </c>
      <c r="AL21" s="21">
        <f>IF(AN21=21,L21,0)</f>
        <v>0</v>
      </c>
      <c r="AN21" s="39">
        <v>15</v>
      </c>
      <c r="AO21" s="39">
        <f>I21*0</f>
        <v>0</v>
      </c>
      <c r="AP21" s="39">
        <f>I21*(1-0)</f>
        <v>0</v>
      </c>
      <c r="AQ21" s="40" t="s">
        <v>7</v>
      </c>
      <c r="AV21" s="39">
        <f>AW21+AX21</f>
        <v>0</v>
      </c>
      <c r="AW21" s="39">
        <f>H21*AO21</f>
        <v>0</v>
      </c>
      <c r="AX21" s="39">
        <f>H21*AP21</f>
        <v>0</v>
      </c>
      <c r="AY21" s="42" t="s">
        <v>178</v>
      </c>
      <c r="AZ21" s="42" t="s">
        <v>190</v>
      </c>
      <c r="BA21" s="38" t="s">
        <v>197</v>
      </c>
      <c r="BC21" s="39">
        <f>AW21+AX21</f>
        <v>0</v>
      </c>
      <c r="BD21" s="39">
        <f>I21/(100-BE21)*100</f>
        <v>0</v>
      </c>
      <c r="BE21" s="39">
        <v>0</v>
      </c>
      <c r="BF21" s="39">
        <f>21</f>
        <v>21</v>
      </c>
      <c r="BH21" s="21">
        <f>H21*AO21</f>
        <v>0</v>
      </c>
      <c r="BI21" s="21">
        <f>H21*AP21</f>
        <v>0</v>
      </c>
      <c r="BJ21" s="21">
        <f>H21*I21</f>
        <v>0</v>
      </c>
      <c r="BK21" s="21" t="s">
        <v>202</v>
      </c>
      <c r="BL21" s="39">
        <v>27</v>
      </c>
    </row>
    <row r="22" spans="1:64" ht="12.75">
      <c r="A22" s="4" t="s">
        <v>13</v>
      </c>
      <c r="B22" s="13" t="s">
        <v>48</v>
      </c>
      <c r="C22" s="114" t="s">
        <v>97</v>
      </c>
      <c r="D22" s="115"/>
      <c r="E22" s="115"/>
      <c r="F22" s="115"/>
      <c r="G22" s="13" t="s">
        <v>142</v>
      </c>
      <c r="H22" s="21">
        <v>0.1</v>
      </c>
      <c r="I22" s="21">
        <v>0</v>
      </c>
      <c r="J22" s="21">
        <f>H22*AO22</f>
        <v>0</v>
      </c>
      <c r="K22" s="21">
        <f>H22*AP22</f>
        <v>0</v>
      </c>
      <c r="L22" s="21">
        <f>H22*I22</f>
        <v>0</v>
      </c>
      <c r="M22" s="32" t="s">
        <v>163</v>
      </c>
      <c r="N22" s="36"/>
      <c r="Z22" s="39">
        <f>IF(AQ22="5",BJ22,0)</f>
        <v>0</v>
      </c>
      <c r="AB22" s="39">
        <f>IF(AQ22="1",BH22,0)</f>
        <v>0</v>
      </c>
      <c r="AC22" s="39">
        <f>IF(AQ22="1",BI22,0)</f>
        <v>0</v>
      </c>
      <c r="AD22" s="39">
        <f>IF(AQ22="7",BH22,0)</f>
        <v>0</v>
      </c>
      <c r="AE22" s="39">
        <f>IF(AQ22="7",BI22,0)</f>
        <v>0</v>
      </c>
      <c r="AF22" s="39">
        <f>IF(AQ22="2",BH22,0)</f>
        <v>0</v>
      </c>
      <c r="AG22" s="39">
        <f>IF(AQ22="2",BI22,0)</f>
        <v>0</v>
      </c>
      <c r="AH22" s="39">
        <f>IF(AQ22="0",BJ22,0)</f>
        <v>0</v>
      </c>
      <c r="AI22" s="38"/>
      <c r="AJ22" s="21">
        <f>IF(AN22=0,L22,0)</f>
        <v>0</v>
      </c>
      <c r="AK22" s="21">
        <f>IF(AN22=15,L22,0)</f>
        <v>0</v>
      </c>
      <c r="AL22" s="21">
        <f>IF(AN22=21,L22,0)</f>
        <v>0</v>
      </c>
      <c r="AN22" s="39">
        <v>15</v>
      </c>
      <c r="AO22" s="39">
        <f>I22*0.774598410174881</f>
        <v>0</v>
      </c>
      <c r="AP22" s="39">
        <f>I22*(1-0.774598410174881)</f>
        <v>0</v>
      </c>
      <c r="AQ22" s="40" t="s">
        <v>7</v>
      </c>
      <c r="AV22" s="39">
        <f>AW22+AX22</f>
        <v>0</v>
      </c>
      <c r="AW22" s="39">
        <f>H22*AO22</f>
        <v>0</v>
      </c>
      <c r="AX22" s="39">
        <f>H22*AP22</f>
        <v>0</v>
      </c>
      <c r="AY22" s="42" t="s">
        <v>178</v>
      </c>
      <c r="AZ22" s="42" t="s">
        <v>190</v>
      </c>
      <c r="BA22" s="38" t="s">
        <v>197</v>
      </c>
      <c r="BC22" s="39">
        <f>AW22+AX22</f>
        <v>0</v>
      </c>
      <c r="BD22" s="39">
        <f>I22/(100-BE22)*100</f>
        <v>0</v>
      </c>
      <c r="BE22" s="39">
        <v>0</v>
      </c>
      <c r="BF22" s="39">
        <f>22</f>
        <v>22</v>
      </c>
      <c r="BH22" s="21">
        <f>H22*AO22</f>
        <v>0</v>
      </c>
      <c r="BI22" s="21">
        <f>H22*AP22</f>
        <v>0</v>
      </c>
      <c r="BJ22" s="21">
        <f>H22*I22</f>
        <v>0</v>
      </c>
      <c r="BK22" s="21" t="s">
        <v>202</v>
      </c>
      <c r="BL22" s="39">
        <v>27</v>
      </c>
    </row>
    <row r="23" spans="1:47" ht="12.75">
      <c r="A23" s="5"/>
      <c r="B23" s="14" t="s">
        <v>49</v>
      </c>
      <c r="C23" s="116" t="s">
        <v>98</v>
      </c>
      <c r="D23" s="117"/>
      <c r="E23" s="117"/>
      <c r="F23" s="117"/>
      <c r="G23" s="19" t="s">
        <v>6</v>
      </c>
      <c r="H23" s="19" t="s">
        <v>6</v>
      </c>
      <c r="I23" s="19" t="s">
        <v>6</v>
      </c>
      <c r="J23" s="45">
        <f>SUM(J24:J24)</f>
        <v>0</v>
      </c>
      <c r="K23" s="45">
        <f>SUM(K24:K24)</f>
        <v>0</v>
      </c>
      <c r="L23" s="45">
        <f>SUM(L24:L24)</f>
        <v>0</v>
      </c>
      <c r="M23" s="33"/>
      <c r="N23" s="36"/>
      <c r="AI23" s="38"/>
      <c r="AS23" s="45">
        <f>SUM(AJ24:AJ24)</f>
        <v>0</v>
      </c>
      <c r="AT23" s="45">
        <f>SUM(AK24:AK24)</f>
        <v>0</v>
      </c>
      <c r="AU23" s="45">
        <f>SUM(AL24:AL24)</f>
        <v>0</v>
      </c>
    </row>
    <row r="24" spans="1:64" ht="12.75">
      <c r="A24" s="4" t="s">
        <v>14</v>
      </c>
      <c r="B24" s="13" t="s">
        <v>50</v>
      </c>
      <c r="C24" s="114" t="s">
        <v>99</v>
      </c>
      <c r="D24" s="115"/>
      <c r="E24" s="115"/>
      <c r="F24" s="115"/>
      <c r="G24" s="13" t="s">
        <v>143</v>
      </c>
      <c r="H24" s="21">
        <v>3.57</v>
      </c>
      <c r="I24" s="21">
        <v>0</v>
      </c>
      <c r="J24" s="21">
        <f>H24*AO24</f>
        <v>0</v>
      </c>
      <c r="K24" s="21">
        <f>H24*AP24</f>
        <v>0</v>
      </c>
      <c r="L24" s="21">
        <f>H24*I24</f>
        <v>0</v>
      </c>
      <c r="M24" s="32" t="s">
        <v>163</v>
      </c>
      <c r="N24" s="36"/>
      <c r="Z24" s="39">
        <f>IF(AQ24="5",BJ24,0)</f>
        <v>0</v>
      </c>
      <c r="AB24" s="39">
        <f>IF(AQ24="1",BH24,0)</f>
        <v>0</v>
      </c>
      <c r="AC24" s="39">
        <f>IF(AQ24="1",BI24,0)</f>
        <v>0</v>
      </c>
      <c r="AD24" s="39">
        <f>IF(AQ24="7",BH24,0)</f>
        <v>0</v>
      </c>
      <c r="AE24" s="39">
        <f>IF(AQ24="7",BI24,0)</f>
        <v>0</v>
      </c>
      <c r="AF24" s="39">
        <f>IF(AQ24="2",BH24,0)</f>
        <v>0</v>
      </c>
      <c r="AG24" s="39">
        <f>IF(AQ24="2",BI24,0)</f>
        <v>0</v>
      </c>
      <c r="AH24" s="39">
        <f>IF(AQ24="0",BJ24,0)</f>
        <v>0</v>
      </c>
      <c r="AI24" s="38"/>
      <c r="AJ24" s="21">
        <f>IF(AN24=0,L24,0)</f>
        <v>0</v>
      </c>
      <c r="AK24" s="21">
        <f>IF(AN24=15,L24,0)</f>
        <v>0</v>
      </c>
      <c r="AL24" s="21">
        <f>IF(AN24=21,L24,0)</f>
        <v>0</v>
      </c>
      <c r="AN24" s="39">
        <v>15</v>
      </c>
      <c r="AO24" s="39">
        <f>I24*0.840801298964887</f>
        <v>0</v>
      </c>
      <c r="AP24" s="39">
        <f>I24*(1-0.840801298964887)</f>
        <v>0</v>
      </c>
      <c r="AQ24" s="40" t="s">
        <v>7</v>
      </c>
      <c r="AV24" s="39">
        <f>AW24+AX24</f>
        <v>0</v>
      </c>
      <c r="AW24" s="39">
        <f>H24*AO24</f>
        <v>0</v>
      </c>
      <c r="AX24" s="39">
        <f>H24*AP24</f>
        <v>0</v>
      </c>
      <c r="AY24" s="42" t="s">
        <v>179</v>
      </c>
      <c r="AZ24" s="42" t="s">
        <v>191</v>
      </c>
      <c r="BA24" s="38" t="s">
        <v>197</v>
      </c>
      <c r="BC24" s="39">
        <f>AW24+AX24</f>
        <v>0</v>
      </c>
      <c r="BD24" s="39">
        <f>I24/(100-BE24)*100</f>
        <v>0</v>
      </c>
      <c r="BE24" s="39">
        <v>0</v>
      </c>
      <c r="BF24" s="39">
        <f>24</f>
        <v>24</v>
      </c>
      <c r="BH24" s="21">
        <f>H24*AO24</f>
        <v>0</v>
      </c>
      <c r="BI24" s="21">
        <f>H24*AP24</f>
        <v>0</v>
      </c>
      <c r="BJ24" s="21">
        <f>H24*I24</f>
        <v>0</v>
      </c>
      <c r="BK24" s="21" t="s">
        <v>202</v>
      </c>
      <c r="BL24" s="39">
        <v>56</v>
      </c>
    </row>
    <row r="25" spans="1:47" ht="12.75">
      <c r="A25" s="5"/>
      <c r="B25" s="14" t="s">
        <v>51</v>
      </c>
      <c r="C25" s="116" t="s">
        <v>100</v>
      </c>
      <c r="D25" s="117"/>
      <c r="E25" s="117"/>
      <c r="F25" s="117"/>
      <c r="G25" s="19" t="s">
        <v>6</v>
      </c>
      <c r="H25" s="19" t="s">
        <v>6</v>
      </c>
      <c r="I25" s="19" t="s">
        <v>6</v>
      </c>
      <c r="J25" s="45">
        <f>SUM(J26:J31)</f>
        <v>0</v>
      </c>
      <c r="K25" s="45">
        <f>SUM(K26:K31)</f>
        <v>0</v>
      </c>
      <c r="L25" s="45">
        <f>SUM(L26:L31)</f>
        <v>0</v>
      </c>
      <c r="M25" s="33"/>
      <c r="N25" s="36"/>
      <c r="AI25" s="38"/>
      <c r="AS25" s="45">
        <f>SUM(AJ26:AJ31)</f>
        <v>0</v>
      </c>
      <c r="AT25" s="45">
        <f>SUM(AK26:AK31)</f>
        <v>0</v>
      </c>
      <c r="AU25" s="45">
        <f>SUM(AL26:AL31)</f>
        <v>0</v>
      </c>
    </row>
    <row r="26" spans="1:64" ht="12.75">
      <c r="A26" s="4" t="s">
        <v>15</v>
      </c>
      <c r="B26" s="13" t="s">
        <v>52</v>
      </c>
      <c r="C26" s="114" t="s">
        <v>101</v>
      </c>
      <c r="D26" s="115"/>
      <c r="E26" s="115"/>
      <c r="F26" s="115"/>
      <c r="G26" s="13" t="s">
        <v>144</v>
      </c>
      <c r="H26" s="21">
        <v>3</v>
      </c>
      <c r="I26" s="21">
        <v>0</v>
      </c>
      <c r="J26" s="21">
        <f aca="true" t="shared" si="0" ref="J26:J31">H26*AO26</f>
        <v>0</v>
      </c>
      <c r="K26" s="21">
        <f aca="true" t="shared" si="1" ref="K26:K31">H26*AP26</f>
        <v>0</v>
      </c>
      <c r="L26" s="21">
        <f aca="true" t="shared" si="2" ref="L26:L31">H26*I26</f>
        <v>0</v>
      </c>
      <c r="M26" s="32" t="s">
        <v>163</v>
      </c>
      <c r="N26" s="36"/>
      <c r="Z26" s="39">
        <f aca="true" t="shared" si="3" ref="Z26:Z31">IF(AQ26="5",BJ26,0)</f>
        <v>0</v>
      </c>
      <c r="AB26" s="39">
        <f aca="true" t="shared" si="4" ref="AB26:AB31">IF(AQ26="1",BH26,0)</f>
        <v>0</v>
      </c>
      <c r="AC26" s="39">
        <f aca="true" t="shared" si="5" ref="AC26:AC31">IF(AQ26="1",BI26,0)</f>
        <v>0</v>
      </c>
      <c r="AD26" s="39">
        <f aca="true" t="shared" si="6" ref="AD26:AD31">IF(AQ26="7",BH26,0)</f>
        <v>0</v>
      </c>
      <c r="AE26" s="39">
        <f aca="true" t="shared" si="7" ref="AE26:AE31">IF(AQ26="7",BI26,0)</f>
        <v>0</v>
      </c>
      <c r="AF26" s="39">
        <f aca="true" t="shared" si="8" ref="AF26:AF31">IF(AQ26="2",BH26,0)</f>
        <v>0</v>
      </c>
      <c r="AG26" s="39">
        <f aca="true" t="shared" si="9" ref="AG26:AG31">IF(AQ26="2",BI26,0)</f>
        <v>0</v>
      </c>
      <c r="AH26" s="39">
        <f aca="true" t="shared" si="10" ref="AH26:AH31">IF(AQ26="0",BJ26,0)</f>
        <v>0</v>
      </c>
      <c r="AI26" s="38"/>
      <c r="AJ26" s="21">
        <f aca="true" t="shared" si="11" ref="AJ26:AJ31">IF(AN26=0,L26,0)</f>
        <v>0</v>
      </c>
      <c r="AK26" s="21">
        <f aca="true" t="shared" si="12" ref="AK26:AK31">IF(AN26=15,L26,0)</f>
        <v>0</v>
      </c>
      <c r="AL26" s="21">
        <f aca="true" t="shared" si="13" ref="AL26:AL31">IF(AN26=21,L26,0)</f>
        <v>0</v>
      </c>
      <c r="AN26" s="39">
        <v>15</v>
      </c>
      <c r="AO26" s="39">
        <f>I26*0.654437340153453</f>
        <v>0</v>
      </c>
      <c r="AP26" s="39">
        <f>I26*(1-0.654437340153453)</f>
        <v>0</v>
      </c>
      <c r="AQ26" s="40" t="s">
        <v>13</v>
      </c>
      <c r="AV26" s="39">
        <f aca="true" t="shared" si="14" ref="AV26:AV31">AW26+AX26</f>
        <v>0</v>
      </c>
      <c r="AW26" s="39">
        <f aca="true" t="shared" si="15" ref="AW26:AW31">H26*AO26</f>
        <v>0</v>
      </c>
      <c r="AX26" s="39">
        <f aca="true" t="shared" si="16" ref="AX26:AX31">H26*AP26</f>
        <v>0</v>
      </c>
      <c r="AY26" s="42" t="s">
        <v>180</v>
      </c>
      <c r="AZ26" s="42" t="s">
        <v>192</v>
      </c>
      <c r="BA26" s="38" t="s">
        <v>197</v>
      </c>
      <c r="BC26" s="39">
        <f aca="true" t="shared" si="17" ref="BC26:BC31">AW26+AX26</f>
        <v>0</v>
      </c>
      <c r="BD26" s="39">
        <f aca="true" t="shared" si="18" ref="BD26:BD31">I26/(100-BE26)*100</f>
        <v>0</v>
      </c>
      <c r="BE26" s="39">
        <v>0</v>
      </c>
      <c r="BF26" s="39">
        <f>26</f>
        <v>26</v>
      </c>
      <c r="BH26" s="21">
        <f aca="true" t="shared" si="19" ref="BH26:BH31">H26*AO26</f>
        <v>0</v>
      </c>
      <c r="BI26" s="21">
        <f aca="true" t="shared" si="20" ref="BI26:BI31">H26*AP26</f>
        <v>0</v>
      </c>
      <c r="BJ26" s="21">
        <f aca="true" t="shared" si="21" ref="BJ26:BJ31">H26*I26</f>
        <v>0</v>
      </c>
      <c r="BK26" s="21" t="s">
        <v>202</v>
      </c>
      <c r="BL26" s="39">
        <v>721</v>
      </c>
    </row>
    <row r="27" spans="1:64" ht="12.75">
      <c r="A27" s="4" t="s">
        <v>16</v>
      </c>
      <c r="B27" s="13" t="s">
        <v>53</v>
      </c>
      <c r="C27" s="114" t="s">
        <v>102</v>
      </c>
      <c r="D27" s="115"/>
      <c r="E27" s="115"/>
      <c r="F27" s="115"/>
      <c r="G27" s="13" t="s">
        <v>144</v>
      </c>
      <c r="H27" s="21">
        <v>3</v>
      </c>
      <c r="I27" s="21">
        <v>0</v>
      </c>
      <c r="J27" s="21">
        <f t="shared" si="0"/>
        <v>0</v>
      </c>
      <c r="K27" s="21">
        <f t="shared" si="1"/>
        <v>0</v>
      </c>
      <c r="L27" s="21">
        <f t="shared" si="2"/>
        <v>0</v>
      </c>
      <c r="M27" s="32" t="s">
        <v>163</v>
      </c>
      <c r="N27" s="36"/>
      <c r="Z27" s="39">
        <f t="shared" si="3"/>
        <v>0</v>
      </c>
      <c r="AB27" s="39">
        <f t="shared" si="4"/>
        <v>0</v>
      </c>
      <c r="AC27" s="39">
        <f t="shared" si="5"/>
        <v>0</v>
      </c>
      <c r="AD27" s="39">
        <f t="shared" si="6"/>
        <v>0</v>
      </c>
      <c r="AE27" s="39">
        <f t="shared" si="7"/>
        <v>0</v>
      </c>
      <c r="AF27" s="39">
        <f t="shared" si="8"/>
        <v>0</v>
      </c>
      <c r="AG27" s="39">
        <f t="shared" si="9"/>
        <v>0</v>
      </c>
      <c r="AH27" s="39">
        <f t="shared" si="10"/>
        <v>0</v>
      </c>
      <c r="AI27" s="38"/>
      <c r="AJ27" s="21">
        <f t="shared" si="11"/>
        <v>0</v>
      </c>
      <c r="AK27" s="21">
        <f t="shared" si="12"/>
        <v>0</v>
      </c>
      <c r="AL27" s="21">
        <f t="shared" si="13"/>
        <v>0</v>
      </c>
      <c r="AN27" s="39">
        <v>15</v>
      </c>
      <c r="AO27" s="39">
        <f>I27*0.421125495220843</f>
        <v>0</v>
      </c>
      <c r="AP27" s="39">
        <f>I27*(1-0.421125495220843)</f>
        <v>0</v>
      </c>
      <c r="AQ27" s="40" t="s">
        <v>13</v>
      </c>
      <c r="AV27" s="39">
        <f t="shared" si="14"/>
        <v>0</v>
      </c>
      <c r="AW27" s="39">
        <f t="shared" si="15"/>
        <v>0</v>
      </c>
      <c r="AX27" s="39">
        <f t="shared" si="16"/>
        <v>0</v>
      </c>
      <c r="AY27" s="42" t="s">
        <v>180</v>
      </c>
      <c r="AZ27" s="42" t="s">
        <v>192</v>
      </c>
      <c r="BA27" s="38" t="s">
        <v>197</v>
      </c>
      <c r="BC27" s="39">
        <f t="shared" si="17"/>
        <v>0</v>
      </c>
      <c r="BD27" s="39">
        <f t="shared" si="18"/>
        <v>0</v>
      </c>
      <c r="BE27" s="39">
        <v>0</v>
      </c>
      <c r="BF27" s="39">
        <f>27</f>
        <v>27</v>
      </c>
      <c r="BH27" s="21">
        <f t="shared" si="19"/>
        <v>0</v>
      </c>
      <c r="BI27" s="21">
        <f t="shared" si="20"/>
        <v>0</v>
      </c>
      <c r="BJ27" s="21">
        <f t="shared" si="21"/>
        <v>0</v>
      </c>
      <c r="BK27" s="21" t="s">
        <v>202</v>
      </c>
      <c r="BL27" s="39">
        <v>721</v>
      </c>
    </row>
    <row r="28" spans="1:64" ht="12.75">
      <c r="A28" s="4" t="s">
        <v>17</v>
      </c>
      <c r="B28" s="13" t="s">
        <v>54</v>
      </c>
      <c r="C28" s="114" t="s">
        <v>103</v>
      </c>
      <c r="D28" s="115"/>
      <c r="E28" s="115"/>
      <c r="F28" s="115"/>
      <c r="G28" s="13" t="s">
        <v>144</v>
      </c>
      <c r="H28" s="21">
        <v>2</v>
      </c>
      <c r="I28" s="21">
        <v>0</v>
      </c>
      <c r="J28" s="21">
        <f t="shared" si="0"/>
        <v>0</v>
      </c>
      <c r="K28" s="21">
        <f t="shared" si="1"/>
        <v>0</v>
      </c>
      <c r="L28" s="21">
        <f t="shared" si="2"/>
        <v>0</v>
      </c>
      <c r="M28" s="32" t="s">
        <v>163</v>
      </c>
      <c r="N28" s="36"/>
      <c r="Z28" s="39">
        <f t="shared" si="3"/>
        <v>0</v>
      </c>
      <c r="AB28" s="39">
        <f t="shared" si="4"/>
        <v>0</v>
      </c>
      <c r="AC28" s="39">
        <f t="shared" si="5"/>
        <v>0</v>
      </c>
      <c r="AD28" s="39">
        <f t="shared" si="6"/>
        <v>0</v>
      </c>
      <c r="AE28" s="39">
        <f t="shared" si="7"/>
        <v>0</v>
      </c>
      <c r="AF28" s="39">
        <f t="shared" si="8"/>
        <v>0</v>
      </c>
      <c r="AG28" s="39">
        <f t="shared" si="9"/>
        <v>0</v>
      </c>
      <c r="AH28" s="39">
        <f t="shared" si="10"/>
        <v>0</v>
      </c>
      <c r="AI28" s="38"/>
      <c r="AJ28" s="21">
        <f t="shared" si="11"/>
        <v>0</v>
      </c>
      <c r="AK28" s="21">
        <f t="shared" si="12"/>
        <v>0</v>
      </c>
      <c r="AL28" s="21">
        <f t="shared" si="13"/>
        <v>0</v>
      </c>
      <c r="AN28" s="39">
        <v>15</v>
      </c>
      <c r="AO28" s="39">
        <f>I28*0</f>
        <v>0</v>
      </c>
      <c r="AP28" s="39">
        <f>I28*(1-0)</f>
        <v>0</v>
      </c>
      <c r="AQ28" s="40" t="s">
        <v>13</v>
      </c>
      <c r="AV28" s="39">
        <f t="shared" si="14"/>
        <v>0</v>
      </c>
      <c r="AW28" s="39">
        <f t="shared" si="15"/>
        <v>0</v>
      </c>
      <c r="AX28" s="39">
        <f t="shared" si="16"/>
        <v>0</v>
      </c>
      <c r="AY28" s="42" t="s">
        <v>180</v>
      </c>
      <c r="AZ28" s="42" t="s">
        <v>192</v>
      </c>
      <c r="BA28" s="38" t="s">
        <v>197</v>
      </c>
      <c r="BC28" s="39">
        <f t="shared" si="17"/>
        <v>0</v>
      </c>
      <c r="BD28" s="39">
        <f t="shared" si="18"/>
        <v>0</v>
      </c>
      <c r="BE28" s="39">
        <v>0</v>
      </c>
      <c r="BF28" s="39">
        <f>28</f>
        <v>28</v>
      </c>
      <c r="BH28" s="21">
        <f t="shared" si="19"/>
        <v>0</v>
      </c>
      <c r="BI28" s="21">
        <f t="shared" si="20"/>
        <v>0</v>
      </c>
      <c r="BJ28" s="21">
        <f t="shared" si="21"/>
        <v>0</v>
      </c>
      <c r="BK28" s="21" t="s">
        <v>202</v>
      </c>
      <c r="BL28" s="39">
        <v>721</v>
      </c>
    </row>
    <row r="29" spans="1:64" ht="12.75">
      <c r="A29" s="4" t="s">
        <v>18</v>
      </c>
      <c r="B29" s="13" t="s">
        <v>55</v>
      </c>
      <c r="C29" s="114" t="s">
        <v>104</v>
      </c>
      <c r="D29" s="115"/>
      <c r="E29" s="115"/>
      <c r="F29" s="115"/>
      <c r="G29" s="13" t="s">
        <v>145</v>
      </c>
      <c r="H29" s="21">
        <v>1</v>
      </c>
      <c r="I29" s="21">
        <v>0</v>
      </c>
      <c r="J29" s="21">
        <f t="shared" si="0"/>
        <v>0</v>
      </c>
      <c r="K29" s="21">
        <f t="shared" si="1"/>
        <v>0</v>
      </c>
      <c r="L29" s="21">
        <f t="shared" si="2"/>
        <v>0</v>
      </c>
      <c r="M29" s="32" t="s">
        <v>163</v>
      </c>
      <c r="N29" s="36"/>
      <c r="Z29" s="39">
        <f t="shared" si="3"/>
        <v>0</v>
      </c>
      <c r="AB29" s="39">
        <f t="shared" si="4"/>
        <v>0</v>
      </c>
      <c r="AC29" s="39">
        <f t="shared" si="5"/>
        <v>0</v>
      </c>
      <c r="AD29" s="39">
        <f t="shared" si="6"/>
        <v>0</v>
      </c>
      <c r="AE29" s="39">
        <f t="shared" si="7"/>
        <v>0</v>
      </c>
      <c r="AF29" s="39">
        <f t="shared" si="8"/>
        <v>0</v>
      </c>
      <c r="AG29" s="39">
        <f t="shared" si="9"/>
        <v>0</v>
      </c>
      <c r="AH29" s="39">
        <f t="shared" si="10"/>
        <v>0</v>
      </c>
      <c r="AI29" s="38"/>
      <c r="AJ29" s="21">
        <f t="shared" si="11"/>
        <v>0</v>
      </c>
      <c r="AK29" s="21">
        <f t="shared" si="12"/>
        <v>0</v>
      </c>
      <c r="AL29" s="21">
        <f t="shared" si="13"/>
        <v>0</v>
      </c>
      <c r="AN29" s="39">
        <v>15</v>
      </c>
      <c r="AO29" s="39">
        <f>I29*0.0674870466321243</f>
        <v>0</v>
      </c>
      <c r="AP29" s="39">
        <f>I29*(1-0.0674870466321243)</f>
        <v>0</v>
      </c>
      <c r="AQ29" s="40" t="s">
        <v>13</v>
      </c>
      <c r="AV29" s="39">
        <f t="shared" si="14"/>
        <v>0</v>
      </c>
      <c r="AW29" s="39">
        <f t="shared" si="15"/>
        <v>0</v>
      </c>
      <c r="AX29" s="39">
        <f t="shared" si="16"/>
        <v>0</v>
      </c>
      <c r="AY29" s="42" t="s">
        <v>180</v>
      </c>
      <c r="AZ29" s="42" t="s">
        <v>192</v>
      </c>
      <c r="BA29" s="38" t="s">
        <v>197</v>
      </c>
      <c r="BC29" s="39">
        <f t="shared" si="17"/>
        <v>0</v>
      </c>
      <c r="BD29" s="39">
        <f t="shared" si="18"/>
        <v>0</v>
      </c>
      <c r="BE29" s="39">
        <v>0</v>
      </c>
      <c r="BF29" s="39">
        <f>29</f>
        <v>29</v>
      </c>
      <c r="BH29" s="21">
        <f t="shared" si="19"/>
        <v>0</v>
      </c>
      <c r="BI29" s="21">
        <f t="shared" si="20"/>
        <v>0</v>
      </c>
      <c r="BJ29" s="21">
        <f t="shared" si="21"/>
        <v>0</v>
      </c>
      <c r="BK29" s="21" t="s">
        <v>202</v>
      </c>
      <c r="BL29" s="39">
        <v>721</v>
      </c>
    </row>
    <row r="30" spans="1:64" ht="12.75">
      <c r="A30" s="4" t="s">
        <v>19</v>
      </c>
      <c r="B30" s="13" t="s">
        <v>56</v>
      </c>
      <c r="C30" s="114" t="s">
        <v>105</v>
      </c>
      <c r="D30" s="115"/>
      <c r="E30" s="115"/>
      <c r="F30" s="115"/>
      <c r="G30" s="13" t="s">
        <v>144</v>
      </c>
      <c r="H30" s="21">
        <v>20</v>
      </c>
      <c r="I30" s="21">
        <v>0</v>
      </c>
      <c r="J30" s="21">
        <f t="shared" si="0"/>
        <v>0</v>
      </c>
      <c r="K30" s="21">
        <f t="shared" si="1"/>
        <v>0</v>
      </c>
      <c r="L30" s="21">
        <f t="shared" si="2"/>
        <v>0</v>
      </c>
      <c r="M30" s="32" t="s">
        <v>163</v>
      </c>
      <c r="N30" s="36"/>
      <c r="Z30" s="39">
        <f t="shared" si="3"/>
        <v>0</v>
      </c>
      <c r="AB30" s="39">
        <f t="shared" si="4"/>
        <v>0</v>
      </c>
      <c r="AC30" s="39">
        <f t="shared" si="5"/>
        <v>0</v>
      </c>
      <c r="AD30" s="39">
        <f t="shared" si="6"/>
        <v>0</v>
      </c>
      <c r="AE30" s="39">
        <f t="shared" si="7"/>
        <v>0</v>
      </c>
      <c r="AF30" s="39">
        <f t="shared" si="8"/>
        <v>0</v>
      </c>
      <c r="AG30" s="39">
        <f t="shared" si="9"/>
        <v>0</v>
      </c>
      <c r="AH30" s="39">
        <f t="shared" si="10"/>
        <v>0</v>
      </c>
      <c r="AI30" s="38"/>
      <c r="AJ30" s="21">
        <f t="shared" si="11"/>
        <v>0</v>
      </c>
      <c r="AK30" s="21">
        <f t="shared" si="12"/>
        <v>0</v>
      </c>
      <c r="AL30" s="21">
        <f t="shared" si="13"/>
        <v>0</v>
      </c>
      <c r="AN30" s="39">
        <v>15</v>
      </c>
      <c r="AO30" s="39">
        <f>I30*0.427797543227771</f>
        <v>0</v>
      </c>
      <c r="AP30" s="39">
        <f>I30*(1-0.427797543227771)</f>
        <v>0</v>
      </c>
      <c r="AQ30" s="40" t="s">
        <v>13</v>
      </c>
      <c r="AV30" s="39">
        <f t="shared" si="14"/>
        <v>0</v>
      </c>
      <c r="AW30" s="39">
        <f t="shared" si="15"/>
        <v>0</v>
      </c>
      <c r="AX30" s="39">
        <f t="shared" si="16"/>
        <v>0</v>
      </c>
      <c r="AY30" s="42" t="s">
        <v>180</v>
      </c>
      <c r="AZ30" s="42" t="s">
        <v>192</v>
      </c>
      <c r="BA30" s="38" t="s">
        <v>197</v>
      </c>
      <c r="BC30" s="39">
        <f t="shared" si="17"/>
        <v>0</v>
      </c>
      <c r="BD30" s="39">
        <f t="shared" si="18"/>
        <v>0</v>
      </c>
      <c r="BE30" s="39">
        <v>0</v>
      </c>
      <c r="BF30" s="39">
        <f>30</f>
        <v>30</v>
      </c>
      <c r="BH30" s="21">
        <f t="shared" si="19"/>
        <v>0</v>
      </c>
      <c r="BI30" s="21">
        <f t="shared" si="20"/>
        <v>0</v>
      </c>
      <c r="BJ30" s="21">
        <f t="shared" si="21"/>
        <v>0</v>
      </c>
      <c r="BK30" s="21" t="s">
        <v>202</v>
      </c>
      <c r="BL30" s="39">
        <v>721</v>
      </c>
    </row>
    <row r="31" spans="1:64" ht="12.75">
      <c r="A31" s="4" t="s">
        <v>20</v>
      </c>
      <c r="B31" s="13" t="s">
        <v>57</v>
      </c>
      <c r="C31" s="114" t="s">
        <v>106</v>
      </c>
      <c r="D31" s="115"/>
      <c r="E31" s="115"/>
      <c r="F31" s="115"/>
      <c r="G31" s="13" t="s">
        <v>145</v>
      </c>
      <c r="H31" s="21">
        <v>5</v>
      </c>
      <c r="I31" s="21">
        <v>0</v>
      </c>
      <c r="J31" s="21">
        <f t="shared" si="0"/>
        <v>0</v>
      </c>
      <c r="K31" s="21">
        <f t="shared" si="1"/>
        <v>0</v>
      </c>
      <c r="L31" s="21">
        <f t="shared" si="2"/>
        <v>0</v>
      </c>
      <c r="M31" s="32" t="s">
        <v>163</v>
      </c>
      <c r="N31" s="36"/>
      <c r="Z31" s="39">
        <f t="shared" si="3"/>
        <v>0</v>
      </c>
      <c r="AB31" s="39">
        <f t="shared" si="4"/>
        <v>0</v>
      </c>
      <c r="AC31" s="39">
        <f t="shared" si="5"/>
        <v>0</v>
      </c>
      <c r="AD31" s="39">
        <f t="shared" si="6"/>
        <v>0</v>
      </c>
      <c r="AE31" s="39">
        <f t="shared" si="7"/>
        <v>0</v>
      </c>
      <c r="AF31" s="39">
        <f t="shared" si="8"/>
        <v>0</v>
      </c>
      <c r="AG31" s="39">
        <f t="shared" si="9"/>
        <v>0</v>
      </c>
      <c r="AH31" s="39">
        <f t="shared" si="10"/>
        <v>0</v>
      </c>
      <c r="AI31" s="38"/>
      <c r="AJ31" s="21">
        <f t="shared" si="11"/>
        <v>0</v>
      </c>
      <c r="AK31" s="21">
        <f t="shared" si="12"/>
        <v>0</v>
      </c>
      <c r="AL31" s="21">
        <f t="shared" si="13"/>
        <v>0</v>
      </c>
      <c r="AN31" s="39">
        <v>15</v>
      </c>
      <c r="AO31" s="39">
        <f>I31*0</f>
        <v>0</v>
      </c>
      <c r="AP31" s="39">
        <f>I31*(1-0)</f>
        <v>0</v>
      </c>
      <c r="AQ31" s="40" t="s">
        <v>13</v>
      </c>
      <c r="AV31" s="39">
        <f t="shared" si="14"/>
        <v>0</v>
      </c>
      <c r="AW31" s="39">
        <f t="shared" si="15"/>
        <v>0</v>
      </c>
      <c r="AX31" s="39">
        <f t="shared" si="16"/>
        <v>0</v>
      </c>
      <c r="AY31" s="42" t="s">
        <v>180</v>
      </c>
      <c r="AZ31" s="42" t="s">
        <v>192</v>
      </c>
      <c r="BA31" s="38" t="s">
        <v>197</v>
      </c>
      <c r="BC31" s="39">
        <f t="shared" si="17"/>
        <v>0</v>
      </c>
      <c r="BD31" s="39">
        <f t="shared" si="18"/>
        <v>0</v>
      </c>
      <c r="BE31" s="39">
        <v>0</v>
      </c>
      <c r="BF31" s="39">
        <f>31</f>
        <v>31</v>
      </c>
      <c r="BH31" s="21">
        <f t="shared" si="19"/>
        <v>0</v>
      </c>
      <c r="BI31" s="21">
        <f t="shared" si="20"/>
        <v>0</v>
      </c>
      <c r="BJ31" s="21">
        <f t="shared" si="21"/>
        <v>0</v>
      </c>
      <c r="BK31" s="21" t="s">
        <v>202</v>
      </c>
      <c r="BL31" s="39">
        <v>721</v>
      </c>
    </row>
    <row r="32" spans="1:47" ht="12.75">
      <c r="A32" s="5"/>
      <c r="B32" s="14" t="s">
        <v>58</v>
      </c>
      <c r="C32" s="116" t="s">
        <v>107</v>
      </c>
      <c r="D32" s="117"/>
      <c r="E32" s="117"/>
      <c r="F32" s="117"/>
      <c r="G32" s="19" t="s">
        <v>6</v>
      </c>
      <c r="H32" s="19" t="s">
        <v>6</v>
      </c>
      <c r="I32" s="19" t="s">
        <v>6</v>
      </c>
      <c r="J32" s="45">
        <f>SUM(J33:J34)</f>
        <v>0</v>
      </c>
      <c r="K32" s="45">
        <f>SUM(K33:K34)</f>
        <v>0</v>
      </c>
      <c r="L32" s="45">
        <f>SUM(L33:L34)</f>
        <v>0</v>
      </c>
      <c r="M32" s="33"/>
      <c r="N32" s="36"/>
      <c r="AI32" s="38"/>
      <c r="AS32" s="45">
        <f>SUM(AJ33:AJ34)</f>
        <v>0</v>
      </c>
      <c r="AT32" s="45">
        <f>SUM(AK33:AK34)</f>
        <v>0</v>
      </c>
      <c r="AU32" s="45">
        <f>SUM(AL33:AL34)</f>
        <v>0</v>
      </c>
    </row>
    <row r="33" spans="1:64" ht="12.75">
      <c r="A33" s="4" t="s">
        <v>21</v>
      </c>
      <c r="B33" s="13" t="s">
        <v>59</v>
      </c>
      <c r="C33" s="114" t="s">
        <v>108</v>
      </c>
      <c r="D33" s="115"/>
      <c r="E33" s="115"/>
      <c r="F33" s="115"/>
      <c r="G33" s="13" t="s">
        <v>145</v>
      </c>
      <c r="H33" s="21">
        <v>1</v>
      </c>
      <c r="I33" s="21">
        <v>0</v>
      </c>
      <c r="J33" s="21">
        <f>H33*AO33</f>
        <v>0</v>
      </c>
      <c r="K33" s="21">
        <f>H33*AP33</f>
        <v>0</v>
      </c>
      <c r="L33" s="21">
        <f>H33*I33</f>
        <v>0</v>
      </c>
      <c r="M33" s="32" t="s">
        <v>163</v>
      </c>
      <c r="N33" s="36"/>
      <c r="Z33" s="39">
        <f>IF(AQ33="5",BJ33,0)</f>
        <v>0</v>
      </c>
      <c r="AB33" s="39">
        <f>IF(AQ33="1",BH33,0)</f>
        <v>0</v>
      </c>
      <c r="AC33" s="39">
        <f>IF(AQ33="1",BI33,0)</f>
        <v>0</v>
      </c>
      <c r="AD33" s="39">
        <f>IF(AQ33="7",BH33,0)</f>
        <v>0</v>
      </c>
      <c r="AE33" s="39">
        <f>IF(AQ33="7",BI33,0)</f>
        <v>0</v>
      </c>
      <c r="AF33" s="39">
        <f>IF(AQ33="2",BH33,0)</f>
        <v>0</v>
      </c>
      <c r="AG33" s="39">
        <f>IF(AQ33="2",BI33,0)</f>
        <v>0</v>
      </c>
      <c r="AH33" s="39">
        <f>IF(AQ33="0",BJ33,0)</f>
        <v>0</v>
      </c>
      <c r="AI33" s="38"/>
      <c r="AJ33" s="21">
        <f>IF(AN33=0,L33,0)</f>
        <v>0</v>
      </c>
      <c r="AK33" s="21">
        <f>IF(AN33=15,L33,0)</f>
        <v>0</v>
      </c>
      <c r="AL33" s="21">
        <f>IF(AN33=21,L33,0)</f>
        <v>0</v>
      </c>
      <c r="AN33" s="39">
        <v>15</v>
      </c>
      <c r="AO33" s="39">
        <f>I33*0</f>
        <v>0</v>
      </c>
      <c r="AP33" s="39">
        <f>I33*(1-0)</f>
        <v>0</v>
      </c>
      <c r="AQ33" s="40" t="s">
        <v>7</v>
      </c>
      <c r="AV33" s="39">
        <f>AW33+AX33</f>
        <v>0</v>
      </c>
      <c r="AW33" s="39">
        <f>H33*AO33</f>
        <v>0</v>
      </c>
      <c r="AX33" s="39">
        <f>H33*AP33</f>
        <v>0</v>
      </c>
      <c r="AY33" s="42" t="s">
        <v>181</v>
      </c>
      <c r="AZ33" s="42" t="s">
        <v>193</v>
      </c>
      <c r="BA33" s="38" t="s">
        <v>197</v>
      </c>
      <c r="BC33" s="39">
        <f>AW33+AX33</f>
        <v>0</v>
      </c>
      <c r="BD33" s="39">
        <f>I33/(100-BE33)*100</f>
        <v>0</v>
      </c>
      <c r="BE33" s="39">
        <v>0</v>
      </c>
      <c r="BF33" s="39">
        <f>33</f>
        <v>33</v>
      </c>
      <c r="BH33" s="21">
        <f>H33*AO33</f>
        <v>0</v>
      </c>
      <c r="BI33" s="21">
        <f>H33*AP33</f>
        <v>0</v>
      </c>
      <c r="BJ33" s="21">
        <f>H33*I33</f>
        <v>0</v>
      </c>
      <c r="BK33" s="21" t="s">
        <v>202</v>
      </c>
      <c r="BL33" s="39">
        <v>89</v>
      </c>
    </row>
    <row r="34" spans="1:64" ht="12.75">
      <c r="A34" s="4" t="s">
        <v>22</v>
      </c>
      <c r="B34" s="13" t="s">
        <v>60</v>
      </c>
      <c r="C34" s="114" t="s">
        <v>109</v>
      </c>
      <c r="D34" s="115"/>
      <c r="E34" s="115"/>
      <c r="F34" s="115"/>
      <c r="G34" s="13" t="s">
        <v>145</v>
      </c>
      <c r="H34" s="21">
        <v>1</v>
      </c>
      <c r="I34" s="21">
        <v>0</v>
      </c>
      <c r="J34" s="21">
        <f>H34*AO34</f>
        <v>0</v>
      </c>
      <c r="K34" s="21">
        <f>H34*AP34</f>
        <v>0</v>
      </c>
      <c r="L34" s="21">
        <f>H34*I34</f>
        <v>0</v>
      </c>
      <c r="M34" s="32" t="s">
        <v>163</v>
      </c>
      <c r="N34" s="36"/>
      <c r="Z34" s="39">
        <f>IF(AQ34="5",BJ34,0)</f>
        <v>0</v>
      </c>
      <c r="AB34" s="39">
        <f>IF(AQ34="1",BH34,0)</f>
        <v>0</v>
      </c>
      <c r="AC34" s="39">
        <f>IF(AQ34="1",BI34,0)</f>
        <v>0</v>
      </c>
      <c r="AD34" s="39">
        <f>IF(AQ34="7",BH34,0)</f>
        <v>0</v>
      </c>
      <c r="AE34" s="39">
        <f>IF(AQ34="7",BI34,0)</f>
        <v>0</v>
      </c>
      <c r="AF34" s="39">
        <f>IF(AQ34="2",BH34,0)</f>
        <v>0</v>
      </c>
      <c r="AG34" s="39">
        <f>IF(AQ34="2",BI34,0)</f>
        <v>0</v>
      </c>
      <c r="AH34" s="39">
        <f>IF(AQ34="0",BJ34,0)</f>
        <v>0</v>
      </c>
      <c r="AI34" s="38"/>
      <c r="AJ34" s="21">
        <f>IF(AN34=0,L34,0)</f>
        <v>0</v>
      </c>
      <c r="AK34" s="21">
        <f>IF(AN34=15,L34,0)</f>
        <v>0</v>
      </c>
      <c r="AL34" s="21">
        <f>IF(AN34=21,L34,0)</f>
        <v>0</v>
      </c>
      <c r="AN34" s="39">
        <v>15</v>
      </c>
      <c r="AO34" s="39">
        <f>I34*0</f>
        <v>0</v>
      </c>
      <c r="AP34" s="39">
        <f>I34*(1-0)</f>
        <v>0</v>
      </c>
      <c r="AQ34" s="40" t="s">
        <v>7</v>
      </c>
      <c r="AV34" s="39">
        <f>AW34+AX34</f>
        <v>0</v>
      </c>
      <c r="AW34" s="39">
        <f>H34*AO34</f>
        <v>0</v>
      </c>
      <c r="AX34" s="39">
        <f>H34*AP34</f>
        <v>0</v>
      </c>
      <c r="AY34" s="42" t="s">
        <v>181</v>
      </c>
      <c r="AZ34" s="42" t="s">
        <v>193</v>
      </c>
      <c r="BA34" s="38" t="s">
        <v>197</v>
      </c>
      <c r="BC34" s="39">
        <f>AW34+AX34</f>
        <v>0</v>
      </c>
      <c r="BD34" s="39">
        <f>I34/(100-BE34)*100</f>
        <v>0</v>
      </c>
      <c r="BE34" s="39">
        <v>0</v>
      </c>
      <c r="BF34" s="39">
        <f>34</f>
        <v>34</v>
      </c>
      <c r="BH34" s="21">
        <f>H34*AO34</f>
        <v>0</v>
      </c>
      <c r="BI34" s="21">
        <f>H34*AP34</f>
        <v>0</v>
      </c>
      <c r="BJ34" s="21">
        <f>H34*I34</f>
        <v>0</v>
      </c>
      <c r="BK34" s="21" t="s">
        <v>202</v>
      </c>
      <c r="BL34" s="39">
        <v>89</v>
      </c>
    </row>
    <row r="35" spans="1:47" ht="12.75">
      <c r="A35" s="5"/>
      <c r="B35" s="14" t="s">
        <v>61</v>
      </c>
      <c r="C35" s="116" t="s">
        <v>110</v>
      </c>
      <c r="D35" s="117"/>
      <c r="E35" s="117"/>
      <c r="F35" s="117"/>
      <c r="G35" s="19" t="s">
        <v>6</v>
      </c>
      <c r="H35" s="19" t="s">
        <v>6</v>
      </c>
      <c r="I35" s="19" t="s">
        <v>6</v>
      </c>
      <c r="J35" s="45">
        <f>SUM(J36:J39)</f>
        <v>0</v>
      </c>
      <c r="K35" s="45">
        <f>SUM(K36:K39)</f>
        <v>0</v>
      </c>
      <c r="L35" s="45">
        <f>SUM(L36:L39)</f>
        <v>0</v>
      </c>
      <c r="M35" s="33"/>
      <c r="N35" s="36"/>
      <c r="AI35" s="38"/>
      <c r="AS35" s="45">
        <f>SUM(AJ36:AJ39)</f>
        <v>0</v>
      </c>
      <c r="AT35" s="45">
        <f>SUM(AK36:AK39)</f>
        <v>0</v>
      </c>
      <c r="AU35" s="45">
        <f>SUM(AL36:AL39)</f>
        <v>0</v>
      </c>
    </row>
    <row r="36" spans="1:64" ht="12.75">
      <c r="A36" s="4" t="s">
        <v>23</v>
      </c>
      <c r="B36" s="13" t="s">
        <v>62</v>
      </c>
      <c r="C36" s="114" t="s">
        <v>111</v>
      </c>
      <c r="D36" s="115"/>
      <c r="E36" s="115"/>
      <c r="F36" s="115"/>
      <c r="G36" s="13" t="s">
        <v>144</v>
      </c>
      <c r="H36" s="21">
        <v>6</v>
      </c>
      <c r="I36" s="21">
        <v>0</v>
      </c>
      <c r="J36" s="21">
        <f>H36*AO36</f>
        <v>0</v>
      </c>
      <c r="K36" s="21">
        <f>H36*AP36</f>
        <v>0</v>
      </c>
      <c r="L36" s="21">
        <f>H36*I36</f>
        <v>0</v>
      </c>
      <c r="M36" s="32" t="s">
        <v>163</v>
      </c>
      <c r="N36" s="36"/>
      <c r="Z36" s="39">
        <f>IF(AQ36="5",BJ36,0)</f>
        <v>0</v>
      </c>
      <c r="AB36" s="39">
        <f>IF(AQ36="1",BH36,0)</f>
        <v>0</v>
      </c>
      <c r="AC36" s="39">
        <f>IF(AQ36="1",BI36,0)</f>
        <v>0</v>
      </c>
      <c r="AD36" s="39">
        <f>IF(AQ36="7",BH36,0)</f>
        <v>0</v>
      </c>
      <c r="AE36" s="39">
        <f>IF(AQ36="7",BI36,0)</f>
        <v>0</v>
      </c>
      <c r="AF36" s="39">
        <f>IF(AQ36="2",BH36,0)</f>
        <v>0</v>
      </c>
      <c r="AG36" s="39">
        <f>IF(AQ36="2",BI36,0)</f>
        <v>0</v>
      </c>
      <c r="AH36" s="39">
        <f>IF(AQ36="0",BJ36,0)</f>
        <v>0</v>
      </c>
      <c r="AI36" s="38"/>
      <c r="AJ36" s="21">
        <f>IF(AN36=0,L36,0)</f>
        <v>0</v>
      </c>
      <c r="AK36" s="21">
        <f>IF(AN36=15,L36,0)</f>
        <v>0</v>
      </c>
      <c r="AL36" s="21">
        <f>IF(AN36=21,L36,0)</f>
        <v>0</v>
      </c>
      <c r="AN36" s="39">
        <v>15</v>
      </c>
      <c r="AO36" s="39">
        <f>I36*0.0466122448979592</f>
        <v>0</v>
      </c>
      <c r="AP36" s="39">
        <f>I36*(1-0.0466122448979592)</f>
        <v>0</v>
      </c>
      <c r="AQ36" s="40" t="s">
        <v>7</v>
      </c>
      <c r="AV36" s="39">
        <f>AW36+AX36</f>
        <v>0</v>
      </c>
      <c r="AW36" s="39">
        <f>H36*AO36</f>
        <v>0</v>
      </c>
      <c r="AX36" s="39">
        <f>H36*AP36</f>
        <v>0</v>
      </c>
      <c r="AY36" s="42" t="s">
        <v>182</v>
      </c>
      <c r="AZ36" s="42" t="s">
        <v>194</v>
      </c>
      <c r="BA36" s="38" t="s">
        <v>197</v>
      </c>
      <c r="BC36" s="39">
        <f>AW36+AX36</f>
        <v>0</v>
      </c>
      <c r="BD36" s="39">
        <f>I36/(100-BE36)*100</f>
        <v>0</v>
      </c>
      <c r="BE36" s="39">
        <v>0</v>
      </c>
      <c r="BF36" s="39">
        <f>36</f>
        <v>36</v>
      </c>
      <c r="BH36" s="21">
        <f>H36*AO36</f>
        <v>0</v>
      </c>
      <c r="BI36" s="21">
        <f>H36*AP36</f>
        <v>0</v>
      </c>
      <c r="BJ36" s="21">
        <f>H36*I36</f>
        <v>0</v>
      </c>
      <c r="BK36" s="21" t="s">
        <v>202</v>
      </c>
      <c r="BL36" s="39">
        <v>94</v>
      </c>
    </row>
    <row r="37" spans="1:64" ht="12.75">
      <c r="A37" s="4" t="s">
        <v>24</v>
      </c>
      <c r="B37" s="13" t="s">
        <v>63</v>
      </c>
      <c r="C37" s="114" t="s">
        <v>112</v>
      </c>
      <c r="D37" s="115"/>
      <c r="E37" s="115"/>
      <c r="F37" s="115"/>
      <c r="G37" s="13" t="s">
        <v>144</v>
      </c>
      <c r="H37" s="21">
        <v>6</v>
      </c>
      <c r="I37" s="21">
        <v>0</v>
      </c>
      <c r="J37" s="21">
        <f>H37*AO37</f>
        <v>0</v>
      </c>
      <c r="K37" s="21">
        <f>H37*AP37</f>
        <v>0</v>
      </c>
      <c r="L37" s="21">
        <f>H37*I37</f>
        <v>0</v>
      </c>
      <c r="M37" s="32" t="s">
        <v>163</v>
      </c>
      <c r="N37" s="36"/>
      <c r="Z37" s="39">
        <f>IF(AQ37="5",BJ37,0)</f>
        <v>0</v>
      </c>
      <c r="AB37" s="39">
        <f>IF(AQ37="1",BH37,0)</f>
        <v>0</v>
      </c>
      <c r="AC37" s="39">
        <f>IF(AQ37="1",BI37,0)</f>
        <v>0</v>
      </c>
      <c r="AD37" s="39">
        <f>IF(AQ37="7",BH37,0)</f>
        <v>0</v>
      </c>
      <c r="AE37" s="39">
        <f>IF(AQ37="7",BI37,0)</f>
        <v>0</v>
      </c>
      <c r="AF37" s="39">
        <f>IF(AQ37="2",BH37,0)</f>
        <v>0</v>
      </c>
      <c r="AG37" s="39">
        <f>IF(AQ37="2",BI37,0)</f>
        <v>0</v>
      </c>
      <c r="AH37" s="39">
        <f>IF(AQ37="0",BJ37,0)</f>
        <v>0</v>
      </c>
      <c r="AI37" s="38"/>
      <c r="AJ37" s="21">
        <f>IF(AN37=0,L37,0)</f>
        <v>0</v>
      </c>
      <c r="AK37" s="21">
        <f>IF(AN37=15,L37,0)</f>
        <v>0</v>
      </c>
      <c r="AL37" s="21">
        <f>IF(AN37=21,L37,0)</f>
        <v>0</v>
      </c>
      <c r="AN37" s="39">
        <v>15</v>
      </c>
      <c r="AO37" s="39">
        <f>I37*0.133669902912621</f>
        <v>0</v>
      </c>
      <c r="AP37" s="39">
        <f>I37*(1-0.133669902912621)</f>
        <v>0</v>
      </c>
      <c r="AQ37" s="40" t="s">
        <v>7</v>
      </c>
      <c r="AV37" s="39">
        <f>AW37+AX37</f>
        <v>0</v>
      </c>
      <c r="AW37" s="39">
        <f>H37*AO37</f>
        <v>0</v>
      </c>
      <c r="AX37" s="39">
        <f>H37*AP37</f>
        <v>0</v>
      </c>
      <c r="AY37" s="42" t="s">
        <v>182</v>
      </c>
      <c r="AZ37" s="42" t="s">
        <v>194</v>
      </c>
      <c r="BA37" s="38" t="s">
        <v>197</v>
      </c>
      <c r="BC37" s="39">
        <f>AW37+AX37</f>
        <v>0</v>
      </c>
      <c r="BD37" s="39">
        <f>I37/(100-BE37)*100</f>
        <v>0</v>
      </c>
      <c r="BE37" s="39">
        <v>0</v>
      </c>
      <c r="BF37" s="39">
        <f>37</f>
        <v>37</v>
      </c>
      <c r="BH37" s="21">
        <f>H37*AO37</f>
        <v>0</v>
      </c>
      <c r="BI37" s="21">
        <f>H37*AP37</f>
        <v>0</v>
      </c>
      <c r="BJ37" s="21">
        <f>H37*I37</f>
        <v>0</v>
      </c>
      <c r="BK37" s="21" t="s">
        <v>202</v>
      </c>
      <c r="BL37" s="39">
        <v>94</v>
      </c>
    </row>
    <row r="38" spans="1:64" ht="12.75">
      <c r="A38" s="4" t="s">
        <v>25</v>
      </c>
      <c r="B38" s="13" t="s">
        <v>63</v>
      </c>
      <c r="C38" s="114" t="s">
        <v>113</v>
      </c>
      <c r="D38" s="115"/>
      <c r="E38" s="115"/>
      <c r="F38" s="115"/>
      <c r="G38" s="13" t="s">
        <v>144</v>
      </c>
      <c r="H38" s="21">
        <v>12</v>
      </c>
      <c r="I38" s="21">
        <v>0</v>
      </c>
      <c r="J38" s="21">
        <f>H38*AO38</f>
        <v>0</v>
      </c>
      <c r="K38" s="21">
        <f>H38*AP38</f>
        <v>0</v>
      </c>
      <c r="L38" s="21">
        <f>H38*I38</f>
        <v>0</v>
      </c>
      <c r="M38" s="32" t="s">
        <v>163</v>
      </c>
      <c r="N38" s="36"/>
      <c r="Z38" s="39">
        <f>IF(AQ38="5",BJ38,0)</f>
        <v>0</v>
      </c>
      <c r="AB38" s="39">
        <f>IF(AQ38="1",BH38,0)</f>
        <v>0</v>
      </c>
      <c r="AC38" s="39">
        <f>IF(AQ38="1",BI38,0)</f>
        <v>0</v>
      </c>
      <c r="AD38" s="39">
        <f>IF(AQ38="7",BH38,0)</f>
        <v>0</v>
      </c>
      <c r="AE38" s="39">
        <f>IF(AQ38="7",BI38,0)</f>
        <v>0</v>
      </c>
      <c r="AF38" s="39">
        <f>IF(AQ38="2",BH38,0)</f>
        <v>0</v>
      </c>
      <c r="AG38" s="39">
        <f>IF(AQ38="2",BI38,0)</f>
        <v>0</v>
      </c>
      <c r="AH38" s="39">
        <f>IF(AQ38="0",BJ38,0)</f>
        <v>0</v>
      </c>
      <c r="AI38" s="38"/>
      <c r="AJ38" s="21">
        <f>IF(AN38=0,L38,0)</f>
        <v>0</v>
      </c>
      <c r="AK38" s="21">
        <f>IF(AN38=15,L38,0)</f>
        <v>0</v>
      </c>
      <c r="AL38" s="21">
        <f>IF(AN38=21,L38,0)</f>
        <v>0</v>
      </c>
      <c r="AN38" s="39">
        <v>15</v>
      </c>
      <c r="AO38" s="39">
        <f>I38*0.1336678265192</f>
        <v>0</v>
      </c>
      <c r="AP38" s="39">
        <f>I38*(1-0.1336678265192)</f>
        <v>0</v>
      </c>
      <c r="AQ38" s="40" t="s">
        <v>7</v>
      </c>
      <c r="AV38" s="39">
        <f>AW38+AX38</f>
        <v>0</v>
      </c>
      <c r="AW38" s="39">
        <f>H38*AO38</f>
        <v>0</v>
      </c>
      <c r="AX38" s="39">
        <f>H38*AP38</f>
        <v>0</v>
      </c>
      <c r="AY38" s="42" t="s">
        <v>182</v>
      </c>
      <c r="AZ38" s="42" t="s">
        <v>194</v>
      </c>
      <c r="BA38" s="38" t="s">
        <v>197</v>
      </c>
      <c r="BC38" s="39">
        <f>AW38+AX38</f>
        <v>0</v>
      </c>
      <c r="BD38" s="39">
        <f>I38/(100-BE38)*100</f>
        <v>0</v>
      </c>
      <c r="BE38" s="39">
        <v>0</v>
      </c>
      <c r="BF38" s="39">
        <f>38</f>
        <v>38</v>
      </c>
      <c r="BH38" s="21">
        <f>H38*AO38</f>
        <v>0</v>
      </c>
      <c r="BI38" s="21">
        <f>H38*AP38</f>
        <v>0</v>
      </c>
      <c r="BJ38" s="21">
        <f>H38*I38</f>
        <v>0</v>
      </c>
      <c r="BK38" s="21" t="s">
        <v>202</v>
      </c>
      <c r="BL38" s="39">
        <v>94</v>
      </c>
    </row>
    <row r="39" spans="1:64" ht="12.75">
      <c r="A39" s="4" t="s">
        <v>26</v>
      </c>
      <c r="B39" s="13" t="s">
        <v>64</v>
      </c>
      <c r="C39" s="114" t="s">
        <v>114</v>
      </c>
      <c r="D39" s="115"/>
      <c r="E39" s="115"/>
      <c r="F39" s="115"/>
      <c r="G39" s="13" t="s">
        <v>144</v>
      </c>
      <c r="H39" s="21">
        <v>12</v>
      </c>
      <c r="I39" s="21">
        <v>0</v>
      </c>
      <c r="J39" s="21">
        <f>H39*AO39</f>
        <v>0</v>
      </c>
      <c r="K39" s="21">
        <f>H39*AP39</f>
        <v>0</v>
      </c>
      <c r="L39" s="21">
        <f>H39*I39</f>
        <v>0</v>
      </c>
      <c r="M39" s="32" t="s">
        <v>163</v>
      </c>
      <c r="N39" s="36"/>
      <c r="Z39" s="39">
        <f>IF(AQ39="5",BJ39,0)</f>
        <v>0</v>
      </c>
      <c r="AB39" s="39">
        <f>IF(AQ39="1",BH39,0)</f>
        <v>0</v>
      </c>
      <c r="AC39" s="39">
        <f>IF(AQ39="1",BI39,0)</f>
        <v>0</v>
      </c>
      <c r="AD39" s="39">
        <f>IF(AQ39="7",BH39,0)</f>
        <v>0</v>
      </c>
      <c r="AE39" s="39">
        <f>IF(AQ39="7",BI39,0)</f>
        <v>0</v>
      </c>
      <c r="AF39" s="39">
        <f>IF(AQ39="2",BH39,0)</f>
        <v>0</v>
      </c>
      <c r="AG39" s="39">
        <f>IF(AQ39="2",BI39,0)</f>
        <v>0</v>
      </c>
      <c r="AH39" s="39">
        <f>IF(AQ39="0",BJ39,0)</f>
        <v>0</v>
      </c>
      <c r="AI39" s="38"/>
      <c r="AJ39" s="21">
        <f>IF(AN39=0,L39,0)</f>
        <v>0</v>
      </c>
      <c r="AK39" s="21">
        <f>IF(AN39=15,L39,0)</f>
        <v>0</v>
      </c>
      <c r="AL39" s="21">
        <f>IF(AN39=21,L39,0)</f>
        <v>0</v>
      </c>
      <c r="AN39" s="39">
        <v>15</v>
      </c>
      <c r="AO39" s="39">
        <f>I39*0.0741671850162416</f>
        <v>0</v>
      </c>
      <c r="AP39" s="39">
        <f>I39*(1-0.0741671850162416)</f>
        <v>0</v>
      </c>
      <c r="AQ39" s="40" t="s">
        <v>7</v>
      </c>
      <c r="AV39" s="39">
        <f>AW39+AX39</f>
        <v>0</v>
      </c>
      <c r="AW39" s="39">
        <f>H39*AO39</f>
        <v>0</v>
      </c>
      <c r="AX39" s="39">
        <f>H39*AP39</f>
        <v>0</v>
      </c>
      <c r="AY39" s="42" t="s">
        <v>182</v>
      </c>
      <c r="AZ39" s="42" t="s">
        <v>194</v>
      </c>
      <c r="BA39" s="38" t="s">
        <v>197</v>
      </c>
      <c r="BC39" s="39">
        <f>AW39+AX39</f>
        <v>0</v>
      </c>
      <c r="BD39" s="39">
        <f>I39/(100-BE39)*100</f>
        <v>0</v>
      </c>
      <c r="BE39" s="39">
        <v>0</v>
      </c>
      <c r="BF39" s="39">
        <f>39</f>
        <v>39</v>
      </c>
      <c r="BH39" s="21">
        <f>H39*AO39</f>
        <v>0</v>
      </c>
      <c r="BI39" s="21">
        <f>H39*AP39</f>
        <v>0</v>
      </c>
      <c r="BJ39" s="21">
        <f>H39*I39</f>
        <v>0</v>
      </c>
      <c r="BK39" s="21" t="s">
        <v>202</v>
      </c>
      <c r="BL39" s="39">
        <v>94</v>
      </c>
    </row>
    <row r="40" spans="1:47" ht="12.75">
      <c r="A40" s="5"/>
      <c r="B40" s="14" t="s">
        <v>65</v>
      </c>
      <c r="C40" s="116" t="s">
        <v>115</v>
      </c>
      <c r="D40" s="117"/>
      <c r="E40" s="117"/>
      <c r="F40" s="117"/>
      <c r="G40" s="19" t="s">
        <v>6</v>
      </c>
      <c r="H40" s="19" t="s">
        <v>6</v>
      </c>
      <c r="I40" s="19" t="s">
        <v>6</v>
      </c>
      <c r="J40" s="45">
        <f>SUM(J41:J42)</f>
        <v>0</v>
      </c>
      <c r="K40" s="45">
        <f>SUM(K41:K42)</f>
        <v>0</v>
      </c>
      <c r="L40" s="45">
        <f>SUM(L41:L42)</f>
        <v>0</v>
      </c>
      <c r="M40" s="33"/>
      <c r="N40" s="36"/>
      <c r="AI40" s="38"/>
      <c r="AS40" s="45">
        <f>SUM(AJ41:AJ42)</f>
        <v>0</v>
      </c>
      <c r="AT40" s="45">
        <f>SUM(AK41:AK42)</f>
        <v>0</v>
      </c>
      <c r="AU40" s="45">
        <f>SUM(AL41:AL42)</f>
        <v>0</v>
      </c>
    </row>
    <row r="41" spans="1:64" ht="12.75">
      <c r="A41" s="4" t="s">
        <v>27</v>
      </c>
      <c r="B41" s="13" t="s">
        <v>66</v>
      </c>
      <c r="C41" s="114" t="s">
        <v>116</v>
      </c>
      <c r="D41" s="115"/>
      <c r="E41" s="115"/>
      <c r="F41" s="115"/>
      <c r="G41" s="13" t="s">
        <v>146</v>
      </c>
      <c r="H41" s="21">
        <v>1</v>
      </c>
      <c r="I41" s="21">
        <v>0</v>
      </c>
      <c r="J41" s="21">
        <f>H41*AO41</f>
        <v>0</v>
      </c>
      <c r="K41" s="21">
        <f>H41*AP41</f>
        <v>0</v>
      </c>
      <c r="L41" s="21">
        <f>H41*I41</f>
        <v>0</v>
      </c>
      <c r="M41" s="32" t="s">
        <v>163</v>
      </c>
      <c r="N41" s="36"/>
      <c r="Z41" s="39">
        <f>IF(AQ41="5",BJ41,0)</f>
        <v>0</v>
      </c>
      <c r="AB41" s="39">
        <f>IF(AQ41="1",BH41,0)</f>
        <v>0</v>
      </c>
      <c r="AC41" s="39">
        <f>IF(AQ41="1",BI41,0)</f>
        <v>0</v>
      </c>
      <c r="AD41" s="39">
        <f>IF(AQ41="7",BH41,0)</f>
        <v>0</v>
      </c>
      <c r="AE41" s="39">
        <f>IF(AQ41="7",BI41,0)</f>
        <v>0</v>
      </c>
      <c r="AF41" s="39">
        <f>IF(AQ41="2",BH41,0)</f>
        <v>0</v>
      </c>
      <c r="AG41" s="39">
        <f>IF(AQ41="2",BI41,0)</f>
        <v>0</v>
      </c>
      <c r="AH41" s="39">
        <f>IF(AQ41="0",BJ41,0)</f>
        <v>0</v>
      </c>
      <c r="AI41" s="38"/>
      <c r="AJ41" s="21">
        <f>IF(AN41=0,L41,0)</f>
        <v>0</v>
      </c>
      <c r="AK41" s="21">
        <f>IF(AN41=15,L41,0)</f>
        <v>0</v>
      </c>
      <c r="AL41" s="21">
        <f>IF(AN41=21,L41,0)</f>
        <v>0</v>
      </c>
      <c r="AN41" s="39">
        <v>15</v>
      </c>
      <c r="AO41" s="39">
        <f>I41*0</f>
        <v>0</v>
      </c>
      <c r="AP41" s="39">
        <f>I41*(1-0)</f>
        <v>0</v>
      </c>
      <c r="AQ41" s="40" t="s">
        <v>8</v>
      </c>
      <c r="AV41" s="39">
        <f>AW41+AX41</f>
        <v>0</v>
      </c>
      <c r="AW41" s="39">
        <f>H41*AO41</f>
        <v>0</v>
      </c>
      <c r="AX41" s="39">
        <f>H41*AP41</f>
        <v>0</v>
      </c>
      <c r="AY41" s="42" t="s">
        <v>183</v>
      </c>
      <c r="AZ41" s="42" t="s">
        <v>194</v>
      </c>
      <c r="BA41" s="38" t="s">
        <v>197</v>
      </c>
      <c r="BC41" s="39">
        <f>AW41+AX41</f>
        <v>0</v>
      </c>
      <c r="BD41" s="39">
        <f>I41/(100-BE41)*100</f>
        <v>0</v>
      </c>
      <c r="BE41" s="39">
        <v>0</v>
      </c>
      <c r="BF41" s="39">
        <f>41</f>
        <v>41</v>
      </c>
      <c r="BH41" s="21">
        <f>H41*AO41</f>
        <v>0</v>
      </c>
      <c r="BI41" s="21">
        <f>H41*AP41</f>
        <v>0</v>
      </c>
      <c r="BJ41" s="21">
        <f>H41*I41</f>
        <v>0</v>
      </c>
      <c r="BK41" s="21" t="s">
        <v>202</v>
      </c>
      <c r="BL41" s="39" t="s">
        <v>65</v>
      </c>
    </row>
    <row r="42" spans="1:64" ht="12.75">
      <c r="A42" s="4" t="s">
        <v>28</v>
      </c>
      <c r="B42" s="13" t="s">
        <v>67</v>
      </c>
      <c r="C42" s="114" t="s">
        <v>117</v>
      </c>
      <c r="D42" s="115"/>
      <c r="E42" s="115"/>
      <c r="F42" s="115"/>
      <c r="G42" s="13" t="s">
        <v>144</v>
      </c>
      <c r="H42" s="21">
        <v>15</v>
      </c>
      <c r="I42" s="21">
        <v>0</v>
      </c>
      <c r="J42" s="21">
        <f>H42*AO42</f>
        <v>0</v>
      </c>
      <c r="K42" s="21">
        <f>H42*AP42</f>
        <v>0</v>
      </c>
      <c r="L42" s="21">
        <f>H42*I42</f>
        <v>0</v>
      </c>
      <c r="M42" s="32" t="s">
        <v>163</v>
      </c>
      <c r="N42" s="36"/>
      <c r="Z42" s="39">
        <f>IF(AQ42="5",BJ42,0)</f>
        <v>0</v>
      </c>
      <c r="AB42" s="39">
        <f>IF(AQ42="1",BH42,0)</f>
        <v>0</v>
      </c>
      <c r="AC42" s="39">
        <f>IF(AQ42="1",BI42,0)</f>
        <v>0</v>
      </c>
      <c r="AD42" s="39">
        <f>IF(AQ42="7",BH42,0)</f>
        <v>0</v>
      </c>
      <c r="AE42" s="39">
        <f>IF(AQ42="7",BI42,0)</f>
        <v>0</v>
      </c>
      <c r="AF42" s="39">
        <f>IF(AQ42="2",BH42,0)</f>
        <v>0</v>
      </c>
      <c r="AG42" s="39">
        <f>IF(AQ42="2",BI42,0)</f>
        <v>0</v>
      </c>
      <c r="AH42" s="39">
        <f>IF(AQ42="0",BJ42,0)</f>
        <v>0</v>
      </c>
      <c r="AI42" s="38"/>
      <c r="AJ42" s="21">
        <f>IF(AN42=0,L42,0)</f>
        <v>0</v>
      </c>
      <c r="AK42" s="21">
        <f>IF(AN42=15,L42,0)</f>
        <v>0</v>
      </c>
      <c r="AL42" s="21">
        <f>IF(AN42=21,L42,0)</f>
        <v>0</v>
      </c>
      <c r="AN42" s="39">
        <v>15</v>
      </c>
      <c r="AO42" s="39">
        <f>I42*0</f>
        <v>0</v>
      </c>
      <c r="AP42" s="39">
        <f>I42*(1-0)</f>
        <v>0</v>
      </c>
      <c r="AQ42" s="40" t="s">
        <v>8</v>
      </c>
      <c r="AV42" s="39">
        <f>AW42+AX42</f>
        <v>0</v>
      </c>
      <c r="AW42" s="39">
        <f>H42*AO42</f>
        <v>0</v>
      </c>
      <c r="AX42" s="39">
        <f>H42*AP42</f>
        <v>0</v>
      </c>
      <c r="AY42" s="42" t="s">
        <v>183</v>
      </c>
      <c r="AZ42" s="42" t="s">
        <v>194</v>
      </c>
      <c r="BA42" s="38" t="s">
        <v>197</v>
      </c>
      <c r="BC42" s="39">
        <f>AW42+AX42</f>
        <v>0</v>
      </c>
      <c r="BD42" s="39">
        <f>I42/(100-BE42)*100</f>
        <v>0</v>
      </c>
      <c r="BE42" s="39">
        <v>0</v>
      </c>
      <c r="BF42" s="39">
        <f>42</f>
        <v>42</v>
      </c>
      <c r="BH42" s="21">
        <f>H42*AO42</f>
        <v>0</v>
      </c>
      <c r="BI42" s="21">
        <f>H42*AP42</f>
        <v>0</v>
      </c>
      <c r="BJ42" s="21">
        <f>H42*I42</f>
        <v>0</v>
      </c>
      <c r="BK42" s="21" t="s">
        <v>202</v>
      </c>
      <c r="BL42" s="39" t="s">
        <v>65</v>
      </c>
    </row>
    <row r="43" spans="1:47" ht="12.75">
      <c r="A43" s="5"/>
      <c r="B43" s="14" t="s">
        <v>68</v>
      </c>
      <c r="C43" s="116" t="s">
        <v>118</v>
      </c>
      <c r="D43" s="117"/>
      <c r="E43" s="117"/>
      <c r="F43" s="117"/>
      <c r="G43" s="19" t="s">
        <v>6</v>
      </c>
      <c r="H43" s="19" t="s">
        <v>6</v>
      </c>
      <c r="I43" s="19" t="s">
        <v>6</v>
      </c>
      <c r="J43" s="45">
        <f>SUM(J44:J49)</f>
        <v>0</v>
      </c>
      <c r="K43" s="45">
        <f>SUM(K44:K49)</f>
        <v>0</v>
      </c>
      <c r="L43" s="45">
        <f>SUM(L44:L49)</f>
        <v>0</v>
      </c>
      <c r="M43" s="33"/>
      <c r="N43" s="36"/>
      <c r="AI43" s="38"/>
      <c r="AS43" s="45">
        <f>SUM(AJ44:AJ49)</f>
        <v>0</v>
      </c>
      <c r="AT43" s="45">
        <f>SUM(AK44:AK49)</f>
        <v>0</v>
      </c>
      <c r="AU43" s="45">
        <f>SUM(AL44:AL49)</f>
        <v>0</v>
      </c>
    </row>
    <row r="44" spans="1:64" ht="12.75">
      <c r="A44" s="4" t="s">
        <v>29</v>
      </c>
      <c r="B44" s="13" t="s">
        <v>69</v>
      </c>
      <c r="C44" s="114" t="s">
        <v>119</v>
      </c>
      <c r="D44" s="115"/>
      <c r="E44" s="115"/>
      <c r="F44" s="115"/>
      <c r="G44" s="13" t="s">
        <v>142</v>
      </c>
      <c r="H44" s="21">
        <v>12.5</v>
      </c>
      <c r="I44" s="21">
        <v>0</v>
      </c>
      <c r="J44" s="21">
        <f aca="true" t="shared" si="22" ref="J44:J49">H44*AO44</f>
        <v>0</v>
      </c>
      <c r="K44" s="21">
        <f aca="true" t="shared" si="23" ref="K44:K49">H44*AP44</f>
        <v>0</v>
      </c>
      <c r="L44" s="21">
        <f aca="true" t="shared" si="24" ref="L44:L49">H44*I44</f>
        <v>0</v>
      </c>
      <c r="M44" s="32" t="s">
        <v>163</v>
      </c>
      <c r="N44" s="36"/>
      <c r="Z44" s="39">
        <f aca="true" t="shared" si="25" ref="Z44:Z49">IF(AQ44="5",BJ44,0)</f>
        <v>0</v>
      </c>
      <c r="AB44" s="39">
        <f aca="true" t="shared" si="26" ref="AB44:AB49">IF(AQ44="1",BH44,0)</f>
        <v>0</v>
      </c>
      <c r="AC44" s="39">
        <f aca="true" t="shared" si="27" ref="AC44:AC49">IF(AQ44="1",BI44,0)</f>
        <v>0</v>
      </c>
      <c r="AD44" s="39">
        <f aca="true" t="shared" si="28" ref="AD44:AD49">IF(AQ44="7",BH44,0)</f>
        <v>0</v>
      </c>
      <c r="AE44" s="39">
        <f aca="true" t="shared" si="29" ref="AE44:AE49">IF(AQ44="7",BI44,0)</f>
        <v>0</v>
      </c>
      <c r="AF44" s="39">
        <f aca="true" t="shared" si="30" ref="AF44:AF49">IF(AQ44="2",BH44,0)</f>
        <v>0</v>
      </c>
      <c r="AG44" s="39">
        <f aca="true" t="shared" si="31" ref="AG44:AG49">IF(AQ44="2",BI44,0)</f>
        <v>0</v>
      </c>
      <c r="AH44" s="39">
        <f aca="true" t="shared" si="32" ref="AH44:AH49">IF(AQ44="0",BJ44,0)</f>
        <v>0</v>
      </c>
      <c r="AI44" s="38"/>
      <c r="AJ44" s="21">
        <f aca="true" t="shared" si="33" ref="AJ44:AJ49">IF(AN44=0,L44,0)</f>
        <v>0</v>
      </c>
      <c r="AK44" s="21">
        <f aca="true" t="shared" si="34" ref="AK44:AK49">IF(AN44=15,L44,0)</f>
        <v>0</v>
      </c>
      <c r="AL44" s="21">
        <f aca="true" t="shared" si="35" ref="AL44:AL49">IF(AN44=21,L44,0)</f>
        <v>0</v>
      </c>
      <c r="AN44" s="39">
        <v>15</v>
      </c>
      <c r="AO44" s="39">
        <f aca="true" t="shared" si="36" ref="AO44:AO49">I44*0</f>
        <v>0</v>
      </c>
      <c r="AP44" s="39">
        <f aca="true" t="shared" si="37" ref="AP44:AP49">I44*(1-0)</f>
        <v>0</v>
      </c>
      <c r="AQ44" s="40" t="s">
        <v>11</v>
      </c>
      <c r="AV44" s="39">
        <f aca="true" t="shared" si="38" ref="AV44:AV49">AW44+AX44</f>
        <v>0</v>
      </c>
      <c r="AW44" s="39">
        <f aca="true" t="shared" si="39" ref="AW44:AW49">H44*AO44</f>
        <v>0</v>
      </c>
      <c r="AX44" s="39">
        <f aca="true" t="shared" si="40" ref="AX44:AX49">H44*AP44</f>
        <v>0</v>
      </c>
      <c r="AY44" s="42" t="s">
        <v>184</v>
      </c>
      <c r="AZ44" s="42" t="s">
        <v>194</v>
      </c>
      <c r="BA44" s="38" t="s">
        <v>197</v>
      </c>
      <c r="BC44" s="39">
        <f aca="true" t="shared" si="41" ref="BC44:BC49">AW44+AX44</f>
        <v>0</v>
      </c>
      <c r="BD44" s="39">
        <f aca="true" t="shared" si="42" ref="BD44:BD49">I44/(100-BE44)*100</f>
        <v>0</v>
      </c>
      <c r="BE44" s="39">
        <v>0</v>
      </c>
      <c r="BF44" s="39">
        <f>44</f>
        <v>44</v>
      </c>
      <c r="BH44" s="21">
        <f aca="true" t="shared" si="43" ref="BH44:BH49">H44*AO44</f>
        <v>0</v>
      </c>
      <c r="BI44" s="21">
        <f aca="true" t="shared" si="44" ref="BI44:BI49">H44*AP44</f>
        <v>0</v>
      </c>
      <c r="BJ44" s="21">
        <f aca="true" t="shared" si="45" ref="BJ44:BJ49">H44*I44</f>
        <v>0</v>
      </c>
      <c r="BK44" s="21" t="s">
        <v>202</v>
      </c>
      <c r="BL44" s="39" t="s">
        <v>68</v>
      </c>
    </row>
    <row r="45" spans="1:64" ht="12.75">
      <c r="A45" s="4" t="s">
        <v>30</v>
      </c>
      <c r="B45" s="13" t="s">
        <v>70</v>
      </c>
      <c r="C45" s="114" t="s">
        <v>120</v>
      </c>
      <c r="D45" s="115"/>
      <c r="E45" s="115"/>
      <c r="F45" s="115"/>
      <c r="G45" s="13" t="s">
        <v>142</v>
      </c>
      <c r="H45" s="21">
        <v>96.17</v>
      </c>
      <c r="I45" s="21">
        <v>0</v>
      </c>
      <c r="J45" s="21">
        <f t="shared" si="22"/>
        <v>0</v>
      </c>
      <c r="K45" s="21">
        <f t="shared" si="23"/>
        <v>0</v>
      </c>
      <c r="L45" s="21">
        <f t="shared" si="24"/>
        <v>0</v>
      </c>
      <c r="M45" s="32" t="s">
        <v>163</v>
      </c>
      <c r="N45" s="36"/>
      <c r="Z45" s="39">
        <f t="shared" si="25"/>
        <v>0</v>
      </c>
      <c r="AB45" s="39">
        <f t="shared" si="26"/>
        <v>0</v>
      </c>
      <c r="AC45" s="39">
        <f t="shared" si="27"/>
        <v>0</v>
      </c>
      <c r="AD45" s="39">
        <f t="shared" si="28"/>
        <v>0</v>
      </c>
      <c r="AE45" s="39">
        <f t="shared" si="29"/>
        <v>0</v>
      </c>
      <c r="AF45" s="39">
        <f t="shared" si="30"/>
        <v>0</v>
      </c>
      <c r="AG45" s="39">
        <f t="shared" si="31"/>
        <v>0</v>
      </c>
      <c r="AH45" s="39">
        <f t="shared" si="32"/>
        <v>0</v>
      </c>
      <c r="AI45" s="38"/>
      <c r="AJ45" s="21">
        <f t="shared" si="33"/>
        <v>0</v>
      </c>
      <c r="AK45" s="21">
        <f t="shared" si="34"/>
        <v>0</v>
      </c>
      <c r="AL45" s="21">
        <f t="shared" si="35"/>
        <v>0</v>
      </c>
      <c r="AN45" s="39">
        <v>15</v>
      </c>
      <c r="AO45" s="39">
        <f t="shared" si="36"/>
        <v>0</v>
      </c>
      <c r="AP45" s="39">
        <f t="shared" si="37"/>
        <v>0</v>
      </c>
      <c r="AQ45" s="40" t="s">
        <v>11</v>
      </c>
      <c r="AV45" s="39">
        <f t="shared" si="38"/>
        <v>0</v>
      </c>
      <c r="AW45" s="39">
        <f t="shared" si="39"/>
        <v>0</v>
      </c>
      <c r="AX45" s="39">
        <f t="shared" si="40"/>
        <v>0</v>
      </c>
      <c r="AY45" s="42" t="s">
        <v>184</v>
      </c>
      <c r="AZ45" s="42" t="s">
        <v>194</v>
      </c>
      <c r="BA45" s="38" t="s">
        <v>197</v>
      </c>
      <c r="BC45" s="39">
        <f t="shared" si="41"/>
        <v>0</v>
      </c>
      <c r="BD45" s="39">
        <f t="shared" si="42"/>
        <v>0</v>
      </c>
      <c r="BE45" s="39">
        <v>0</v>
      </c>
      <c r="BF45" s="39">
        <f>45</f>
        <v>45</v>
      </c>
      <c r="BH45" s="21">
        <f t="shared" si="43"/>
        <v>0</v>
      </c>
      <c r="BI45" s="21">
        <f t="shared" si="44"/>
        <v>0</v>
      </c>
      <c r="BJ45" s="21">
        <f t="shared" si="45"/>
        <v>0</v>
      </c>
      <c r="BK45" s="21" t="s">
        <v>202</v>
      </c>
      <c r="BL45" s="39" t="s">
        <v>68</v>
      </c>
    </row>
    <row r="46" spans="1:64" ht="12.75">
      <c r="A46" s="4" t="s">
        <v>31</v>
      </c>
      <c r="B46" s="13" t="s">
        <v>71</v>
      </c>
      <c r="C46" s="114" t="s">
        <v>121</v>
      </c>
      <c r="D46" s="115"/>
      <c r="E46" s="115"/>
      <c r="F46" s="115"/>
      <c r="G46" s="13" t="s">
        <v>142</v>
      </c>
      <c r="H46" s="21">
        <v>108</v>
      </c>
      <c r="I46" s="21">
        <v>0</v>
      </c>
      <c r="J46" s="21">
        <f t="shared" si="22"/>
        <v>0</v>
      </c>
      <c r="K46" s="21">
        <f t="shared" si="23"/>
        <v>0</v>
      </c>
      <c r="L46" s="21">
        <f t="shared" si="24"/>
        <v>0</v>
      </c>
      <c r="M46" s="32" t="s">
        <v>163</v>
      </c>
      <c r="N46" s="36"/>
      <c r="Z46" s="39">
        <f t="shared" si="25"/>
        <v>0</v>
      </c>
      <c r="AB46" s="39">
        <f t="shared" si="26"/>
        <v>0</v>
      </c>
      <c r="AC46" s="39">
        <f t="shared" si="27"/>
        <v>0</v>
      </c>
      <c r="AD46" s="39">
        <f t="shared" si="28"/>
        <v>0</v>
      </c>
      <c r="AE46" s="39">
        <f t="shared" si="29"/>
        <v>0</v>
      </c>
      <c r="AF46" s="39">
        <f t="shared" si="30"/>
        <v>0</v>
      </c>
      <c r="AG46" s="39">
        <f t="shared" si="31"/>
        <v>0</v>
      </c>
      <c r="AH46" s="39">
        <f t="shared" si="32"/>
        <v>0</v>
      </c>
      <c r="AI46" s="38"/>
      <c r="AJ46" s="21">
        <f t="shared" si="33"/>
        <v>0</v>
      </c>
      <c r="AK46" s="21">
        <f t="shared" si="34"/>
        <v>0</v>
      </c>
      <c r="AL46" s="21">
        <f t="shared" si="35"/>
        <v>0</v>
      </c>
      <c r="AN46" s="39">
        <v>15</v>
      </c>
      <c r="AO46" s="39">
        <f t="shared" si="36"/>
        <v>0</v>
      </c>
      <c r="AP46" s="39">
        <f t="shared" si="37"/>
        <v>0</v>
      </c>
      <c r="AQ46" s="40" t="s">
        <v>11</v>
      </c>
      <c r="AV46" s="39">
        <f t="shared" si="38"/>
        <v>0</v>
      </c>
      <c r="AW46" s="39">
        <f t="shared" si="39"/>
        <v>0</v>
      </c>
      <c r="AX46" s="39">
        <f t="shared" si="40"/>
        <v>0</v>
      </c>
      <c r="AY46" s="42" t="s">
        <v>184</v>
      </c>
      <c r="AZ46" s="42" t="s">
        <v>194</v>
      </c>
      <c r="BA46" s="38" t="s">
        <v>197</v>
      </c>
      <c r="BC46" s="39">
        <f t="shared" si="41"/>
        <v>0</v>
      </c>
      <c r="BD46" s="39">
        <f t="shared" si="42"/>
        <v>0</v>
      </c>
      <c r="BE46" s="39">
        <v>0</v>
      </c>
      <c r="BF46" s="39">
        <f>46</f>
        <v>46</v>
      </c>
      <c r="BH46" s="21">
        <f t="shared" si="43"/>
        <v>0</v>
      </c>
      <c r="BI46" s="21">
        <f t="shared" si="44"/>
        <v>0</v>
      </c>
      <c r="BJ46" s="21">
        <f t="shared" si="45"/>
        <v>0</v>
      </c>
      <c r="BK46" s="21" t="s">
        <v>202</v>
      </c>
      <c r="BL46" s="39" t="s">
        <v>68</v>
      </c>
    </row>
    <row r="47" spans="1:64" ht="12.75">
      <c r="A47" s="4" t="s">
        <v>32</v>
      </c>
      <c r="B47" s="13" t="s">
        <v>72</v>
      </c>
      <c r="C47" s="114" t="s">
        <v>122</v>
      </c>
      <c r="D47" s="115"/>
      <c r="E47" s="115"/>
      <c r="F47" s="115"/>
      <c r="G47" s="13" t="s">
        <v>142</v>
      </c>
      <c r="H47" s="21">
        <v>1080</v>
      </c>
      <c r="I47" s="21">
        <v>0</v>
      </c>
      <c r="J47" s="21">
        <f t="shared" si="22"/>
        <v>0</v>
      </c>
      <c r="K47" s="21">
        <f t="shared" si="23"/>
        <v>0</v>
      </c>
      <c r="L47" s="21">
        <f t="shared" si="24"/>
        <v>0</v>
      </c>
      <c r="M47" s="32" t="s">
        <v>163</v>
      </c>
      <c r="N47" s="36"/>
      <c r="Z47" s="39">
        <f t="shared" si="25"/>
        <v>0</v>
      </c>
      <c r="AB47" s="39">
        <f t="shared" si="26"/>
        <v>0</v>
      </c>
      <c r="AC47" s="39">
        <f t="shared" si="27"/>
        <v>0</v>
      </c>
      <c r="AD47" s="39">
        <f t="shared" si="28"/>
        <v>0</v>
      </c>
      <c r="AE47" s="39">
        <f t="shared" si="29"/>
        <v>0</v>
      </c>
      <c r="AF47" s="39">
        <f t="shared" si="30"/>
        <v>0</v>
      </c>
      <c r="AG47" s="39">
        <f t="shared" si="31"/>
        <v>0</v>
      </c>
      <c r="AH47" s="39">
        <f t="shared" si="32"/>
        <v>0</v>
      </c>
      <c r="AI47" s="38"/>
      <c r="AJ47" s="21">
        <f t="shared" si="33"/>
        <v>0</v>
      </c>
      <c r="AK47" s="21">
        <f t="shared" si="34"/>
        <v>0</v>
      </c>
      <c r="AL47" s="21">
        <f t="shared" si="35"/>
        <v>0</v>
      </c>
      <c r="AN47" s="39">
        <v>15</v>
      </c>
      <c r="AO47" s="39">
        <f t="shared" si="36"/>
        <v>0</v>
      </c>
      <c r="AP47" s="39">
        <f t="shared" si="37"/>
        <v>0</v>
      </c>
      <c r="AQ47" s="40" t="s">
        <v>11</v>
      </c>
      <c r="AV47" s="39">
        <f t="shared" si="38"/>
        <v>0</v>
      </c>
      <c r="AW47" s="39">
        <f t="shared" si="39"/>
        <v>0</v>
      </c>
      <c r="AX47" s="39">
        <f t="shared" si="40"/>
        <v>0</v>
      </c>
      <c r="AY47" s="42" t="s">
        <v>184</v>
      </c>
      <c r="AZ47" s="42" t="s">
        <v>194</v>
      </c>
      <c r="BA47" s="38" t="s">
        <v>197</v>
      </c>
      <c r="BC47" s="39">
        <f t="shared" si="41"/>
        <v>0</v>
      </c>
      <c r="BD47" s="39">
        <f t="shared" si="42"/>
        <v>0</v>
      </c>
      <c r="BE47" s="39">
        <v>0</v>
      </c>
      <c r="BF47" s="39">
        <f>47</f>
        <v>47</v>
      </c>
      <c r="BH47" s="21">
        <f t="shared" si="43"/>
        <v>0</v>
      </c>
      <c r="BI47" s="21">
        <f t="shared" si="44"/>
        <v>0</v>
      </c>
      <c r="BJ47" s="21">
        <f t="shared" si="45"/>
        <v>0</v>
      </c>
      <c r="BK47" s="21" t="s">
        <v>202</v>
      </c>
      <c r="BL47" s="39" t="s">
        <v>68</v>
      </c>
    </row>
    <row r="48" spans="1:64" ht="12.75">
      <c r="A48" s="4" t="s">
        <v>33</v>
      </c>
      <c r="B48" s="13" t="s">
        <v>73</v>
      </c>
      <c r="C48" s="114" t="s">
        <v>123</v>
      </c>
      <c r="D48" s="115"/>
      <c r="E48" s="115"/>
      <c r="F48" s="115"/>
      <c r="G48" s="13" t="s">
        <v>142</v>
      </c>
      <c r="H48" s="21">
        <v>108</v>
      </c>
      <c r="I48" s="21">
        <v>0</v>
      </c>
      <c r="J48" s="21">
        <f t="shared" si="22"/>
        <v>0</v>
      </c>
      <c r="K48" s="21">
        <f t="shared" si="23"/>
        <v>0</v>
      </c>
      <c r="L48" s="21">
        <f t="shared" si="24"/>
        <v>0</v>
      </c>
      <c r="M48" s="32" t="s">
        <v>163</v>
      </c>
      <c r="N48" s="36"/>
      <c r="Z48" s="39">
        <f t="shared" si="25"/>
        <v>0</v>
      </c>
      <c r="AB48" s="39">
        <f t="shared" si="26"/>
        <v>0</v>
      </c>
      <c r="AC48" s="39">
        <f t="shared" si="27"/>
        <v>0</v>
      </c>
      <c r="AD48" s="39">
        <f t="shared" si="28"/>
        <v>0</v>
      </c>
      <c r="AE48" s="39">
        <f t="shared" si="29"/>
        <v>0</v>
      </c>
      <c r="AF48" s="39">
        <f t="shared" si="30"/>
        <v>0</v>
      </c>
      <c r="AG48" s="39">
        <f t="shared" si="31"/>
        <v>0</v>
      </c>
      <c r="AH48" s="39">
        <f t="shared" si="32"/>
        <v>0</v>
      </c>
      <c r="AI48" s="38"/>
      <c r="AJ48" s="21">
        <f t="shared" si="33"/>
        <v>0</v>
      </c>
      <c r="AK48" s="21">
        <f t="shared" si="34"/>
        <v>0</v>
      </c>
      <c r="AL48" s="21">
        <f t="shared" si="35"/>
        <v>0</v>
      </c>
      <c r="AN48" s="39">
        <v>15</v>
      </c>
      <c r="AO48" s="39">
        <f t="shared" si="36"/>
        <v>0</v>
      </c>
      <c r="AP48" s="39">
        <f t="shared" si="37"/>
        <v>0</v>
      </c>
      <c r="AQ48" s="40" t="s">
        <v>11</v>
      </c>
      <c r="AV48" s="39">
        <f t="shared" si="38"/>
        <v>0</v>
      </c>
      <c r="AW48" s="39">
        <f t="shared" si="39"/>
        <v>0</v>
      </c>
      <c r="AX48" s="39">
        <f t="shared" si="40"/>
        <v>0</v>
      </c>
      <c r="AY48" s="42" t="s">
        <v>184</v>
      </c>
      <c r="AZ48" s="42" t="s">
        <v>194</v>
      </c>
      <c r="BA48" s="38" t="s">
        <v>197</v>
      </c>
      <c r="BC48" s="39">
        <f t="shared" si="41"/>
        <v>0</v>
      </c>
      <c r="BD48" s="39">
        <f t="shared" si="42"/>
        <v>0</v>
      </c>
      <c r="BE48" s="39">
        <v>0</v>
      </c>
      <c r="BF48" s="39">
        <f>48</f>
        <v>48</v>
      </c>
      <c r="BH48" s="21">
        <f t="shared" si="43"/>
        <v>0</v>
      </c>
      <c r="BI48" s="21">
        <f t="shared" si="44"/>
        <v>0</v>
      </c>
      <c r="BJ48" s="21">
        <f t="shared" si="45"/>
        <v>0</v>
      </c>
      <c r="BK48" s="21" t="s">
        <v>202</v>
      </c>
      <c r="BL48" s="39" t="s">
        <v>68</v>
      </c>
    </row>
    <row r="49" spans="1:64" ht="12.75">
      <c r="A49" s="4" t="s">
        <v>34</v>
      </c>
      <c r="B49" s="13" t="s">
        <v>74</v>
      </c>
      <c r="C49" s="114" t="s">
        <v>124</v>
      </c>
      <c r="D49" s="115"/>
      <c r="E49" s="115"/>
      <c r="F49" s="115"/>
      <c r="G49" s="13" t="s">
        <v>142</v>
      </c>
      <c r="H49" s="21">
        <v>12.5</v>
      </c>
      <c r="I49" s="21">
        <v>0</v>
      </c>
      <c r="J49" s="21">
        <f t="shared" si="22"/>
        <v>0</v>
      </c>
      <c r="K49" s="21">
        <f t="shared" si="23"/>
        <v>0</v>
      </c>
      <c r="L49" s="21">
        <f t="shared" si="24"/>
        <v>0</v>
      </c>
      <c r="M49" s="32" t="s">
        <v>163</v>
      </c>
      <c r="N49" s="36"/>
      <c r="Z49" s="39">
        <f t="shared" si="25"/>
        <v>0</v>
      </c>
      <c r="AB49" s="39">
        <f t="shared" si="26"/>
        <v>0</v>
      </c>
      <c r="AC49" s="39">
        <f t="shared" si="27"/>
        <v>0</v>
      </c>
      <c r="AD49" s="39">
        <f t="shared" si="28"/>
        <v>0</v>
      </c>
      <c r="AE49" s="39">
        <f t="shared" si="29"/>
        <v>0</v>
      </c>
      <c r="AF49" s="39">
        <f t="shared" si="30"/>
        <v>0</v>
      </c>
      <c r="AG49" s="39">
        <f t="shared" si="31"/>
        <v>0</v>
      </c>
      <c r="AH49" s="39">
        <f t="shared" si="32"/>
        <v>0</v>
      </c>
      <c r="AI49" s="38"/>
      <c r="AJ49" s="21">
        <f t="shared" si="33"/>
        <v>0</v>
      </c>
      <c r="AK49" s="21">
        <f t="shared" si="34"/>
        <v>0</v>
      </c>
      <c r="AL49" s="21">
        <f t="shared" si="35"/>
        <v>0</v>
      </c>
      <c r="AN49" s="39">
        <v>15</v>
      </c>
      <c r="AO49" s="39">
        <f t="shared" si="36"/>
        <v>0</v>
      </c>
      <c r="AP49" s="39">
        <f t="shared" si="37"/>
        <v>0</v>
      </c>
      <c r="AQ49" s="40" t="s">
        <v>11</v>
      </c>
      <c r="AV49" s="39">
        <f t="shared" si="38"/>
        <v>0</v>
      </c>
      <c r="AW49" s="39">
        <f t="shared" si="39"/>
        <v>0</v>
      </c>
      <c r="AX49" s="39">
        <f t="shared" si="40"/>
        <v>0</v>
      </c>
      <c r="AY49" s="42" t="s">
        <v>184</v>
      </c>
      <c r="AZ49" s="42" t="s">
        <v>194</v>
      </c>
      <c r="BA49" s="38" t="s">
        <v>197</v>
      </c>
      <c r="BC49" s="39">
        <f t="shared" si="41"/>
        <v>0</v>
      </c>
      <c r="BD49" s="39">
        <f t="shared" si="42"/>
        <v>0</v>
      </c>
      <c r="BE49" s="39">
        <v>0</v>
      </c>
      <c r="BF49" s="39">
        <f>49</f>
        <v>49</v>
      </c>
      <c r="BH49" s="21">
        <f t="shared" si="43"/>
        <v>0</v>
      </c>
      <c r="BI49" s="21">
        <f t="shared" si="44"/>
        <v>0</v>
      </c>
      <c r="BJ49" s="21">
        <f t="shared" si="45"/>
        <v>0</v>
      </c>
      <c r="BK49" s="21" t="s">
        <v>202</v>
      </c>
      <c r="BL49" s="39" t="s">
        <v>68</v>
      </c>
    </row>
    <row r="50" spans="1:47" ht="12.75">
      <c r="A50" s="5"/>
      <c r="B50" s="14"/>
      <c r="C50" s="116" t="s">
        <v>125</v>
      </c>
      <c r="D50" s="117"/>
      <c r="E50" s="117"/>
      <c r="F50" s="117"/>
      <c r="G50" s="19" t="s">
        <v>6</v>
      </c>
      <c r="H50" s="19" t="s">
        <v>6</v>
      </c>
      <c r="I50" s="19" t="s">
        <v>6</v>
      </c>
      <c r="J50" s="45">
        <f>SUM(J51:J52)</f>
        <v>0</v>
      </c>
      <c r="K50" s="45">
        <f>SUM(K51:K52)</f>
        <v>0</v>
      </c>
      <c r="L50" s="45">
        <f>SUM(L51:L52)</f>
        <v>0</v>
      </c>
      <c r="M50" s="33"/>
      <c r="N50" s="36"/>
      <c r="AI50" s="38"/>
      <c r="AS50" s="45">
        <f>SUM(AJ51:AJ52)</f>
        <v>0</v>
      </c>
      <c r="AT50" s="45">
        <f>SUM(AK51:AK52)</f>
        <v>0</v>
      </c>
      <c r="AU50" s="45">
        <f>SUM(AL51:AL52)</f>
        <v>0</v>
      </c>
    </row>
    <row r="51" spans="1:64" ht="12.75">
      <c r="A51" s="6" t="s">
        <v>35</v>
      </c>
      <c r="B51" s="15" t="s">
        <v>75</v>
      </c>
      <c r="C51" s="118" t="s">
        <v>126</v>
      </c>
      <c r="D51" s="119"/>
      <c r="E51" s="119"/>
      <c r="F51" s="119"/>
      <c r="G51" s="15" t="s">
        <v>145</v>
      </c>
      <c r="H51" s="22">
        <v>1</v>
      </c>
      <c r="I51" s="22">
        <v>0</v>
      </c>
      <c r="J51" s="22">
        <f>H51*AO51</f>
        <v>0</v>
      </c>
      <c r="K51" s="22">
        <f>H51*AP51</f>
        <v>0</v>
      </c>
      <c r="L51" s="22">
        <f>H51*I51</f>
        <v>0</v>
      </c>
      <c r="M51" s="34" t="s">
        <v>163</v>
      </c>
      <c r="N51" s="36"/>
      <c r="Z51" s="39">
        <f>IF(AQ51="5",BJ51,0)</f>
        <v>0</v>
      </c>
      <c r="AB51" s="39">
        <f>IF(AQ51="1",BH51,0)</f>
        <v>0</v>
      </c>
      <c r="AC51" s="39">
        <f>IF(AQ51="1",BI51,0)</f>
        <v>0</v>
      </c>
      <c r="AD51" s="39">
        <f>IF(AQ51="7",BH51,0)</f>
        <v>0</v>
      </c>
      <c r="AE51" s="39">
        <f>IF(AQ51="7",BI51,0)</f>
        <v>0</v>
      </c>
      <c r="AF51" s="39">
        <f>IF(AQ51="2",BH51,0)</f>
        <v>0</v>
      </c>
      <c r="AG51" s="39">
        <f>IF(AQ51="2",BI51,0)</f>
        <v>0</v>
      </c>
      <c r="AH51" s="39">
        <f>IF(AQ51="0",BJ51,0)</f>
        <v>0</v>
      </c>
      <c r="AI51" s="38"/>
      <c r="AJ51" s="22">
        <f>IF(AN51=0,L51,0)</f>
        <v>0</v>
      </c>
      <c r="AK51" s="22">
        <f>IF(AN51=15,L51,0)</f>
        <v>0</v>
      </c>
      <c r="AL51" s="22">
        <f>IF(AN51=21,L51,0)</f>
        <v>0</v>
      </c>
      <c r="AN51" s="39">
        <v>15</v>
      </c>
      <c r="AO51" s="39">
        <f>I51*1</f>
        <v>0</v>
      </c>
      <c r="AP51" s="39">
        <f>I51*(1-1)</f>
        <v>0</v>
      </c>
      <c r="AQ51" s="41" t="s">
        <v>173</v>
      </c>
      <c r="AV51" s="39">
        <f>AW51+AX51</f>
        <v>0</v>
      </c>
      <c r="AW51" s="39">
        <f>H51*AO51</f>
        <v>0</v>
      </c>
      <c r="AX51" s="39">
        <f>H51*AP51</f>
        <v>0</v>
      </c>
      <c r="AY51" s="42" t="s">
        <v>185</v>
      </c>
      <c r="AZ51" s="42" t="s">
        <v>195</v>
      </c>
      <c r="BA51" s="38" t="s">
        <v>197</v>
      </c>
      <c r="BC51" s="39">
        <f>AW51+AX51</f>
        <v>0</v>
      </c>
      <c r="BD51" s="39">
        <f>I51/(100-BE51)*100</f>
        <v>0</v>
      </c>
      <c r="BE51" s="39">
        <v>0</v>
      </c>
      <c r="BF51" s="39">
        <f>51</f>
        <v>51</v>
      </c>
      <c r="BH51" s="22">
        <f>H51*AO51</f>
        <v>0</v>
      </c>
      <c r="BI51" s="22">
        <f>H51*AP51</f>
        <v>0</v>
      </c>
      <c r="BJ51" s="22">
        <f>H51*I51</f>
        <v>0</v>
      </c>
      <c r="BK51" s="22" t="s">
        <v>203</v>
      </c>
      <c r="BL51" s="39"/>
    </row>
    <row r="52" spans="1:64" ht="12.75">
      <c r="A52" s="6" t="s">
        <v>36</v>
      </c>
      <c r="B52" s="15" t="s">
        <v>76</v>
      </c>
      <c r="C52" s="118" t="s">
        <v>127</v>
      </c>
      <c r="D52" s="119"/>
      <c r="E52" s="119"/>
      <c r="F52" s="119"/>
      <c r="G52" s="15" t="s">
        <v>145</v>
      </c>
      <c r="H52" s="22">
        <v>1</v>
      </c>
      <c r="I52" s="22">
        <v>0</v>
      </c>
      <c r="J52" s="22">
        <f>H52*AO52</f>
        <v>0</v>
      </c>
      <c r="K52" s="22">
        <f>H52*AP52</f>
        <v>0</v>
      </c>
      <c r="L52" s="22">
        <f>H52*I52</f>
        <v>0</v>
      </c>
      <c r="M52" s="34" t="s">
        <v>163</v>
      </c>
      <c r="N52" s="36"/>
      <c r="Z52" s="39">
        <f>IF(AQ52="5",BJ52,0)</f>
        <v>0</v>
      </c>
      <c r="AB52" s="39">
        <f>IF(AQ52="1",BH52,0)</f>
        <v>0</v>
      </c>
      <c r="AC52" s="39">
        <f>IF(AQ52="1",BI52,0)</f>
        <v>0</v>
      </c>
      <c r="AD52" s="39">
        <f>IF(AQ52="7",BH52,0)</f>
        <v>0</v>
      </c>
      <c r="AE52" s="39">
        <f>IF(AQ52="7",BI52,0)</f>
        <v>0</v>
      </c>
      <c r="AF52" s="39">
        <f>IF(AQ52="2",BH52,0)</f>
        <v>0</v>
      </c>
      <c r="AG52" s="39">
        <f>IF(AQ52="2",BI52,0)</f>
        <v>0</v>
      </c>
      <c r="AH52" s="39">
        <f>IF(AQ52="0",BJ52,0)</f>
        <v>0</v>
      </c>
      <c r="AI52" s="38"/>
      <c r="AJ52" s="22">
        <f>IF(AN52=0,L52,0)</f>
        <v>0</v>
      </c>
      <c r="AK52" s="22">
        <f>IF(AN52=15,L52,0)</f>
        <v>0</v>
      </c>
      <c r="AL52" s="22">
        <f>IF(AN52=21,L52,0)</f>
        <v>0</v>
      </c>
      <c r="AN52" s="39">
        <v>15</v>
      </c>
      <c r="AO52" s="39">
        <f>I52*1</f>
        <v>0</v>
      </c>
      <c r="AP52" s="39">
        <f>I52*(1-1)</f>
        <v>0</v>
      </c>
      <c r="AQ52" s="41" t="s">
        <v>173</v>
      </c>
      <c r="AV52" s="39">
        <f>AW52+AX52</f>
        <v>0</v>
      </c>
      <c r="AW52" s="39">
        <f>H52*AO52</f>
        <v>0</v>
      </c>
      <c r="AX52" s="39">
        <f>H52*AP52</f>
        <v>0</v>
      </c>
      <c r="AY52" s="42" t="s">
        <v>185</v>
      </c>
      <c r="AZ52" s="42" t="s">
        <v>195</v>
      </c>
      <c r="BA52" s="38" t="s">
        <v>197</v>
      </c>
      <c r="BC52" s="39">
        <f>AW52+AX52</f>
        <v>0</v>
      </c>
      <c r="BD52" s="39">
        <f>I52/(100-BE52)*100</f>
        <v>0</v>
      </c>
      <c r="BE52" s="39">
        <v>0</v>
      </c>
      <c r="BF52" s="39">
        <f>52</f>
        <v>52</v>
      </c>
      <c r="BH52" s="22">
        <f>H52*AO52</f>
        <v>0</v>
      </c>
      <c r="BI52" s="22">
        <f>H52*AP52</f>
        <v>0</v>
      </c>
      <c r="BJ52" s="22">
        <f>H52*I52</f>
        <v>0</v>
      </c>
      <c r="BK52" s="22" t="s">
        <v>203</v>
      </c>
      <c r="BL52" s="39"/>
    </row>
    <row r="53" spans="1:35" ht="12.75">
      <c r="A53" s="5"/>
      <c r="B53" s="14"/>
      <c r="C53" s="116" t="s">
        <v>128</v>
      </c>
      <c r="D53" s="117"/>
      <c r="E53" s="117"/>
      <c r="F53" s="117"/>
      <c r="G53" s="19" t="s">
        <v>6</v>
      </c>
      <c r="H53" s="19" t="s">
        <v>6</v>
      </c>
      <c r="I53" s="19" t="s">
        <v>6</v>
      </c>
      <c r="J53" s="45">
        <f>J54+J56+J58</f>
        <v>0</v>
      </c>
      <c r="K53" s="45">
        <f>K54+K56+K58</f>
        <v>0</v>
      </c>
      <c r="L53" s="45">
        <f>L54+L56+L58</f>
        <v>0</v>
      </c>
      <c r="M53" s="33"/>
      <c r="N53" s="36"/>
      <c r="AI53" s="38"/>
    </row>
    <row r="54" spans="1:47" ht="12.75">
      <c r="A54" s="5"/>
      <c r="B54" s="14" t="s">
        <v>77</v>
      </c>
      <c r="C54" s="116" t="s">
        <v>129</v>
      </c>
      <c r="D54" s="117"/>
      <c r="E54" s="117"/>
      <c r="F54" s="117"/>
      <c r="G54" s="19" t="s">
        <v>6</v>
      </c>
      <c r="H54" s="19" t="s">
        <v>6</v>
      </c>
      <c r="I54" s="19" t="s">
        <v>6</v>
      </c>
      <c r="J54" s="45">
        <f>SUM(J55:J55)</f>
        <v>0</v>
      </c>
      <c r="K54" s="45">
        <f>SUM(K55:K55)</f>
        <v>0</v>
      </c>
      <c r="L54" s="45">
        <f>SUM(L55:L55)</f>
        <v>0</v>
      </c>
      <c r="M54" s="33"/>
      <c r="N54" s="36"/>
      <c r="AI54" s="38"/>
      <c r="AS54" s="45">
        <f>SUM(AJ55:AJ55)</f>
        <v>0</v>
      </c>
      <c r="AT54" s="45">
        <f>SUM(AK55:AK55)</f>
        <v>0</v>
      </c>
      <c r="AU54" s="45">
        <f>SUM(AL55:AL55)</f>
        <v>0</v>
      </c>
    </row>
    <row r="55" spans="1:64" ht="12.75">
      <c r="A55" s="4" t="s">
        <v>37</v>
      </c>
      <c r="B55" s="13" t="s">
        <v>78</v>
      </c>
      <c r="C55" s="114" t="s">
        <v>130</v>
      </c>
      <c r="D55" s="115"/>
      <c r="E55" s="115"/>
      <c r="F55" s="115"/>
      <c r="G55" s="13" t="s">
        <v>147</v>
      </c>
      <c r="H55" s="21">
        <v>1</v>
      </c>
      <c r="I55" s="21">
        <v>0</v>
      </c>
      <c r="J55" s="21">
        <f>H55*AO55</f>
        <v>0</v>
      </c>
      <c r="K55" s="21">
        <f>H55*AP55</f>
        <v>0</v>
      </c>
      <c r="L55" s="21">
        <f>H55*I55</f>
        <v>0</v>
      </c>
      <c r="M55" s="32"/>
      <c r="N55" s="36"/>
      <c r="Z55" s="39">
        <f>IF(AQ55="5",BJ55,0)</f>
        <v>0</v>
      </c>
      <c r="AB55" s="39">
        <f>IF(AQ55="1",BH55,0)</f>
        <v>0</v>
      </c>
      <c r="AC55" s="39">
        <f>IF(AQ55="1",BI55,0)</f>
        <v>0</v>
      </c>
      <c r="AD55" s="39">
        <f>IF(AQ55="7",BH55,0)</f>
        <v>0</v>
      </c>
      <c r="AE55" s="39">
        <f>IF(AQ55="7",BI55,0)</f>
        <v>0</v>
      </c>
      <c r="AF55" s="39">
        <f>IF(AQ55="2",BH55,0)</f>
        <v>0</v>
      </c>
      <c r="AG55" s="39">
        <f>IF(AQ55="2",BI55,0)</f>
        <v>0</v>
      </c>
      <c r="AH55" s="39">
        <f>IF(AQ55="0",BJ55,0)</f>
        <v>0</v>
      </c>
      <c r="AI55" s="38"/>
      <c r="AJ55" s="21">
        <f>IF(AN55=0,L55,0)</f>
        <v>0</v>
      </c>
      <c r="AK55" s="21">
        <f>IF(AN55=15,L55,0)</f>
        <v>0</v>
      </c>
      <c r="AL55" s="21">
        <f>IF(AN55=21,L55,0)</f>
        <v>0</v>
      </c>
      <c r="AN55" s="39">
        <v>15</v>
      </c>
      <c r="AO55" s="39">
        <f>I55*0</f>
        <v>0</v>
      </c>
      <c r="AP55" s="39">
        <f>I55*(1-0)</f>
        <v>0</v>
      </c>
      <c r="AQ55" s="40" t="s">
        <v>174</v>
      </c>
      <c r="AV55" s="39">
        <f>AW55+AX55</f>
        <v>0</v>
      </c>
      <c r="AW55" s="39">
        <f>H55*AO55</f>
        <v>0</v>
      </c>
      <c r="AX55" s="39">
        <f>H55*AP55</f>
        <v>0</v>
      </c>
      <c r="AY55" s="42" t="s">
        <v>186</v>
      </c>
      <c r="AZ55" s="42" t="s">
        <v>196</v>
      </c>
      <c r="BA55" s="38" t="s">
        <v>197</v>
      </c>
      <c r="BC55" s="39">
        <f>AW55+AX55</f>
        <v>0</v>
      </c>
      <c r="BD55" s="39">
        <f>I55/(100-BE55)*100</f>
        <v>0</v>
      </c>
      <c r="BE55" s="39">
        <v>0</v>
      </c>
      <c r="BF55" s="39">
        <f>55</f>
        <v>55</v>
      </c>
      <c r="BH55" s="21">
        <f>H55*AO55</f>
        <v>0</v>
      </c>
      <c r="BI55" s="21">
        <f>H55*AP55</f>
        <v>0</v>
      </c>
      <c r="BJ55" s="21">
        <f>H55*I55</f>
        <v>0</v>
      </c>
      <c r="BK55" s="21" t="s">
        <v>202</v>
      </c>
      <c r="BL55" s="39" t="s">
        <v>77</v>
      </c>
    </row>
    <row r="56" spans="1:47" ht="12.75">
      <c r="A56" s="5"/>
      <c r="B56" s="14" t="s">
        <v>79</v>
      </c>
      <c r="C56" s="116" t="s">
        <v>131</v>
      </c>
      <c r="D56" s="117"/>
      <c r="E56" s="117"/>
      <c r="F56" s="117"/>
      <c r="G56" s="19" t="s">
        <v>6</v>
      </c>
      <c r="H56" s="19" t="s">
        <v>6</v>
      </c>
      <c r="I56" s="19" t="s">
        <v>6</v>
      </c>
      <c r="J56" s="45">
        <f>SUM(J57:J57)</f>
        <v>0</v>
      </c>
      <c r="K56" s="45">
        <f>SUM(K57:K57)</f>
        <v>0</v>
      </c>
      <c r="L56" s="45">
        <f>SUM(L57:L57)</f>
        <v>0</v>
      </c>
      <c r="M56" s="33"/>
      <c r="N56" s="36"/>
      <c r="AI56" s="38"/>
      <c r="AS56" s="45">
        <f>SUM(AJ57:AJ57)</f>
        <v>0</v>
      </c>
      <c r="AT56" s="45">
        <f>SUM(AK57:AK57)</f>
        <v>0</v>
      </c>
      <c r="AU56" s="45">
        <f>SUM(AL57:AL57)</f>
        <v>0</v>
      </c>
    </row>
    <row r="57" spans="1:64" ht="12.75">
      <c r="A57" s="4" t="s">
        <v>38</v>
      </c>
      <c r="B57" s="13" t="s">
        <v>80</v>
      </c>
      <c r="C57" s="114" t="s">
        <v>131</v>
      </c>
      <c r="D57" s="115"/>
      <c r="E57" s="115"/>
      <c r="F57" s="115"/>
      <c r="G57" s="13" t="s">
        <v>147</v>
      </c>
      <c r="H57" s="21">
        <v>1</v>
      </c>
      <c r="I57" s="21">
        <v>0</v>
      </c>
      <c r="J57" s="21">
        <f>H57*AO57</f>
        <v>0</v>
      </c>
      <c r="K57" s="21">
        <f>H57*AP57</f>
        <v>0</v>
      </c>
      <c r="L57" s="21">
        <f>H57*I57</f>
        <v>0</v>
      </c>
      <c r="M57" s="32"/>
      <c r="N57" s="36"/>
      <c r="Z57" s="39">
        <f>IF(AQ57="5",BJ57,0)</f>
        <v>0</v>
      </c>
      <c r="AB57" s="39">
        <f>IF(AQ57="1",BH57,0)</f>
        <v>0</v>
      </c>
      <c r="AC57" s="39">
        <f>IF(AQ57="1",BI57,0)</f>
        <v>0</v>
      </c>
      <c r="AD57" s="39">
        <f>IF(AQ57="7",BH57,0)</f>
        <v>0</v>
      </c>
      <c r="AE57" s="39">
        <f>IF(AQ57="7",BI57,0)</f>
        <v>0</v>
      </c>
      <c r="AF57" s="39">
        <f>IF(AQ57="2",BH57,0)</f>
        <v>0</v>
      </c>
      <c r="AG57" s="39">
        <f>IF(AQ57="2",BI57,0)</f>
        <v>0</v>
      </c>
      <c r="AH57" s="39">
        <f>IF(AQ57="0",BJ57,0)</f>
        <v>0</v>
      </c>
      <c r="AI57" s="38"/>
      <c r="AJ57" s="21">
        <f>IF(AN57=0,L57,0)</f>
        <v>0</v>
      </c>
      <c r="AK57" s="21">
        <f>IF(AN57=15,L57,0)</f>
        <v>0</v>
      </c>
      <c r="AL57" s="21">
        <f>IF(AN57=21,L57,0)</f>
        <v>0</v>
      </c>
      <c r="AN57" s="39">
        <v>15</v>
      </c>
      <c r="AO57" s="39">
        <f>I57*0</f>
        <v>0</v>
      </c>
      <c r="AP57" s="39">
        <f>I57*(1-0)</f>
        <v>0</v>
      </c>
      <c r="AQ57" s="40" t="s">
        <v>174</v>
      </c>
      <c r="AV57" s="39">
        <f>AW57+AX57</f>
        <v>0</v>
      </c>
      <c r="AW57" s="39">
        <f>H57*AO57</f>
        <v>0</v>
      </c>
      <c r="AX57" s="39">
        <f>H57*AP57</f>
        <v>0</v>
      </c>
      <c r="AY57" s="42" t="s">
        <v>187</v>
      </c>
      <c r="AZ57" s="42" t="s">
        <v>196</v>
      </c>
      <c r="BA57" s="38" t="s">
        <v>197</v>
      </c>
      <c r="BC57" s="39">
        <f>AW57+AX57</f>
        <v>0</v>
      </c>
      <c r="BD57" s="39">
        <f>I57/(100-BE57)*100</f>
        <v>0</v>
      </c>
      <c r="BE57" s="39">
        <v>0</v>
      </c>
      <c r="BF57" s="39">
        <f>57</f>
        <v>57</v>
      </c>
      <c r="BH57" s="21">
        <f>H57*AO57</f>
        <v>0</v>
      </c>
      <c r="BI57" s="21">
        <f>H57*AP57</f>
        <v>0</v>
      </c>
      <c r="BJ57" s="21">
        <f>H57*I57</f>
        <v>0</v>
      </c>
      <c r="BK57" s="21" t="s">
        <v>202</v>
      </c>
      <c r="BL57" s="39" t="s">
        <v>79</v>
      </c>
    </row>
    <row r="58" spans="1:47" ht="12.75">
      <c r="A58" s="5"/>
      <c r="B58" s="14" t="s">
        <v>81</v>
      </c>
      <c r="C58" s="116" t="s">
        <v>132</v>
      </c>
      <c r="D58" s="117"/>
      <c r="E58" s="117"/>
      <c r="F58" s="117"/>
      <c r="G58" s="19" t="s">
        <v>6</v>
      </c>
      <c r="H58" s="19" t="s">
        <v>6</v>
      </c>
      <c r="I58" s="19" t="s">
        <v>6</v>
      </c>
      <c r="J58" s="45">
        <f>SUM(J59:J59)</f>
        <v>0</v>
      </c>
      <c r="K58" s="45">
        <f>SUM(K59:K59)</f>
        <v>0</v>
      </c>
      <c r="L58" s="45">
        <f>SUM(L59:L59)</f>
        <v>0</v>
      </c>
      <c r="M58" s="33"/>
      <c r="N58" s="36"/>
      <c r="AI58" s="38"/>
      <c r="AS58" s="45">
        <f>SUM(AJ59:AJ59)</f>
        <v>0</v>
      </c>
      <c r="AT58" s="45">
        <f>SUM(AK59:AK59)</f>
        <v>0</v>
      </c>
      <c r="AU58" s="45">
        <f>SUM(AL59:AL59)</f>
        <v>0</v>
      </c>
    </row>
    <row r="59" spans="1:64" ht="12.75">
      <c r="A59" s="7" t="s">
        <v>39</v>
      </c>
      <c r="B59" s="16" t="s">
        <v>82</v>
      </c>
      <c r="C59" s="120" t="s">
        <v>133</v>
      </c>
      <c r="D59" s="121"/>
      <c r="E59" s="121"/>
      <c r="F59" s="121"/>
      <c r="G59" s="16" t="s">
        <v>147</v>
      </c>
      <c r="H59" s="23">
        <v>1</v>
      </c>
      <c r="I59" s="23">
        <v>0</v>
      </c>
      <c r="J59" s="23">
        <f>H59*AO59</f>
        <v>0</v>
      </c>
      <c r="K59" s="23">
        <f>H59*AP59</f>
        <v>0</v>
      </c>
      <c r="L59" s="23">
        <f>H59*I59</f>
        <v>0</v>
      </c>
      <c r="M59" s="35"/>
      <c r="N59" s="36"/>
      <c r="Z59" s="39">
        <f>IF(AQ59="5",BJ59,0)</f>
        <v>0</v>
      </c>
      <c r="AB59" s="39">
        <f>IF(AQ59="1",BH59,0)</f>
        <v>0</v>
      </c>
      <c r="AC59" s="39">
        <f>IF(AQ59="1",BI59,0)</f>
        <v>0</v>
      </c>
      <c r="AD59" s="39">
        <f>IF(AQ59="7",BH59,0)</f>
        <v>0</v>
      </c>
      <c r="AE59" s="39">
        <f>IF(AQ59="7",BI59,0)</f>
        <v>0</v>
      </c>
      <c r="AF59" s="39">
        <f>IF(AQ59="2",BH59,0)</f>
        <v>0</v>
      </c>
      <c r="AG59" s="39">
        <f>IF(AQ59="2",BI59,0)</f>
        <v>0</v>
      </c>
      <c r="AH59" s="39">
        <f>IF(AQ59="0",BJ59,0)</f>
        <v>0</v>
      </c>
      <c r="AI59" s="38"/>
      <c r="AJ59" s="21">
        <f>IF(AN59=0,L59,0)</f>
        <v>0</v>
      </c>
      <c r="AK59" s="21">
        <f>IF(AN59=15,L59,0)</f>
        <v>0</v>
      </c>
      <c r="AL59" s="21">
        <f>IF(AN59=21,L59,0)</f>
        <v>0</v>
      </c>
      <c r="AN59" s="39">
        <v>15</v>
      </c>
      <c r="AO59" s="39">
        <f>I59*0</f>
        <v>0</v>
      </c>
      <c r="AP59" s="39">
        <f>I59*(1-0)</f>
        <v>0</v>
      </c>
      <c r="AQ59" s="40" t="s">
        <v>174</v>
      </c>
      <c r="AV59" s="39">
        <f>AW59+AX59</f>
        <v>0</v>
      </c>
      <c r="AW59" s="39">
        <f>H59*AO59</f>
        <v>0</v>
      </c>
      <c r="AX59" s="39">
        <f>H59*AP59</f>
        <v>0</v>
      </c>
      <c r="AY59" s="42" t="s">
        <v>188</v>
      </c>
      <c r="AZ59" s="42" t="s">
        <v>196</v>
      </c>
      <c r="BA59" s="38" t="s">
        <v>197</v>
      </c>
      <c r="BC59" s="39">
        <f>AW59+AX59</f>
        <v>0</v>
      </c>
      <c r="BD59" s="39">
        <f>I59/(100-BE59)*100</f>
        <v>0</v>
      </c>
      <c r="BE59" s="39">
        <v>0</v>
      </c>
      <c r="BF59" s="39">
        <f>59</f>
        <v>59</v>
      </c>
      <c r="BH59" s="21">
        <f>H59*AO59</f>
        <v>0</v>
      </c>
      <c r="BI59" s="21">
        <f>H59*AP59</f>
        <v>0</v>
      </c>
      <c r="BJ59" s="21">
        <f>H59*I59</f>
        <v>0</v>
      </c>
      <c r="BK59" s="21" t="s">
        <v>202</v>
      </c>
      <c r="BL59" s="39" t="s">
        <v>81</v>
      </c>
    </row>
    <row r="60" spans="1:13" ht="12.75">
      <c r="A60" s="8"/>
      <c r="B60" s="8"/>
      <c r="C60" s="8"/>
      <c r="D60" s="8"/>
      <c r="E60" s="8"/>
      <c r="F60" s="8"/>
      <c r="G60" s="8"/>
      <c r="H60" s="8"/>
      <c r="I60" s="8"/>
      <c r="J60" s="122" t="s">
        <v>158</v>
      </c>
      <c r="K60" s="91"/>
      <c r="L60" s="46">
        <f>L12+L14+L16+L18+L23+L25+L32+L35+L40+L43+L50+L54+L56+L58</f>
        <v>0</v>
      </c>
      <c r="M60" s="8"/>
    </row>
    <row r="61" ht="11.25" customHeight="1">
      <c r="A61" s="9" t="s">
        <v>40</v>
      </c>
    </row>
    <row r="62" spans="1:13" ht="12.75">
      <c r="A62" s="9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</sheetData>
  <sheetProtection/>
  <mergeCells count="78">
    <mergeCell ref="C57:F57"/>
    <mergeCell ref="C58:F58"/>
    <mergeCell ref="C59:F59"/>
    <mergeCell ref="J60:K60"/>
    <mergeCell ref="A62:M62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C10:F10"/>
    <mergeCell ref="J10:L10"/>
    <mergeCell ref="C11:F11"/>
    <mergeCell ref="C12:F12"/>
    <mergeCell ref="C13:F13"/>
    <mergeCell ref="C14:F14"/>
    <mergeCell ref="A8:B9"/>
    <mergeCell ref="C8:D9"/>
    <mergeCell ref="E8:F9"/>
    <mergeCell ref="G8:H9"/>
    <mergeCell ref="I8:I9"/>
    <mergeCell ref="J8:M9"/>
    <mergeCell ref="A6:B7"/>
    <mergeCell ref="C6:D7"/>
    <mergeCell ref="E6:F7"/>
    <mergeCell ref="G6:H7"/>
    <mergeCell ref="I6:I7"/>
    <mergeCell ref="J6:M7"/>
    <mergeCell ref="A4:B5"/>
    <mergeCell ref="C4:D5"/>
    <mergeCell ref="E4:F5"/>
    <mergeCell ref="G4:H5"/>
    <mergeCell ref="I4:I5"/>
    <mergeCell ref="J4:M5"/>
    <mergeCell ref="A1:M1"/>
    <mergeCell ref="A2:B3"/>
    <mergeCell ref="C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84" t="s">
        <v>205</v>
      </c>
      <c r="B1" s="85"/>
      <c r="C1" s="85"/>
      <c r="D1" s="85"/>
      <c r="E1" s="85"/>
      <c r="F1" s="85"/>
      <c r="G1" s="85"/>
    </row>
    <row r="2" spans="1:8" ht="12.75">
      <c r="A2" s="86" t="s">
        <v>1</v>
      </c>
      <c r="B2" s="87"/>
      <c r="C2" s="90" t="str">
        <f>'Stavební rozpočet'!C2</f>
        <v>Rekonstrukce čištění odpadních vod - septik</v>
      </c>
      <c r="D2" s="93" t="s">
        <v>134</v>
      </c>
      <c r="E2" s="93" t="s">
        <v>6</v>
      </c>
      <c r="F2" s="94" t="s">
        <v>149</v>
      </c>
      <c r="G2" s="123" t="str">
        <f>'Stavební rozpočet'!J2</f>
        <v> </v>
      </c>
      <c r="H2" s="36"/>
    </row>
    <row r="3" spans="1:8" ht="12.75">
      <c r="A3" s="88"/>
      <c r="B3" s="89"/>
      <c r="C3" s="92"/>
      <c r="D3" s="89"/>
      <c r="E3" s="89"/>
      <c r="F3" s="89"/>
      <c r="G3" s="96"/>
      <c r="H3" s="36"/>
    </row>
    <row r="4" spans="1:8" ht="12.75">
      <c r="A4" s="97" t="s">
        <v>2</v>
      </c>
      <c r="B4" s="89"/>
      <c r="C4" s="98" t="str">
        <f>'Stavební rozpočet'!C4</f>
        <v> </v>
      </c>
      <c r="D4" s="99" t="s">
        <v>135</v>
      </c>
      <c r="E4" s="99" t="s">
        <v>138</v>
      </c>
      <c r="F4" s="98" t="s">
        <v>150</v>
      </c>
      <c r="G4" s="124" t="str">
        <f>'Stavební rozpočet'!J4</f>
        <v> </v>
      </c>
      <c r="H4" s="36"/>
    </row>
    <row r="5" spans="1:8" ht="12.75">
      <c r="A5" s="88"/>
      <c r="B5" s="89"/>
      <c r="C5" s="89"/>
      <c r="D5" s="89"/>
      <c r="E5" s="89"/>
      <c r="F5" s="89"/>
      <c r="G5" s="96"/>
      <c r="H5" s="36"/>
    </row>
    <row r="6" spans="1:8" ht="12.75">
      <c r="A6" s="97" t="s">
        <v>3</v>
      </c>
      <c r="B6" s="89"/>
      <c r="C6" s="98" t="str">
        <f>'Stavební rozpočet'!C6</f>
        <v>Kostelec u Křížků č.p. 75</v>
      </c>
      <c r="D6" s="99" t="s">
        <v>136</v>
      </c>
      <c r="E6" s="99" t="s">
        <v>6</v>
      </c>
      <c r="F6" s="98" t="s">
        <v>151</v>
      </c>
      <c r="G6" s="124" t="str">
        <f>'Stavební rozpočet'!J6</f>
        <v> </v>
      </c>
      <c r="H6" s="36"/>
    </row>
    <row r="7" spans="1:8" ht="12.75">
      <c r="A7" s="88"/>
      <c r="B7" s="89"/>
      <c r="C7" s="89"/>
      <c r="D7" s="89"/>
      <c r="E7" s="89"/>
      <c r="F7" s="89"/>
      <c r="G7" s="96"/>
      <c r="H7" s="36"/>
    </row>
    <row r="8" spans="1:8" ht="12.75">
      <c r="A8" s="97" t="s">
        <v>152</v>
      </c>
      <c r="B8" s="89"/>
      <c r="C8" s="98" t="str">
        <f>'Stavební rozpočet'!J8</f>
        <v>ardeo, s.r.o.</v>
      </c>
      <c r="D8" s="99" t="s">
        <v>137</v>
      </c>
      <c r="E8" s="99" t="s">
        <v>139</v>
      </c>
      <c r="F8" s="99" t="s">
        <v>137</v>
      </c>
      <c r="G8" s="124" t="str">
        <f>'Stavební rozpočet'!G8</f>
        <v>14.05.2022</v>
      </c>
      <c r="H8" s="36"/>
    </row>
    <row r="9" spans="1:8" ht="12.75">
      <c r="A9" s="100"/>
      <c r="B9" s="101"/>
      <c r="C9" s="101"/>
      <c r="D9" s="125"/>
      <c r="E9" s="101"/>
      <c r="F9" s="101"/>
      <c r="G9" s="102"/>
      <c r="H9" s="36"/>
    </row>
    <row r="10" spans="1:8" ht="12.75">
      <c r="A10" s="47" t="s">
        <v>206</v>
      </c>
      <c r="B10" s="50" t="s">
        <v>41</v>
      </c>
      <c r="C10" s="52" t="s">
        <v>85</v>
      </c>
      <c r="D10" s="53"/>
      <c r="E10" s="54" t="s">
        <v>207</v>
      </c>
      <c r="F10" s="54" t="s">
        <v>208</v>
      </c>
      <c r="G10" s="54" t="s">
        <v>209</v>
      </c>
      <c r="H10" s="36"/>
    </row>
    <row r="11" spans="1:9" ht="12.75">
      <c r="A11" s="48"/>
      <c r="B11" s="51" t="s">
        <v>18</v>
      </c>
      <c r="C11" s="126" t="s">
        <v>87</v>
      </c>
      <c r="D11" s="89"/>
      <c r="E11" s="56">
        <f>'Stavební rozpočet'!J12</f>
        <v>0</v>
      </c>
      <c r="F11" s="56">
        <f>'Stavební rozpočet'!K12</f>
        <v>0</v>
      </c>
      <c r="G11" s="56">
        <f>'Stavební rozpočet'!L12</f>
        <v>0</v>
      </c>
      <c r="H11" s="39" t="s">
        <v>210</v>
      </c>
      <c r="I11" s="39">
        <f aca="true" t="shared" si="0" ref="I11:I25">IF(H11="F",0,G11)</f>
        <v>0</v>
      </c>
    </row>
    <row r="12" spans="1:9" ht="12.75">
      <c r="A12" s="49"/>
      <c r="B12" s="17" t="s">
        <v>23</v>
      </c>
      <c r="C12" s="99" t="s">
        <v>89</v>
      </c>
      <c r="D12" s="89"/>
      <c r="E12" s="39">
        <f>'Stavební rozpočet'!J14</f>
        <v>0</v>
      </c>
      <c r="F12" s="39">
        <f>'Stavební rozpočet'!K14</f>
        <v>0</v>
      </c>
      <c r="G12" s="39">
        <f>'Stavební rozpočet'!L14</f>
        <v>0</v>
      </c>
      <c r="H12" s="39" t="s">
        <v>210</v>
      </c>
      <c r="I12" s="39">
        <f t="shared" si="0"/>
        <v>0</v>
      </c>
    </row>
    <row r="13" spans="1:9" ht="12.75">
      <c r="A13" s="49"/>
      <c r="B13" s="17" t="s">
        <v>25</v>
      </c>
      <c r="C13" s="99" t="s">
        <v>91</v>
      </c>
      <c r="D13" s="89"/>
      <c r="E13" s="39">
        <f>'Stavební rozpočet'!J16</f>
        <v>0</v>
      </c>
      <c r="F13" s="39">
        <f>'Stavební rozpočet'!K16</f>
        <v>0</v>
      </c>
      <c r="G13" s="39">
        <f>'Stavební rozpočet'!L16</f>
        <v>0</v>
      </c>
      <c r="H13" s="39" t="s">
        <v>210</v>
      </c>
      <c r="I13" s="39">
        <f t="shared" si="0"/>
        <v>0</v>
      </c>
    </row>
    <row r="14" spans="1:9" ht="12.75">
      <c r="A14" s="49"/>
      <c r="B14" s="17" t="s">
        <v>33</v>
      </c>
      <c r="C14" s="99" t="s">
        <v>93</v>
      </c>
      <c r="D14" s="89"/>
      <c r="E14" s="39">
        <f>'Stavební rozpočet'!J18</f>
        <v>0</v>
      </c>
      <c r="F14" s="39">
        <f>'Stavební rozpočet'!K18</f>
        <v>0</v>
      </c>
      <c r="G14" s="39">
        <f>'Stavební rozpočet'!L18</f>
        <v>0</v>
      </c>
      <c r="H14" s="39" t="s">
        <v>210</v>
      </c>
      <c r="I14" s="39">
        <f t="shared" si="0"/>
        <v>0</v>
      </c>
    </row>
    <row r="15" spans="1:9" ht="12.75">
      <c r="A15" s="49"/>
      <c r="B15" s="17" t="s">
        <v>49</v>
      </c>
      <c r="C15" s="99" t="s">
        <v>98</v>
      </c>
      <c r="D15" s="89"/>
      <c r="E15" s="39">
        <f>'Stavební rozpočet'!J23</f>
        <v>0</v>
      </c>
      <c r="F15" s="39">
        <f>'Stavební rozpočet'!K23</f>
        <v>0</v>
      </c>
      <c r="G15" s="39">
        <f>'Stavební rozpočet'!L23</f>
        <v>0</v>
      </c>
      <c r="H15" s="39" t="s">
        <v>210</v>
      </c>
      <c r="I15" s="39">
        <f t="shared" si="0"/>
        <v>0</v>
      </c>
    </row>
    <row r="16" spans="1:9" ht="12.75">
      <c r="A16" s="49"/>
      <c r="B16" s="17" t="s">
        <v>51</v>
      </c>
      <c r="C16" s="99" t="s">
        <v>100</v>
      </c>
      <c r="D16" s="89"/>
      <c r="E16" s="39">
        <f>'Stavební rozpočet'!J25</f>
        <v>0</v>
      </c>
      <c r="F16" s="39">
        <f>'Stavební rozpočet'!K25</f>
        <v>0</v>
      </c>
      <c r="G16" s="39">
        <f>'Stavební rozpočet'!L25</f>
        <v>0</v>
      </c>
      <c r="H16" s="39" t="s">
        <v>210</v>
      </c>
      <c r="I16" s="39">
        <f t="shared" si="0"/>
        <v>0</v>
      </c>
    </row>
    <row r="17" spans="1:9" ht="12.75">
      <c r="A17" s="49"/>
      <c r="B17" s="17" t="s">
        <v>58</v>
      </c>
      <c r="C17" s="99" t="s">
        <v>107</v>
      </c>
      <c r="D17" s="89"/>
      <c r="E17" s="39">
        <f>'Stavební rozpočet'!J32</f>
        <v>0</v>
      </c>
      <c r="F17" s="39">
        <f>'Stavební rozpočet'!K32</f>
        <v>0</v>
      </c>
      <c r="G17" s="39">
        <f>'Stavební rozpočet'!L32</f>
        <v>0</v>
      </c>
      <c r="H17" s="39" t="s">
        <v>210</v>
      </c>
      <c r="I17" s="39">
        <f t="shared" si="0"/>
        <v>0</v>
      </c>
    </row>
    <row r="18" spans="1:9" ht="12.75">
      <c r="A18" s="49"/>
      <c r="B18" s="17" t="s">
        <v>61</v>
      </c>
      <c r="C18" s="99" t="s">
        <v>110</v>
      </c>
      <c r="D18" s="89"/>
      <c r="E18" s="39">
        <f>'Stavební rozpočet'!J35</f>
        <v>0</v>
      </c>
      <c r="F18" s="39">
        <f>'Stavební rozpočet'!K35</f>
        <v>0</v>
      </c>
      <c r="G18" s="39">
        <f>'Stavební rozpočet'!L35</f>
        <v>0</v>
      </c>
      <c r="H18" s="39" t="s">
        <v>210</v>
      </c>
      <c r="I18" s="39">
        <f t="shared" si="0"/>
        <v>0</v>
      </c>
    </row>
    <row r="19" spans="1:9" ht="12.75">
      <c r="A19" s="49"/>
      <c r="B19" s="17" t="s">
        <v>65</v>
      </c>
      <c r="C19" s="99" t="s">
        <v>115</v>
      </c>
      <c r="D19" s="89"/>
      <c r="E19" s="39">
        <f>'Stavební rozpočet'!J40</f>
        <v>0</v>
      </c>
      <c r="F19" s="39">
        <f>'Stavební rozpočet'!K40</f>
        <v>0</v>
      </c>
      <c r="G19" s="39">
        <f>'Stavební rozpočet'!L40</f>
        <v>0</v>
      </c>
      <c r="H19" s="39" t="s">
        <v>210</v>
      </c>
      <c r="I19" s="39">
        <f t="shared" si="0"/>
        <v>0</v>
      </c>
    </row>
    <row r="20" spans="1:9" ht="12.75">
      <c r="A20" s="49"/>
      <c r="B20" s="17" t="s">
        <v>68</v>
      </c>
      <c r="C20" s="99" t="s">
        <v>118</v>
      </c>
      <c r="D20" s="89"/>
      <c r="E20" s="39">
        <f>'Stavební rozpočet'!J43</f>
        <v>0</v>
      </c>
      <c r="F20" s="39">
        <f>'Stavební rozpočet'!K43</f>
        <v>0</v>
      </c>
      <c r="G20" s="39">
        <f>'Stavební rozpočet'!L43</f>
        <v>0</v>
      </c>
      <c r="H20" s="39" t="s">
        <v>210</v>
      </c>
      <c r="I20" s="39">
        <f t="shared" si="0"/>
        <v>0</v>
      </c>
    </row>
    <row r="21" spans="1:9" ht="12.75">
      <c r="A21" s="49"/>
      <c r="B21" s="17"/>
      <c r="C21" s="99" t="s">
        <v>125</v>
      </c>
      <c r="D21" s="89"/>
      <c r="E21" s="39">
        <f>'Stavební rozpočet'!J50</f>
        <v>0</v>
      </c>
      <c r="F21" s="39">
        <f>'Stavební rozpočet'!K50</f>
        <v>0</v>
      </c>
      <c r="G21" s="39">
        <f>'Stavební rozpočet'!L50</f>
        <v>0</v>
      </c>
      <c r="H21" s="39" t="s">
        <v>210</v>
      </c>
      <c r="I21" s="39">
        <f t="shared" si="0"/>
        <v>0</v>
      </c>
    </row>
    <row r="22" spans="1:9" ht="12.75">
      <c r="A22" s="49"/>
      <c r="B22" s="17"/>
      <c r="C22" s="99" t="s">
        <v>128</v>
      </c>
      <c r="D22" s="89"/>
      <c r="E22" s="39">
        <f>'Stavební rozpočet'!J53</f>
        <v>0</v>
      </c>
      <c r="F22" s="39">
        <f>'Stavební rozpočet'!K53</f>
        <v>0</v>
      </c>
      <c r="G22" s="39">
        <f>'Stavební rozpočet'!L53</f>
        <v>0</v>
      </c>
      <c r="H22" s="39" t="s">
        <v>211</v>
      </c>
      <c r="I22" s="39">
        <f t="shared" si="0"/>
        <v>0</v>
      </c>
    </row>
    <row r="23" spans="1:9" ht="12.75">
      <c r="A23" s="49"/>
      <c r="B23" s="17" t="s">
        <v>77</v>
      </c>
      <c r="C23" s="99" t="s">
        <v>129</v>
      </c>
      <c r="D23" s="89"/>
      <c r="E23" s="39">
        <f>'Stavební rozpočet'!J54</f>
        <v>0</v>
      </c>
      <c r="F23" s="39">
        <f>'Stavební rozpočet'!K54</f>
        <v>0</v>
      </c>
      <c r="G23" s="39">
        <f>'Stavební rozpočet'!L54</f>
        <v>0</v>
      </c>
      <c r="H23" s="39" t="s">
        <v>210</v>
      </c>
      <c r="I23" s="39">
        <f t="shared" si="0"/>
        <v>0</v>
      </c>
    </row>
    <row r="24" spans="1:9" ht="12.75">
      <c r="A24" s="49"/>
      <c r="B24" s="17" t="s">
        <v>79</v>
      </c>
      <c r="C24" s="99" t="s">
        <v>131</v>
      </c>
      <c r="D24" s="89"/>
      <c r="E24" s="39">
        <f>'Stavební rozpočet'!J56</f>
        <v>0</v>
      </c>
      <c r="F24" s="39">
        <f>'Stavební rozpočet'!K56</f>
        <v>0</v>
      </c>
      <c r="G24" s="39">
        <f>'Stavební rozpočet'!L56</f>
        <v>0</v>
      </c>
      <c r="H24" s="39" t="s">
        <v>210</v>
      </c>
      <c r="I24" s="39">
        <f t="shared" si="0"/>
        <v>0</v>
      </c>
    </row>
    <row r="25" spans="1:9" ht="12.75">
      <c r="A25" s="49"/>
      <c r="B25" s="17" t="s">
        <v>81</v>
      </c>
      <c r="C25" s="99" t="s">
        <v>132</v>
      </c>
      <c r="D25" s="89"/>
      <c r="E25" s="39">
        <f>'Stavební rozpočet'!J58</f>
        <v>0</v>
      </c>
      <c r="F25" s="39">
        <f>'Stavební rozpočet'!K58</f>
        <v>0</v>
      </c>
      <c r="G25" s="39">
        <f>'Stavební rozpočet'!L58</f>
        <v>0</v>
      </c>
      <c r="H25" s="39" t="s">
        <v>210</v>
      </c>
      <c r="I25" s="39">
        <f t="shared" si="0"/>
        <v>0</v>
      </c>
    </row>
    <row r="26" spans="6:7" ht="12.75">
      <c r="F26" s="55" t="s">
        <v>158</v>
      </c>
      <c r="G26" s="57">
        <f>SUM(I11:I25)</f>
        <v>0</v>
      </c>
    </row>
  </sheetData>
  <sheetProtection/>
  <mergeCells count="40">
    <mergeCell ref="C23:D23"/>
    <mergeCell ref="C24:D24"/>
    <mergeCell ref="C25:D2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83"/>
      <c r="B1" s="58"/>
      <c r="C1" s="127" t="s">
        <v>226</v>
      </c>
      <c r="D1" s="85"/>
      <c r="E1" s="85"/>
      <c r="F1" s="85"/>
      <c r="G1" s="85"/>
      <c r="H1" s="85"/>
      <c r="I1" s="85"/>
    </row>
    <row r="2" spans="1:10" ht="12.75">
      <c r="A2" s="86" t="s">
        <v>1</v>
      </c>
      <c r="B2" s="87"/>
      <c r="C2" s="90" t="str">
        <f>'Stavební rozpočet'!C2</f>
        <v>Rekonstrukce čištění odpadních vod - septik</v>
      </c>
      <c r="D2" s="91"/>
      <c r="E2" s="94" t="s">
        <v>149</v>
      </c>
      <c r="F2" s="94" t="str">
        <f>'Stavební rozpočet'!J2</f>
        <v> </v>
      </c>
      <c r="G2" s="87"/>
      <c r="H2" s="94" t="s">
        <v>249</v>
      </c>
      <c r="I2" s="128"/>
      <c r="J2" s="36"/>
    </row>
    <row r="3" spans="1:10" ht="12.75">
      <c r="A3" s="88"/>
      <c r="B3" s="89"/>
      <c r="C3" s="92"/>
      <c r="D3" s="92"/>
      <c r="E3" s="89"/>
      <c r="F3" s="89"/>
      <c r="G3" s="89"/>
      <c r="H3" s="89"/>
      <c r="I3" s="96"/>
      <c r="J3" s="36"/>
    </row>
    <row r="4" spans="1:10" ht="12.75">
      <c r="A4" s="97" t="s">
        <v>2</v>
      </c>
      <c r="B4" s="89"/>
      <c r="C4" s="98" t="str">
        <f>'Stavební rozpočet'!C4</f>
        <v> </v>
      </c>
      <c r="D4" s="89"/>
      <c r="E4" s="98" t="s">
        <v>150</v>
      </c>
      <c r="F4" s="98" t="str">
        <f>'Stavební rozpočet'!J4</f>
        <v> </v>
      </c>
      <c r="G4" s="89"/>
      <c r="H4" s="98" t="s">
        <v>249</v>
      </c>
      <c r="I4" s="129"/>
      <c r="J4" s="36"/>
    </row>
    <row r="5" spans="1:10" ht="12.75">
      <c r="A5" s="88"/>
      <c r="B5" s="89"/>
      <c r="C5" s="89"/>
      <c r="D5" s="89"/>
      <c r="E5" s="89"/>
      <c r="F5" s="89"/>
      <c r="G5" s="89"/>
      <c r="H5" s="89"/>
      <c r="I5" s="96"/>
      <c r="J5" s="36"/>
    </row>
    <row r="6" spans="1:10" ht="12.75">
      <c r="A6" s="97" t="s">
        <v>3</v>
      </c>
      <c r="B6" s="89"/>
      <c r="C6" s="98" t="str">
        <f>'Stavební rozpočet'!C6</f>
        <v>Kostelec u Křížků č.p. 75</v>
      </c>
      <c r="D6" s="89"/>
      <c r="E6" s="98" t="s">
        <v>151</v>
      </c>
      <c r="F6" s="98" t="str">
        <f>'Stavební rozpočet'!J6</f>
        <v> </v>
      </c>
      <c r="G6" s="89"/>
      <c r="H6" s="98" t="s">
        <v>249</v>
      </c>
      <c r="I6" s="129"/>
      <c r="J6" s="36"/>
    </row>
    <row r="7" spans="1:10" ht="12.75">
      <c r="A7" s="88"/>
      <c r="B7" s="89"/>
      <c r="C7" s="89"/>
      <c r="D7" s="89"/>
      <c r="E7" s="89"/>
      <c r="F7" s="89"/>
      <c r="G7" s="89"/>
      <c r="H7" s="89"/>
      <c r="I7" s="96"/>
      <c r="J7" s="36"/>
    </row>
    <row r="8" spans="1:10" ht="12.75">
      <c r="A8" s="97" t="s">
        <v>135</v>
      </c>
      <c r="B8" s="89"/>
      <c r="C8" s="98" t="str">
        <f>'Stavební rozpočet'!G4</f>
        <v>01.06.2022</v>
      </c>
      <c r="D8" s="89"/>
      <c r="E8" s="98" t="s">
        <v>136</v>
      </c>
      <c r="F8" s="98" t="str">
        <f>'Stavební rozpočet'!G6</f>
        <v> </v>
      </c>
      <c r="G8" s="89"/>
      <c r="H8" s="99" t="s">
        <v>250</v>
      </c>
      <c r="I8" s="129" t="s">
        <v>39</v>
      </c>
      <c r="J8" s="36"/>
    </row>
    <row r="9" spans="1:10" ht="12.75">
      <c r="A9" s="88"/>
      <c r="B9" s="89"/>
      <c r="C9" s="89"/>
      <c r="D9" s="89"/>
      <c r="E9" s="89"/>
      <c r="F9" s="89"/>
      <c r="G9" s="89"/>
      <c r="H9" s="89"/>
      <c r="I9" s="96"/>
      <c r="J9" s="36"/>
    </row>
    <row r="10" spans="1:10" ht="12.75">
      <c r="A10" s="97" t="s">
        <v>4</v>
      </c>
      <c r="B10" s="89"/>
      <c r="C10" s="98" t="str">
        <f>'Stavební rozpočet'!C8</f>
        <v> </v>
      </c>
      <c r="D10" s="89"/>
      <c r="E10" s="98" t="s">
        <v>152</v>
      </c>
      <c r="F10" s="98" t="str">
        <f>'Stavební rozpočet'!J8</f>
        <v>ardeo, s.r.o.</v>
      </c>
      <c r="G10" s="89"/>
      <c r="H10" s="99" t="s">
        <v>251</v>
      </c>
      <c r="I10" s="124" t="str">
        <f>'Stavební rozpočet'!G8</f>
        <v>14.05.2022</v>
      </c>
      <c r="J10" s="36"/>
    </row>
    <row r="11" spans="1:10" ht="12.75">
      <c r="A11" s="130"/>
      <c r="B11" s="125"/>
      <c r="C11" s="125"/>
      <c r="D11" s="125"/>
      <c r="E11" s="125"/>
      <c r="F11" s="125"/>
      <c r="G11" s="125"/>
      <c r="H11" s="125"/>
      <c r="I11" s="131"/>
      <c r="J11" s="36"/>
    </row>
    <row r="12" spans="1:9" ht="23.25" customHeight="1">
      <c r="A12" s="132" t="s">
        <v>212</v>
      </c>
      <c r="B12" s="133"/>
      <c r="C12" s="133"/>
      <c r="D12" s="133"/>
      <c r="E12" s="133"/>
      <c r="F12" s="133"/>
      <c r="G12" s="133"/>
      <c r="H12" s="133"/>
      <c r="I12" s="133"/>
    </row>
    <row r="13" spans="1:10" ht="26.25" customHeight="1">
      <c r="A13" s="59" t="s">
        <v>213</v>
      </c>
      <c r="B13" s="134" t="s">
        <v>224</v>
      </c>
      <c r="C13" s="135"/>
      <c r="D13" s="59" t="s">
        <v>227</v>
      </c>
      <c r="E13" s="134" t="s">
        <v>236</v>
      </c>
      <c r="F13" s="135"/>
      <c r="G13" s="59" t="s">
        <v>237</v>
      </c>
      <c r="H13" s="134" t="s">
        <v>252</v>
      </c>
      <c r="I13" s="135"/>
      <c r="J13" s="36"/>
    </row>
    <row r="14" spans="1:10" ht="15" customHeight="1">
      <c r="A14" s="60" t="s">
        <v>214</v>
      </c>
      <c r="B14" s="64" t="s">
        <v>225</v>
      </c>
      <c r="C14" s="68">
        <f>SUM('Stavební rozpočet'!AB12:AB59)</f>
        <v>0</v>
      </c>
      <c r="D14" s="136" t="s">
        <v>228</v>
      </c>
      <c r="E14" s="137"/>
      <c r="F14" s="68">
        <f>VORN!I15</f>
        <v>0</v>
      </c>
      <c r="G14" s="136" t="s">
        <v>131</v>
      </c>
      <c r="H14" s="137"/>
      <c r="I14" s="68">
        <f>VORN!I21</f>
        <v>0</v>
      </c>
      <c r="J14" s="36"/>
    </row>
    <row r="15" spans="1:10" ht="15" customHeight="1">
      <c r="A15" s="61"/>
      <c r="B15" s="64" t="s">
        <v>159</v>
      </c>
      <c r="C15" s="68">
        <f>SUM('Stavební rozpočet'!AC12:AC59)</f>
        <v>0</v>
      </c>
      <c r="D15" s="136" t="s">
        <v>229</v>
      </c>
      <c r="E15" s="137"/>
      <c r="F15" s="68">
        <f>VORN!I16</f>
        <v>0</v>
      </c>
      <c r="G15" s="136" t="s">
        <v>238</v>
      </c>
      <c r="H15" s="137"/>
      <c r="I15" s="68">
        <f>VORN!I22</f>
        <v>0</v>
      </c>
      <c r="J15" s="36"/>
    </row>
    <row r="16" spans="1:10" ht="15" customHeight="1">
      <c r="A16" s="60" t="s">
        <v>215</v>
      </c>
      <c r="B16" s="64" t="s">
        <v>225</v>
      </c>
      <c r="C16" s="68">
        <f>SUM('Stavební rozpočet'!AD12:AD59)</f>
        <v>0</v>
      </c>
      <c r="D16" s="136" t="s">
        <v>230</v>
      </c>
      <c r="E16" s="137"/>
      <c r="F16" s="68">
        <f>VORN!I17</f>
        <v>0</v>
      </c>
      <c r="G16" s="136" t="s">
        <v>132</v>
      </c>
      <c r="H16" s="137"/>
      <c r="I16" s="68">
        <f>VORN!I23</f>
        <v>0</v>
      </c>
      <c r="J16" s="36"/>
    </row>
    <row r="17" spans="1:10" ht="15" customHeight="1">
      <c r="A17" s="61"/>
      <c r="B17" s="64" t="s">
        <v>159</v>
      </c>
      <c r="C17" s="68">
        <f>SUM('Stavební rozpočet'!AE12:AE59)</f>
        <v>0</v>
      </c>
      <c r="D17" s="136"/>
      <c r="E17" s="137"/>
      <c r="F17" s="69"/>
      <c r="G17" s="136" t="s">
        <v>239</v>
      </c>
      <c r="H17" s="137"/>
      <c r="I17" s="68">
        <f>VORN!I24</f>
        <v>0</v>
      </c>
      <c r="J17" s="36"/>
    </row>
    <row r="18" spans="1:10" ht="15" customHeight="1">
      <c r="A18" s="60" t="s">
        <v>216</v>
      </c>
      <c r="B18" s="64" t="s">
        <v>225</v>
      </c>
      <c r="C18" s="68">
        <f>SUM('Stavební rozpočet'!AF12:AF59)</f>
        <v>0</v>
      </c>
      <c r="D18" s="136"/>
      <c r="E18" s="137"/>
      <c r="F18" s="69"/>
      <c r="G18" s="136" t="s">
        <v>240</v>
      </c>
      <c r="H18" s="137"/>
      <c r="I18" s="68">
        <f>VORN!I25</f>
        <v>0</v>
      </c>
      <c r="J18" s="36"/>
    </row>
    <row r="19" spans="1:10" ht="15" customHeight="1">
      <c r="A19" s="61"/>
      <c r="B19" s="64" t="s">
        <v>159</v>
      </c>
      <c r="C19" s="68">
        <f>SUM('Stavební rozpočet'!AG12:AG59)</f>
        <v>0</v>
      </c>
      <c r="D19" s="136"/>
      <c r="E19" s="137"/>
      <c r="F19" s="69"/>
      <c r="G19" s="136" t="s">
        <v>241</v>
      </c>
      <c r="H19" s="137"/>
      <c r="I19" s="68">
        <f>VORN!I26</f>
        <v>0</v>
      </c>
      <c r="J19" s="36"/>
    </row>
    <row r="20" spans="1:10" ht="15" customHeight="1">
      <c r="A20" s="138" t="s">
        <v>125</v>
      </c>
      <c r="B20" s="139"/>
      <c r="C20" s="68">
        <f>SUM('Stavební rozpočet'!AH12:AH59)</f>
        <v>0</v>
      </c>
      <c r="D20" s="136"/>
      <c r="E20" s="137"/>
      <c r="F20" s="69"/>
      <c r="G20" s="136"/>
      <c r="H20" s="137"/>
      <c r="I20" s="69"/>
      <c r="J20" s="36"/>
    </row>
    <row r="21" spans="1:10" ht="15" customHeight="1">
      <c r="A21" s="138" t="s">
        <v>217</v>
      </c>
      <c r="B21" s="139"/>
      <c r="C21" s="68">
        <f>SUM('Stavební rozpočet'!Z12:Z59)</f>
        <v>0</v>
      </c>
      <c r="D21" s="136"/>
      <c r="E21" s="137"/>
      <c r="F21" s="69"/>
      <c r="G21" s="136"/>
      <c r="H21" s="137"/>
      <c r="I21" s="69"/>
      <c r="J21" s="36"/>
    </row>
    <row r="22" spans="1:10" ht="16.5" customHeight="1">
      <c r="A22" s="138" t="s">
        <v>218</v>
      </c>
      <c r="B22" s="139"/>
      <c r="C22" s="68">
        <f>SUM(C14:C21)</f>
        <v>0</v>
      </c>
      <c r="D22" s="138" t="s">
        <v>231</v>
      </c>
      <c r="E22" s="139"/>
      <c r="F22" s="68">
        <f>SUM(F14:F21)</f>
        <v>0</v>
      </c>
      <c r="G22" s="138" t="s">
        <v>242</v>
      </c>
      <c r="H22" s="139"/>
      <c r="I22" s="68">
        <f>SUM(I14:I21)</f>
        <v>0</v>
      </c>
      <c r="J22" s="36"/>
    </row>
    <row r="23" spans="1:10" ht="15" customHeight="1">
      <c r="A23" s="8"/>
      <c r="B23" s="8"/>
      <c r="C23" s="66"/>
      <c r="D23" s="138" t="s">
        <v>232</v>
      </c>
      <c r="E23" s="139"/>
      <c r="F23" s="70">
        <v>0</v>
      </c>
      <c r="G23" s="138" t="s">
        <v>243</v>
      </c>
      <c r="H23" s="139"/>
      <c r="I23" s="68">
        <v>0</v>
      </c>
      <c r="J23" s="36"/>
    </row>
    <row r="24" spans="4:10" ht="15" customHeight="1">
      <c r="D24" s="8"/>
      <c r="E24" s="8"/>
      <c r="F24" s="71"/>
      <c r="G24" s="138" t="s">
        <v>244</v>
      </c>
      <c r="H24" s="139"/>
      <c r="I24" s="68">
        <f>vorn_sum</f>
        <v>0</v>
      </c>
      <c r="J24" s="36"/>
    </row>
    <row r="25" spans="6:10" ht="15" customHeight="1">
      <c r="F25" s="72"/>
      <c r="G25" s="138" t="s">
        <v>245</v>
      </c>
      <c r="H25" s="139"/>
      <c r="I25" s="68">
        <v>0</v>
      </c>
      <c r="J25" s="36"/>
    </row>
    <row r="26" spans="1:9" ht="12.75">
      <c r="A26" s="58"/>
      <c r="B26" s="58"/>
      <c r="C26" s="58"/>
      <c r="G26" s="8"/>
      <c r="H26" s="8"/>
      <c r="I26" s="8"/>
    </row>
    <row r="27" spans="1:9" ht="15" customHeight="1">
      <c r="A27" s="140" t="s">
        <v>219</v>
      </c>
      <c r="B27" s="141"/>
      <c r="C27" s="73">
        <f>SUM('Stavební rozpočet'!AJ12:AJ59)</f>
        <v>0</v>
      </c>
      <c r="D27" s="67"/>
      <c r="E27" s="58"/>
      <c r="F27" s="58"/>
      <c r="G27" s="58"/>
      <c r="H27" s="58"/>
      <c r="I27" s="58"/>
    </row>
    <row r="28" spans="1:10" ht="15" customHeight="1">
      <c r="A28" s="140" t="s">
        <v>220</v>
      </c>
      <c r="B28" s="141"/>
      <c r="C28" s="73">
        <f>SUM('Stavební rozpočet'!AK12:AK59)</f>
        <v>0</v>
      </c>
      <c r="D28" s="140" t="s">
        <v>233</v>
      </c>
      <c r="E28" s="141"/>
      <c r="F28" s="73">
        <f>ROUND(C28*(15/100),2)</f>
        <v>0</v>
      </c>
      <c r="G28" s="140" t="s">
        <v>246</v>
      </c>
      <c r="H28" s="141"/>
      <c r="I28" s="73">
        <f>SUM(C27:C29)</f>
        <v>0</v>
      </c>
      <c r="J28" s="36"/>
    </row>
    <row r="29" spans="1:10" ht="15" customHeight="1">
      <c r="A29" s="140" t="s">
        <v>221</v>
      </c>
      <c r="B29" s="141"/>
      <c r="C29" s="73">
        <f>SUM('Stavební rozpočet'!AL12:AL59)</f>
        <v>0</v>
      </c>
      <c r="D29" s="140" t="s">
        <v>234</v>
      </c>
      <c r="E29" s="141"/>
      <c r="F29" s="73">
        <f>ROUND(C29*(21/100),2)</f>
        <v>0</v>
      </c>
      <c r="G29" s="140" t="s">
        <v>247</v>
      </c>
      <c r="H29" s="141"/>
      <c r="I29" s="73">
        <f>SUM(F28:F29)+I28</f>
        <v>0</v>
      </c>
      <c r="J29" s="36"/>
    </row>
    <row r="30" spans="1:9" ht="12.75">
      <c r="A30" s="62"/>
      <c r="B30" s="62"/>
      <c r="C30" s="62"/>
      <c r="D30" s="62"/>
      <c r="E30" s="62"/>
      <c r="F30" s="62"/>
      <c r="G30" s="62"/>
      <c r="H30" s="62"/>
      <c r="I30" s="62"/>
    </row>
    <row r="31" spans="1:10" ht="14.25" customHeight="1">
      <c r="A31" s="142" t="s">
        <v>222</v>
      </c>
      <c r="B31" s="143"/>
      <c r="C31" s="144"/>
      <c r="D31" s="142" t="s">
        <v>235</v>
      </c>
      <c r="E31" s="143"/>
      <c r="F31" s="144"/>
      <c r="G31" s="142" t="s">
        <v>248</v>
      </c>
      <c r="H31" s="143"/>
      <c r="I31" s="144"/>
      <c r="J31" s="37"/>
    </row>
    <row r="32" spans="1:10" ht="14.25" customHeight="1">
      <c r="A32" s="145"/>
      <c r="B32" s="146"/>
      <c r="C32" s="147"/>
      <c r="D32" s="145"/>
      <c r="E32" s="146"/>
      <c r="F32" s="147"/>
      <c r="G32" s="145"/>
      <c r="H32" s="146"/>
      <c r="I32" s="147"/>
      <c r="J32" s="37"/>
    </row>
    <row r="33" spans="1:10" ht="14.25" customHeight="1">
      <c r="A33" s="145"/>
      <c r="B33" s="146"/>
      <c r="C33" s="147"/>
      <c r="D33" s="145"/>
      <c r="E33" s="146"/>
      <c r="F33" s="147"/>
      <c r="G33" s="145"/>
      <c r="H33" s="146"/>
      <c r="I33" s="147"/>
      <c r="J33" s="37"/>
    </row>
    <row r="34" spans="1:10" ht="14.25" customHeight="1">
      <c r="A34" s="145"/>
      <c r="B34" s="146"/>
      <c r="C34" s="147"/>
      <c r="D34" s="145"/>
      <c r="E34" s="146"/>
      <c r="F34" s="147"/>
      <c r="G34" s="145"/>
      <c r="H34" s="146"/>
      <c r="I34" s="147"/>
      <c r="J34" s="37"/>
    </row>
    <row r="35" spans="1:10" ht="14.25" customHeight="1">
      <c r="A35" s="148" t="s">
        <v>223</v>
      </c>
      <c r="B35" s="149"/>
      <c r="C35" s="150"/>
      <c r="D35" s="148" t="s">
        <v>223</v>
      </c>
      <c r="E35" s="149"/>
      <c r="F35" s="150"/>
      <c r="G35" s="148" t="s">
        <v>223</v>
      </c>
      <c r="H35" s="149"/>
      <c r="I35" s="150"/>
      <c r="J35" s="37"/>
    </row>
    <row r="36" spans="1:9" ht="11.25" customHeight="1">
      <c r="A36" s="63" t="s">
        <v>40</v>
      </c>
      <c r="B36" s="65"/>
      <c r="C36" s="65"/>
      <c r="D36" s="65"/>
      <c r="E36" s="65"/>
      <c r="F36" s="65"/>
      <c r="G36" s="65"/>
      <c r="H36" s="65"/>
      <c r="I36" s="65"/>
    </row>
    <row r="37" spans="1:9" ht="12.75">
      <c r="A37" s="98"/>
      <c r="B37" s="89"/>
      <c r="C37" s="89"/>
      <c r="D37" s="89"/>
      <c r="E37" s="89"/>
      <c r="F37" s="89"/>
      <c r="G37" s="89"/>
      <c r="H37" s="89"/>
      <c r="I37" s="89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83"/>
      <c r="B1" s="58"/>
      <c r="C1" s="127" t="s">
        <v>261</v>
      </c>
      <c r="D1" s="85"/>
      <c r="E1" s="85"/>
      <c r="F1" s="85"/>
      <c r="G1" s="85"/>
      <c r="H1" s="85"/>
      <c r="I1" s="85"/>
    </row>
    <row r="2" spans="1:10" ht="12.75">
      <c r="A2" s="86" t="s">
        <v>1</v>
      </c>
      <c r="B2" s="87"/>
      <c r="C2" s="90" t="str">
        <f>'Stavební rozpočet'!C2</f>
        <v>Rekonstrukce čištění odpadních vod - septik</v>
      </c>
      <c r="D2" s="91"/>
      <c r="E2" s="94" t="s">
        <v>149</v>
      </c>
      <c r="F2" s="94" t="str">
        <f>'Stavební rozpočet'!J2</f>
        <v> </v>
      </c>
      <c r="G2" s="87"/>
      <c r="H2" s="94" t="s">
        <v>249</v>
      </c>
      <c r="I2" s="128"/>
      <c r="J2" s="36"/>
    </row>
    <row r="3" spans="1:10" ht="12.75">
      <c r="A3" s="88"/>
      <c r="B3" s="89"/>
      <c r="C3" s="92"/>
      <c r="D3" s="92"/>
      <c r="E3" s="89"/>
      <c r="F3" s="89"/>
      <c r="G3" s="89"/>
      <c r="H3" s="89"/>
      <c r="I3" s="96"/>
      <c r="J3" s="36"/>
    </row>
    <row r="4" spans="1:10" ht="12.75">
      <c r="A4" s="97" t="s">
        <v>2</v>
      </c>
      <c r="B4" s="89"/>
      <c r="C4" s="98" t="str">
        <f>'Stavební rozpočet'!C4</f>
        <v> </v>
      </c>
      <c r="D4" s="89"/>
      <c r="E4" s="98" t="s">
        <v>150</v>
      </c>
      <c r="F4" s="98" t="str">
        <f>'Stavební rozpočet'!J4</f>
        <v> </v>
      </c>
      <c r="G4" s="89"/>
      <c r="H4" s="98" t="s">
        <v>249</v>
      </c>
      <c r="I4" s="129"/>
      <c r="J4" s="36"/>
    </row>
    <row r="5" spans="1:10" ht="12.75">
      <c r="A5" s="88"/>
      <c r="B5" s="89"/>
      <c r="C5" s="89"/>
      <c r="D5" s="89"/>
      <c r="E5" s="89"/>
      <c r="F5" s="89"/>
      <c r="G5" s="89"/>
      <c r="H5" s="89"/>
      <c r="I5" s="96"/>
      <c r="J5" s="36"/>
    </row>
    <row r="6" spans="1:10" ht="12.75">
      <c r="A6" s="97" t="s">
        <v>3</v>
      </c>
      <c r="B6" s="89"/>
      <c r="C6" s="98" t="str">
        <f>'Stavební rozpočet'!C6</f>
        <v>Kostelec u Křížků č.p. 75</v>
      </c>
      <c r="D6" s="89"/>
      <c r="E6" s="98" t="s">
        <v>151</v>
      </c>
      <c r="F6" s="98" t="str">
        <f>'Stavební rozpočet'!J6</f>
        <v> </v>
      </c>
      <c r="G6" s="89"/>
      <c r="H6" s="98" t="s">
        <v>249</v>
      </c>
      <c r="I6" s="129"/>
      <c r="J6" s="36"/>
    </row>
    <row r="7" spans="1:10" ht="12.75">
      <c r="A7" s="88"/>
      <c r="B7" s="89"/>
      <c r="C7" s="89"/>
      <c r="D7" s="89"/>
      <c r="E7" s="89"/>
      <c r="F7" s="89"/>
      <c r="G7" s="89"/>
      <c r="H7" s="89"/>
      <c r="I7" s="96"/>
      <c r="J7" s="36"/>
    </row>
    <row r="8" spans="1:10" ht="12.75">
      <c r="A8" s="97" t="s">
        <v>135</v>
      </c>
      <c r="B8" s="89"/>
      <c r="C8" s="98" t="str">
        <f>'Stavební rozpočet'!G4</f>
        <v>01.06.2022</v>
      </c>
      <c r="D8" s="89"/>
      <c r="E8" s="98" t="s">
        <v>136</v>
      </c>
      <c r="F8" s="98" t="str">
        <f>'Stavební rozpočet'!G6</f>
        <v> </v>
      </c>
      <c r="G8" s="89"/>
      <c r="H8" s="99" t="s">
        <v>250</v>
      </c>
      <c r="I8" s="129" t="s">
        <v>39</v>
      </c>
      <c r="J8" s="36"/>
    </row>
    <row r="9" spans="1:10" ht="12.75">
      <c r="A9" s="88"/>
      <c r="B9" s="89"/>
      <c r="C9" s="89"/>
      <c r="D9" s="89"/>
      <c r="E9" s="89"/>
      <c r="F9" s="89"/>
      <c r="G9" s="89"/>
      <c r="H9" s="89"/>
      <c r="I9" s="96"/>
      <c r="J9" s="36"/>
    </row>
    <row r="10" spans="1:10" ht="12.75">
      <c r="A10" s="97" t="s">
        <v>4</v>
      </c>
      <c r="B10" s="89"/>
      <c r="C10" s="98" t="str">
        <f>'Stavební rozpočet'!C8</f>
        <v> </v>
      </c>
      <c r="D10" s="89"/>
      <c r="E10" s="98" t="s">
        <v>152</v>
      </c>
      <c r="F10" s="98" t="str">
        <f>'Stavební rozpočet'!J8</f>
        <v>ardeo, s.r.o.</v>
      </c>
      <c r="G10" s="89"/>
      <c r="H10" s="99" t="s">
        <v>251</v>
      </c>
      <c r="I10" s="124" t="str">
        <f>'Stavební rozpočet'!G8</f>
        <v>14.05.2022</v>
      </c>
      <c r="J10" s="36"/>
    </row>
    <row r="11" spans="1:10" ht="12.75">
      <c r="A11" s="130"/>
      <c r="B11" s="125"/>
      <c r="C11" s="125"/>
      <c r="D11" s="125"/>
      <c r="E11" s="125"/>
      <c r="F11" s="125"/>
      <c r="G11" s="125"/>
      <c r="H11" s="125"/>
      <c r="I11" s="131"/>
      <c r="J11" s="36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151" t="s">
        <v>253</v>
      </c>
      <c r="B13" s="152"/>
      <c r="C13" s="152"/>
      <c r="D13" s="152"/>
      <c r="E13" s="152"/>
      <c r="F13" s="75"/>
      <c r="G13" s="75"/>
      <c r="H13" s="75"/>
      <c r="I13" s="75"/>
    </row>
    <row r="14" spans="1:10" ht="12.75">
      <c r="A14" s="153" t="s">
        <v>254</v>
      </c>
      <c r="B14" s="154"/>
      <c r="C14" s="154"/>
      <c r="D14" s="154"/>
      <c r="E14" s="155"/>
      <c r="F14" s="76" t="s">
        <v>262</v>
      </c>
      <c r="G14" s="76" t="s">
        <v>263</v>
      </c>
      <c r="H14" s="76" t="s">
        <v>264</v>
      </c>
      <c r="I14" s="76" t="s">
        <v>262</v>
      </c>
      <c r="J14" s="37"/>
    </row>
    <row r="15" spans="1:10" ht="12.75">
      <c r="A15" s="156" t="s">
        <v>228</v>
      </c>
      <c r="B15" s="157"/>
      <c r="C15" s="157"/>
      <c r="D15" s="157"/>
      <c r="E15" s="158"/>
      <c r="F15" s="77">
        <v>0</v>
      </c>
      <c r="G15" s="79"/>
      <c r="H15" s="79"/>
      <c r="I15" s="77">
        <f>F15</f>
        <v>0</v>
      </c>
      <c r="J15" s="36"/>
    </row>
    <row r="16" spans="1:10" ht="12.75">
      <c r="A16" s="156" t="s">
        <v>229</v>
      </c>
      <c r="B16" s="157"/>
      <c r="C16" s="157"/>
      <c r="D16" s="157"/>
      <c r="E16" s="158"/>
      <c r="F16" s="77">
        <v>0</v>
      </c>
      <c r="G16" s="79"/>
      <c r="H16" s="79"/>
      <c r="I16" s="77">
        <f>F16</f>
        <v>0</v>
      </c>
      <c r="J16" s="36"/>
    </row>
    <row r="17" spans="1:10" ht="12.75">
      <c r="A17" s="159" t="s">
        <v>230</v>
      </c>
      <c r="B17" s="160"/>
      <c r="C17" s="160"/>
      <c r="D17" s="160"/>
      <c r="E17" s="161"/>
      <c r="F17" s="78">
        <v>0</v>
      </c>
      <c r="G17" s="80"/>
      <c r="H17" s="80"/>
      <c r="I17" s="78">
        <f>F17</f>
        <v>0</v>
      </c>
      <c r="J17" s="36"/>
    </row>
    <row r="18" spans="1:10" ht="12.75">
      <c r="A18" s="162" t="s">
        <v>255</v>
      </c>
      <c r="B18" s="163"/>
      <c r="C18" s="163"/>
      <c r="D18" s="163"/>
      <c r="E18" s="164"/>
      <c r="F18" s="47"/>
      <c r="G18" s="81"/>
      <c r="H18" s="81"/>
      <c r="I18" s="82">
        <f>SUM(I15:I17)</f>
        <v>0</v>
      </c>
      <c r="J18" s="37"/>
    </row>
    <row r="19" spans="1:9" ht="12.75">
      <c r="A19" s="74"/>
      <c r="B19" s="74"/>
      <c r="C19" s="74"/>
      <c r="D19" s="74"/>
      <c r="E19" s="74"/>
      <c r="F19" s="74"/>
      <c r="G19" s="74"/>
      <c r="H19" s="74"/>
      <c r="I19" s="74"/>
    </row>
    <row r="20" spans="1:10" ht="12.75">
      <c r="A20" s="153" t="s">
        <v>252</v>
      </c>
      <c r="B20" s="154"/>
      <c r="C20" s="154"/>
      <c r="D20" s="154"/>
      <c r="E20" s="155"/>
      <c r="F20" s="76" t="s">
        <v>262</v>
      </c>
      <c r="G20" s="76" t="s">
        <v>263</v>
      </c>
      <c r="H20" s="76" t="s">
        <v>264</v>
      </c>
      <c r="I20" s="76" t="s">
        <v>262</v>
      </c>
      <c r="J20" s="37"/>
    </row>
    <row r="21" spans="1:10" ht="12.75">
      <c r="A21" s="156" t="s">
        <v>131</v>
      </c>
      <c r="B21" s="157"/>
      <c r="C21" s="157"/>
      <c r="D21" s="157"/>
      <c r="E21" s="158"/>
      <c r="F21" s="77">
        <v>0</v>
      </c>
      <c r="G21" s="79"/>
      <c r="H21" s="79"/>
      <c r="I21" s="77">
        <f aca="true" t="shared" si="0" ref="I21:I26">F21</f>
        <v>0</v>
      </c>
      <c r="J21" s="36"/>
    </row>
    <row r="22" spans="1:10" ht="12.75">
      <c r="A22" s="156" t="s">
        <v>238</v>
      </c>
      <c r="B22" s="157"/>
      <c r="C22" s="157"/>
      <c r="D22" s="157"/>
      <c r="E22" s="158"/>
      <c r="F22" s="77">
        <v>0</v>
      </c>
      <c r="G22" s="79"/>
      <c r="H22" s="79"/>
      <c r="I22" s="77">
        <f t="shared" si="0"/>
        <v>0</v>
      </c>
      <c r="J22" s="36"/>
    </row>
    <row r="23" spans="1:10" ht="12.75">
      <c r="A23" s="156" t="s">
        <v>132</v>
      </c>
      <c r="B23" s="157"/>
      <c r="C23" s="157"/>
      <c r="D23" s="157"/>
      <c r="E23" s="158"/>
      <c r="F23" s="77">
        <v>0</v>
      </c>
      <c r="G23" s="79"/>
      <c r="H23" s="79"/>
      <c r="I23" s="77">
        <f t="shared" si="0"/>
        <v>0</v>
      </c>
      <c r="J23" s="36"/>
    </row>
    <row r="24" spans="1:10" ht="12.75">
      <c r="A24" s="156" t="s">
        <v>239</v>
      </c>
      <c r="B24" s="157"/>
      <c r="C24" s="157"/>
      <c r="D24" s="157"/>
      <c r="E24" s="158"/>
      <c r="F24" s="77">
        <v>0</v>
      </c>
      <c r="G24" s="79"/>
      <c r="H24" s="79"/>
      <c r="I24" s="77">
        <f t="shared" si="0"/>
        <v>0</v>
      </c>
      <c r="J24" s="36"/>
    </row>
    <row r="25" spans="1:10" ht="12.75">
      <c r="A25" s="156" t="s">
        <v>240</v>
      </c>
      <c r="B25" s="157"/>
      <c r="C25" s="157"/>
      <c r="D25" s="157"/>
      <c r="E25" s="158"/>
      <c r="F25" s="77">
        <v>0</v>
      </c>
      <c r="G25" s="79"/>
      <c r="H25" s="79"/>
      <c r="I25" s="77">
        <f t="shared" si="0"/>
        <v>0</v>
      </c>
      <c r="J25" s="36"/>
    </row>
    <row r="26" spans="1:10" ht="12.75">
      <c r="A26" s="159" t="s">
        <v>241</v>
      </c>
      <c r="B26" s="160"/>
      <c r="C26" s="160"/>
      <c r="D26" s="160"/>
      <c r="E26" s="161"/>
      <c r="F26" s="78">
        <v>0</v>
      </c>
      <c r="G26" s="80"/>
      <c r="H26" s="80"/>
      <c r="I26" s="78">
        <f t="shared" si="0"/>
        <v>0</v>
      </c>
      <c r="J26" s="36"/>
    </row>
    <row r="27" spans="1:10" ht="12.75">
      <c r="A27" s="162" t="s">
        <v>256</v>
      </c>
      <c r="B27" s="163"/>
      <c r="C27" s="163"/>
      <c r="D27" s="163"/>
      <c r="E27" s="164"/>
      <c r="F27" s="47"/>
      <c r="G27" s="81"/>
      <c r="H27" s="81"/>
      <c r="I27" s="82">
        <f>SUM(I21:I26)</f>
        <v>0</v>
      </c>
      <c r="J27" s="37"/>
    </row>
    <row r="28" spans="1:9" ht="12.75">
      <c r="A28" s="74"/>
      <c r="B28" s="74"/>
      <c r="C28" s="74"/>
      <c r="D28" s="74"/>
      <c r="E28" s="74"/>
      <c r="F28" s="74"/>
      <c r="G28" s="74"/>
      <c r="H28" s="74"/>
      <c r="I28" s="74"/>
    </row>
    <row r="29" spans="1:10" ht="15" customHeight="1">
      <c r="A29" s="165" t="s">
        <v>257</v>
      </c>
      <c r="B29" s="166"/>
      <c r="C29" s="166"/>
      <c r="D29" s="166"/>
      <c r="E29" s="167"/>
      <c r="F29" s="168">
        <f>I18+I27</f>
        <v>0</v>
      </c>
      <c r="G29" s="169"/>
      <c r="H29" s="169"/>
      <c r="I29" s="170"/>
      <c r="J29" s="37"/>
    </row>
    <row r="30" spans="1:9" ht="12.75">
      <c r="A30" s="65"/>
      <c r="B30" s="65"/>
      <c r="C30" s="65"/>
      <c r="D30" s="65"/>
      <c r="E30" s="65"/>
      <c r="F30" s="65"/>
      <c r="G30" s="65"/>
      <c r="H30" s="65"/>
      <c r="I30" s="65"/>
    </row>
    <row r="33" spans="1:9" ht="15" customHeight="1">
      <c r="A33" s="151" t="s">
        <v>258</v>
      </c>
      <c r="B33" s="152"/>
      <c r="C33" s="152"/>
      <c r="D33" s="152"/>
      <c r="E33" s="152"/>
      <c r="F33" s="75"/>
      <c r="G33" s="75"/>
      <c r="H33" s="75"/>
      <c r="I33" s="75"/>
    </row>
    <row r="34" spans="1:10" ht="12.75">
      <c r="A34" s="153" t="s">
        <v>259</v>
      </c>
      <c r="B34" s="154"/>
      <c r="C34" s="154"/>
      <c r="D34" s="154"/>
      <c r="E34" s="155"/>
      <c r="F34" s="76" t="s">
        <v>262</v>
      </c>
      <c r="G34" s="76" t="s">
        <v>263</v>
      </c>
      <c r="H34" s="76" t="s">
        <v>264</v>
      </c>
      <c r="I34" s="76" t="s">
        <v>262</v>
      </c>
      <c r="J34" s="37"/>
    </row>
    <row r="35" spans="1:10" ht="12.75">
      <c r="A35" s="159"/>
      <c r="B35" s="160"/>
      <c r="C35" s="160"/>
      <c r="D35" s="160"/>
      <c r="E35" s="161"/>
      <c r="F35" s="78">
        <v>0</v>
      </c>
      <c r="G35" s="80"/>
      <c r="H35" s="80"/>
      <c r="I35" s="78">
        <f>F35</f>
        <v>0</v>
      </c>
      <c r="J35" s="36"/>
    </row>
    <row r="36" spans="1:10" ht="12.75">
      <c r="A36" s="162" t="s">
        <v>260</v>
      </c>
      <c r="B36" s="163"/>
      <c r="C36" s="163"/>
      <c r="D36" s="163"/>
      <c r="E36" s="164"/>
      <c r="F36" s="47"/>
      <c r="G36" s="81"/>
      <c r="H36" s="81"/>
      <c r="I36" s="82">
        <f>SUM(I35:I35)</f>
        <v>0</v>
      </c>
      <c r="J36" s="37"/>
    </row>
    <row r="37" spans="1:9" ht="12.75">
      <c r="A37" s="65"/>
      <c r="B37" s="65"/>
      <c r="C37" s="65"/>
      <c r="D37" s="65"/>
      <c r="E37" s="65"/>
      <c r="F37" s="65"/>
      <c r="G37" s="65"/>
      <c r="H37" s="65"/>
      <c r="I37" s="65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Jager</cp:lastModifiedBy>
  <dcterms:modified xsi:type="dcterms:W3CDTF">2022-05-18T09:32:49Z</dcterms:modified>
  <cp:category/>
  <cp:version/>
  <cp:contentType/>
  <cp:contentStatus/>
</cp:coreProperties>
</file>