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01 - Projekty aktuální, AD\H21\H21 - 069 Jílovský IZ\01 - Projekt IZ\"/>
    </mc:Choice>
  </mc:AlternateContent>
  <bookViews>
    <workbookView xWindow="-120" yWindow="-120" windowWidth="29040" windowHeight="15840"/>
  </bookViews>
  <sheets>
    <sheet name="List1" sheetId="1" r:id="rId1"/>
  </sheets>
  <definedNames>
    <definedName name="_xlnm._FilterDatabase" localSheetId="0" hidden="1">List1!$B$2:$B$137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1" i="1" l="1"/>
  <c r="N137" i="1"/>
  <c r="N120" i="1"/>
  <c r="N107" i="1"/>
  <c r="N95" i="1"/>
  <c r="N85" i="1"/>
  <c r="N47" i="1"/>
  <c r="N23" i="1"/>
  <c r="N11" i="1"/>
  <c r="J4" i="1" l="1"/>
  <c r="H101" i="1" l="1"/>
  <c r="J101" i="1" s="1"/>
  <c r="H76" i="1"/>
  <c r="J76" i="1" s="1"/>
  <c r="H75" i="1"/>
  <c r="J75" i="1" s="1"/>
  <c r="H80" i="1"/>
  <c r="H8" i="1" l="1"/>
  <c r="H10" i="1"/>
  <c r="J10" i="1" s="1"/>
  <c r="H127" i="1"/>
  <c r="J127" i="1" s="1"/>
  <c r="I134" i="1"/>
  <c r="I120" i="1"/>
  <c r="H118" i="1"/>
  <c r="J118" i="1" s="1"/>
  <c r="I111" i="1"/>
  <c r="I100" i="1"/>
  <c r="H98" i="1"/>
  <c r="J98" i="1" s="1"/>
  <c r="I90" i="1"/>
  <c r="I74" i="1"/>
  <c r="I71" i="1"/>
  <c r="I61" i="1"/>
  <c r="I51" i="1"/>
  <c r="I43" i="1"/>
  <c r="J41" i="1"/>
  <c r="I33" i="1"/>
  <c r="J31" i="1"/>
  <c r="I16" i="1"/>
  <c r="J12" i="1"/>
  <c r="H2" i="1"/>
  <c r="J2" i="1" s="1"/>
  <c r="H35" i="1" l="1"/>
  <c r="J35" i="1" s="1"/>
  <c r="H20" i="1"/>
  <c r="J20" i="1" s="1"/>
  <c r="H21" i="1"/>
  <c r="H19" i="1"/>
  <c r="H135" i="1" l="1"/>
  <c r="H133" i="1"/>
  <c r="H120" i="1"/>
  <c r="J120" i="1" s="1"/>
  <c r="H100" i="1"/>
  <c r="H93" i="1"/>
  <c r="J93" i="1" s="1"/>
  <c r="H94" i="1"/>
  <c r="J94" i="1" s="1"/>
  <c r="H79" i="1"/>
  <c r="J79" i="1" s="1"/>
  <c r="J71" i="1"/>
  <c r="H51" i="1"/>
  <c r="J51" i="1" s="1"/>
  <c r="J16" i="1"/>
  <c r="H42" i="1"/>
  <c r="H43" i="1" s="1"/>
  <c r="J43" i="1" s="1"/>
  <c r="H45" i="1"/>
  <c r="J45" i="1" s="1"/>
  <c r="H44" i="1"/>
  <c r="J44" i="1" s="1"/>
  <c r="H47" i="1"/>
  <c r="H46" i="1" s="1"/>
  <c r="J46" i="1" s="1"/>
  <c r="H34" i="1"/>
  <c r="H24" i="1"/>
  <c r="H30" i="1"/>
  <c r="H40" i="1"/>
  <c r="J40" i="1" s="1"/>
  <c r="H33" i="1"/>
  <c r="J33" i="1" s="1"/>
  <c r="J29" i="1"/>
  <c r="H22" i="1"/>
  <c r="H18" i="1"/>
  <c r="H11" i="1"/>
  <c r="H9" i="1"/>
  <c r="J9" i="1" s="1"/>
  <c r="J8" i="1"/>
  <c r="H7" i="1"/>
  <c r="H134" i="1" l="1"/>
  <c r="J134" i="1" s="1"/>
  <c r="J100" i="1"/>
  <c r="J42" i="1"/>
  <c r="J47" i="1"/>
  <c r="H77" i="1" l="1"/>
  <c r="H78" i="1"/>
  <c r="J78" i="1" s="1"/>
  <c r="H81" i="1"/>
  <c r="J81" i="1" s="1"/>
  <c r="H82" i="1"/>
  <c r="J82" i="1" s="1"/>
  <c r="J77" i="1"/>
  <c r="H84" i="1"/>
  <c r="J84" i="1" s="1"/>
  <c r="H83" i="1"/>
  <c r="J83" i="1" s="1"/>
  <c r="J85" i="1"/>
  <c r="H73" i="1"/>
  <c r="H70" i="1"/>
  <c r="J70" i="1" s="1"/>
  <c r="H66" i="1"/>
  <c r="J66" i="1" s="1"/>
  <c r="H67" i="1"/>
  <c r="J67" i="1" s="1"/>
  <c r="H69" i="1"/>
  <c r="J69" i="1" s="1"/>
  <c r="H65" i="1"/>
  <c r="J65" i="1" s="1"/>
  <c r="H64" i="1"/>
  <c r="J64" i="1" s="1"/>
  <c r="H63" i="1"/>
  <c r="J63" i="1" s="1"/>
  <c r="H62" i="1"/>
  <c r="J62" i="1" s="1"/>
  <c r="H60" i="1"/>
  <c r="H59" i="1" s="1"/>
  <c r="J59" i="1" s="1"/>
  <c r="H57" i="1"/>
  <c r="H58" i="1" s="1"/>
  <c r="J58" i="1" s="1"/>
  <c r="H55" i="1"/>
  <c r="H56" i="1" s="1"/>
  <c r="J56" i="1" s="1"/>
  <c r="H54" i="1"/>
  <c r="J54" i="1" s="1"/>
  <c r="H52" i="1"/>
  <c r="J52" i="1" s="1"/>
  <c r="H53" i="1"/>
  <c r="J53" i="1" s="1"/>
  <c r="H50" i="1"/>
  <c r="H48" i="1"/>
  <c r="J48" i="1" s="1"/>
  <c r="H91" i="1"/>
  <c r="H102" i="1"/>
  <c r="H115" i="1"/>
  <c r="H131" i="1"/>
  <c r="J131" i="1" s="1"/>
  <c r="H123" i="1"/>
  <c r="J123" i="1" s="1"/>
  <c r="H136" i="1"/>
  <c r="H137" i="1"/>
  <c r="H132" i="1" s="1"/>
  <c r="J132" i="1" s="1"/>
  <c r="H130" i="1"/>
  <c r="J130" i="1" s="1"/>
  <c r="H129" i="1"/>
  <c r="J129" i="1" s="1"/>
  <c r="J128" i="1"/>
  <c r="H126" i="1"/>
  <c r="J126" i="1" s="1"/>
  <c r="H125" i="1"/>
  <c r="J125" i="1" s="1"/>
  <c r="H124" i="1"/>
  <c r="J124" i="1" s="1"/>
  <c r="H122" i="1"/>
  <c r="J119" i="1"/>
  <c r="H113" i="1"/>
  <c r="J113" i="1" s="1"/>
  <c r="H110" i="1"/>
  <c r="H109" i="1" s="1"/>
  <c r="J109" i="1" s="1"/>
  <c r="H112" i="1"/>
  <c r="J112" i="1" s="1"/>
  <c r="H108" i="1"/>
  <c r="J122" i="1" l="1"/>
  <c r="H121" i="1"/>
  <c r="J121" i="1" s="1"/>
  <c r="H72" i="1"/>
  <c r="J72" i="1" s="1"/>
  <c r="J50" i="1"/>
  <c r="H49" i="1"/>
  <c r="J49" i="1" s="1"/>
  <c r="J110" i="1"/>
  <c r="H111" i="1"/>
  <c r="J111" i="1" s="1"/>
  <c r="J73" i="1"/>
  <c r="H74" i="1"/>
  <c r="J74" i="1" s="1"/>
  <c r="J60" i="1"/>
  <c r="H61" i="1"/>
  <c r="J61" i="1" s="1"/>
  <c r="J80" i="1"/>
  <c r="J68" i="1"/>
  <c r="J57" i="1"/>
  <c r="J55" i="1"/>
  <c r="J108" i="1"/>
  <c r="H105" i="1"/>
  <c r="J105" i="1" s="1"/>
  <c r="H106" i="1"/>
  <c r="J106" i="1" s="1"/>
  <c r="H107" i="1"/>
  <c r="J107" i="1" s="1"/>
  <c r="H104" i="1"/>
  <c r="J104" i="1" s="1"/>
  <c r="H39" i="1"/>
  <c r="J39" i="1" s="1"/>
  <c r="H38" i="1"/>
  <c r="J38" i="1" s="1"/>
  <c r="H32" i="1"/>
  <c r="J32" i="1" s="1"/>
  <c r="H37" i="1"/>
  <c r="J37" i="1" s="1"/>
  <c r="J34" i="1"/>
  <c r="H36" i="1"/>
  <c r="J36" i="1" s="1"/>
  <c r="L85" i="1" l="1"/>
  <c r="M85" i="1" s="1"/>
  <c r="H28" i="1"/>
  <c r="J28" i="1" s="1"/>
  <c r="H27" i="1"/>
  <c r="J27" i="1" s="1"/>
  <c r="H25" i="1"/>
  <c r="H114" i="1"/>
  <c r="H116" i="1"/>
  <c r="H117" i="1"/>
  <c r="H103" i="1"/>
  <c r="H97" i="1"/>
  <c r="H96" i="1"/>
  <c r="H89" i="1"/>
  <c r="H92" i="1"/>
  <c r="H95" i="1"/>
  <c r="H87" i="1"/>
  <c r="H86" i="1"/>
  <c r="J17" i="1"/>
  <c r="H26" i="1"/>
  <c r="H90" i="1" l="1"/>
  <c r="J90" i="1" s="1"/>
  <c r="H88" i="1"/>
  <c r="J88" i="1" s="1"/>
  <c r="H23" i="1"/>
  <c r="J23" i="1" s="1"/>
  <c r="H14" i="1"/>
  <c r="H13" i="1"/>
  <c r="H6" i="1"/>
  <c r="H5" i="1"/>
  <c r="H4" i="1"/>
  <c r="H3" i="1"/>
  <c r="J137" i="1" l="1"/>
  <c r="J7" i="1"/>
  <c r="I6" i="1"/>
  <c r="J5" i="1"/>
  <c r="J136" i="1" l="1"/>
  <c r="J135" i="1"/>
  <c r="J133" i="1"/>
  <c r="J117" i="1"/>
  <c r="J115" i="1"/>
  <c r="J116" i="1"/>
  <c r="J114" i="1"/>
  <c r="J103" i="1"/>
  <c r="J102" i="1"/>
  <c r="J99" i="1"/>
  <c r="J97" i="1"/>
  <c r="J96" i="1"/>
  <c r="L107" i="1" s="1"/>
  <c r="M107" i="1" s="1"/>
  <c r="J95" i="1"/>
  <c r="J92" i="1"/>
  <c r="J91" i="1"/>
  <c r="J89" i="1"/>
  <c r="J87" i="1"/>
  <c r="J86" i="1"/>
  <c r="L137" i="1" l="1"/>
  <c r="M137" i="1" s="1"/>
  <c r="L120" i="1"/>
  <c r="M120" i="1" s="1"/>
  <c r="L95" i="1"/>
  <c r="M95" i="1" s="1"/>
  <c r="J30" i="1"/>
  <c r="J26" i="1"/>
  <c r="J25" i="1"/>
  <c r="J24" i="1"/>
  <c r="J22" i="1"/>
  <c r="J21" i="1"/>
  <c r="J19" i="1"/>
  <c r="J18" i="1"/>
  <c r="J15" i="1"/>
  <c r="J14" i="1"/>
  <c r="J13" i="1"/>
  <c r="J3" i="1"/>
  <c r="L144" i="1"/>
  <c r="J6" i="1"/>
  <c r="J11" i="1"/>
  <c r="M144" i="1" l="1"/>
  <c r="N144" i="1" s="1"/>
  <c r="L23" i="1"/>
  <c r="M23" i="1" s="1"/>
  <c r="L11" i="1"/>
  <c r="L143" i="1"/>
  <c r="L47" i="1"/>
  <c r="M47" i="1" s="1"/>
  <c r="M143" i="1" l="1"/>
  <c r="N143" i="1" s="1"/>
  <c r="M11" i="1"/>
  <c r="N145" i="1" l="1"/>
  <c r="D148" i="1" s="1"/>
  <c r="D150" i="1" s="1"/>
</calcChain>
</file>

<file path=xl/sharedStrings.xml><?xml version="1.0" encoding="utf-8"?>
<sst xmlns="http://schemas.openxmlformats.org/spreadsheetml/2006/main" count="731" uniqueCount="93">
  <si>
    <t>Položka</t>
  </si>
  <si>
    <t>Výměra</t>
  </si>
  <si>
    <t>Měrná jednotka</t>
  </si>
  <si>
    <t>Jednotková cena</t>
  </si>
  <si>
    <t>Celková cena [Kč]</t>
  </si>
  <si>
    <r>
      <t>m</t>
    </r>
    <r>
      <rPr>
        <vertAlign val="superscript"/>
        <sz val="11"/>
        <color rgb="FF000000"/>
        <rFont val="Calibri"/>
        <family val="2"/>
        <charset val="238"/>
      </rPr>
      <t>3</t>
    </r>
  </si>
  <si>
    <r>
      <t>m</t>
    </r>
    <r>
      <rPr>
        <vertAlign val="superscript"/>
        <sz val="11"/>
        <color rgb="FF000000"/>
        <rFont val="Calibri"/>
        <family val="2"/>
        <charset val="238"/>
      </rPr>
      <t>2</t>
    </r>
  </si>
  <si>
    <t xml:space="preserve">Kamenná rovnanina </t>
  </si>
  <si>
    <t>Vodorovné přemístění výkopku do 500 m</t>
  </si>
  <si>
    <t>Svahování</t>
  </si>
  <si>
    <t>Ohumusování a osetí svahu</t>
  </si>
  <si>
    <t>Bourání zbytků opevnění, vč. uložení na skládku</t>
  </si>
  <si>
    <t>Dlažba z LK do betonového lože, vyspárování</t>
  </si>
  <si>
    <t>Vodorovné přemístění materiálu do 500 m</t>
  </si>
  <si>
    <t>Doplnění zdiva poškozených prahů</t>
  </si>
  <si>
    <t>Urovnání kamene ve svahu břehu</t>
  </si>
  <si>
    <t>Vodorovné přemístění do 500 m</t>
  </si>
  <si>
    <t>Oprava zdění</t>
  </si>
  <si>
    <t>Oprava spárování</t>
  </si>
  <si>
    <t>Dlažba z LK do ŠP lože</t>
  </si>
  <si>
    <t>Bourání poškozených částí</t>
  </si>
  <si>
    <t>Zděný práh</t>
  </si>
  <si>
    <t>Prostý beton pro stabilizaci podemletých zdí</t>
  </si>
  <si>
    <t>Materiál pro dorovnání základové spáry skluzu</t>
  </si>
  <si>
    <t>ŠP podsyp</t>
  </si>
  <si>
    <t xml:space="preserve">Likvidace nevyužitého náplavu </t>
  </si>
  <si>
    <t>ŠP podsyp kamenné rovnaniny</t>
  </si>
  <si>
    <t>Odstranění náplavu, vč. skládkovného</t>
  </si>
  <si>
    <t>Železobeton - prahy</t>
  </si>
  <si>
    <t>Železobeton prahy</t>
  </si>
  <si>
    <t>Železobeton - podélný práh</t>
  </si>
  <si>
    <t>Železobeton - práh</t>
  </si>
  <si>
    <t>Vodorovné přemístění náplavu do 500 m</t>
  </si>
  <si>
    <t>Balvanitý skluz</t>
  </si>
  <si>
    <t>Příčná řada balvanů na štět</t>
  </si>
  <si>
    <t>ŠP podsyp skluz</t>
  </si>
  <si>
    <t>Kamenná rovnanina vč. kamene</t>
  </si>
  <si>
    <t>Rovnanina - vývar</t>
  </si>
  <si>
    <t>Strojní výkop zeminy</t>
  </si>
  <si>
    <t>Strojní výkop náplavu</t>
  </si>
  <si>
    <t>Zához kamene z náplavu + třídění</t>
  </si>
  <si>
    <t>Zához kamene z náplavu + třídění kamene</t>
  </si>
  <si>
    <t>Rovnanina kamene z náplavu + třídění kamene</t>
  </si>
  <si>
    <t>Kam. rovnanina z náplavu + přemístění, třídění</t>
  </si>
  <si>
    <t>Rovnanina kamene z náplavu + třídění</t>
  </si>
  <si>
    <t>Etapa</t>
  </si>
  <si>
    <t>1.</t>
  </si>
  <si>
    <t>Dílčí priorita</t>
  </si>
  <si>
    <t>č. OPŠ 07/2021</t>
  </si>
  <si>
    <t>730 086 (UPP)</t>
  </si>
  <si>
    <t>2.</t>
  </si>
  <si>
    <t>3.</t>
  </si>
  <si>
    <t>4.</t>
  </si>
  <si>
    <t>5.</t>
  </si>
  <si>
    <t>6.</t>
  </si>
  <si>
    <t>7.</t>
  </si>
  <si>
    <t>8.</t>
  </si>
  <si>
    <t>Velmi nízká</t>
  </si>
  <si>
    <t>Nízká</t>
  </si>
  <si>
    <t>Střední</t>
  </si>
  <si>
    <t>Vysoká</t>
  </si>
  <si>
    <t>Velmi vysoká</t>
  </si>
  <si>
    <t>ŠP podsyp rovnanina</t>
  </si>
  <si>
    <t>Poznámka</t>
  </si>
  <si>
    <t>Ř. km 0.040-0.300</t>
  </si>
  <si>
    <t>Ř. km 0.500-1.660</t>
  </si>
  <si>
    <t>Ř. km 1.960-2.060</t>
  </si>
  <si>
    <t>Ř. km 2.220-2.500</t>
  </si>
  <si>
    <t>Ř. km 2.550-3.100</t>
  </si>
  <si>
    <t>Ř. km 3.300-3.760</t>
  </si>
  <si>
    <t>Ř. km 3.800-4.120</t>
  </si>
  <si>
    <t>Ř. km 4.170-4.220</t>
  </si>
  <si>
    <t>Ř.km 4.350-4.650</t>
  </si>
  <si>
    <t>Ř.km 5.010-5.630</t>
  </si>
  <si>
    <t>Ř.km 5.960-6.110</t>
  </si>
  <si>
    <t>Ř.km 6.410-6.440</t>
  </si>
  <si>
    <t>Ř.km 6.980-7.180</t>
  </si>
  <si>
    <t>Ř.km 7.210-7.540</t>
  </si>
  <si>
    <t>Ř.km 7.770-8.370</t>
  </si>
  <si>
    <t>Ř.km 8.480-8.850</t>
  </si>
  <si>
    <t>Ř.km 8.910-9.470</t>
  </si>
  <si>
    <t>Dílčí kalkulace etapy</t>
  </si>
  <si>
    <t>Ostatní nespecifikované položky 20 %</t>
  </si>
  <si>
    <t xml:space="preserve">ŠP podsyp - skluzy </t>
  </si>
  <si>
    <t>Investice</t>
  </si>
  <si>
    <t>Součet</t>
  </si>
  <si>
    <t>*UPP - uvolnění průtočného profilu</t>
  </si>
  <si>
    <t xml:space="preserve">Z celkové částky </t>
  </si>
  <si>
    <t>Kč,- se jedná o:</t>
  </si>
  <si>
    <t>Opravy</t>
  </si>
  <si>
    <t>Na ZVV bylo dohodnuto, že část 730 091 vyvolává opravy i investice - jedná se o nahrazování poškozených stupňů skluzy (2. etapa, 3. etapa, 4. etapa, 6. etapa)</t>
  </si>
  <si>
    <t>Dělení na opravy a investice</t>
  </si>
  <si>
    <t>Celkem (zaokrouhleno na 100 000)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</si>
</sst>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C4591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4" fillId="9" borderId="0" applyNumberFormat="0" applyBorder="0" applyAlignment="0" applyProtection="0"/>
  </cellStyleXfs>
  <cellXfs count="38">
    <xf numFmtId="0" fontId="0" fillId="0" borderId="0" xfId="0"/>
    <xf numFmtId="3" fontId="3" fillId="0" borderId="0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6" fillId="8" borderId="0" xfId="0" applyFont="1" applyFill="1" applyBorder="1" applyAlignment="1">
      <alignment horizontal="left" vertical="center" wrapText="1"/>
    </xf>
    <xf numFmtId="0" fontId="6" fillId="8" borderId="0" xfId="0" applyFont="1" applyFill="1" applyBorder="1" applyAlignment="1">
      <alignment horizontal="right" vertical="center" wrapText="1"/>
    </xf>
    <xf numFmtId="3" fontId="3" fillId="0" borderId="4" xfId="0" applyNumberFormat="1" applyFont="1" applyBorder="1"/>
    <xf numFmtId="3" fontId="3" fillId="0" borderId="5" xfId="0" applyNumberFormat="1" applyFont="1" applyBorder="1"/>
    <xf numFmtId="3" fontId="0" fillId="0" borderId="0" xfId="0" applyNumberFormat="1"/>
    <xf numFmtId="0" fontId="3" fillId="0" borderId="0" xfId="0" applyFont="1"/>
    <xf numFmtId="3" fontId="3" fillId="0" borderId="1" xfId="0" applyNumberFormat="1" applyFont="1" applyBorder="1" applyAlignment="1">
      <alignment horizontal="left"/>
    </xf>
    <xf numFmtId="3" fontId="3" fillId="0" borderId="0" xfId="0" applyNumberFormat="1" applyFont="1"/>
    <xf numFmtId="3" fontId="11" fillId="0" borderId="0" xfId="0" applyNumberFormat="1" applyFont="1"/>
    <xf numFmtId="0" fontId="12" fillId="0" borderId="0" xfId="0" applyFont="1" applyBorder="1"/>
    <xf numFmtId="0" fontId="13" fillId="0" borderId="0" xfId="0" applyFont="1" applyBorder="1"/>
    <xf numFmtId="3" fontId="15" fillId="0" borderId="1" xfId="1" applyNumberFormat="1" applyFont="1" applyFill="1" applyBorder="1" applyAlignment="1">
      <alignment horizontal="right" vertical="center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1"/>
  <sheetViews>
    <sheetView tabSelected="1" zoomScaleNormal="100" workbookViewId="0">
      <pane ySplit="1" topLeftCell="A119" activePane="bottomLeft" state="frozen"/>
      <selection pane="bottomLeft" activeCell="E155" sqref="E155"/>
    </sheetView>
  </sheetViews>
  <sheetFormatPr defaultRowHeight="14.25" x14ac:dyDescent="0.2"/>
  <cols>
    <col min="1" max="1" width="3" customWidth="1"/>
    <col min="2" max="2" width="14.5" customWidth="1"/>
    <col min="3" max="3" width="6.25" customWidth="1"/>
    <col min="4" max="4" width="15.625" customWidth="1"/>
    <col min="5" max="5" width="42.875" customWidth="1"/>
    <col min="6" max="6" width="18.375" customWidth="1"/>
    <col min="7" max="7" width="9.625" customWidth="1"/>
    <col min="8" max="8" width="9.25" customWidth="1"/>
    <col min="9" max="9" width="10.375" customWidth="1"/>
    <col min="10" max="10" width="11.375" customWidth="1"/>
    <col min="11" max="11" width="2.75" customWidth="1"/>
    <col min="12" max="12" width="13.5" customWidth="1"/>
    <col min="13" max="13" width="32.125" customWidth="1"/>
    <col min="14" max="14" width="13.125" customWidth="1"/>
    <col min="15" max="15" width="28.125" customWidth="1"/>
    <col min="16" max="16" width="9.375" customWidth="1"/>
    <col min="17" max="17" width="9.25" customWidth="1"/>
    <col min="18" max="18" width="10.375" customWidth="1"/>
    <col min="19" max="19" width="11.375" customWidth="1"/>
    <col min="21" max="21" width="28.125" customWidth="1"/>
    <col min="22" max="22" width="9.375" customWidth="1"/>
    <col min="23" max="23" width="9.25" customWidth="1"/>
    <col min="24" max="24" width="10.375" customWidth="1"/>
    <col min="25" max="25" width="11.375" customWidth="1"/>
    <col min="27" max="27" width="28.125" customWidth="1"/>
    <col min="28" max="28" width="9.375" customWidth="1"/>
    <col min="29" max="29" width="9.25" customWidth="1"/>
    <col min="30" max="30" width="10.375" customWidth="1"/>
    <col min="31" max="31" width="11.375" customWidth="1"/>
    <col min="33" max="33" width="28.125" customWidth="1"/>
    <col min="34" max="34" width="9.375" customWidth="1"/>
    <col min="35" max="35" width="9.25" customWidth="1"/>
    <col min="36" max="36" width="10.375" customWidth="1"/>
    <col min="37" max="37" width="11.375" customWidth="1"/>
    <col min="39" max="39" width="28.125" customWidth="1"/>
    <col min="40" max="40" width="9.375" customWidth="1"/>
    <col min="41" max="41" width="9.25" customWidth="1"/>
    <col min="42" max="42" width="10.375" customWidth="1"/>
    <col min="43" max="43" width="11.375" customWidth="1"/>
  </cols>
  <sheetData>
    <row r="1" spans="2:14" ht="45" x14ac:dyDescent="0.2">
      <c r="B1" s="2" t="s">
        <v>48</v>
      </c>
      <c r="C1" s="2" t="s">
        <v>45</v>
      </c>
      <c r="D1" s="2" t="s">
        <v>47</v>
      </c>
      <c r="E1" s="9" t="s">
        <v>0</v>
      </c>
      <c r="F1" s="23" t="s">
        <v>63</v>
      </c>
      <c r="G1" s="2" t="s">
        <v>2</v>
      </c>
      <c r="H1" s="8" t="s">
        <v>1</v>
      </c>
      <c r="I1" s="2" t="s">
        <v>3</v>
      </c>
      <c r="J1" s="2" t="s">
        <v>4</v>
      </c>
      <c r="L1" s="26" t="s">
        <v>81</v>
      </c>
      <c r="M1" s="26" t="s">
        <v>82</v>
      </c>
      <c r="N1" s="27" t="s">
        <v>92</v>
      </c>
    </row>
    <row r="2" spans="2:14" ht="13.5" customHeight="1" x14ac:dyDescent="0.2">
      <c r="B2" s="15" t="s">
        <v>49</v>
      </c>
      <c r="C2" s="16" t="s">
        <v>46</v>
      </c>
      <c r="D2" s="12" t="s">
        <v>59</v>
      </c>
      <c r="E2" s="4" t="s">
        <v>38</v>
      </c>
      <c r="F2" s="24" t="s">
        <v>64</v>
      </c>
      <c r="G2" s="3" t="s">
        <v>5</v>
      </c>
      <c r="H2" s="17">
        <f>1.2*550</f>
        <v>660</v>
      </c>
      <c r="I2" s="17">
        <v>131</v>
      </c>
      <c r="J2" s="37">
        <f t="shared" ref="J2" si="0">H2*I2</f>
        <v>86460</v>
      </c>
    </row>
    <row r="3" spans="2:14" ht="13.5" customHeight="1" x14ac:dyDescent="0.2">
      <c r="B3" s="15" t="s">
        <v>49</v>
      </c>
      <c r="C3" s="16" t="s">
        <v>46</v>
      </c>
      <c r="D3" s="12" t="s">
        <v>59</v>
      </c>
      <c r="E3" s="4" t="s">
        <v>8</v>
      </c>
      <c r="F3" s="24" t="s">
        <v>64</v>
      </c>
      <c r="G3" s="3" t="s">
        <v>5</v>
      </c>
      <c r="H3" s="17">
        <f>1.2*550</f>
        <v>660</v>
      </c>
      <c r="I3" s="17">
        <v>340</v>
      </c>
      <c r="J3" s="37">
        <f t="shared" ref="J3:J11" si="1">H3*I3</f>
        <v>224400</v>
      </c>
    </row>
    <row r="4" spans="2:14" ht="13.5" customHeight="1" x14ac:dyDescent="0.2">
      <c r="B4" s="15">
        <v>730091</v>
      </c>
      <c r="C4" s="16" t="s">
        <v>46</v>
      </c>
      <c r="D4" s="12" t="s">
        <v>59</v>
      </c>
      <c r="E4" s="4" t="s">
        <v>9</v>
      </c>
      <c r="F4" s="24" t="s">
        <v>64</v>
      </c>
      <c r="G4" s="3" t="s">
        <v>6</v>
      </c>
      <c r="H4" s="17">
        <f>1.2*(500+460)</f>
        <v>1152</v>
      </c>
      <c r="I4" s="18">
        <v>80</v>
      </c>
      <c r="J4" s="37">
        <f>H4*I4</f>
        <v>92160</v>
      </c>
    </row>
    <row r="5" spans="2:14" ht="13.5" customHeight="1" x14ac:dyDescent="0.2">
      <c r="B5" s="15">
        <v>730091</v>
      </c>
      <c r="C5" s="16" t="s">
        <v>46</v>
      </c>
      <c r="D5" s="12" t="s">
        <v>59</v>
      </c>
      <c r="E5" s="4" t="s">
        <v>10</v>
      </c>
      <c r="F5" s="24" t="s">
        <v>64</v>
      </c>
      <c r="G5" s="3" t="s">
        <v>6</v>
      </c>
      <c r="H5" s="17">
        <f>1.2*(500+430+200)</f>
        <v>1356</v>
      </c>
      <c r="I5" s="18">
        <v>390</v>
      </c>
      <c r="J5" s="37">
        <f t="shared" si="1"/>
        <v>528840</v>
      </c>
    </row>
    <row r="6" spans="2:14" ht="13.5" customHeight="1" x14ac:dyDescent="0.2">
      <c r="B6" s="15" t="s">
        <v>49</v>
      </c>
      <c r="C6" s="16" t="s">
        <v>46</v>
      </c>
      <c r="D6" s="11" t="s">
        <v>58</v>
      </c>
      <c r="E6" s="4" t="s">
        <v>11</v>
      </c>
      <c r="F6" s="24" t="s">
        <v>64</v>
      </c>
      <c r="G6" s="3" t="s">
        <v>5</v>
      </c>
      <c r="H6" s="17">
        <f>1.2*25</f>
        <v>30</v>
      </c>
      <c r="I6" s="18">
        <f>2270+834</f>
        <v>3104</v>
      </c>
      <c r="J6" s="37">
        <f t="shared" si="1"/>
        <v>93120</v>
      </c>
    </row>
    <row r="7" spans="2:14" ht="13.5" customHeight="1" x14ac:dyDescent="0.2">
      <c r="B7" s="15">
        <v>730091</v>
      </c>
      <c r="C7" s="16" t="s">
        <v>46</v>
      </c>
      <c r="D7" s="13" t="s">
        <v>60</v>
      </c>
      <c r="E7" s="4" t="s">
        <v>7</v>
      </c>
      <c r="F7" s="24" t="s">
        <v>64</v>
      </c>
      <c r="G7" s="3" t="s">
        <v>5</v>
      </c>
      <c r="H7" s="19">
        <f>1.2*(720*1.2*0.8)</f>
        <v>829.44</v>
      </c>
      <c r="I7" s="18">
        <v>3640</v>
      </c>
      <c r="J7" s="37">
        <f t="shared" ref="J7:J9" si="2">H7*I7</f>
        <v>3019161.6000000001</v>
      </c>
    </row>
    <row r="8" spans="2:14" ht="13.5" customHeight="1" x14ac:dyDescent="0.2">
      <c r="B8" s="15">
        <v>730091</v>
      </c>
      <c r="C8" s="16" t="s">
        <v>46</v>
      </c>
      <c r="D8" s="13" t="s">
        <v>60</v>
      </c>
      <c r="E8" s="4" t="s">
        <v>62</v>
      </c>
      <c r="F8" s="24" t="s">
        <v>64</v>
      </c>
      <c r="G8" s="3" t="s">
        <v>5</v>
      </c>
      <c r="H8" s="19">
        <f>1.2*(720*1.2*0.15)</f>
        <v>155.51999999999998</v>
      </c>
      <c r="I8" s="18">
        <v>1570</v>
      </c>
      <c r="J8" s="37">
        <f t="shared" si="2"/>
        <v>244166.39999999997</v>
      </c>
    </row>
    <row r="9" spans="2:14" ht="13.5" customHeight="1" x14ac:dyDescent="0.2">
      <c r="B9" s="15">
        <v>730091</v>
      </c>
      <c r="C9" s="16" t="s">
        <v>46</v>
      </c>
      <c r="D9" s="12" t="s">
        <v>59</v>
      </c>
      <c r="E9" s="20" t="s">
        <v>33</v>
      </c>
      <c r="F9" s="24" t="s">
        <v>64</v>
      </c>
      <c r="G9" s="3" t="s">
        <v>5</v>
      </c>
      <c r="H9" s="19">
        <f>1.2*35*1</f>
        <v>42</v>
      </c>
      <c r="I9" s="18">
        <v>4200</v>
      </c>
      <c r="J9" s="37">
        <f t="shared" si="2"/>
        <v>176400</v>
      </c>
    </row>
    <row r="10" spans="2:14" ht="13.5" customHeight="1" x14ac:dyDescent="0.25">
      <c r="B10" s="15">
        <v>730091</v>
      </c>
      <c r="C10" s="16" t="s">
        <v>46</v>
      </c>
      <c r="D10" s="12" t="s">
        <v>59</v>
      </c>
      <c r="E10" s="4" t="s">
        <v>35</v>
      </c>
      <c r="F10" s="24" t="s">
        <v>64</v>
      </c>
      <c r="G10" s="3" t="s">
        <v>5</v>
      </c>
      <c r="H10" s="19">
        <f>1.2*(35*0.15)</f>
        <v>6.3</v>
      </c>
      <c r="I10" s="18">
        <v>1570</v>
      </c>
      <c r="J10" s="37">
        <f t="shared" ref="J10" si="3">H10*I10</f>
        <v>9891</v>
      </c>
      <c r="L10" s="30"/>
      <c r="M10" s="1"/>
    </row>
    <row r="11" spans="2:14" ht="13.5" customHeight="1" thickBot="1" x14ac:dyDescent="0.3">
      <c r="B11" s="15">
        <v>730091</v>
      </c>
      <c r="C11" s="16" t="s">
        <v>46</v>
      </c>
      <c r="D11" s="12" t="s">
        <v>59</v>
      </c>
      <c r="E11" s="4" t="s">
        <v>34</v>
      </c>
      <c r="F11" s="24" t="s">
        <v>64</v>
      </c>
      <c r="G11" s="3" t="s">
        <v>5</v>
      </c>
      <c r="H11" s="19">
        <f>1.2*10*1*0.7</f>
        <v>8.3999999999999986</v>
      </c>
      <c r="I11" s="18">
        <v>5400</v>
      </c>
      <c r="J11" s="37">
        <f t="shared" si="1"/>
        <v>45359.999999999993</v>
      </c>
      <c r="L11" s="28">
        <f>SUM(J2:J11)</f>
        <v>4519959</v>
      </c>
      <c r="M11" s="28">
        <f>L11*0.2</f>
        <v>903991.8</v>
      </c>
      <c r="N11" s="29">
        <f>MROUND(SUM(L11+M11),100000)</f>
        <v>5400000</v>
      </c>
    </row>
    <row r="12" spans="2:14" ht="13.5" customHeight="1" thickTop="1" x14ac:dyDescent="0.2">
      <c r="B12" s="15" t="s">
        <v>49</v>
      </c>
      <c r="C12" s="16" t="s">
        <v>50</v>
      </c>
      <c r="D12" s="12" t="s">
        <v>59</v>
      </c>
      <c r="E12" s="4" t="s">
        <v>39</v>
      </c>
      <c r="F12" s="24" t="s">
        <v>65</v>
      </c>
      <c r="G12" s="3" t="s">
        <v>5</v>
      </c>
      <c r="H12" s="17">
        <v>50</v>
      </c>
      <c r="I12" s="17">
        <v>723</v>
      </c>
      <c r="J12" s="37">
        <f t="shared" ref="J12" si="4">H12*I12</f>
        <v>36150</v>
      </c>
    </row>
    <row r="13" spans="2:14" ht="13.5" customHeight="1" x14ac:dyDescent="0.2">
      <c r="B13" s="15">
        <v>730091</v>
      </c>
      <c r="C13" s="16" t="s">
        <v>50</v>
      </c>
      <c r="D13" s="13" t="s">
        <v>60</v>
      </c>
      <c r="E13" s="4" t="s">
        <v>12</v>
      </c>
      <c r="F13" s="24" t="s">
        <v>65</v>
      </c>
      <c r="G13" s="3" t="s">
        <v>6</v>
      </c>
      <c r="H13" s="17">
        <f>1.2*20</f>
        <v>24</v>
      </c>
      <c r="I13" s="18">
        <v>2290</v>
      </c>
      <c r="J13" s="37">
        <f>H13*I13</f>
        <v>54960</v>
      </c>
    </row>
    <row r="14" spans="2:14" ht="13.5" customHeight="1" x14ac:dyDescent="0.2">
      <c r="B14" s="15">
        <v>730091</v>
      </c>
      <c r="C14" s="16" t="s">
        <v>50</v>
      </c>
      <c r="D14" s="13" t="s">
        <v>60</v>
      </c>
      <c r="E14" s="4" t="s">
        <v>19</v>
      </c>
      <c r="F14" s="24" t="s">
        <v>65</v>
      </c>
      <c r="G14" s="3" t="s">
        <v>6</v>
      </c>
      <c r="H14" s="17">
        <f>1.2*55</f>
        <v>66</v>
      </c>
      <c r="I14" s="18">
        <v>1510</v>
      </c>
      <c r="J14" s="37">
        <f t="shared" ref="J14:J21" si="5">H14*I14</f>
        <v>99660</v>
      </c>
    </row>
    <row r="15" spans="2:14" ht="13.5" customHeight="1" x14ac:dyDescent="0.2">
      <c r="B15" s="15" t="s">
        <v>49</v>
      </c>
      <c r="C15" s="16" t="s">
        <v>50</v>
      </c>
      <c r="D15" s="12" t="s">
        <v>59</v>
      </c>
      <c r="E15" s="4" t="s">
        <v>13</v>
      </c>
      <c r="F15" s="24" t="s">
        <v>65</v>
      </c>
      <c r="G15" s="3" t="s">
        <v>5</v>
      </c>
      <c r="H15" s="17">
        <v>50</v>
      </c>
      <c r="I15" s="18">
        <v>340</v>
      </c>
      <c r="J15" s="37">
        <f t="shared" si="5"/>
        <v>17000</v>
      </c>
    </row>
    <row r="16" spans="2:14" ht="13.5" customHeight="1" x14ac:dyDescent="0.2">
      <c r="B16" s="15">
        <v>730091</v>
      </c>
      <c r="C16" s="16" t="s">
        <v>50</v>
      </c>
      <c r="D16" s="12" t="s">
        <v>59</v>
      </c>
      <c r="E16" s="20" t="s">
        <v>41</v>
      </c>
      <c r="F16" s="24" t="s">
        <v>65</v>
      </c>
      <c r="G16" s="3" t="s">
        <v>5</v>
      </c>
      <c r="H16" s="17">
        <v>50</v>
      </c>
      <c r="I16" s="18">
        <f>260+364</f>
        <v>624</v>
      </c>
      <c r="J16" s="37">
        <f t="shared" si="5"/>
        <v>31200</v>
      </c>
    </row>
    <row r="17" spans="2:14" ht="13.5" customHeight="1" x14ac:dyDescent="0.2">
      <c r="B17" s="15">
        <v>730091</v>
      </c>
      <c r="C17" s="16" t="s">
        <v>50</v>
      </c>
      <c r="D17" s="13" t="s">
        <v>60</v>
      </c>
      <c r="E17" s="20" t="s">
        <v>18</v>
      </c>
      <c r="F17" s="24" t="s">
        <v>65</v>
      </c>
      <c r="G17" s="3" t="s">
        <v>6</v>
      </c>
      <c r="H17" s="17">
        <v>20</v>
      </c>
      <c r="I17" s="18">
        <v>2355</v>
      </c>
      <c r="J17" s="37">
        <f t="shared" si="5"/>
        <v>47100</v>
      </c>
    </row>
    <row r="18" spans="2:14" ht="13.5" customHeight="1" x14ac:dyDescent="0.2">
      <c r="B18" s="15">
        <v>730091</v>
      </c>
      <c r="C18" s="16" t="s">
        <v>50</v>
      </c>
      <c r="D18" s="13" t="s">
        <v>60</v>
      </c>
      <c r="E18" s="4" t="s">
        <v>83</v>
      </c>
      <c r="F18" s="24" t="s">
        <v>65</v>
      </c>
      <c r="G18" s="3" t="s">
        <v>5</v>
      </c>
      <c r="H18" s="19">
        <f>1.2*4*90*0.15</f>
        <v>64.8</v>
      </c>
      <c r="I18" s="18">
        <v>1570</v>
      </c>
      <c r="J18" s="37">
        <f t="shared" si="5"/>
        <v>101736</v>
      </c>
    </row>
    <row r="19" spans="2:14" ht="13.5" customHeight="1" x14ac:dyDescent="0.2">
      <c r="B19" s="15">
        <v>730091</v>
      </c>
      <c r="C19" s="16" t="s">
        <v>50</v>
      </c>
      <c r="D19" s="13" t="s">
        <v>60</v>
      </c>
      <c r="E19" s="4" t="s">
        <v>33</v>
      </c>
      <c r="F19" s="24" t="s">
        <v>65</v>
      </c>
      <c r="G19" s="3" t="s">
        <v>5</v>
      </c>
      <c r="H19" s="19">
        <f>1.2*4*100*1</f>
        <v>480</v>
      </c>
      <c r="I19" s="18">
        <v>4200</v>
      </c>
      <c r="J19" s="37">
        <f t="shared" si="5"/>
        <v>2016000</v>
      </c>
    </row>
    <row r="20" spans="2:14" ht="13.5" customHeight="1" x14ac:dyDescent="0.2">
      <c r="B20" s="15">
        <v>730091</v>
      </c>
      <c r="C20" s="16" t="s">
        <v>50</v>
      </c>
      <c r="D20" s="13" t="s">
        <v>60</v>
      </c>
      <c r="E20" s="4" t="s">
        <v>37</v>
      </c>
      <c r="F20" s="24" t="s">
        <v>65</v>
      </c>
      <c r="G20" s="3" t="s">
        <v>5</v>
      </c>
      <c r="H20" s="19">
        <f>1.2*4*50*1</f>
        <v>240</v>
      </c>
      <c r="I20" s="18">
        <v>3640</v>
      </c>
      <c r="J20" s="37">
        <f t="shared" si="5"/>
        <v>873600</v>
      </c>
    </row>
    <row r="21" spans="2:14" ht="13.5" customHeight="1" x14ac:dyDescent="0.2">
      <c r="B21" s="15">
        <v>730091</v>
      </c>
      <c r="C21" s="16" t="s">
        <v>50</v>
      </c>
      <c r="D21" s="13" t="s">
        <v>60</v>
      </c>
      <c r="E21" s="4" t="s">
        <v>29</v>
      </c>
      <c r="F21" s="24" t="s">
        <v>65</v>
      </c>
      <c r="G21" s="3" t="s">
        <v>5</v>
      </c>
      <c r="H21" s="19">
        <f>1.2*8*10*0.5*0.8</f>
        <v>38.400000000000006</v>
      </c>
      <c r="I21" s="18">
        <v>10760</v>
      </c>
      <c r="J21" s="37">
        <f t="shared" si="5"/>
        <v>413184.00000000006</v>
      </c>
    </row>
    <row r="22" spans="2:14" ht="13.5" customHeight="1" x14ac:dyDescent="0.2">
      <c r="B22" s="15">
        <v>730091</v>
      </c>
      <c r="C22" s="16" t="s">
        <v>50</v>
      </c>
      <c r="D22" s="13" t="s">
        <v>60</v>
      </c>
      <c r="E22" s="4" t="s">
        <v>14</v>
      </c>
      <c r="F22" s="24" t="s">
        <v>65</v>
      </c>
      <c r="G22" s="3" t="s">
        <v>5</v>
      </c>
      <c r="H22" s="6">
        <f>1.2*(4*5*0.5*0.3+H17*0.15)</f>
        <v>7.1999999999999993</v>
      </c>
      <c r="I22" s="18">
        <v>9610</v>
      </c>
      <c r="J22" s="37">
        <f>H22*I22</f>
        <v>69192</v>
      </c>
    </row>
    <row r="23" spans="2:14" ht="13.5" customHeight="1" thickBot="1" x14ac:dyDescent="0.3">
      <c r="B23" s="15">
        <v>730091</v>
      </c>
      <c r="C23" s="16" t="s">
        <v>50</v>
      </c>
      <c r="D23" s="13" t="s">
        <v>60</v>
      </c>
      <c r="E23" s="4" t="s">
        <v>23</v>
      </c>
      <c r="F23" s="24" t="s">
        <v>65</v>
      </c>
      <c r="G23" s="3" t="s">
        <v>5</v>
      </c>
      <c r="H23" s="6">
        <f>1.2*4*24</f>
        <v>115.19999999999999</v>
      </c>
      <c r="I23" s="18">
        <v>1784</v>
      </c>
      <c r="J23" s="37">
        <f>H23*I23</f>
        <v>205516.79999999999</v>
      </c>
      <c r="L23" s="28">
        <f>SUM(J12:J23)</f>
        <v>3965298.8</v>
      </c>
      <c r="M23" s="28">
        <f>L23*0.2</f>
        <v>793059.76</v>
      </c>
      <c r="N23" s="29">
        <f>MROUND(SUM(L23+M23),100000)</f>
        <v>4800000</v>
      </c>
    </row>
    <row r="24" spans="2:14" ht="13.5" customHeight="1" thickTop="1" x14ac:dyDescent="0.25">
      <c r="B24" s="15">
        <v>730091</v>
      </c>
      <c r="C24" s="16" t="s">
        <v>51</v>
      </c>
      <c r="D24" s="12" t="s">
        <v>59</v>
      </c>
      <c r="E24" s="4" t="s">
        <v>7</v>
      </c>
      <c r="F24" s="25" t="s">
        <v>66</v>
      </c>
      <c r="G24" s="3" t="s">
        <v>5</v>
      </c>
      <c r="H24" s="19">
        <f>1.2*30*0.8</f>
        <v>28.8</v>
      </c>
      <c r="I24" s="7">
        <v>3640</v>
      </c>
      <c r="J24" s="37">
        <f>H24*I24</f>
        <v>104832</v>
      </c>
    </row>
    <row r="25" spans="2:14" ht="13.5" customHeight="1" x14ac:dyDescent="0.25">
      <c r="B25" s="15">
        <v>730091</v>
      </c>
      <c r="C25" s="16" t="s">
        <v>51</v>
      </c>
      <c r="D25" s="12" t="s">
        <v>59</v>
      </c>
      <c r="E25" s="4" t="s">
        <v>26</v>
      </c>
      <c r="F25" s="25" t="s">
        <v>66</v>
      </c>
      <c r="G25" s="3" t="s">
        <v>5</v>
      </c>
      <c r="H25" s="19">
        <f>1.2*(27*0.15)</f>
        <v>4.8599999999999994</v>
      </c>
      <c r="I25" s="7">
        <v>1570</v>
      </c>
      <c r="J25" s="37">
        <f t="shared" ref="J25:J26" si="6">H25*I25</f>
        <v>7630.1999999999989</v>
      </c>
    </row>
    <row r="26" spans="2:14" ht="13.5" customHeight="1" x14ac:dyDescent="0.25">
      <c r="B26" s="15">
        <v>730091</v>
      </c>
      <c r="C26" s="16" t="s">
        <v>51</v>
      </c>
      <c r="D26" s="11" t="s">
        <v>58</v>
      </c>
      <c r="E26" s="21" t="s">
        <v>15</v>
      </c>
      <c r="F26" s="25" t="s">
        <v>66</v>
      </c>
      <c r="G26" s="3" t="s">
        <v>5</v>
      </c>
      <c r="H26" s="22">
        <f>1.2*50*0.5</f>
        <v>30</v>
      </c>
      <c r="I26" s="7">
        <v>1360</v>
      </c>
      <c r="J26" s="37">
        <f t="shared" si="6"/>
        <v>40800</v>
      </c>
    </row>
    <row r="27" spans="2:14" ht="13.5" customHeight="1" x14ac:dyDescent="0.25">
      <c r="B27" s="15">
        <v>730091</v>
      </c>
      <c r="C27" s="16" t="s">
        <v>51</v>
      </c>
      <c r="D27" s="14" t="s">
        <v>61</v>
      </c>
      <c r="E27" s="4" t="s">
        <v>20</v>
      </c>
      <c r="F27" s="25" t="s">
        <v>66</v>
      </c>
      <c r="G27" s="3" t="s">
        <v>5</v>
      </c>
      <c r="H27" s="19">
        <f>1.2*(0.5*45*0.3+2*0.3*0.3+2*0.3*0.3+2*0.3*0.3+5*1*0.3+15*0.3)</f>
        <v>15.947999999999999</v>
      </c>
      <c r="I27" s="7">
        <v>1740</v>
      </c>
      <c r="J27" s="37">
        <f>H27*I27</f>
        <v>27749.519999999997</v>
      </c>
    </row>
    <row r="28" spans="2:14" ht="13.5" customHeight="1" x14ac:dyDescent="0.25">
      <c r="B28" s="15">
        <v>730091</v>
      </c>
      <c r="C28" s="16" t="s">
        <v>51</v>
      </c>
      <c r="D28" s="14" t="s">
        <v>61</v>
      </c>
      <c r="E28" s="4" t="s">
        <v>17</v>
      </c>
      <c r="F28" s="25" t="s">
        <v>66</v>
      </c>
      <c r="G28" s="3" t="s">
        <v>5</v>
      </c>
      <c r="H28" s="19">
        <f>1.2*(12*2*0.35)</f>
        <v>10.079999999999998</v>
      </c>
      <c r="I28" s="7">
        <v>9610</v>
      </c>
      <c r="J28" s="37">
        <f t="shared" ref="J28:J29" si="7">H28*I28</f>
        <v>96868.799999999988</v>
      </c>
    </row>
    <row r="29" spans="2:14" ht="13.5" customHeight="1" x14ac:dyDescent="0.25">
      <c r="B29" s="15">
        <v>730091</v>
      </c>
      <c r="C29" s="16" t="s">
        <v>51</v>
      </c>
      <c r="D29" s="14" t="s">
        <v>61</v>
      </c>
      <c r="E29" s="4" t="s">
        <v>18</v>
      </c>
      <c r="F29" s="25" t="s">
        <v>66</v>
      </c>
      <c r="G29" s="3" t="s">
        <v>6</v>
      </c>
      <c r="H29" s="17">
        <v>10</v>
      </c>
      <c r="I29" s="18">
        <v>2355</v>
      </c>
      <c r="J29" s="37">
        <f t="shared" si="7"/>
        <v>23550</v>
      </c>
      <c r="L29" s="30"/>
    </row>
    <row r="30" spans="2:14" ht="13.5" customHeight="1" x14ac:dyDescent="0.25">
      <c r="B30" s="15">
        <v>730091</v>
      </c>
      <c r="C30" s="16" t="s">
        <v>51</v>
      </c>
      <c r="D30" s="14" t="s">
        <v>61</v>
      </c>
      <c r="E30" s="4" t="s">
        <v>28</v>
      </c>
      <c r="F30" s="25" t="s">
        <v>67</v>
      </c>
      <c r="G30" s="3" t="s">
        <v>5</v>
      </c>
      <c r="H30" s="19">
        <f>1.2*(12*0.5*1*10+1*110)</f>
        <v>204</v>
      </c>
      <c r="I30" s="7">
        <v>10760</v>
      </c>
      <c r="J30" s="37">
        <f>H30*I30</f>
        <v>2195040</v>
      </c>
    </row>
    <row r="31" spans="2:14" ht="13.5" customHeight="1" x14ac:dyDescent="0.25">
      <c r="B31" s="15" t="s">
        <v>49</v>
      </c>
      <c r="C31" s="16" t="s">
        <v>51</v>
      </c>
      <c r="D31" s="14" t="s">
        <v>61</v>
      </c>
      <c r="E31" s="4" t="s">
        <v>39</v>
      </c>
      <c r="F31" s="25" t="s">
        <v>67</v>
      </c>
      <c r="G31" s="3" t="s">
        <v>5</v>
      </c>
      <c r="H31" s="17">
        <v>260</v>
      </c>
      <c r="I31" s="17">
        <v>723</v>
      </c>
      <c r="J31" s="37">
        <f t="shared" ref="J31" si="8">H31*I31</f>
        <v>187980</v>
      </c>
    </row>
    <row r="32" spans="2:14" ht="13.5" customHeight="1" x14ac:dyDescent="0.25">
      <c r="B32" s="15" t="s">
        <v>49</v>
      </c>
      <c r="C32" s="16" t="s">
        <v>51</v>
      </c>
      <c r="D32" s="14" t="s">
        <v>61</v>
      </c>
      <c r="E32" s="4" t="s">
        <v>32</v>
      </c>
      <c r="F32" s="25" t="s">
        <v>67</v>
      </c>
      <c r="G32" s="3" t="s">
        <v>5</v>
      </c>
      <c r="H32" s="19">
        <f>150+110</f>
        <v>260</v>
      </c>
      <c r="I32" s="7">
        <v>340</v>
      </c>
      <c r="J32" s="37">
        <f t="shared" ref="J32:J33" si="9">H32*I32</f>
        <v>88400</v>
      </c>
    </row>
    <row r="33" spans="2:14" ht="13.5" customHeight="1" x14ac:dyDescent="0.25">
      <c r="B33" s="15">
        <v>730091</v>
      </c>
      <c r="C33" s="16" t="s">
        <v>51</v>
      </c>
      <c r="D33" s="14" t="s">
        <v>61</v>
      </c>
      <c r="E33" s="4" t="s">
        <v>42</v>
      </c>
      <c r="F33" s="25" t="s">
        <v>67</v>
      </c>
      <c r="G33" s="3" t="s">
        <v>5</v>
      </c>
      <c r="H33" s="19">
        <f>150+110</f>
        <v>260</v>
      </c>
      <c r="I33" s="7">
        <f>1360+364</f>
        <v>1724</v>
      </c>
      <c r="J33" s="37">
        <f t="shared" si="9"/>
        <v>448240</v>
      </c>
    </row>
    <row r="34" spans="2:14" ht="13.5" customHeight="1" x14ac:dyDescent="0.25">
      <c r="B34" s="15">
        <v>730091</v>
      </c>
      <c r="C34" s="16" t="s">
        <v>51</v>
      </c>
      <c r="D34" s="14" t="s">
        <v>61</v>
      </c>
      <c r="E34" s="4" t="s">
        <v>33</v>
      </c>
      <c r="F34" s="25" t="s">
        <v>67</v>
      </c>
      <c r="G34" s="3" t="s">
        <v>5</v>
      </c>
      <c r="H34" s="19">
        <f>1.2*30*1</f>
        <v>36</v>
      </c>
      <c r="I34" s="7">
        <v>4200</v>
      </c>
      <c r="J34" s="37">
        <f>H34*I34</f>
        <v>151200</v>
      </c>
    </row>
    <row r="35" spans="2:14" ht="13.5" customHeight="1" x14ac:dyDescent="0.25">
      <c r="B35" s="15">
        <v>730091</v>
      </c>
      <c r="C35" s="16" t="s">
        <v>51</v>
      </c>
      <c r="D35" s="14" t="s">
        <v>61</v>
      </c>
      <c r="E35" s="4" t="s">
        <v>37</v>
      </c>
      <c r="F35" s="25" t="s">
        <v>67</v>
      </c>
      <c r="G35" s="3" t="s">
        <v>5</v>
      </c>
      <c r="H35" s="19">
        <f>1.2*50*1</f>
        <v>60</v>
      </c>
      <c r="I35" s="18">
        <v>3640</v>
      </c>
      <c r="J35" s="37">
        <f t="shared" ref="J35" si="10">H35*I35</f>
        <v>218400</v>
      </c>
    </row>
    <row r="36" spans="2:14" ht="13.5" customHeight="1" x14ac:dyDescent="0.25">
      <c r="B36" s="15">
        <v>730091</v>
      </c>
      <c r="C36" s="16" t="s">
        <v>51</v>
      </c>
      <c r="D36" s="14" t="s">
        <v>61</v>
      </c>
      <c r="E36" s="4" t="s">
        <v>35</v>
      </c>
      <c r="F36" s="25" t="s">
        <v>67</v>
      </c>
      <c r="G36" s="3" t="s">
        <v>5</v>
      </c>
      <c r="H36" s="19">
        <f>1.2*(27*0.15+1500*0.15)</f>
        <v>274.86</v>
      </c>
      <c r="I36" s="7">
        <v>1570</v>
      </c>
      <c r="J36" s="37">
        <f t="shared" ref="J36" si="11">H36*I36</f>
        <v>431530.2</v>
      </c>
    </row>
    <row r="37" spans="2:14" ht="13.5" customHeight="1" x14ac:dyDescent="0.25">
      <c r="B37" s="15">
        <v>730091</v>
      </c>
      <c r="C37" s="16" t="s">
        <v>51</v>
      </c>
      <c r="D37" s="14" t="s">
        <v>61</v>
      </c>
      <c r="E37" s="4" t="s">
        <v>12</v>
      </c>
      <c r="F37" s="25" t="s">
        <v>67</v>
      </c>
      <c r="G37" s="3" t="s">
        <v>6</v>
      </c>
      <c r="H37" s="6">
        <f>1.2*(15)</f>
        <v>18</v>
      </c>
      <c r="I37" s="7">
        <v>2290</v>
      </c>
      <c r="J37" s="37">
        <f>H37*I37</f>
        <v>41220</v>
      </c>
    </row>
    <row r="38" spans="2:14" ht="13.5" customHeight="1" x14ac:dyDescent="0.25">
      <c r="B38" s="15">
        <v>730091</v>
      </c>
      <c r="C38" s="16" t="s">
        <v>51</v>
      </c>
      <c r="D38" s="14" t="s">
        <v>61</v>
      </c>
      <c r="E38" s="4" t="s">
        <v>17</v>
      </c>
      <c r="F38" s="25" t="s">
        <v>67</v>
      </c>
      <c r="G38" s="3" t="s">
        <v>5</v>
      </c>
      <c r="H38" s="19">
        <f>1.2*(20*1*0.35)</f>
        <v>8.4</v>
      </c>
      <c r="I38" s="7">
        <v>9610</v>
      </c>
      <c r="J38" s="37">
        <f t="shared" ref="J38" si="12">H38*I38</f>
        <v>80724</v>
      </c>
    </row>
    <row r="39" spans="2:14" ht="13.5" customHeight="1" x14ac:dyDescent="0.25">
      <c r="B39" s="15">
        <v>730091</v>
      </c>
      <c r="C39" s="16" t="s">
        <v>51</v>
      </c>
      <c r="D39" s="14" t="s">
        <v>61</v>
      </c>
      <c r="E39" s="4" t="s">
        <v>18</v>
      </c>
      <c r="F39" s="25" t="s">
        <v>67</v>
      </c>
      <c r="G39" s="3" t="s">
        <v>6</v>
      </c>
      <c r="H39" s="6">
        <f>1.2*(20*1)</f>
        <v>24</v>
      </c>
      <c r="I39" s="7">
        <v>2355</v>
      </c>
      <c r="J39" s="37">
        <f>H39*I39</f>
        <v>56520</v>
      </c>
      <c r="L39" s="30"/>
    </row>
    <row r="40" spans="2:14" ht="14.1" customHeight="1" x14ac:dyDescent="0.25">
      <c r="B40" s="15">
        <v>730091</v>
      </c>
      <c r="C40" s="16" t="s">
        <v>51</v>
      </c>
      <c r="D40" s="14" t="s">
        <v>61</v>
      </c>
      <c r="E40" s="4" t="s">
        <v>28</v>
      </c>
      <c r="F40" s="25" t="s">
        <v>68</v>
      </c>
      <c r="G40" s="3" t="s">
        <v>5</v>
      </c>
      <c r="H40" s="19">
        <f>1.2*3*0.5*1*10</f>
        <v>18</v>
      </c>
      <c r="I40" s="7">
        <v>10760</v>
      </c>
      <c r="J40" s="37">
        <f t="shared" ref="J40:J43" si="13">H40*I40</f>
        <v>193680</v>
      </c>
    </row>
    <row r="41" spans="2:14" ht="14.1" customHeight="1" x14ac:dyDescent="0.25">
      <c r="B41" s="15" t="s">
        <v>49</v>
      </c>
      <c r="C41" s="16" t="s">
        <v>51</v>
      </c>
      <c r="D41" s="13" t="s">
        <v>60</v>
      </c>
      <c r="E41" s="4" t="s">
        <v>39</v>
      </c>
      <c r="F41" s="25" t="s">
        <v>68</v>
      </c>
      <c r="G41" s="3" t="s">
        <v>5</v>
      </c>
      <c r="H41" s="17">
        <v>303</v>
      </c>
      <c r="I41" s="17">
        <v>723</v>
      </c>
      <c r="J41" s="37">
        <f t="shared" si="13"/>
        <v>219069</v>
      </c>
    </row>
    <row r="42" spans="2:14" ht="14.1" customHeight="1" x14ac:dyDescent="0.25">
      <c r="B42" s="15" t="s">
        <v>49</v>
      </c>
      <c r="C42" s="16" t="s">
        <v>51</v>
      </c>
      <c r="D42" s="13" t="s">
        <v>60</v>
      </c>
      <c r="E42" s="4" t="s">
        <v>32</v>
      </c>
      <c r="F42" s="25" t="s">
        <v>68</v>
      </c>
      <c r="G42" s="3" t="s">
        <v>5</v>
      </c>
      <c r="H42" s="19">
        <f>80+20+35+14+40+50+64</f>
        <v>303</v>
      </c>
      <c r="I42" s="7">
        <v>340</v>
      </c>
      <c r="J42" s="37">
        <f t="shared" si="13"/>
        <v>103020</v>
      </c>
    </row>
    <row r="43" spans="2:14" ht="14.1" customHeight="1" x14ac:dyDescent="0.25">
      <c r="B43" s="15">
        <v>730091</v>
      </c>
      <c r="C43" s="16" t="s">
        <v>51</v>
      </c>
      <c r="D43" s="13" t="s">
        <v>60</v>
      </c>
      <c r="E43" s="20" t="s">
        <v>42</v>
      </c>
      <c r="F43" s="25" t="s">
        <v>68</v>
      </c>
      <c r="G43" s="3" t="s">
        <v>5</v>
      </c>
      <c r="H43" s="19">
        <f>H42-64</f>
        <v>239</v>
      </c>
      <c r="I43" s="7">
        <f>1360+364</f>
        <v>1724</v>
      </c>
      <c r="J43" s="37">
        <f t="shared" si="13"/>
        <v>412036</v>
      </c>
    </row>
    <row r="44" spans="2:14" ht="14.1" customHeight="1" x14ac:dyDescent="0.25">
      <c r="B44" s="15">
        <v>730091</v>
      </c>
      <c r="C44" s="16" t="s">
        <v>51</v>
      </c>
      <c r="D44" s="13" t="s">
        <v>60</v>
      </c>
      <c r="E44" s="20" t="s">
        <v>20</v>
      </c>
      <c r="F44" s="25" t="s">
        <v>68</v>
      </c>
      <c r="G44" s="3" t="s">
        <v>5</v>
      </c>
      <c r="H44" s="19">
        <f>1.2*(1.2*25*0.5+1.2*10*0.5+10*1+5*1+5*1+15*0.5)</f>
        <v>58.199999999999996</v>
      </c>
      <c r="I44" s="7">
        <v>1740</v>
      </c>
      <c r="J44" s="37">
        <f>H44*I44</f>
        <v>101267.99999999999</v>
      </c>
    </row>
    <row r="45" spans="2:14" ht="14.1" customHeight="1" x14ac:dyDescent="0.25">
      <c r="B45" s="15">
        <v>730091</v>
      </c>
      <c r="C45" s="16" t="s">
        <v>51</v>
      </c>
      <c r="D45" s="13" t="s">
        <v>60</v>
      </c>
      <c r="E45" s="20" t="s">
        <v>12</v>
      </c>
      <c r="F45" s="25" t="s">
        <v>68</v>
      </c>
      <c r="G45" s="3" t="s">
        <v>6</v>
      </c>
      <c r="H45" s="19">
        <f>1.2*(1.2*33+1.2*15+25+20)</f>
        <v>123.11999999999999</v>
      </c>
      <c r="I45" s="7">
        <v>2290</v>
      </c>
      <c r="J45" s="37">
        <f>H45*I45</f>
        <v>281944.8</v>
      </c>
    </row>
    <row r="46" spans="2:14" ht="14.1" customHeight="1" x14ac:dyDescent="0.25">
      <c r="B46" s="15">
        <v>730091</v>
      </c>
      <c r="C46" s="16" t="s">
        <v>51</v>
      </c>
      <c r="D46" s="13" t="s">
        <v>60</v>
      </c>
      <c r="E46" s="20" t="s">
        <v>17</v>
      </c>
      <c r="F46" s="25" t="s">
        <v>68</v>
      </c>
      <c r="G46" s="3" t="s">
        <v>5</v>
      </c>
      <c r="H46" s="19">
        <f>1.2*(10*1+5*1+10*1+2*1+40*0.5)+H47*0.15</f>
        <v>79.8</v>
      </c>
      <c r="I46" s="7">
        <v>9610</v>
      </c>
      <c r="J46" s="37">
        <f t="shared" ref="J46:J47" si="14">H46*I46</f>
        <v>766878</v>
      </c>
    </row>
    <row r="47" spans="2:14" ht="14.1" customHeight="1" thickBot="1" x14ac:dyDescent="0.3">
      <c r="B47" s="15">
        <v>730091</v>
      </c>
      <c r="C47" s="16" t="s">
        <v>51</v>
      </c>
      <c r="D47" s="13" t="s">
        <v>60</v>
      </c>
      <c r="E47" s="20" t="s">
        <v>18</v>
      </c>
      <c r="F47" s="25" t="s">
        <v>68</v>
      </c>
      <c r="G47" s="3" t="s">
        <v>6</v>
      </c>
      <c r="H47" s="19">
        <f>1.2*(10*1+30+20+30+40)</f>
        <v>156</v>
      </c>
      <c r="I47" s="7">
        <v>2355</v>
      </c>
      <c r="J47" s="37">
        <f t="shared" si="14"/>
        <v>367380</v>
      </c>
      <c r="L47" s="28">
        <f>SUM(J24:J47)</f>
        <v>6645960.5200000005</v>
      </c>
      <c r="M47" s="28">
        <f>L47*0.2</f>
        <v>1329192.1040000003</v>
      </c>
      <c r="N47" s="29">
        <f>MROUND(SUM(L47+M47),100000)</f>
        <v>8000000</v>
      </c>
    </row>
    <row r="48" spans="2:14" ht="14.25" customHeight="1" thickTop="1" x14ac:dyDescent="0.25">
      <c r="B48" s="15">
        <v>730091</v>
      </c>
      <c r="C48" s="16" t="s">
        <v>52</v>
      </c>
      <c r="D48" s="13" t="s">
        <v>60</v>
      </c>
      <c r="E48" s="20" t="s">
        <v>12</v>
      </c>
      <c r="F48" s="25" t="s">
        <v>69</v>
      </c>
      <c r="G48" s="3" t="s">
        <v>6</v>
      </c>
      <c r="H48" s="19">
        <f>1.2*(2+20+10+5)</f>
        <v>44.4</v>
      </c>
      <c r="I48" s="5">
        <v>2290</v>
      </c>
      <c r="J48" s="37">
        <f>H48*I48</f>
        <v>101676</v>
      </c>
    </row>
    <row r="49" spans="2:12" ht="14.1" customHeight="1" x14ac:dyDescent="0.25">
      <c r="B49" s="15" t="s">
        <v>49</v>
      </c>
      <c r="C49" s="16" t="s">
        <v>52</v>
      </c>
      <c r="D49" s="12" t="s">
        <v>59</v>
      </c>
      <c r="E49" s="4" t="s">
        <v>39</v>
      </c>
      <c r="F49" s="25" t="s">
        <v>69</v>
      </c>
      <c r="G49" s="3" t="s">
        <v>5</v>
      </c>
      <c r="H49" s="17">
        <f>H50</f>
        <v>95</v>
      </c>
      <c r="I49" s="17">
        <v>723</v>
      </c>
      <c r="J49" s="37">
        <f t="shared" ref="J49" si="15">H49*I49</f>
        <v>68685</v>
      </c>
      <c r="L49" s="30"/>
    </row>
    <row r="50" spans="2:12" ht="14.1" customHeight="1" x14ac:dyDescent="0.25">
      <c r="B50" s="15" t="s">
        <v>49</v>
      </c>
      <c r="C50" s="16" t="s">
        <v>52</v>
      </c>
      <c r="D50" s="12" t="s">
        <v>59</v>
      </c>
      <c r="E50" s="4" t="s">
        <v>32</v>
      </c>
      <c r="F50" s="25" t="s">
        <v>69</v>
      </c>
      <c r="G50" s="3" t="s">
        <v>5</v>
      </c>
      <c r="H50" s="17">
        <f>15+80</f>
        <v>95</v>
      </c>
      <c r="I50" s="5">
        <v>340</v>
      </c>
      <c r="J50" s="37">
        <f t="shared" ref="J50:J56" si="16">H50*I50</f>
        <v>32300</v>
      </c>
    </row>
    <row r="51" spans="2:12" ht="14.1" customHeight="1" x14ac:dyDescent="0.25">
      <c r="B51" s="15">
        <v>730091</v>
      </c>
      <c r="C51" s="16" t="s">
        <v>52</v>
      </c>
      <c r="D51" s="12" t="s">
        <v>59</v>
      </c>
      <c r="E51" s="20" t="s">
        <v>42</v>
      </c>
      <c r="F51" s="25" t="s">
        <v>69</v>
      </c>
      <c r="G51" s="3" t="s">
        <v>5</v>
      </c>
      <c r="H51" s="17">
        <f>15+80</f>
        <v>95</v>
      </c>
      <c r="I51" s="5">
        <f>1360+364</f>
        <v>1724</v>
      </c>
      <c r="J51" s="37">
        <f t="shared" si="16"/>
        <v>163780</v>
      </c>
    </row>
    <row r="52" spans="2:12" ht="14.1" customHeight="1" x14ac:dyDescent="0.25">
      <c r="B52" s="15">
        <v>730091</v>
      </c>
      <c r="C52" s="16" t="s">
        <v>52</v>
      </c>
      <c r="D52" s="12" t="s">
        <v>59</v>
      </c>
      <c r="E52" s="4" t="s">
        <v>18</v>
      </c>
      <c r="F52" s="25" t="s">
        <v>69</v>
      </c>
      <c r="G52" s="3" t="s">
        <v>6</v>
      </c>
      <c r="H52" s="19">
        <f>1.2*(15+11)</f>
        <v>31.2</v>
      </c>
      <c r="I52" s="5">
        <v>2355</v>
      </c>
      <c r="J52" s="37">
        <f t="shared" si="16"/>
        <v>73476</v>
      </c>
    </row>
    <row r="53" spans="2:12" ht="14.1" customHeight="1" x14ac:dyDescent="0.25">
      <c r="B53" s="15">
        <v>730091</v>
      </c>
      <c r="C53" s="16" t="s">
        <v>52</v>
      </c>
      <c r="D53" s="12" t="s">
        <v>59</v>
      </c>
      <c r="E53" s="4" t="s">
        <v>17</v>
      </c>
      <c r="F53" s="25" t="s">
        <v>69</v>
      </c>
      <c r="G53" s="3" t="s">
        <v>5</v>
      </c>
      <c r="H53" s="19">
        <f>1.2*(11*0.4*1+0.15*25*0.4)</f>
        <v>7.08</v>
      </c>
      <c r="I53" s="5">
        <v>9610</v>
      </c>
      <c r="J53" s="37">
        <f t="shared" si="16"/>
        <v>68038.8</v>
      </c>
    </row>
    <row r="54" spans="2:12" ht="14.1" customHeight="1" x14ac:dyDescent="0.25">
      <c r="B54" s="15">
        <v>730091</v>
      </c>
      <c r="C54" s="16" t="s">
        <v>52</v>
      </c>
      <c r="D54" s="13" t="s">
        <v>60</v>
      </c>
      <c r="E54" s="20" t="s">
        <v>20</v>
      </c>
      <c r="F54" s="25" t="s">
        <v>69</v>
      </c>
      <c r="G54" s="3" t="s">
        <v>5</v>
      </c>
      <c r="H54" s="19">
        <f>1.2*(2*0.4+1.2*8*0.4+5*0.4+10*0.4+11*0.4+1.2*16*0.4)</f>
        <v>27.263999999999999</v>
      </c>
      <c r="I54" s="5">
        <v>1740</v>
      </c>
      <c r="J54" s="37">
        <f t="shared" si="16"/>
        <v>47439.360000000001</v>
      </c>
    </row>
    <row r="55" spans="2:12" ht="13.5" customHeight="1" x14ac:dyDescent="0.25">
      <c r="B55" s="15">
        <v>730091</v>
      </c>
      <c r="C55" s="16" t="s">
        <v>52</v>
      </c>
      <c r="D55" s="11" t="s">
        <v>58</v>
      </c>
      <c r="E55" s="4" t="s">
        <v>36</v>
      </c>
      <c r="F55" s="25" t="s">
        <v>69</v>
      </c>
      <c r="G55" s="3" t="s">
        <v>5</v>
      </c>
      <c r="H55" s="19">
        <f>1.2*(5*1+10*1+34*1.2*0.7)</f>
        <v>52.271999999999991</v>
      </c>
      <c r="I55" s="5">
        <v>3640</v>
      </c>
      <c r="J55" s="37">
        <f t="shared" si="16"/>
        <v>190270.07999999996</v>
      </c>
    </row>
    <row r="56" spans="2:12" ht="13.5" customHeight="1" x14ac:dyDescent="0.25">
      <c r="B56" s="15">
        <v>730091</v>
      </c>
      <c r="C56" s="16" t="s">
        <v>52</v>
      </c>
      <c r="D56" s="11" t="s">
        <v>58</v>
      </c>
      <c r="E56" s="20" t="s">
        <v>24</v>
      </c>
      <c r="F56" s="25" t="s">
        <v>69</v>
      </c>
      <c r="G56" s="3" t="s">
        <v>5</v>
      </c>
      <c r="H56" s="19">
        <f>1.2*H55/6</f>
        <v>10.454399999999998</v>
      </c>
      <c r="I56" s="5">
        <v>1570</v>
      </c>
      <c r="J56" s="37">
        <f t="shared" si="16"/>
        <v>16413.407999999996</v>
      </c>
      <c r="L56" s="30"/>
    </row>
    <row r="57" spans="2:12" ht="13.5" customHeight="1" x14ac:dyDescent="0.25">
      <c r="B57" s="15">
        <v>730091</v>
      </c>
      <c r="C57" s="16" t="s">
        <v>52</v>
      </c>
      <c r="D57" s="11" t="s">
        <v>58</v>
      </c>
      <c r="E57" s="4" t="s">
        <v>36</v>
      </c>
      <c r="F57" s="25" t="s">
        <v>69</v>
      </c>
      <c r="G57" s="3" t="s">
        <v>5</v>
      </c>
      <c r="H57" s="19">
        <f>1.2*(70*1.2*0.8+210*1.2*0.7+15*0.5+45*0.7)</f>
        <v>339.11999999999995</v>
      </c>
      <c r="I57" s="5">
        <v>3640</v>
      </c>
      <c r="J57" s="37">
        <f t="shared" ref="J57:J65" si="17">H57*I57</f>
        <v>1234396.7999999998</v>
      </c>
    </row>
    <row r="58" spans="2:12" ht="13.5" customHeight="1" x14ac:dyDescent="0.25">
      <c r="B58" s="15">
        <v>730091</v>
      </c>
      <c r="C58" s="16" t="s">
        <v>52</v>
      </c>
      <c r="D58" s="11" t="s">
        <v>58</v>
      </c>
      <c r="E58" s="20" t="s">
        <v>24</v>
      </c>
      <c r="F58" s="25" t="s">
        <v>69</v>
      </c>
      <c r="G58" s="3" t="s">
        <v>5</v>
      </c>
      <c r="H58" s="19">
        <f>1.2*H57/6</f>
        <v>67.823999999999984</v>
      </c>
      <c r="I58" s="5">
        <v>1570</v>
      </c>
      <c r="J58" s="37">
        <f t="shared" si="17"/>
        <v>106483.67999999998</v>
      </c>
    </row>
    <row r="59" spans="2:12" ht="14.1" customHeight="1" x14ac:dyDescent="0.25">
      <c r="B59" s="15" t="s">
        <v>49</v>
      </c>
      <c r="C59" s="16" t="s">
        <v>52</v>
      </c>
      <c r="D59" s="11" t="s">
        <v>58</v>
      </c>
      <c r="E59" s="4" t="s">
        <v>39</v>
      </c>
      <c r="F59" s="25" t="s">
        <v>70</v>
      </c>
      <c r="G59" s="3" t="s">
        <v>5</v>
      </c>
      <c r="H59" s="17">
        <f>H60</f>
        <v>60</v>
      </c>
      <c r="I59" s="17">
        <v>723</v>
      </c>
      <c r="J59" s="37">
        <f t="shared" si="17"/>
        <v>43380</v>
      </c>
    </row>
    <row r="60" spans="2:12" ht="13.5" customHeight="1" x14ac:dyDescent="0.25">
      <c r="B60" s="15" t="s">
        <v>49</v>
      </c>
      <c r="C60" s="16" t="s">
        <v>52</v>
      </c>
      <c r="D60" s="11" t="s">
        <v>58</v>
      </c>
      <c r="E60" s="4" t="s">
        <v>16</v>
      </c>
      <c r="F60" s="25" t="s">
        <v>70</v>
      </c>
      <c r="G60" s="3" t="s">
        <v>5</v>
      </c>
      <c r="H60" s="17">
        <f>50+10</f>
        <v>60</v>
      </c>
      <c r="I60" s="5">
        <v>340</v>
      </c>
      <c r="J60" s="37">
        <f t="shared" si="17"/>
        <v>20400</v>
      </c>
    </row>
    <row r="61" spans="2:12" ht="13.5" customHeight="1" x14ac:dyDescent="0.25">
      <c r="B61" s="15">
        <v>730091</v>
      </c>
      <c r="C61" s="16" t="s">
        <v>52</v>
      </c>
      <c r="D61" s="11" t="s">
        <v>58</v>
      </c>
      <c r="E61" s="20" t="s">
        <v>42</v>
      </c>
      <c r="F61" s="25" t="s">
        <v>70</v>
      </c>
      <c r="G61" s="3" t="s">
        <v>5</v>
      </c>
      <c r="H61" s="17">
        <f>H60</f>
        <v>60</v>
      </c>
      <c r="I61" s="5">
        <f>1360+364</f>
        <v>1724</v>
      </c>
      <c r="J61" s="37">
        <f t="shared" si="17"/>
        <v>103440</v>
      </c>
    </row>
    <row r="62" spans="2:12" ht="13.5" customHeight="1" x14ac:dyDescent="0.25">
      <c r="B62" s="15">
        <v>730091</v>
      </c>
      <c r="C62" s="16" t="s">
        <v>52</v>
      </c>
      <c r="D62" s="11" t="s">
        <v>58</v>
      </c>
      <c r="E62" s="4" t="s">
        <v>21</v>
      </c>
      <c r="F62" s="25" t="s">
        <v>70</v>
      </c>
      <c r="G62" s="3" t="s">
        <v>5</v>
      </c>
      <c r="H62" s="6">
        <f>1.2*(10*0.6*0.8)</f>
        <v>5.7600000000000007</v>
      </c>
      <c r="I62" s="5">
        <v>8870</v>
      </c>
      <c r="J62" s="37">
        <f t="shared" si="17"/>
        <v>51091.200000000004</v>
      </c>
    </row>
    <row r="63" spans="2:12" ht="13.5" customHeight="1" x14ac:dyDescent="0.25">
      <c r="B63" s="15">
        <v>730091</v>
      </c>
      <c r="C63" s="16" t="s">
        <v>52</v>
      </c>
      <c r="D63" s="11" t="s">
        <v>58</v>
      </c>
      <c r="E63" s="20" t="s">
        <v>20</v>
      </c>
      <c r="F63" s="25" t="s">
        <v>70</v>
      </c>
      <c r="G63" s="3" t="s">
        <v>5</v>
      </c>
      <c r="H63" s="19">
        <f>1.2*(0.5*20*0.4+5*0.3+45*1.2*0.4*0.5+10*1*0.4+10*1*0.4+10*1*0.4)</f>
        <v>33.96</v>
      </c>
      <c r="I63" s="5">
        <v>1740</v>
      </c>
      <c r="J63" s="37">
        <f t="shared" si="17"/>
        <v>59090.400000000001</v>
      </c>
    </row>
    <row r="64" spans="2:12" ht="13.5" customHeight="1" x14ac:dyDescent="0.25">
      <c r="B64" s="15">
        <v>730091</v>
      </c>
      <c r="C64" s="16" t="s">
        <v>52</v>
      </c>
      <c r="D64" s="11" t="s">
        <v>58</v>
      </c>
      <c r="E64" s="4" t="s">
        <v>17</v>
      </c>
      <c r="F64" s="25" t="s">
        <v>70</v>
      </c>
      <c r="G64" s="3" t="s">
        <v>5</v>
      </c>
      <c r="H64" s="19">
        <f>1.2*(10*1*0.4+15*1*0.4+10*2*0.3)</f>
        <v>19.2</v>
      </c>
      <c r="I64" s="5">
        <v>9610</v>
      </c>
      <c r="J64" s="37">
        <f t="shared" si="17"/>
        <v>184512</v>
      </c>
    </row>
    <row r="65" spans="2:12" ht="13.5" customHeight="1" x14ac:dyDescent="0.25">
      <c r="B65" s="15">
        <v>730091</v>
      </c>
      <c r="C65" s="16" t="s">
        <v>52</v>
      </c>
      <c r="D65" s="11" t="s">
        <v>58</v>
      </c>
      <c r="E65" s="4" t="s">
        <v>18</v>
      </c>
      <c r="F65" s="25" t="s">
        <v>70</v>
      </c>
      <c r="G65" s="3" t="s">
        <v>6</v>
      </c>
      <c r="H65" s="17">
        <f>1.2*(10+10+10+10)</f>
        <v>48</v>
      </c>
      <c r="I65" s="5">
        <v>2355</v>
      </c>
      <c r="J65" s="37">
        <f t="shared" si="17"/>
        <v>113040</v>
      </c>
      <c r="L65" s="30"/>
    </row>
    <row r="66" spans="2:12" ht="13.5" customHeight="1" x14ac:dyDescent="0.25">
      <c r="B66" s="15">
        <v>730091</v>
      </c>
      <c r="C66" s="16" t="s">
        <v>52</v>
      </c>
      <c r="D66" s="11" t="s">
        <v>58</v>
      </c>
      <c r="E66" s="4" t="s">
        <v>17</v>
      </c>
      <c r="F66" s="25" t="s">
        <v>71</v>
      </c>
      <c r="G66" s="3" t="s">
        <v>5</v>
      </c>
      <c r="H66" s="19">
        <f>1.2*(2*0.35)</f>
        <v>0.84</v>
      </c>
      <c r="I66" s="5">
        <v>9610</v>
      </c>
      <c r="J66" s="37">
        <f t="shared" ref="J66:J69" si="18">H66*I66</f>
        <v>8072.4</v>
      </c>
    </row>
    <row r="67" spans="2:12" ht="13.5" customHeight="1" x14ac:dyDescent="0.25">
      <c r="B67" s="15">
        <v>730091</v>
      </c>
      <c r="C67" s="16" t="s">
        <v>52</v>
      </c>
      <c r="D67" s="11" t="s">
        <v>58</v>
      </c>
      <c r="E67" s="4" t="s">
        <v>18</v>
      </c>
      <c r="F67" s="25" t="s">
        <v>71</v>
      </c>
      <c r="G67" s="3" t="s">
        <v>6</v>
      </c>
      <c r="H67" s="17">
        <f>1.2*(10+10+10)</f>
        <v>36</v>
      </c>
      <c r="I67" s="5">
        <v>2355</v>
      </c>
      <c r="J67" s="37">
        <f t="shared" si="18"/>
        <v>84780</v>
      </c>
    </row>
    <row r="68" spans="2:12" ht="13.5" customHeight="1" x14ac:dyDescent="0.25">
      <c r="B68" s="15">
        <v>730091</v>
      </c>
      <c r="C68" s="16" t="s">
        <v>52</v>
      </c>
      <c r="D68" s="11" t="s">
        <v>58</v>
      </c>
      <c r="E68" s="4" t="s">
        <v>36</v>
      </c>
      <c r="F68" s="25" t="s">
        <v>71</v>
      </c>
      <c r="G68" s="3" t="s">
        <v>5</v>
      </c>
      <c r="H68" s="19">
        <v>5</v>
      </c>
      <c r="I68" s="5">
        <v>3640</v>
      </c>
      <c r="J68" s="37">
        <f t="shared" si="18"/>
        <v>18200</v>
      </c>
    </row>
    <row r="69" spans="2:12" ht="13.5" customHeight="1" x14ac:dyDescent="0.25">
      <c r="B69" s="15">
        <v>730091</v>
      </c>
      <c r="C69" s="16" t="s">
        <v>52</v>
      </c>
      <c r="D69" s="11" t="s">
        <v>58</v>
      </c>
      <c r="E69" s="20" t="s">
        <v>24</v>
      </c>
      <c r="F69" s="25" t="s">
        <v>71</v>
      </c>
      <c r="G69" s="3" t="s">
        <v>5</v>
      </c>
      <c r="H69" s="19">
        <f>1.2*H68/6</f>
        <v>1</v>
      </c>
      <c r="I69" s="5">
        <v>1570</v>
      </c>
      <c r="J69" s="37">
        <f t="shared" si="18"/>
        <v>1570</v>
      </c>
    </row>
    <row r="70" spans="2:12" ht="14.1" customHeight="1" x14ac:dyDescent="0.25">
      <c r="B70" s="15">
        <v>730091</v>
      </c>
      <c r="C70" s="16" t="s">
        <v>52</v>
      </c>
      <c r="D70" s="13" t="s">
        <v>60</v>
      </c>
      <c r="E70" s="20" t="s">
        <v>12</v>
      </c>
      <c r="F70" s="25" t="s">
        <v>71</v>
      </c>
      <c r="G70" s="3" t="s">
        <v>6</v>
      </c>
      <c r="H70" s="17">
        <f>1.2*(10)</f>
        <v>12</v>
      </c>
      <c r="I70" s="5">
        <v>2290</v>
      </c>
      <c r="J70" s="37">
        <f>H70*I70</f>
        <v>27480</v>
      </c>
    </row>
    <row r="71" spans="2:12" ht="14.1" customHeight="1" x14ac:dyDescent="0.25">
      <c r="B71" s="15">
        <v>730091</v>
      </c>
      <c r="C71" s="16" t="s">
        <v>52</v>
      </c>
      <c r="D71" s="11" t="s">
        <v>58</v>
      </c>
      <c r="E71" s="20" t="s">
        <v>43</v>
      </c>
      <c r="F71" s="25" t="s">
        <v>71</v>
      </c>
      <c r="G71" s="3" t="s">
        <v>5</v>
      </c>
      <c r="H71" s="17">
        <v>8</v>
      </c>
      <c r="I71" s="5">
        <f>1360+510+364</f>
        <v>2234</v>
      </c>
      <c r="J71" s="37">
        <f t="shared" ref="J71" si="19">H71*I71</f>
        <v>17872</v>
      </c>
      <c r="L71" s="30"/>
    </row>
    <row r="72" spans="2:12" ht="13.5" customHeight="1" x14ac:dyDescent="0.25">
      <c r="B72" s="15" t="s">
        <v>49</v>
      </c>
      <c r="C72" s="16" t="s">
        <v>52</v>
      </c>
      <c r="D72" s="11" t="s">
        <v>58</v>
      </c>
      <c r="E72" s="4" t="s">
        <v>39</v>
      </c>
      <c r="F72" s="25" t="s">
        <v>72</v>
      </c>
      <c r="G72" s="3" t="s">
        <v>5</v>
      </c>
      <c r="H72" s="19">
        <f>H73+H85</f>
        <v>290</v>
      </c>
      <c r="I72" s="17">
        <v>723</v>
      </c>
      <c r="J72" s="37">
        <f t="shared" ref="J72" si="20">H72*I72</f>
        <v>209670</v>
      </c>
    </row>
    <row r="73" spans="2:12" ht="13.5" customHeight="1" x14ac:dyDescent="0.25">
      <c r="B73" s="15" t="s">
        <v>49</v>
      </c>
      <c r="C73" s="16" t="s">
        <v>52</v>
      </c>
      <c r="D73" s="11" t="s">
        <v>58</v>
      </c>
      <c r="E73" s="4" t="s">
        <v>16</v>
      </c>
      <c r="F73" s="25" t="s">
        <v>72</v>
      </c>
      <c r="G73" s="3" t="s">
        <v>5</v>
      </c>
      <c r="H73" s="17">
        <f>20+200</f>
        <v>220</v>
      </c>
      <c r="I73" s="5">
        <v>340</v>
      </c>
      <c r="J73" s="37">
        <f t="shared" ref="J73:J82" si="21">H73*I73</f>
        <v>74800</v>
      </c>
    </row>
    <row r="74" spans="2:12" ht="13.5" customHeight="1" x14ac:dyDescent="0.25">
      <c r="B74" s="15">
        <v>730091</v>
      </c>
      <c r="C74" s="16" t="s">
        <v>52</v>
      </c>
      <c r="D74" s="11" t="s">
        <v>58</v>
      </c>
      <c r="E74" s="20" t="s">
        <v>42</v>
      </c>
      <c r="F74" s="25" t="s">
        <v>72</v>
      </c>
      <c r="G74" s="3" t="s">
        <v>5</v>
      </c>
      <c r="H74" s="17">
        <f>H73</f>
        <v>220</v>
      </c>
      <c r="I74" s="5">
        <f>1360+364</f>
        <v>1724</v>
      </c>
      <c r="J74" s="37">
        <f t="shared" si="21"/>
        <v>379280</v>
      </c>
    </row>
    <row r="75" spans="2:12" ht="13.5" customHeight="1" x14ac:dyDescent="0.25">
      <c r="B75" s="15">
        <v>730091</v>
      </c>
      <c r="C75" s="16" t="s">
        <v>52</v>
      </c>
      <c r="D75" s="11" t="s">
        <v>58</v>
      </c>
      <c r="E75" s="4" t="s">
        <v>33</v>
      </c>
      <c r="F75" s="25" t="s">
        <v>72</v>
      </c>
      <c r="G75" s="3" t="s">
        <v>5</v>
      </c>
      <c r="H75" s="19">
        <f>1.2*90*1</f>
        <v>108</v>
      </c>
      <c r="I75" s="18">
        <v>4200</v>
      </c>
      <c r="J75" s="37">
        <f>H75*I75</f>
        <v>453600</v>
      </c>
    </row>
    <row r="76" spans="2:12" ht="13.5" customHeight="1" x14ac:dyDescent="0.25">
      <c r="B76" s="15">
        <v>730091</v>
      </c>
      <c r="C76" s="16" t="s">
        <v>52</v>
      </c>
      <c r="D76" s="11" t="s">
        <v>58</v>
      </c>
      <c r="E76" s="4" t="s">
        <v>35</v>
      </c>
      <c r="F76" s="25" t="s">
        <v>72</v>
      </c>
      <c r="G76" s="3" t="s">
        <v>5</v>
      </c>
      <c r="H76" s="19">
        <f>1.2*55*0.15</f>
        <v>9.9</v>
      </c>
      <c r="I76" s="18">
        <v>1570</v>
      </c>
      <c r="J76" s="37">
        <f>H76*I76</f>
        <v>15543</v>
      </c>
    </row>
    <row r="77" spans="2:12" ht="13.5" customHeight="1" x14ac:dyDescent="0.25">
      <c r="B77" s="15">
        <v>730091</v>
      </c>
      <c r="C77" s="16" t="s">
        <v>52</v>
      </c>
      <c r="D77" s="13" t="s">
        <v>60</v>
      </c>
      <c r="E77" s="4" t="s">
        <v>17</v>
      </c>
      <c r="F77" s="25" t="s">
        <v>72</v>
      </c>
      <c r="G77" s="3" t="s">
        <v>5</v>
      </c>
      <c r="H77" s="19">
        <f>1.2*(3*10*2*0.4+0.15*30*0.4)</f>
        <v>30.96</v>
      </c>
      <c r="I77" s="5">
        <v>9610</v>
      </c>
      <c r="J77" s="37">
        <f t="shared" si="21"/>
        <v>297525.60000000003</v>
      </c>
    </row>
    <row r="78" spans="2:12" ht="13.5" customHeight="1" x14ac:dyDescent="0.25">
      <c r="B78" s="15">
        <v>730091</v>
      </c>
      <c r="C78" s="16" t="s">
        <v>52</v>
      </c>
      <c r="D78" s="13" t="s">
        <v>60</v>
      </c>
      <c r="E78" s="4" t="s">
        <v>18</v>
      </c>
      <c r="F78" s="25" t="s">
        <v>72</v>
      </c>
      <c r="G78" s="3" t="s">
        <v>6</v>
      </c>
      <c r="H78" s="17">
        <f>1.2*(3*10)</f>
        <v>36</v>
      </c>
      <c r="I78" s="5">
        <v>2355</v>
      </c>
      <c r="J78" s="37">
        <f t="shared" si="21"/>
        <v>84780</v>
      </c>
    </row>
    <row r="79" spans="2:12" ht="13.5" customHeight="1" x14ac:dyDescent="0.25">
      <c r="B79" s="15">
        <v>730091</v>
      </c>
      <c r="C79" s="16" t="s">
        <v>52</v>
      </c>
      <c r="D79" s="12" t="s">
        <v>59</v>
      </c>
      <c r="E79" s="4" t="s">
        <v>34</v>
      </c>
      <c r="F79" s="25" t="s">
        <v>72</v>
      </c>
      <c r="G79" s="3" t="s">
        <v>5</v>
      </c>
      <c r="H79" s="19">
        <f>3*1.2*10*1*0.7</f>
        <v>25.2</v>
      </c>
      <c r="I79" s="18">
        <v>5400</v>
      </c>
      <c r="J79" s="37">
        <f t="shared" si="21"/>
        <v>136080</v>
      </c>
    </row>
    <row r="80" spans="2:12" ht="13.5" customHeight="1" x14ac:dyDescent="0.25">
      <c r="B80" s="15">
        <v>730091</v>
      </c>
      <c r="C80" s="16" t="s">
        <v>52</v>
      </c>
      <c r="D80" s="12" t="s">
        <v>59</v>
      </c>
      <c r="E80" s="4" t="s">
        <v>7</v>
      </c>
      <c r="F80" s="25" t="s">
        <v>72</v>
      </c>
      <c r="G80" s="3" t="s">
        <v>5</v>
      </c>
      <c r="H80" s="19">
        <f>1.2*(120*0.8)</f>
        <v>115.19999999999999</v>
      </c>
      <c r="I80" s="5">
        <v>3640</v>
      </c>
      <c r="J80" s="37">
        <f t="shared" si="21"/>
        <v>419327.99999999994</v>
      </c>
    </row>
    <row r="81" spans="2:14" ht="13.5" customHeight="1" x14ac:dyDescent="0.25">
      <c r="B81" s="15">
        <v>730091</v>
      </c>
      <c r="C81" s="16" t="s">
        <v>52</v>
      </c>
      <c r="D81" s="13" t="s">
        <v>60</v>
      </c>
      <c r="E81" s="20" t="s">
        <v>24</v>
      </c>
      <c r="F81" s="25" t="s">
        <v>72</v>
      </c>
      <c r="G81" s="3" t="s">
        <v>5</v>
      </c>
      <c r="H81" s="19">
        <f>1.2*H80/6</f>
        <v>23.039999999999996</v>
      </c>
      <c r="I81" s="5">
        <v>1570</v>
      </c>
      <c r="J81" s="37">
        <f t="shared" si="21"/>
        <v>36172.799999999996</v>
      </c>
    </row>
    <row r="82" spans="2:14" ht="13.5" customHeight="1" x14ac:dyDescent="0.25">
      <c r="B82" s="15">
        <v>730091</v>
      </c>
      <c r="C82" s="16" t="s">
        <v>52</v>
      </c>
      <c r="D82" s="13" t="s">
        <v>60</v>
      </c>
      <c r="E82" s="4" t="s">
        <v>20</v>
      </c>
      <c r="F82" s="25" t="s">
        <v>72</v>
      </c>
      <c r="G82" s="3" t="s">
        <v>5</v>
      </c>
      <c r="H82" s="19">
        <f>1.2*(30*1*0.3)</f>
        <v>10.799999999999999</v>
      </c>
      <c r="I82" s="5">
        <v>1740</v>
      </c>
      <c r="J82" s="37">
        <f t="shared" si="21"/>
        <v>18791.999999999996</v>
      </c>
    </row>
    <row r="83" spans="2:14" ht="13.5" customHeight="1" x14ac:dyDescent="0.25">
      <c r="B83" s="15">
        <v>730091</v>
      </c>
      <c r="C83" s="16" t="s">
        <v>52</v>
      </c>
      <c r="D83" s="13" t="s">
        <v>60</v>
      </c>
      <c r="E83" s="4" t="s">
        <v>22</v>
      </c>
      <c r="F83" s="25" t="s">
        <v>72</v>
      </c>
      <c r="G83" s="3" t="s">
        <v>5</v>
      </c>
      <c r="H83" s="6">
        <f>1.2*(17*0.5*0.5)</f>
        <v>5.0999999999999996</v>
      </c>
      <c r="I83" s="5">
        <v>5780</v>
      </c>
      <c r="J83" s="37">
        <f>H83*I83</f>
        <v>29477.999999999996</v>
      </c>
    </row>
    <row r="84" spans="2:14" ht="13.5" customHeight="1" x14ac:dyDescent="0.25">
      <c r="B84" s="15">
        <v>730091</v>
      </c>
      <c r="C84" s="16" t="s">
        <v>52</v>
      </c>
      <c r="D84" s="13" t="s">
        <v>60</v>
      </c>
      <c r="E84" s="4" t="s">
        <v>30</v>
      </c>
      <c r="F84" s="25" t="s">
        <v>72</v>
      </c>
      <c r="G84" s="3" t="s">
        <v>5</v>
      </c>
      <c r="H84" s="6">
        <f>1.2*(1.5*20)</f>
        <v>36</v>
      </c>
      <c r="I84" s="5">
        <v>10760</v>
      </c>
      <c r="J84" s="37">
        <f>H84*I84</f>
        <v>387360</v>
      </c>
    </row>
    <row r="85" spans="2:14" ht="13.5" customHeight="1" thickBot="1" x14ac:dyDescent="0.3">
      <c r="B85" s="15">
        <v>730091</v>
      </c>
      <c r="C85" s="16" t="s">
        <v>52</v>
      </c>
      <c r="D85" s="12" t="s">
        <v>59</v>
      </c>
      <c r="E85" s="4" t="s">
        <v>25</v>
      </c>
      <c r="F85" s="25" t="s">
        <v>72</v>
      </c>
      <c r="G85" s="3" t="s">
        <v>5</v>
      </c>
      <c r="H85" s="6">
        <v>70</v>
      </c>
      <c r="I85" s="5">
        <v>3104</v>
      </c>
      <c r="J85" s="37">
        <f>H85*I85</f>
        <v>217280</v>
      </c>
      <c r="L85" s="28">
        <f>SUM(J48:J85)</f>
        <v>5595576.5279999999</v>
      </c>
      <c r="M85" s="28">
        <f>L85*0.2</f>
        <v>1119115.3056000001</v>
      </c>
      <c r="N85" s="29">
        <f>MROUND(SUM(L85+M85),100000)</f>
        <v>6700000</v>
      </c>
    </row>
    <row r="86" spans="2:14" ht="13.5" customHeight="1" thickTop="1" x14ac:dyDescent="0.25">
      <c r="B86" s="15">
        <v>730091</v>
      </c>
      <c r="C86" s="16" t="s">
        <v>53</v>
      </c>
      <c r="D86" s="11" t="s">
        <v>58</v>
      </c>
      <c r="E86" s="4" t="s">
        <v>12</v>
      </c>
      <c r="F86" s="25" t="s">
        <v>73</v>
      </c>
      <c r="G86" s="3" t="s">
        <v>5</v>
      </c>
      <c r="H86" s="17">
        <f>1.2*10+10*2.2*0.5</f>
        <v>23</v>
      </c>
      <c r="I86" s="18">
        <v>2290</v>
      </c>
      <c r="J86" s="37">
        <f>H86*I86</f>
        <v>52670</v>
      </c>
    </row>
    <row r="87" spans="2:14" ht="13.5" customHeight="1" x14ac:dyDescent="0.25">
      <c r="B87" s="15">
        <v>730091</v>
      </c>
      <c r="C87" s="16" t="s">
        <v>53</v>
      </c>
      <c r="D87" s="12" t="s">
        <v>59</v>
      </c>
      <c r="E87" s="4" t="s">
        <v>20</v>
      </c>
      <c r="F87" s="25" t="s">
        <v>73</v>
      </c>
      <c r="G87" s="3" t="s">
        <v>5</v>
      </c>
      <c r="H87" s="19">
        <f>1.2*(8*0.4+47*0.8+8*2.2*0.4*10)</f>
        <v>133.44000000000003</v>
      </c>
      <c r="I87" s="18">
        <v>1740</v>
      </c>
      <c r="J87" s="37">
        <f t="shared" ref="J87:J95" si="22">H87*I87</f>
        <v>232185.60000000003</v>
      </c>
      <c r="L87" s="30"/>
    </row>
    <row r="88" spans="2:14" ht="13.5" customHeight="1" x14ac:dyDescent="0.25">
      <c r="B88" s="15" t="s">
        <v>49</v>
      </c>
      <c r="C88" s="16" t="s">
        <v>53</v>
      </c>
      <c r="D88" s="12" t="s">
        <v>59</v>
      </c>
      <c r="E88" s="4" t="s">
        <v>39</v>
      </c>
      <c r="F88" s="25" t="s">
        <v>73</v>
      </c>
      <c r="G88" s="3" t="s">
        <v>5</v>
      </c>
      <c r="H88" s="17">
        <f>H89</f>
        <v>65</v>
      </c>
      <c r="I88" s="17">
        <v>723</v>
      </c>
      <c r="J88" s="37">
        <f t="shared" si="22"/>
        <v>46995</v>
      </c>
    </row>
    <row r="89" spans="2:14" ht="13.5" customHeight="1" x14ac:dyDescent="0.25">
      <c r="B89" s="15" t="s">
        <v>49</v>
      </c>
      <c r="C89" s="16" t="s">
        <v>53</v>
      </c>
      <c r="D89" s="12" t="s">
        <v>59</v>
      </c>
      <c r="E89" s="4" t="s">
        <v>16</v>
      </c>
      <c r="F89" s="25" t="s">
        <v>73</v>
      </c>
      <c r="G89" s="3" t="s">
        <v>5</v>
      </c>
      <c r="H89" s="17">
        <f>30+15+20</f>
        <v>65</v>
      </c>
      <c r="I89" s="18">
        <v>340</v>
      </c>
      <c r="J89" s="37">
        <f t="shared" si="22"/>
        <v>22100</v>
      </c>
    </row>
    <row r="90" spans="2:14" ht="13.5" customHeight="1" x14ac:dyDescent="0.25">
      <c r="B90" s="15">
        <v>730091</v>
      </c>
      <c r="C90" s="16" t="s">
        <v>53</v>
      </c>
      <c r="D90" s="12" t="s">
        <v>59</v>
      </c>
      <c r="E90" s="20" t="s">
        <v>44</v>
      </c>
      <c r="F90" s="25" t="s">
        <v>73</v>
      </c>
      <c r="G90" s="3" t="s">
        <v>5</v>
      </c>
      <c r="H90" s="17">
        <f>H89</f>
        <v>65</v>
      </c>
      <c r="I90" s="5">
        <f>1360+364</f>
        <v>1724</v>
      </c>
      <c r="J90" s="37">
        <f t="shared" si="22"/>
        <v>112060</v>
      </c>
    </row>
    <row r="91" spans="2:14" ht="13.5" customHeight="1" x14ac:dyDescent="0.25">
      <c r="B91" s="15">
        <v>730091</v>
      </c>
      <c r="C91" s="16" t="s">
        <v>53</v>
      </c>
      <c r="D91" s="11" t="s">
        <v>58</v>
      </c>
      <c r="E91" s="4" t="s">
        <v>17</v>
      </c>
      <c r="F91" s="25" t="s">
        <v>73</v>
      </c>
      <c r="G91" s="3" t="s">
        <v>6</v>
      </c>
      <c r="H91" s="19">
        <f>1.2*(25*0.35+0.15*20*0.4)</f>
        <v>11.94</v>
      </c>
      <c r="I91" s="18">
        <v>9610</v>
      </c>
      <c r="J91" s="37">
        <f t="shared" si="22"/>
        <v>114743.4</v>
      </c>
    </row>
    <row r="92" spans="2:14" ht="13.5" customHeight="1" x14ac:dyDescent="0.25">
      <c r="B92" s="15">
        <v>730091</v>
      </c>
      <c r="C92" s="16" t="s">
        <v>53</v>
      </c>
      <c r="D92" s="11" t="s">
        <v>58</v>
      </c>
      <c r="E92" s="4" t="s">
        <v>18</v>
      </c>
      <c r="F92" s="25" t="s">
        <v>73</v>
      </c>
      <c r="G92" s="3" t="s">
        <v>6</v>
      </c>
      <c r="H92" s="17">
        <f>1.2*(10+10)</f>
        <v>24</v>
      </c>
      <c r="I92" s="18">
        <v>2355</v>
      </c>
      <c r="J92" s="37">
        <f t="shared" si="22"/>
        <v>56520</v>
      </c>
    </row>
    <row r="93" spans="2:14" ht="13.5" customHeight="1" x14ac:dyDescent="0.25">
      <c r="B93" s="15">
        <v>730091</v>
      </c>
      <c r="C93" s="16" t="s">
        <v>53</v>
      </c>
      <c r="D93" s="11" t="s">
        <v>58</v>
      </c>
      <c r="E93" s="4" t="s">
        <v>7</v>
      </c>
      <c r="F93" s="25" t="s">
        <v>73</v>
      </c>
      <c r="G93" s="3" t="s">
        <v>5</v>
      </c>
      <c r="H93" s="19">
        <f>1.2*(1.2*50*0.8)</f>
        <v>57.599999999999994</v>
      </c>
      <c r="I93" s="18">
        <v>3640</v>
      </c>
      <c r="J93" s="37">
        <f t="shared" ref="J93:J94" si="23">H93*I93</f>
        <v>209663.99999999997</v>
      </c>
    </row>
    <row r="94" spans="2:14" ht="13.5" customHeight="1" x14ac:dyDescent="0.25">
      <c r="B94" s="15">
        <v>730091</v>
      </c>
      <c r="C94" s="16" t="s">
        <v>53</v>
      </c>
      <c r="D94" s="12" t="s">
        <v>59</v>
      </c>
      <c r="E94" s="4" t="s">
        <v>34</v>
      </c>
      <c r="F94" s="25" t="s">
        <v>73</v>
      </c>
      <c r="G94" s="3" t="s">
        <v>5</v>
      </c>
      <c r="H94" s="19">
        <f>3*1.2*10*1*0.7</f>
        <v>25.2</v>
      </c>
      <c r="I94" s="18">
        <v>5400</v>
      </c>
      <c r="J94" s="37">
        <f t="shared" si="23"/>
        <v>136080</v>
      </c>
    </row>
    <row r="95" spans="2:14" ht="13.5" customHeight="1" thickBot="1" x14ac:dyDescent="0.3">
      <c r="B95" s="15">
        <v>730091</v>
      </c>
      <c r="C95" s="16" t="s">
        <v>53</v>
      </c>
      <c r="D95" s="12" t="s">
        <v>59</v>
      </c>
      <c r="E95" s="4" t="s">
        <v>24</v>
      </c>
      <c r="F95" s="25" t="s">
        <v>73</v>
      </c>
      <c r="G95" s="3" t="s">
        <v>5</v>
      </c>
      <c r="H95" s="19">
        <f>1.2*(H93/6)</f>
        <v>11.52</v>
      </c>
      <c r="I95" s="18">
        <v>1570</v>
      </c>
      <c r="J95" s="37">
        <f t="shared" si="22"/>
        <v>18086.399999999998</v>
      </c>
      <c r="L95" s="28">
        <f>SUM(J86:J95)</f>
        <v>1001104.4</v>
      </c>
      <c r="M95" s="28">
        <f>L95*0.2</f>
        <v>200220.88</v>
      </c>
      <c r="N95" s="29">
        <f>MROUND(SUM(L95+M95),100000)</f>
        <v>1200000</v>
      </c>
    </row>
    <row r="96" spans="2:14" ht="14.1" customHeight="1" thickTop="1" x14ac:dyDescent="0.25">
      <c r="B96" s="15">
        <v>730091</v>
      </c>
      <c r="C96" s="16" t="s">
        <v>54</v>
      </c>
      <c r="D96" s="13" t="s">
        <v>60</v>
      </c>
      <c r="E96" s="4" t="s">
        <v>12</v>
      </c>
      <c r="F96" s="25" t="s">
        <v>74</v>
      </c>
      <c r="G96" s="3" t="s">
        <v>5</v>
      </c>
      <c r="H96" s="17">
        <f>1.2*(5+10)</f>
        <v>18</v>
      </c>
      <c r="I96" s="18">
        <v>2290</v>
      </c>
      <c r="J96" s="37">
        <f>H96*I96</f>
        <v>41220</v>
      </c>
    </row>
    <row r="97" spans="2:14" ht="14.1" customHeight="1" x14ac:dyDescent="0.25">
      <c r="B97" s="15">
        <v>730091</v>
      </c>
      <c r="C97" s="16" t="s">
        <v>54</v>
      </c>
      <c r="D97" s="13" t="s">
        <v>60</v>
      </c>
      <c r="E97" s="20" t="s">
        <v>20</v>
      </c>
      <c r="F97" s="25" t="s">
        <v>74</v>
      </c>
      <c r="G97" s="3" t="s">
        <v>5</v>
      </c>
      <c r="H97" s="17">
        <f>1.2*10</f>
        <v>12</v>
      </c>
      <c r="I97" s="18">
        <v>1740</v>
      </c>
      <c r="J97" s="37">
        <f t="shared" ref="J97:J103" si="24">H97*I97</f>
        <v>20880</v>
      </c>
    </row>
    <row r="98" spans="2:14" ht="13.5" customHeight="1" x14ac:dyDescent="0.25">
      <c r="B98" s="15" t="s">
        <v>49</v>
      </c>
      <c r="C98" s="16" t="s">
        <v>54</v>
      </c>
      <c r="D98" s="11" t="s">
        <v>58</v>
      </c>
      <c r="E98" s="4" t="s">
        <v>39</v>
      </c>
      <c r="F98" s="25" t="s">
        <v>74</v>
      </c>
      <c r="G98" s="3" t="s">
        <v>5</v>
      </c>
      <c r="H98" s="17">
        <f>H99</f>
        <v>50</v>
      </c>
      <c r="I98" s="17">
        <v>723</v>
      </c>
      <c r="J98" s="37">
        <f t="shared" si="24"/>
        <v>36150</v>
      </c>
    </row>
    <row r="99" spans="2:14" ht="14.1" customHeight="1" x14ac:dyDescent="0.25">
      <c r="B99" s="15" t="s">
        <v>49</v>
      </c>
      <c r="C99" s="16" t="s">
        <v>54</v>
      </c>
      <c r="D99" s="11" t="s">
        <v>58</v>
      </c>
      <c r="E99" s="4" t="s">
        <v>16</v>
      </c>
      <c r="F99" s="25" t="s">
        <v>74</v>
      </c>
      <c r="G99" s="3" t="s">
        <v>5</v>
      </c>
      <c r="H99" s="17">
        <v>50</v>
      </c>
      <c r="I99" s="18">
        <v>340</v>
      </c>
      <c r="J99" s="37">
        <f t="shared" si="24"/>
        <v>17000</v>
      </c>
    </row>
    <row r="100" spans="2:14" ht="14.1" customHeight="1" x14ac:dyDescent="0.25">
      <c r="B100" s="15">
        <v>730091</v>
      </c>
      <c r="C100" s="16" t="s">
        <v>54</v>
      </c>
      <c r="D100" s="11" t="s">
        <v>58</v>
      </c>
      <c r="E100" s="4" t="s">
        <v>44</v>
      </c>
      <c r="F100" s="25" t="s">
        <v>74</v>
      </c>
      <c r="G100" s="3" t="s">
        <v>5</v>
      </c>
      <c r="H100" s="17">
        <f>H99</f>
        <v>50</v>
      </c>
      <c r="I100" s="5">
        <f>1360+364</f>
        <v>1724</v>
      </c>
      <c r="J100" s="37">
        <f t="shared" si="24"/>
        <v>86200</v>
      </c>
    </row>
    <row r="101" spans="2:14" ht="14.1" customHeight="1" x14ac:dyDescent="0.25">
      <c r="B101" s="15">
        <v>730091</v>
      </c>
      <c r="C101" s="16" t="s">
        <v>54</v>
      </c>
      <c r="D101" s="11" t="s">
        <v>58</v>
      </c>
      <c r="E101" s="4" t="s">
        <v>24</v>
      </c>
      <c r="F101" s="25" t="s">
        <v>74</v>
      </c>
      <c r="G101" s="3" t="s">
        <v>5</v>
      </c>
      <c r="H101" s="19">
        <f>1.2*(35*1.2*0.15)</f>
        <v>7.56</v>
      </c>
      <c r="I101" s="18">
        <v>1670</v>
      </c>
      <c r="J101" s="37">
        <f t="shared" ref="J101" si="25">H101*I101</f>
        <v>12625.199999999999</v>
      </c>
    </row>
    <row r="102" spans="2:14" ht="14.1" customHeight="1" x14ac:dyDescent="0.25">
      <c r="B102" s="15">
        <v>730091</v>
      </c>
      <c r="C102" s="16" t="s">
        <v>54</v>
      </c>
      <c r="D102" s="11" t="s">
        <v>58</v>
      </c>
      <c r="E102" s="4" t="s">
        <v>17</v>
      </c>
      <c r="F102" s="25" t="s">
        <v>74</v>
      </c>
      <c r="G102" s="3" t="s">
        <v>6</v>
      </c>
      <c r="H102" s="19">
        <f>1.2*(5*0.5*0.3+10*0.6*1+10*0.35+0.15*34*0.4)</f>
        <v>14.747999999999998</v>
      </c>
      <c r="I102" s="18">
        <v>9610</v>
      </c>
      <c r="J102" s="37">
        <f t="shared" si="24"/>
        <v>141728.27999999997</v>
      </c>
    </row>
    <row r="103" spans="2:14" ht="14.1" customHeight="1" x14ac:dyDescent="0.25">
      <c r="B103" s="15">
        <v>730091</v>
      </c>
      <c r="C103" s="16" t="s">
        <v>54</v>
      </c>
      <c r="D103" s="12" t="s">
        <v>59</v>
      </c>
      <c r="E103" s="4" t="s">
        <v>18</v>
      </c>
      <c r="F103" s="25" t="s">
        <v>74</v>
      </c>
      <c r="G103" s="3" t="s">
        <v>5</v>
      </c>
      <c r="H103" s="19">
        <f>1.2*(3+40)</f>
        <v>51.6</v>
      </c>
      <c r="I103" s="18">
        <v>2355</v>
      </c>
      <c r="J103" s="37">
        <f t="shared" si="24"/>
        <v>121518</v>
      </c>
    </row>
    <row r="104" spans="2:14" ht="14.1" customHeight="1" x14ac:dyDescent="0.25">
      <c r="B104" s="15">
        <v>730091</v>
      </c>
      <c r="C104" s="16" t="s">
        <v>54</v>
      </c>
      <c r="D104" s="11" t="s">
        <v>58</v>
      </c>
      <c r="E104" s="4" t="s">
        <v>31</v>
      </c>
      <c r="F104" s="25" t="s">
        <v>74</v>
      </c>
      <c r="G104" s="3" t="s">
        <v>5</v>
      </c>
      <c r="H104" s="22">
        <f>10*0.5*0.8</f>
        <v>4</v>
      </c>
      <c r="I104" s="18">
        <v>10760</v>
      </c>
      <c r="J104" s="37">
        <f t="shared" ref="J104" si="26">H104*I104</f>
        <v>43040</v>
      </c>
      <c r="L104" s="30"/>
    </row>
    <row r="105" spans="2:14" ht="14.1" customHeight="1" x14ac:dyDescent="0.25">
      <c r="B105" s="15">
        <v>730091</v>
      </c>
      <c r="C105" s="16" t="s">
        <v>54</v>
      </c>
      <c r="D105" s="12" t="s">
        <v>59</v>
      </c>
      <c r="E105" s="4" t="s">
        <v>33</v>
      </c>
      <c r="F105" s="25" t="s">
        <v>75</v>
      </c>
      <c r="G105" s="3" t="s">
        <v>5</v>
      </c>
      <c r="H105" s="19">
        <f>1.2*(100*0.8+2*10*1*0.8)</f>
        <v>115.19999999999999</v>
      </c>
      <c r="I105" s="18">
        <v>4200</v>
      </c>
      <c r="J105" s="37">
        <f t="shared" ref="J105:J106" si="27">H105*I105</f>
        <v>483839.99999999994</v>
      </c>
    </row>
    <row r="106" spans="2:14" ht="14.1" customHeight="1" x14ac:dyDescent="0.25">
      <c r="B106" s="15">
        <v>730091</v>
      </c>
      <c r="C106" s="16" t="s">
        <v>54</v>
      </c>
      <c r="D106" s="12" t="s">
        <v>59</v>
      </c>
      <c r="E106" s="4" t="s">
        <v>24</v>
      </c>
      <c r="F106" s="25" t="s">
        <v>75</v>
      </c>
      <c r="G106" s="3" t="s">
        <v>5</v>
      </c>
      <c r="H106" s="19">
        <f>1.2*(100*0.15+2*10*1*0.15)</f>
        <v>21.599999999999998</v>
      </c>
      <c r="I106" s="18">
        <v>1670</v>
      </c>
      <c r="J106" s="37">
        <f t="shared" si="27"/>
        <v>36072</v>
      </c>
    </row>
    <row r="107" spans="2:14" ht="14.1" customHeight="1" thickBot="1" x14ac:dyDescent="0.3">
      <c r="B107" s="15">
        <v>730091</v>
      </c>
      <c r="C107" s="16" t="s">
        <v>54</v>
      </c>
      <c r="D107" s="12" t="s">
        <v>59</v>
      </c>
      <c r="E107" s="4" t="s">
        <v>12</v>
      </c>
      <c r="F107" s="25" t="s">
        <v>75</v>
      </c>
      <c r="G107" s="3" t="s">
        <v>5</v>
      </c>
      <c r="H107" s="19">
        <f>1.2*(18)</f>
        <v>21.599999999999998</v>
      </c>
      <c r="I107" s="18">
        <v>2290</v>
      </c>
      <c r="J107" s="37">
        <f>H107*I107</f>
        <v>49463.999999999993</v>
      </c>
      <c r="L107" s="28">
        <f>SUM(J96:J107)</f>
        <v>1089737.48</v>
      </c>
      <c r="M107" s="28">
        <f>L107*0.2</f>
        <v>217947.49600000001</v>
      </c>
      <c r="N107" s="29">
        <f>MROUND(SUM(L107+M107),100000)</f>
        <v>1300000</v>
      </c>
    </row>
    <row r="108" spans="2:14" ht="14.1" customHeight="1" thickTop="1" x14ac:dyDescent="0.25">
      <c r="B108" s="15">
        <v>730091</v>
      </c>
      <c r="C108" s="16" t="s">
        <v>55</v>
      </c>
      <c r="D108" s="13" t="s">
        <v>60</v>
      </c>
      <c r="E108" s="4" t="s">
        <v>28</v>
      </c>
      <c r="F108" s="25" t="s">
        <v>76</v>
      </c>
      <c r="G108" s="3" t="s">
        <v>5</v>
      </c>
      <c r="H108" s="6">
        <f>1.2*(8*0.5*0.8+120*0.4*0.4+120*0.15*1)</f>
        <v>48.480000000000004</v>
      </c>
      <c r="I108" s="18">
        <v>10760</v>
      </c>
      <c r="J108" s="37">
        <f>H108*I108</f>
        <v>521644.80000000005</v>
      </c>
    </row>
    <row r="109" spans="2:14" ht="13.5" customHeight="1" x14ac:dyDescent="0.25">
      <c r="B109" s="15" t="s">
        <v>49</v>
      </c>
      <c r="C109" s="16" t="s">
        <v>55</v>
      </c>
      <c r="D109" s="12" t="s">
        <v>59</v>
      </c>
      <c r="E109" s="4" t="s">
        <v>39</v>
      </c>
      <c r="F109" s="25" t="s">
        <v>76</v>
      </c>
      <c r="G109" s="3" t="s">
        <v>5</v>
      </c>
      <c r="H109" s="17">
        <f>H110</f>
        <v>144</v>
      </c>
      <c r="I109" s="17">
        <v>723</v>
      </c>
      <c r="J109" s="37">
        <f t="shared" ref="J109" si="28">H109*I109</f>
        <v>104112</v>
      </c>
      <c r="L109" s="30"/>
    </row>
    <row r="110" spans="2:14" ht="13.5" customHeight="1" x14ac:dyDescent="0.25">
      <c r="B110" s="15" t="s">
        <v>49</v>
      </c>
      <c r="C110" s="16" t="s">
        <v>55</v>
      </c>
      <c r="D110" s="12" t="s">
        <v>59</v>
      </c>
      <c r="E110" s="4" t="s">
        <v>16</v>
      </c>
      <c r="F110" s="25" t="s">
        <v>76</v>
      </c>
      <c r="G110" s="3" t="s">
        <v>5</v>
      </c>
      <c r="H110" s="17">
        <f>50+94</f>
        <v>144</v>
      </c>
      <c r="I110" s="18">
        <v>340</v>
      </c>
      <c r="J110" s="37">
        <f t="shared" ref="J110:J113" si="29">H110*I110</f>
        <v>48960</v>
      </c>
    </row>
    <row r="111" spans="2:14" ht="13.5" customHeight="1" x14ac:dyDescent="0.25">
      <c r="B111" s="15">
        <v>730091</v>
      </c>
      <c r="C111" s="16" t="s">
        <v>55</v>
      </c>
      <c r="D111" s="12" t="s">
        <v>59</v>
      </c>
      <c r="E111" s="4" t="s">
        <v>44</v>
      </c>
      <c r="F111" s="25" t="s">
        <v>76</v>
      </c>
      <c r="G111" s="3" t="s">
        <v>5</v>
      </c>
      <c r="H111" s="19">
        <f>H110</f>
        <v>144</v>
      </c>
      <c r="I111" s="18">
        <f>1360+364</f>
        <v>1724</v>
      </c>
      <c r="J111" s="37">
        <f t="shared" si="29"/>
        <v>248256</v>
      </c>
    </row>
    <row r="112" spans="2:14" ht="13.5" customHeight="1" x14ac:dyDescent="0.25">
      <c r="B112" s="15">
        <v>730091</v>
      </c>
      <c r="C112" s="16" t="s">
        <v>55</v>
      </c>
      <c r="D112" s="12" t="s">
        <v>59</v>
      </c>
      <c r="E112" s="4" t="s">
        <v>36</v>
      </c>
      <c r="F112" s="25" t="s">
        <v>76</v>
      </c>
      <c r="G112" s="3" t="s">
        <v>5</v>
      </c>
      <c r="H112" s="19">
        <f>1.2*(35*1.2*0.8)</f>
        <v>40.32</v>
      </c>
      <c r="I112" s="18">
        <v>3640</v>
      </c>
      <c r="J112" s="37">
        <f t="shared" si="29"/>
        <v>146764.79999999999</v>
      </c>
    </row>
    <row r="113" spans="2:14" ht="13.5" customHeight="1" x14ac:dyDescent="0.25">
      <c r="B113" s="15">
        <v>730091</v>
      </c>
      <c r="C113" s="16" t="s">
        <v>55</v>
      </c>
      <c r="D113" s="12" t="s">
        <v>59</v>
      </c>
      <c r="E113" s="20" t="s">
        <v>24</v>
      </c>
      <c r="F113" s="25" t="s">
        <v>76</v>
      </c>
      <c r="G113" s="3" t="s">
        <v>5</v>
      </c>
      <c r="H113" s="19">
        <f>1.2*(35*1.2*0.15)</f>
        <v>7.56</v>
      </c>
      <c r="I113" s="18">
        <v>1670</v>
      </c>
      <c r="J113" s="37">
        <f t="shared" si="29"/>
        <v>12625.199999999999</v>
      </c>
      <c r="L113" s="30"/>
    </row>
    <row r="114" spans="2:14" ht="13.5" customHeight="1" x14ac:dyDescent="0.25">
      <c r="B114" s="15">
        <v>730091</v>
      </c>
      <c r="C114" s="16" t="s">
        <v>55</v>
      </c>
      <c r="D114" s="13" t="s">
        <v>60</v>
      </c>
      <c r="E114" s="4" t="s">
        <v>12</v>
      </c>
      <c r="F114" s="25" t="s">
        <v>77</v>
      </c>
      <c r="G114" s="3" t="s">
        <v>6</v>
      </c>
      <c r="H114" s="17">
        <f>1.2*10</f>
        <v>12</v>
      </c>
      <c r="I114" s="18">
        <v>2290</v>
      </c>
      <c r="J114" s="37">
        <f>H114*I114</f>
        <v>27480</v>
      </c>
    </row>
    <row r="115" spans="2:14" ht="13.5" customHeight="1" x14ac:dyDescent="0.25">
      <c r="B115" s="15">
        <v>730091</v>
      </c>
      <c r="C115" s="16" t="s">
        <v>55</v>
      </c>
      <c r="D115" s="13" t="s">
        <v>60</v>
      </c>
      <c r="E115" s="4" t="s">
        <v>17</v>
      </c>
      <c r="F115" s="25" t="s">
        <v>77</v>
      </c>
      <c r="G115" s="3" t="s">
        <v>5</v>
      </c>
      <c r="H115" s="19">
        <f>1.2*(5*0.3*0.3+5*0.35*0.6+5*0.35*0.6+3+10*0.3+0.15*20*0.4)</f>
        <v>11.7</v>
      </c>
      <c r="I115" s="18">
        <v>9610</v>
      </c>
      <c r="J115" s="37">
        <f>H115*I115</f>
        <v>112437</v>
      </c>
    </row>
    <row r="116" spans="2:14" ht="13.5" customHeight="1" x14ac:dyDescent="0.25">
      <c r="B116" s="15">
        <v>730091</v>
      </c>
      <c r="C116" s="16" t="s">
        <v>55</v>
      </c>
      <c r="D116" s="13" t="s">
        <v>60</v>
      </c>
      <c r="E116" s="20" t="s">
        <v>20</v>
      </c>
      <c r="F116" s="25" t="s">
        <v>77</v>
      </c>
      <c r="G116" s="3" t="s">
        <v>5</v>
      </c>
      <c r="H116" s="19">
        <f>1.2*(120*0.2*0.2+6*0.3*0.3+10*0.3*0.3)</f>
        <v>7.4879999999999995</v>
      </c>
      <c r="I116" s="18">
        <v>1740</v>
      </c>
      <c r="J116" s="37">
        <f>H116*I116</f>
        <v>13029.119999999999</v>
      </c>
    </row>
    <row r="117" spans="2:14" ht="13.5" customHeight="1" x14ac:dyDescent="0.25">
      <c r="B117" s="15">
        <v>730091</v>
      </c>
      <c r="C117" s="16" t="s">
        <v>55</v>
      </c>
      <c r="D117" s="13" t="s">
        <v>60</v>
      </c>
      <c r="E117" s="4" t="s">
        <v>18</v>
      </c>
      <c r="F117" s="25" t="s">
        <v>77</v>
      </c>
      <c r="G117" s="3" t="s">
        <v>6</v>
      </c>
      <c r="H117" s="17">
        <f>1.2*20</f>
        <v>24</v>
      </c>
      <c r="I117" s="18">
        <v>2355</v>
      </c>
      <c r="J117" s="37">
        <f>H117*I117</f>
        <v>56520</v>
      </c>
    </row>
    <row r="118" spans="2:14" ht="13.5" customHeight="1" x14ac:dyDescent="0.25">
      <c r="B118" s="15" t="s">
        <v>49</v>
      </c>
      <c r="C118" s="16" t="s">
        <v>55</v>
      </c>
      <c r="D118" s="11" t="s">
        <v>58</v>
      </c>
      <c r="E118" s="4" t="s">
        <v>39</v>
      </c>
      <c r="F118" s="25" t="s">
        <v>77</v>
      </c>
      <c r="G118" s="3" t="s">
        <v>5</v>
      </c>
      <c r="H118" s="17">
        <f>H119</f>
        <v>230</v>
      </c>
      <c r="I118" s="17">
        <v>723</v>
      </c>
      <c r="J118" s="37">
        <f t="shared" ref="J118" si="30">H118*I118</f>
        <v>166290</v>
      </c>
    </row>
    <row r="119" spans="2:14" ht="13.5" customHeight="1" x14ac:dyDescent="0.25">
      <c r="B119" s="15" t="s">
        <v>49</v>
      </c>
      <c r="C119" s="16" t="s">
        <v>55</v>
      </c>
      <c r="D119" s="11" t="s">
        <v>58</v>
      </c>
      <c r="E119" s="4" t="s">
        <v>32</v>
      </c>
      <c r="F119" s="25" t="s">
        <v>77</v>
      </c>
      <c r="G119" s="3" t="s">
        <v>5</v>
      </c>
      <c r="H119" s="17">
        <v>230</v>
      </c>
      <c r="I119" s="18">
        <v>510</v>
      </c>
      <c r="J119" s="37">
        <f>H119*I119</f>
        <v>117300</v>
      </c>
    </row>
    <row r="120" spans="2:14" ht="13.5" customHeight="1" thickBot="1" x14ac:dyDescent="0.3">
      <c r="B120" s="15">
        <v>730091</v>
      </c>
      <c r="C120" s="16" t="s">
        <v>55</v>
      </c>
      <c r="D120" s="11" t="s">
        <v>58</v>
      </c>
      <c r="E120" s="20" t="s">
        <v>40</v>
      </c>
      <c r="F120" s="25" t="s">
        <v>77</v>
      </c>
      <c r="G120" s="3" t="s">
        <v>5</v>
      </c>
      <c r="H120" s="17">
        <f>H119</f>
        <v>230</v>
      </c>
      <c r="I120" s="5">
        <f>260+364</f>
        <v>624</v>
      </c>
      <c r="J120" s="37">
        <f t="shared" ref="J120" si="31">H120*I120</f>
        <v>143520</v>
      </c>
      <c r="L120" s="28">
        <f>SUM(J108:J120)</f>
        <v>1718938.9200000002</v>
      </c>
      <c r="M120" s="28">
        <f>L120*0.2</f>
        <v>343787.78400000004</v>
      </c>
      <c r="N120" s="29">
        <f>MROUND(SUM(L120+M120),100000)</f>
        <v>2100000</v>
      </c>
    </row>
    <row r="121" spans="2:14" ht="13.5" customHeight="1" thickTop="1" x14ac:dyDescent="0.25">
      <c r="B121" s="15" t="s">
        <v>49</v>
      </c>
      <c r="C121" s="16" t="s">
        <v>56</v>
      </c>
      <c r="D121" s="10" t="s">
        <v>57</v>
      </c>
      <c r="E121" s="4" t="s">
        <v>39</v>
      </c>
      <c r="F121" s="25" t="s">
        <v>78</v>
      </c>
      <c r="G121" s="3" t="s">
        <v>5</v>
      </c>
      <c r="H121" s="17">
        <f>H122</f>
        <v>1300</v>
      </c>
      <c r="I121" s="17">
        <v>723</v>
      </c>
      <c r="J121" s="37">
        <f t="shared" ref="J121" si="32">H121*I121</f>
        <v>939900</v>
      </c>
    </row>
    <row r="122" spans="2:14" ht="13.5" customHeight="1" x14ac:dyDescent="0.25">
      <c r="B122" s="15" t="s">
        <v>49</v>
      </c>
      <c r="C122" s="16" t="s">
        <v>56</v>
      </c>
      <c r="D122" s="10" t="s">
        <v>57</v>
      </c>
      <c r="E122" s="4" t="s">
        <v>27</v>
      </c>
      <c r="F122" s="25" t="s">
        <v>78</v>
      </c>
      <c r="G122" s="3" t="s">
        <v>5</v>
      </c>
      <c r="H122" s="22">
        <f>30+80+200+300+300+390</f>
        <v>1300</v>
      </c>
      <c r="I122" s="18">
        <v>1020</v>
      </c>
      <c r="J122" s="37">
        <f>H122*I122</f>
        <v>1326000</v>
      </c>
      <c r="L122" s="30"/>
    </row>
    <row r="123" spans="2:14" ht="13.5" customHeight="1" x14ac:dyDescent="0.25">
      <c r="B123" s="15">
        <v>730091</v>
      </c>
      <c r="C123" s="16" t="s">
        <v>56</v>
      </c>
      <c r="D123" s="12" t="s">
        <v>59</v>
      </c>
      <c r="E123" s="4" t="s">
        <v>17</v>
      </c>
      <c r="F123" s="25" t="s">
        <v>78</v>
      </c>
      <c r="G123" s="3" t="s">
        <v>5</v>
      </c>
      <c r="H123" s="19">
        <f>1.2*(2*5*1*0.3+4*0.4+0.15*25*0.4)</f>
        <v>7.3199999999999994</v>
      </c>
      <c r="I123" s="17">
        <v>9610</v>
      </c>
      <c r="J123" s="37">
        <f t="shared" ref="J123" si="33">H123*I123</f>
        <v>70345.2</v>
      </c>
    </row>
    <row r="124" spans="2:14" ht="13.5" customHeight="1" x14ac:dyDescent="0.25">
      <c r="B124" s="15">
        <v>730091</v>
      </c>
      <c r="C124" s="16" t="s">
        <v>56</v>
      </c>
      <c r="D124" s="12" t="s">
        <v>59</v>
      </c>
      <c r="E124" s="20" t="s">
        <v>12</v>
      </c>
      <c r="F124" s="25" t="s">
        <v>78</v>
      </c>
      <c r="G124" s="3" t="s">
        <v>6</v>
      </c>
      <c r="H124" s="19">
        <f>1.2*(25)</f>
        <v>30</v>
      </c>
      <c r="I124" s="17">
        <v>2290</v>
      </c>
      <c r="J124" s="37">
        <f>H124*I124</f>
        <v>68700</v>
      </c>
    </row>
    <row r="125" spans="2:14" ht="13.5" customHeight="1" x14ac:dyDescent="0.25">
      <c r="B125" s="15">
        <v>730091</v>
      </c>
      <c r="C125" s="16" t="s">
        <v>56</v>
      </c>
      <c r="D125" s="12" t="s">
        <v>59</v>
      </c>
      <c r="E125" s="20" t="s">
        <v>20</v>
      </c>
      <c r="F125" s="25" t="s">
        <v>78</v>
      </c>
      <c r="G125" s="3" t="s">
        <v>5</v>
      </c>
      <c r="H125" s="19">
        <f>1.2*(2*4*0.6*0.3*0.3+10*0.3)</f>
        <v>4.1183999999999994</v>
      </c>
      <c r="I125" s="17">
        <v>1740</v>
      </c>
      <c r="J125" s="37">
        <f t="shared" ref="J125:J126" si="34">H125*I125</f>
        <v>7166.0159999999987</v>
      </c>
    </row>
    <row r="126" spans="2:14" ht="13.5" customHeight="1" x14ac:dyDescent="0.25">
      <c r="B126" s="15">
        <v>730091</v>
      </c>
      <c r="C126" s="16" t="s">
        <v>56</v>
      </c>
      <c r="D126" s="13" t="s">
        <v>60</v>
      </c>
      <c r="E126" s="4" t="s">
        <v>18</v>
      </c>
      <c r="F126" s="25" t="s">
        <v>78</v>
      </c>
      <c r="G126" s="3" t="s">
        <v>6</v>
      </c>
      <c r="H126" s="17">
        <f>1.2*(20+5)</f>
        <v>30</v>
      </c>
      <c r="I126" s="18">
        <v>2355</v>
      </c>
      <c r="J126" s="37">
        <f t="shared" si="34"/>
        <v>70650</v>
      </c>
      <c r="L126" s="30"/>
    </row>
    <row r="127" spans="2:14" ht="13.5" customHeight="1" x14ac:dyDescent="0.25">
      <c r="B127" s="15" t="s">
        <v>49</v>
      </c>
      <c r="C127" s="16" t="s">
        <v>56</v>
      </c>
      <c r="D127" s="12" t="s">
        <v>59</v>
      </c>
      <c r="E127" s="4" t="s">
        <v>39</v>
      </c>
      <c r="F127" s="25" t="s">
        <v>79</v>
      </c>
      <c r="G127" s="3" t="s">
        <v>5</v>
      </c>
      <c r="H127" s="17">
        <f>H128</f>
        <v>500</v>
      </c>
      <c r="I127" s="17">
        <v>723</v>
      </c>
      <c r="J127" s="37">
        <f t="shared" ref="J127" si="35">H127*I127</f>
        <v>361500</v>
      </c>
    </row>
    <row r="128" spans="2:14" ht="13.5" customHeight="1" x14ac:dyDescent="0.25">
      <c r="B128" s="15" t="s">
        <v>49</v>
      </c>
      <c r="C128" s="16" t="s">
        <v>56</v>
      </c>
      <c r="D128" s="12" t="s">
        <v>59</v>
      </c>
      <c r="E128" s="4" t="s">
        <v>27</v>
      </c>
      <c r="F128" s="25" t="s">
        <v>79</v>
      </c>
      <c r="G128" s="3" t="s">
        <v>5</v>
      </c>
      <c r="H128" s="22">
        <v>500</v>
      </c>
      <c r="I128" s="18">
        <v>1020</v>
      </c>
      <c r="J128" s="37">
        <f>H128*I128</f>
        <v>510000</v>
      </c>
    </row>
    <row r="129" spans="2:14" ht="13.5" customHeight="1" x14ac:dyDescent="0.25">
      <c r="B129" s="15">
        <v>730091</v>
      </c>
      <c r="C129" s="16" t="s">
        <v>56</v>
      </c>
      <c r="D129" s="13" t="s">
        <v>60</v>
      </c>
      <c r="E129" s="4" t="s">
        <v>18</v>
      </c>
      <c r="F129" s="25" t="s">
        <v>79</v>
      </c>
      <c r="G129" s="3" t="s">
        <v>6</v>
      </c>
      <c r="H129" s="19">
        <f>1.2*(10+30+20)</f>
        <v>72</v>
      </c>
      <c r="I129" s="18">
        <v>2355</v>
      </c>
      <c r="J129" s="37">
        <f t="shared" ref="J129" si="36">H129*I129</f>
        <v>169560</v>
      </c>
    </row>
    <row r="130" spans="2:14" ht="13.5" customHeight="1" x14ac:dyDescent="0.25">
      <c r="B130" s="15">
        <v>730091</v>
      </c>
      <c r="C130" s="16" t="s">
        <v>56</v>
      </c>
      <c r="D130" s="13" t="s">
        <v>60</v>
      </c>
      <c r="E130" s="4" t="s">
        <v>12</v>
      </c>
      <c r="F130" s="25" t="s">
        <v>79</v>
      </c>
      <c r="G130" s="3" t="s">
        <v>6</v>
      </c>
      <c r="H130" s="19">
        <f>1.2*(10+1+10)</f>
        <v>25.2</v>
      </c>
      <c r="I130" s="18">
        <v>2290</v>
      </c>
      <c r="J130" s="37">
        <f>H130*I130</f>
        <v>57708</v>
      </c>
    </row>
    <row r="131" spans="2:14" ht="13.5" customHeight="1" x14ac:dyDescent="0.25">
      <c r="B131" s="15">
        <v>730091</v>
      </c>
      <c r="C131" s="16" t="s">
        <v>56</v>
      </c>
      <c r="D131" s="13" t="s">
        <v>60</v>
      </c>
      <c r="E131" s="4" t="s">
        <v>17</v>
      </c>
      <c r="F131" s="25" t="s">
        <v>79</v>
      </c>
      <c r="G131" s="3" t="s">
        <v>5</v>
      </c>
      <c r="H131" s="19">
        <f>1.2*(10*0.4+20*0.4*0.4+3*0.4*0.4+0.15*60*0.4)</f>
        <v>13.536000000000001</v>
      </c>
      <c r="I131" s="17">
        <v>9610</v>
      </c>
      <c r="J131" s="37">
        <f t="shared" ref="J131" si="37">H131*I131</f>
        <v>130080.96000000001</v>
      </c>
      <c r="L131" s="30"/>
    </row>
    <row r="132" spans="2:14" ht="13.5" customHeight="1" x14ac:dyDescent="0.25">
      <c r="B132" s="15" t="s">
        <v>49</v>
      </c>
      <c r="C132" s="16" t="s">
        <v>56</v>
      </c>
      <c r="D132" s="10" t="s">
        <v>57</v>
      </c>
      <c r="E132" s="4" t="s">
        <v>39</v>
      </c>
      <c r="F132" s="25" t="s">
        <v>80</v>
      </c>
      <c r="G132" s="3" t="s">
        <v>5</v>
      </c>
      <c r="H132" s="17">
        <f>H133+H137</f>
        <v>290</v>
      </c>
      <c r="I132" s="17">
        <v>723</v>
      </c>
      <c r="J132" s="37">
        <f t="shared" ref="J132" si="38">H132*I132</f>
        <v>209670</v>
      </c>
    </row>
    <row r="133" spans="2:14" ht="13.5" customHeight="1" x14ac:dyDescent="0.25">
      <c r="B133" s="15" t="s">
        <v>49</v>
      </c>
      <c r="C133" s="16" t="s">
        <v>56</v>
      </c>
      <c r="D133" s="10" t="s">
        <v>57</v>
      </c>
      <c r="E133" s="4" t="s">
        <v>16</v>
      </c>
      <c r="F133" s="25" t="s">
        <v>80</v>
      </c>
      <c r="G133" s="3" t="s">
        <v>5</v>
      </c>
      <c r="H133" s="17">
        <f>40*0.5</f>
        <v>20</v>
      </c>
      <c r="I133" s="18">
        <v>510</v>
      </c>
      <c r="J133" s="37">
        <f t="shared" ref="J133:J136" si="39">H133*I133</f>
        <v>10200</v>
      </c>
    </row>
    <row r="134" spans="2:14" ht="13.5" customHeight="1" x14ac:dyDescent="0.25">
      <c r="B134" s="15">
        <v>730091</v>
      </c>
      <c r="C134" s="16" t="s">
        <v>56</v>
      </c>
      <c r="D134" s="11" t="s">
        <v>58</v>
      </c>
      <c r="E134" s="20" t="s">
        <v>40</v>
      </c>
      <c r="F134" s="25" t="s">
        <v>80</v>
      </c>
      <c r="G134" s="3" t="s">
        <v>5</v>
      </c>
      <c r="H134" s="17">
        <f>H133</f>
        <v>20</v>
      </c>
      <c r="I134" s="5">
        <f>260+364</f>
        <v>624</v>
      </c>
      <c r="J134" s="37">
        <f t="shared" si="39"/>
        <v>12480</v>
      </c>
    </row>
    <row r="135" spans="2:14" ht="13.5" customHeight="1" x14ac:dyDescent="0.25">
      <c r="B135" s="15">
        <v>730091</v>
      </c>
      <c r="C135" s="16" t="s">
        <v>56</v>
      </c>
      <c r="D135" s="13" t="s">
        <v>60</v>
      </c>
      <c r="E135" s="4" t="s">
        <v>17</v>
      </c>
      <c r="F135" s="25" t="s">
        <v>80</v>
      </c>
      <c r="G135" s="3" t="s">
        <v>5</v>
      </c>
      <c r="H135" s="19">
        <f>0.15*(110+10+30)*0.4</f>
        <v>9</v>
      </c>
      <c r="I135" s="17">
        <v>9610</v>
      </c>
      <c r="J135" s="37">
        <f t="shared" si="39"/>
        <v>86490</v>
      </c>
    </row>
    <row r="136" spans="2:14" ht="13.5" customHeight="1" x14ac:dyDescent="0.25">
      <c r="B136" s="15">
        <v>730091</v>
      </c>
      <c r="C136" s="16" t="s">
        <v>56</v>
      </c>
      <c r="D136" s="13" t="s">
        <v>60</v>
      </c>
      <c r="E136" s="4" t="s">
        <v>18</v>
      </c>
      <c r="F136" s="25" t="s">
        <v>80</v>
      </c>
      <c r="G136" s="3" t="s">
        <v>6</v>
      </c>
      <c r="H136" s="17">
        <f>1.2*(110+10+30)</f>
        <v>180</v>
      </c>
      <c r="I136" s="18">
        <v>2355</v>
      </c>
      <c r="J136" s="37">
        <f t="shared" si="39"/>
        <v>423900</v>
      </c>
    </row>
    <row r="137" spans="2:14" ht="13.5" customHeight="1" thickBot="1" x14ac:dyDescent="0.3">
      <c r="B137" s="15" t="s">
        <v>49</v>
      </c>
      <c r="C137" s="16" t="s">
        <v>56</v>
      </c>
      <c r="D137" s="10" t="s">
        <v>57</v>
      </c>
      <c r="E137" s="4" t="s">
        <v>27</v>
      </c>
      <c r="F137" s="25" t="s">
        <v>80</v>
      </c>
      <c r="G137" s="3" t="s">
        <v>5</v>
      </c>
      <c r="H137" s="22">
        <f>15+25+230</f>
        <v>270</v>
      </c>
      <c r="I137" s="18">
        <v>1020</v>
      </c>
      <c r="J137" s="37">
        <f>H137*I137</f>
        <v>275400</v>
      </c>
      <c r="L137" s="28">
        <f>SUM(J121:J137)</f>
        <v>4729750.176</v>
      </c>
      <c r="M137" s="28">
        <f>L137*0.2</f>
        <v>945950.03520000004</v>
      </c>
      <c r="N137" s="29">
        <f>MROUND(SUM(L137+M137),100000)</f>
        <v>5700000</v>
      </c>
    </row>
    <row r="138" spans="2:14" ht="15" thickTop="1" x14ac:dyDescent="0.2"/>
    <row r="139" spans="2:14" ht="15" x14ac:dyDescent="0.25">
      <c r="B139" s="31" t="s">
        <v>86</v>
      </c>
      <c r="L139" s="30"/>
    </row>
    <row r="142" spans="2:14" ht="15" x14ac:dyDescent="0.25">
      <c r="B142" s="31" t="s">
        <v>85</v>
      </c>
      <c r="J142" s="30"/>
    </row>
    <row r="143" spans="2:14" ht="15.75" thickBot="1" x14ac:dyDescent="0.3">
      <c r="B143" s="32" t="s">
        <v>49</v>
      </c>
      <c r="L143" s="33">
        <f ca="1">SUMIF(B1:J137,"730 086 (UPP)",J1:J137)</f>
        <v>5696411</v>
      </c>
      <c r="M143" s="33">
        <f ca="1">L143*0.2</f>
        <v>1139282.2</v>
      </c>
      <c r="N143" s="29">
        <f ca="1">MROUND(SUM(L143+M143),100000)</f>
        <v>6800000</v>
      </c>
    </row>
    <row r="144" spans="2:14" ht="16.5" thickTop="1" thickBot="1" x14ac:dyDescent="0.3">
      <c r="B144" s="32">
        <v>730091</v>
      </c>
      <c r="L144" s="33">
        <f ca="1">SUMIF(B2:J137,"730 091",J2:J137)</f>
        <v>23569914.824000001</v>
      </c>
      <c r="M144" s="33">
        <f ca="1">L144*0.2</f>
        <v>4713982.9648000002</v>
      </c>
      <c r="N144" s="29">
        <f ca="1">MROUND(SUM(L144+M144),100000)</f>
        <v>28300000</v>
      </c>
    </row>
    <row r="145" spans="2:14" ht="15.75" thickTop="1" x14ac:dyDescent="0.25">
      <c r="L145" s="31"/>
      <c r="M145" s="31"/>
      <c r="N145" s="34">
        <f ca="1">SUM(N143:N144)</f>
        <v>35100000</v>
      </c>
    </row>
    <row r="146" spans="2:14" ht="15" x14ac:dyDescent="0.25">
      <c r="B146" s="35" t="s">
        <v>91</v>
      </c>
      <c r="C146" s="36"/>
    </row>
    <row r="147" spans="2:14" ht="15" x14ac:dyDescent="0.25">
      <c r="B147" s="31" t="s">
        <v>90</v>
      </c>
    </row>
    <row r="148" spans="2:14" ht="15" x14ac:dyDescent="0.25">
      <c r="B148" s="31" t="s">
        <v>87</v>
      </c>
      <c r="D148" s="33">
        <f ca="1">N145</f>
        <v>35100000</v>
      </c>
      <c r="E148" s="31" t="s">
        <v>88</v>
      </c>
    </row>
    <row r="149" spans="2:14" ht="15" x14ac:dyDescent="0.25">
      <c r="B149" s="31"/>
      <c r="D149" s="33"/>
      <c r="E149" s="31"/>
    </row>
    <row r="150" spans="2:14" ht="15" x14ac:dyDescent="0.25">
      <c r="B150" s="31" t="s">
        <v>89</v>
      </c>
      <c r="D150" s="33">
        <f ca="1">MROUND(D148-D151,100000)</f>
        <v>29100000</v>
      </c>
    </row>
    <row r="151" spans="2:14" ht="15" x14ac:dyDescent="0.25">
      <c r="B151" s="31" t="s">
        <v>84</v>
      </c>
      <c r="D151" s="33">
        <f>MROUND((J105+J106+J75+J76+J34+J36+J19+J20+J21+J18)*1.2,100000)</f>
        <v>6000000</v>
      </c>
    </row>
  </sheetData>
  <phoneticPr fontId="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Krátký</dc:creator>
  <cp:lastModifiedBy>Ing. Oldřich Stiller</cp:lastModifiedBy>
  <dcterms:created xsi:type="dcterms:W3CDTF">2022-02-04T08:55:58Z</dcterms:created>
  <dcterms:modified xsi:type="dcterms:W3CDTF">2022-05-09T19:34:47Z</dcterms:modified>
</cp:coreProperties>
</file>