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erna\Desktop\Výpočtové tabulky, šablony\VÝBĚROVÁ ŘÍZENÍ-Kalkulace\"/>
    </mc:Choice>
  </mc:AlternateContent>
  <xr:revisionPtr revIDLastSave="0" documentId="13_ncr:1_{65FB5273-36AA-4972-8ACB-93FDA0423BBA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List" sheetId="1" r:id="rId1"/>
  </sheets>
  <definedNames>
    <definedName name="_xlnm._FilterDatabase" localSheetId="0" hidden="1">List!$A$6:$AQ$142</definedName>
    <definedName name="_xlnm.Print_Titles" localSheetId="0">List!$6:$6</definedName>
    <definedName name="_xlnm.Print_Area" localSheetId="0">List!$A$1:$N$156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6" i="1" l="1"/>
  <c r="J106" i="1" s="1"/>
  <c r="H81" i="1"/>
  <c r="J81" i="1" s="1"/>
  <c r="H80" i="1"/>
  <c r="J80" i="1" s="1"/>
  <c r="H85" i="1"/>
  <c r="H13" i="1" l="1"/>
  <c r="H15" i="1"/>
  <c r="J15" i="1" s="1"/>
  <c r="H132" i="1"/>
  <c r="J132" i="1" s="1"/>
  <c r="H123" i="1"/>
  <c r="J123" i="1" s="1"/>
  <c r="H103" i="1"/>
  <c r="J103" i="1" s="1"/>
  <c r="J46" i="1"/>
  <c r="J36" i="1"/>
  <c r="J17" i="1"/>
  <c r="H7" i="1"/>
  <c r="J7" i="1" s="1"/>
  <c r="H40" i="1" l="1"/>
  <c r="J40" i="1" s="1"/>
  <c r="H25" i="1"/>
  <c r="J25" i="1" s="1"/>
  <c r="H26" i="1"/>
  <c r="H24" i="1"/>
  <c r="H140" i="1" l="1"/>
  <c r="H138" i="1"/>
  <c r="H125" i="1"/>
  <c r="J125" i="1" s="1"/>
  <c r="H105" i="1"/>
  <c r="H98" i="1"/>
  <c r="J98" i="1" s="1"/>
  <c r="H99" i="1"/>
  <c r="J99" i="1" s="1"/>
  <c r="H84" i="1"/>
  <c r="J84" i="1" s="1"/>
  <c r="J76" i="1"/>
  <c r="H56" i="1"/>
  <c r="J56" i="1" s="1"/>
  <c r="J21" i="1"/>
  <c r="H47" i="1"/>
  <c r="H48" i="1" s="1"/>
  <c r="J48" i="1" s="1"/>
  <c r="H50" i="1"/>
  <c r="J50" i="1" s="1"/>
  <c r="H49" i="1"/>
  <c r="J49" i="1" s="1"/>
  <c r="H52" i="1"/>
  <c r="H51" i="1" s="1"/>
  <c r="J51" i="1" s="1"/>
  <c r="H39" i="1"/>
  <c r="H29" i="1"/>
  <c r="H35" i="1"/>
  <c r="H45" i="1"/>
  <c r="J45" i="1" s="1"/>
  <c r="H38" i="1"/>
  <c r="J38" i="1" s="1"/>
  <c r="J34" i="1"/>
  <c r="H27" i="1"/>
  <c r="H23" i="1"/>
  <c r="H16" i="1"/>
  <c r="H14" i="1"/>
  <c r="J14" i="1" s="1"/>
  <c r="J13" i="1"/>
  <c r="H12" i="1"/>
  <c r="H139" i="1" l="1"/>
  <c r="J139" i="1" s="1"/>
  <c r="J105" i="1"/>
  <c r="J47" i="1"/>
  <c r="J52" i="1"/>
  <c r="H82" i="1" l="1"/>
  <c r="J82" i="1" s="1"/>
  <c r="H83" i="1"/>
  <c r="J83" i="1" s="1"/>
  <c r="H86" i="1"/>
  <c r="J86" i="1" s="1"/>
  <c r="H87" i="1"/>
  <c r="J87" i="1" s="1"/>
  <c r="H89" i="1"/>
  <c r="J89" i="1" s="1"/>
  <c r="H88" i="1"/>
  <c r="J88" i="1" s="1"/>
  <c r="J90" i="1"/>
  <c r="H78" i="1"/>
  <c r="H75" i="1"/>
  <c r="J75" i="1" s="1"/>
  <c r="H71" i="1"/>
  <c r="J71" i="1" s="1"/>
  <c r="H72" i="1"/>
  <c r="J72" i="1" s="1"/>
  <c r="H74" i="1"/>
  <c r="J74" i="1" s="1"/>
  <c r="H70" i="1"/>
  <c r="J70" i="1" s="1"/>
  <c r="H69" i="1"/>
  <c r="J69" i="1" s="1"/>
  <c r="H68" i="1"/>
  <c r="J68" i="1" s="1"/>
  <c r="H67" i="1"/>
  <c r="J67" i="1" s="1"/>
  <c r="H65" i="1"/>
  <c r="H64" i="1" s="1"/>
  <c r="J64" i="1" s="1"/>
  <c r="H62" i="1"/>
  <c r="H63" i="1" s="1"/>
  <c r="J63" i="1" s="1"/>
  <c r="H60" i="1"/>
  <c r="H61" i="1" s="1"/>
  <c r="J61" i="1" s="1"/>
  <c r="H59" i="1"/>
  <c r="J59" i="1" s="1"/>
  <c r="H57" i="1"/>
  <c r="J57" i="1" s="1"/>
  <c r="H58" i="1"/>
  <c r="J58" i="1" s="1"/>
  <c r="H55" i="1"/>
  <c r="H53" i="1"/>
  <c r="J53" i="1" s="1"/>
  <c r="H96" i="1"/>
  <c r="H107" i="1"/>
  <c r="H120" i="1"/>
  <c r="H136" i="1"/>
  <c r="J136" i="1" s="1"/>
  <c r="H128" i="1"/>
  <c r="J128" i="1" s="1"/>
  <c r="H141" i="1"/>
  <c r="H142" i="1"/>
  <c r="H137" i="1" s="1"/>
  <c r="J137" i="1" s="1"/>
  <c r="H135" i="1"/>
  <c r="J135" i="1" s="1"/>
  <c r="H134" i="1"/>
  <c r="J134" i="1" s="1"/>
  <c r="J133" i="1"/>
  <c r="H131" i="1"/>
  <c r="J131" i="1" s="1"/>
  <c r="H130" i="1"/>
  <c r="J130" i="1" s="1"/>
  <c r="H129" i="1"/>
  <c r="J129" i="1" s="1"/>
  <c r="H127" i="1"/>
  <c r="J124" i="1"/>
  <c r="H118" i="1"/>
  <c r="J118" i="1" s="1"/>
  <c r="H115" i="1"/>
  <c r="H114" i="1" s="1"/>
  <c r="J114" i="1" s="1"/>
  <c r="H117" i="1"/>
  <c r="J117" i="1" s="1"/>
  <c r="H113" i="1"/>
  <c r="J127" i="1" l="1"/>
  <c r="H126" i="1"/>
  <c r="J126" i="1" s="1"/>
  <c r="H77" i="1"/>
  <c r="J77" i="1" s="1"/>
  <c r="J55" i="1"/>
  <c r="H54" i="1"/>
  <c r="J54" i="1" s="1"/>
  <c r="J115" i="1"/>
  <c r="H116" i="1"/>
  <c r="J116" i="1" s="1"/>
  <c r="J78" i="1"/>
  <c r="H79" i="1"/>
  <c r="J79" i="1" s="1"/>
  <c r="J65" i="1"/>
  <c r="H66" i="1"/>
  <c r="J66" i="1" s="1"/>
  <c r="J85" i="1"/>
  <c r="J73" i="1"/>
  <c r="J62" i="1"/>
  <c r="J60" i="1"/>
  <c r="J113" i="1"/>
  <c r="H110" i="1"/>
  <c r="J110" i="1" s="1"/>
  <c r="H111" i="1"/>
  <c r="J111" i="1" s="1"/>
  <c r="H112" i="1"/>
  <c r="J112" i="1" s="1"/>
  <c r="H109" i="1"/>
  <c r="J109" i="1" s="1"/>
  <c r="H44" i="1"/>
  <c r="J44" i="1" s="1"/>
  <c r="H43" i="1"/>
  <c r="J43" i="1" s="1"/>
  <c r="H37" i="1"/>
  <c r="J37" i="1" s="1"/>
  <c r="H42" i="1"/>
  <c r="J42" i="1" s="1"/>
  <c r="J39" i="1"/>
  <c r="H41" i="1"/>
  <c r="J41" i="1" s="1"/>
  <c r="L90" i="1" l="1"/>
  <c r="H33" i="1"/>
  <c r="J33" i="1" s="1"/>
  <c r="H32" i="1"/>
  <c r="J32" i="1" s="1"/>
  <c r="H30" i="1"/>
  <c r="H119" i="1"/>
  <c r="H121" i="1"/>
  <c r="H122" i="1"/>
  <c r="H108" i="1"/>
  <c r="H102" i="1"/>
  <c r="H101" i="1"/>
  <c r="H94" i="1"/>
  <c r="H97" i="1"/>
  <c r="H100" i="1"/>
  <c r="H92" i="1"/>
  <c r="H91" i="1"/>
  <c r="J22" i="1"/>
  <c r="H31" i="1"/>
  <c r="M90" i="1" l="1"/>
  <c r="N90" i="1" s="1"/>
  <c r="H95" i="1"/>
  <c r="J95" i="1" s="1"/>
  <c r="H93" i="1"/>
  <c r="J93" i="1" s="1"/>
  <c r="H28" i="1"/>
  <c r="J28" i="1" s="1"/>
  <c r="H19" i="1"/>
  <c r="H18" i="1"/>
  <c r="H11" i="1"/>
  <c r="H10" i="1"/>
  <c r="H9" i="1"/>
  <c r="J9" i="1" s="1"/>
  <c r="H8" i="1"/>
  <c r="J142" i="1" l="1"/>
  <c r="J12" i="1"/>
  <c r="J10" i="1"/>
  <c r="J141" i="1" l="1"/>
  <c r="J140" i="1"/>
  <c r="J138" i="1"/>
  <c r="J122" i="1"/>
  <c r="J120" i="1"/>
  <c r="J121" i="1"/>
  <c r="J119" i="1"/>
  <c r="J108" i="1"/>
  <c r="J107" i="1"/>
  <c r="J104" i="1"/>
  <c r="J102" i="1"/>
  <c r="J101" i="1"/>
  <c r="J100" i="1"/>
  <c r="J97" i="1"/>
  <c r="J96" i="1"/>
  <c r="J94" i="1"/>
  <c r="J92" i="1"/>
  <c r="J91" i="1"/>
  <c r="L112" i="1" l="1"/>
  <c r="L142" i="1"/>
  <c r="L125" i="1"/>
  <c r="L100" i="1"/>
  <c r="J35" i="1"/>
  <c r="J31" i="1"/>
  <c r="J30" i="1"/>
  <c r="J29" i="1"/>
  <c r="J27" i="1"/>
  <c r="J26" i="1"/>
  <c r="J24" i="1"/>
  <c r="J23" i="1"/>
  <c r="J20" i="1"/>
  <c r="J19" i="1"/>
  <c r="J18" i="1"/>
  <c r="J8" i="1"/>
  <c r="L147" i="1"/>
  <c r="J11" i="1"/>
  <c r="J16" i="1"/>
  <c r="M112" i="1" l="1"/>
  <c r="N112" i="1" s="1"/>
  <c r="M100" i="1"/>
  <c r="N100" i="1" s="1"/>
  <c r="M125" i="1"/>
  <c r="N125" i="1" s="1"/>
  <c r="M142" i="1"/>
  <c r="M147" i="1"/>
  <c r="N147" i="1" s="1"/>
  <c r="L28" i="1"/>
  <c r="L16" i="1"/>
  <c r="L146" i="1"/>
  <c r="L52" i="1"/>
  <c r="N142" i="1" l="1"/>
  <c r="M52" i="1"/>
  <c r="M28" i="1"/>
  <c r="N28" i="1" s="1"/>
  <c r="M146" i="1"/>
  <c r="N146" i="1" s="1"/>
  <c r="M16" i="1"/>
  <c r="N16" i="1" s="1"/>
  <c r="N52" i="1" l="1"/>
  <c r="N148" i="1"/>
  <c r="L151" i="1" l="1"/>
</calcChain>
</file>

<file path=xl/sharedStrings.xml><?xml version="1.0" encoding="utf-8"?>
<sst xmlns="http://schemas.openxmlformats.org/spreadsheetml/2006/main" count="734" uniqueCount="96">
  <si>
    <t>Položka</t>
  </si>
  <si>
    <t>Výměra</t>
  </si>
  <si>
    <t>Měrná jednotka</t>
  </si>
  <si>
    <t>Jednotková cena</t>
  </si>
  <si>
    <t>Celková cena [Kč]</t>
  </si>
  <si>
    <r>
      <t>m</t>
    </r>
    <r>
      <rPr>
        <vertAlign val="superscript"/>
        <sz val="11"/>
        <color rgb="FF000000"/>
        <rFont val="Calibri"/>
        <family val="2"/>
        <charset val="238"/>
      </rPr>
      <t>3</t>
    </r>
  </si>
  <si>
    <r>
      <t>m</t>
    </r>
    <r>
      <rPr>
        <vertAlign val="superscript"/>
        <sz val="11"/>
        <color rgb="FF000000"/>
        <rFont val="Calibri"/>
        <family val="2"/>
        <charset val="238"/>
      </rPr>
      <t>2</t>
    </r>
  </si>
  <si>
    <t xml:space="preserve">Kamenná rovnanina </t>
  </si>
  <si>
    <t>Vodorovné přemístění výkopku do 500 m</t>
  </si>
  <si>
    <t>Svahování</t>
  </si>
  <si>
    <t>Ohumusování a osetí svahu</t>
  </si>
  <si>
    <t>Bourání zbytků opevnění, vč. uložení na skládku</t>
  </si>
  <si>
    <t>Dlažba z LK do betonového lože, vyspárování</t>
  </si>
  <si>
    <t>Vodorovné přemístění materiálu do 500 m</t>
  </si>
  <si>
    <t>Doplnění zdiva poškozených prahů</t>
  </si>
  <si>
    <t>Urovnání kamene ve svahu břehu</t>
  </si>
  <si>
    <t>Vodorovné přemístění do 500 m</t>
  </si>
  <si>
    <t>Oprava zdění</t>
  </si>
  <si>
    <t>Oprava spárování</t>
  </si>
  <si>
    <t>Dlažba z LK do ŠP lože</t>
  </si>
  <si>
    <t>Bourání poškozených částí</t>
  </si>
  <si>
    <t>Zděný práh</t>
  </si>
  <si>
    <t>Prostý beton pro stabilizaci podemletých zdí</t>
  </si>
  <si>
    <t>Materiál pro dorovnání základové spáry skluzu</t>
  </si>
  <si>
    <t>ŠP podsyp</t>
  </si>
  <si>
    <t xml:space="preserve">Likvidace nevyužitého náplavu </t>
  </si>
  <si>
    <t>ŠP podsyp kamenné rovnaniny</t>
  </si>
  <si>
    <t>Odstranění náplavu, vč. skládkovného</t>
  </si>
  <si>
    <t>Železobeton - prahy</t>
  </si>
  <si>
    <t>Železobeton prahy</t>
  </si>
  <si>
    <t>Železobeton - podélný práh</t>
  </si>
  <si>
    <t>Železobeton - práh</t>
  </si>
  <si>
    <t>Vodorovné přemístění náplavu do 500 m</t>
  </si>
  <si>
    <t>Balvanitý skluz</t>
  </si>
  <si>
    <t>Příčná řada balvanů na štět</t>
  </si>
  <si>
    <t>ŠP podsyp skluz</t>
  </si>
  <si>
    <t>Kamenná rovnanina vč. kamene</t>
  </si>
  <si>
    <t>Rovnanina - vývar</t>
  </si>
  <si>
    <t>Strojní výkop zeminy</t>
  </si>
  <si>
    <t>Strojní výkop náplavu</t>
  </si>
  <si>
    <t>Zához kamene z náplavu + třídění</t>
  </si>
  <si>
    <t>Zához kamene z náplavu + třídění kamene</t>
  </si>
  <si>
    <t>Rovnanina kamene z náplavu + třídění kamene</t>
  </si>
  <si>
    <t>Kam. rovnanina z náplavu + přemístění, třídění</t>
  </si>
  <si>
    <t>Rovnanina kamene z náplavu + třídění</t>
  </si>
  <si>
    <t>Etapa</t>
  </si>
  <si>
    <t>1.</t>
  </si>
  <si>
    <t>Dílčí priorita</t>
  </si>
  <si>
    <t>č. OPŠ 07/2021</t>
  </si>
  <si>
    <t>730 086 (UPP)</t>
  </si>
  <si>
    <t>2.</t>
  </si>
  <si>
    <t>3.</t>
  </si>
  <si>
    <t>4.</t>
  </si>
  <si>
    <t>5.</t>
  </si>
  <si>
    <t>6.</t>
  </si>
  <si>
    <t>7.</t>
  </si>
  <si>
    <t>8.</t>
  </si>
  <si>
    <t>Velmi nízká</t>
  </si>
  <si>
    <t>Nízká</t>
  </si>
  <si>
    <t>Střední</t>
  </si>
  <si>
    <t>Vysoká</t>
  </si>
  <si>
    <t>Velmi vysoká</t>
  </si>
  <si>
    <t>ŠP podsyp rovnanina</t>
  </si>
  <si>
    <t>Poznámka</t>
  </si>
  <si>
    <t>Ř. km 0.040-0.300</t>
  </si>
  <si>
    <t>Ř. km 0.500-1.660</t>
  </si>
  <si>
    <t>Ř. km 1.960-2.060</t>
  </si>
  <si>
    <t>Ř. km 2.220-2.500</t>
  </si>
  <si>
    <t>Ř. km 2.550-3.100</t>
  </si>
  <si>
    <t>Ř. km 3.300-3.760</t>
  </si>
  <si>
    <t>Ř. km 3.800-4.120</t>
  </si>
  <si>
    <t>Ř. km 4.170-4.220</t>
  </si>
  <si>
    <t>Ř.km 4.350-4.650</t>
  </si>
  <si>
    <t>Ř.km 5.010-5.630</t>
  </si>
  <si>
    <t>Ř.km 5.960-6.110</t>
  </si>
  <si>
    <t>Ř.km 6.410-6.440</t>
  </si>
  <si>
    <t>Ř.km 6.980-7.180</t>
  </si>
  <si>
    <t>Ř.km 7.210-7.540</t>
  </si>
  <si>
    <t>Ř.km 7.770-8.370</t>
  </si>
  <si>
    <t>Ř.km 8.480-8.850</t>
  </si>
  <si>
    <t>Ř.km 8.910-9.470</t>
  </si>
  <si>
    <t>Dílčí kalkulace etapy</t>
  </si>
  <si>
    <t>Ostatní nespecifikované položky 20 %</t>
  </si>
  <si>
    <t xml:space="preserve">ŠP podsyp - skluzy </t>
  </si>
  <si>
    <t>Součet</t>
  </si>
  <si>
    <t>*UPP - uvolnění průtočného profilu</t>
  </si>
  <si>
    <t>další činnosti uvedené v technické specifikaci</t>
  </si>
  <si>
    <t>zajištění projekčních  prací</t>
  </si>
  <si>
    <t>celkem:</t>
  </si>
  <si>
    <t>realizace</t>
  </si>
  <si>
    <t>VYPLNIT CENU ZA DALŠÍ ČINNOSTI UVEDENÉ V TECH. SPEC.</t>
  </si>
  <si>
    <t>„OPŠ 07/2021 – Jílovský potok Děčín - Jílové – uvolnění průtočného profilu"</t>
  </si>
  <si>
    <t>Název dodavatele:</t>
  </si>
  <si>
    <t>VYPLNIT CENU ZA ZAJIŠTĚNÍ PŘÍSLUŠNÉ PROJEKTOVÉ DOKUMENTACE</t>
  </si>
  <si>
    <t>VYPLNIT NÁZEV DODAVATELE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</si>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</sst>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21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8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C4591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3" fillId="8" borderId="0" applyNumberFormat="0" applyBorder="0" applyAlignment="0" applyProtection="0"/>
    <xf numFmtId="43" fontId="8" fillId="0" borderId="0" applyFont="0" applyFill="0" applyBorder="0" applyAlignment="0" applyProtection="0"/>
  </cellStyleXfs>
  <cellXfs count="67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0" fontId="10" fillId="3" borderId="1" xfId="0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</xf>
    <xf numFmtId="0" fontId="4" fillId="0" borderId="0" xfId="0" applyFont="1" applyProtection="1"/>
    <xf numFmtId="0" fontId="0" fillId="0" borderId="0" xfId="0" applyAlignment="1" applyProtection="1"/>
    <xf numFmtId="3" fontId="0" fillId="9" borderId="1" xfId="0" applyNumberFormat="1" applyFill="1" applyBorder="1" applyAlignment="1" applyProtection="1">
      <alignment horizontal="left"/>
    </xf>
    <xf numFmtId="49" fontId="0" fillId="9" borderId="1" xfId="0" applyNumberFormat="1" applyFill="1" applyBorder="1" applyAlignment="1" applyProtection="1">
      <alignment horizontal="center"/>
    </xf>
    <xf numFmtId="0" fontId="3" fillId="9" borderId="1" xfId="0" applyFont="1" applyFill="1" applyBorder="1" applyAlignment="1" applyProtection="1">
      <alignment vertical="center"/>
    </xf>
    <xf numFmtId="3" fontId="5" fillId="9" borderId="1" xfId="0" applyNumberFormat="1" applyFont="1" applyFill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/>
    </xf>
    <xf numFmtId="0" fontId="3" fillId="9" borderId="1" xfId="0" applyFont="1" applyFill="1" applyBorder="1" applyAlignment="1" applyProtection="1">
      <alignment horizontal="left" vertical="center"/>
    </xf>
    <xf numFmtId="0" fontId="4" fillId="9" borderId="1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right" vertical="center" wrapText="1"/>
    </xf>
    <xf numFmtId="43" fontId="2" fillId="2" borderId="1" xfId="2" applyFont="1" applyFill="1" applyBorder="1" applyAlignment="1" applyProtection="1">
      <alignment horizontal="center" vertical="center"/>
    </xf>
    <xf numFmtId="43" fontId="3" fillId="9" borderId="1" xfId="2" applyFont="1" applyFill="1" applyBorder="1" applyAlignment="1" applyProtection="1">
      <alignment horizontal="center" vertical="center"/>
    </xf>
    <xf numFmtId="43" fontId="0" fillId="0" borderId="0" xfId="2" applyFont="1" applyAlignment="1" applyProtection="1">
      <alignment horizontal="center" vertical="center"/>
    </xf>
    <xf numFmtId="4" fontId="14" fillId="9" borderId="1" xfId="1" applyNumberFormat="1" applyFont="1" applyFill="1" applyBorder="1" applyAlignment="1" applyProtection="1">
      <alignment horizontal="right" vertical="center"/>
    </xf>
    <xf numFmtId="4" fontId="0" fillId="0" borderId="0" xfId="0" applyNumberFormat="1" applyProtection="1"/>
    <xf numFmtId="4" fontId="0" fillId="9" borderId="0" xfId="0" applyNumberFormat="1" applyFill="1" applyProtection="1"/>
    <xf numFmtId="4" fontId="4" fillId="9" borderId="0" xfId="0" applyNumberFormat="1" applyFont="1" applyFill="1" applyBorder="1" applyProtection="1"/>
    <xf numFmtId="4" fontId="4" fillId="9" borderId="3" xfId="0" applyNumberFormat="1" applyFont="1" applyFill="1" applyBorder="1" applyProtection="1"/>
    <xf numFmtId="4" fontId="4" fillId="9" borderId="4" xfId="0" applyNumberFormat="1" applyFont="1" applyFill="1" applyBorder="1" applyProtection="1"/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0" fontId="0" fillId="9" borderId="0" xfId="0" applyFill="1" applyProtection="1"/>
    <xf numFmtId="43" fontId="0" fillId="9" borderId="0" xfId="2" applyFont="1" applyFill="1" applyAlignment="1" applyProtection="1">
      <alignment horizontal="center" vertical="center"/>
    </xf>
    <xf numFmtId="0" fontId="0" fillId="9" borderId="0" xfId="0" applyFill="1" applyBorder="1" applyProtection="1"/>
    <xf numFmtId="43" fontId="0" fillId="9" borderId="0" xfId="2" applyFont="1" applyFill="1" applyBorder="1" applyAlignment="1" applyProtection="1">
      <alignment horizontal="center" vertical="center"/>
    </xf>
    <xf numFmtId="4" fontId="0" fillId="9" borderId="0" xfId="0" applyNumberFormat="1" applyFill="1" applyBorder="1" applyProtection="1"/>
    <xf numFmtId="0" fontId="12" fillId="9" borderId="6" xfId="0" applyFont="1" applyFill="1" applyBorder="1" applyProtection="1"/>
    <xf numFmtId="0" fontId="0" fillId="9" borderId="7" xfId="0" applyFill="1" applyBorder="1" applyProtection="1"/>
    <xf numFmtId="43" fontId="0" fillId="9" borderId="7" xfId="2" applyFont="1" applyFill="1" applyBorder="1" applyAlignment="1" applyProtection="1">
      <alignment horizontal="center" vertical="center"/>
    </xf>
    <xf numFmtId="4" fontId="0" fillId="9" borderId="7" xfId="0" applyNumberFormat="1" applyFill="1" applyBorder="1" applyProtection="1"/>
    <xf numFmtId="4" fontId="0" fillId="9" borderId="8" xfId="0" applyNumberFormat="1" applyFill="1" applyBorder="1" applyProtection="1"/>
    <xf numFmtId="0" fontId="4" fillId="9" borderId="9" xfId="0" applyFont="1" applyFill="1" applyBorder="1" applyProtection="1"/>
    <xf numFmtId="4" fontId="4" fillId="9" borderId="10" xfId="0" applyNumberFormat="1" applyFont="1" applyFill="1" applyBorder="1" applyProtection="1"/>
    <xf numFmtId="3" fontId="4" fillId="9" borderId="9" xfId="0" applyNumberFormat="1" applyFont="1" applyFill="1" applyBorder="1" applyAlignment="1" applyProtection="1">
      <alignment horizontal="left"/>
    </xf>
    <xf numFmtId="0" fontId="1" fillId="9" borderId="9" xfId="0" applyFont="1" applyFill="1" applyBorder="1" applyProtection="1"/>
    <xf numFmtId="4" fontId="12" fillId="9" borderId="11" xfId="0" applyNumberFormat="1" applyFont="1" applyFill="1" applyBorder="1" applyProtection="1"/>
    <xf numFmtId="4" fontId="12" fillId="10" borderId="1" xfId="0" applyNumberFormat="1" applyFont="1" applyFill="1" applyBorder="1" applyProtection="1">
      <protection locked="0"/>
    </xf>
    <xf numFmtId="0" fontId="15" fillId="9" borderId="9" xfId="0" applyFont="1" applyFill="1" applyBorder="1" applyProtection="1"/>
    <xf numFmtId="0" fontId="16" fillId="9" borderId="0" xfId="0" applyFont="1" applyFill="1" applyBorder="1" applyProtection="1"/>
    <xf numFmtId="43" fontId="16" fillId="9" borderId="0" xfId="2" applyFont="1" applyFill="1" applyBorder="1" applyAlignment="1" applyProtection="1">
      <alignment horizontal="center" vertical="center"/>
    </xf>
    <xf numFmtId="4" fontId="16" fillId="9" borderId="0" xfId="0" applyNumberFormat="1" applyFont="1" applyFill="1" applyBorder="1" applyProtection="1"/>
    <xf numFmtId="0" fontId="18" fillId="0" borderId="0" xfId="0" applyFont="1" applyProtection="1"/>
    <xf numFmtId="0" fontId="0" fillId="9" borderId="12" xfId="0" applyFill="1" applyBorder="1" applyProtection="1"/>
    <xf numFmtId="0" fontId="0" fillId="9" borderId="3" xfId="0" applyFill="1" applyBorder="1" applyProtection="1"/>
    <xf numFmtId="43" fontId="0" fillId="9" borderId="3" xfId="2" applyFont="1" applyFill="1" applyBorder="1" applyAlignment="1" applyProtection="1">
      <alignment horizontal="center" vertical="center"/>
    </xf>
    <xf numFmtId="0" fontId="0" fillId="9" borderId="13" xfId="0" applyFill="1" applyBorder="1" applyProtection="1"/>
    <xf numFmtId="0" fontId="0" fillId="9" borderId="0" xfId="0" applyFill="1"/>
    <xf numFmtId="0" fontId="19" fillId="9" borderId="0" xfId="0" applyFont="1" applyFill="1"/>
    <xf numFmtId="0" fontId="17" fillId="9" borderId="0" xfId="0" applyFont="1" applyFill="1"/>
    <xf numFmtId="4" fontId="15" fillId="9" borderId="4" xfId="0" applyNumberFormat="1" applyFont="1" applyFill="1" applyBorder="1" applyAlignment="1" applyProtection="1"/>
    <xf numFmtId="0" fontId="16" fillId="0" borderId="4" xfId="0" applyFont="1" applyBorder="1" applyAlignment="1"/>
    <xf numFmtId="0" fontId="16" fillId="0" borderId="10" xfId="0" applyFont="1" applyBorder="1" applyAlignment="1"/>
    <xf numFmtId="0" fontId="0" fillId="0" borderId="2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4" fontId="20" fillId="0" borderId="0" xfId="0" applyNumberFormat="1" applyFont="1" applyProtection="1"/>
  </cellXfs>
  <cellStyles count="3">
    <cellStyle name="Čárka" xfId="2" builtinId="3"/>
    <cellStyle name="Normální" xfId="0" builtinId="0"/>
    <cellStyle name="Správně" xfId="1" builtinId="26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4"/>
  <sheetViews>
    <sheetView showGridLines="0" tabSelected="1" zoomScale="71" zoomScaleNormal="71" zoomScaleSheetLayoutView="100" workbookViewId="0">
      <pane ySplit="6" topLeftCell="A70" activePane="bottomLeft" state="frozen"/>
      <selection pane="bottomLeft" activeCell="E76" sqref="E76"/>
    </sheetView>
  </sheetViews>
  <sheetFormatPr defaultRowHeight="14.25" x14ac:dyDescent="0.2"/>
  <cols>
    <col min="1" max="1" width="3" style="3" customWidth="1"/>
    <col min="2" max="2" width="14.5" style="3" customWidth="1"/>
    <col min="3" max="3" width="6.25" style="3" customWidth="1"/>
    <col min="4" max="4" width="15.625" style="3" customWidth="1"/>
    <col min="5" max="5" width="42.875" style="3" customWidth="1"/>
    <col min="6" max="6" width="18.375" style="3" customWidth="1"/>
    <col min="7" max="7" width="9.625" style="3" customWidth="1"/>
    <col min="8" max="8" width="11.125" style="22" customWidth="1"/>
    <col min="9" max="9" width="11" style="3" customWidth="1"/>
    <col min="10" max="10" width="11.375" style="3" customWidth="1"/>
    <col min="11" max="11" width="1.625" style="3" customWidth="1"/>
    <col min="12" max="12" width="11.5" style="3" customWidth="1"/>
    <col min="13" max="13" width="11.625" style="3" customWidth="1"/>
    <col min="14" max="14" width="13.5" style="3" customWidth="1"/>
    <col min="15" max="15" width="28.125" style="3" customWidth="1"/>
    <col min="16" max="16" width="9.375" style="3" customWidth="1"/>
    <col min="17" max="17" width="9.25" style="3" customWidth="1"/>
    <col min="18" max="18" width="10.375" style="3" customWidth="1"/>
    <col min="19" max="19" width="11.375" style="3" customWidth="1"/>
    <col min="20" max="20" width="9" style="3"/>
    <col min="21" max="21" width="28.125" style="3" customWidth="1"/>
    <col min="22" max="22" width="9.375" style="3" customWidth="1"/>
    <col min="23" max="23" width="9.25" style="3" customWidth="1"/>
    <col min="24" max="24" width="10.375" style="3" customWidth="1"/>
    <col min="25" max="25" width="11.375" style="3" customWidth="1"/>
    <col min="26" max="26" width="9" style="3"/>
    <col min="27" max="27" width="28.125" style="3" customWidth="1"/>
    <col min="28" max="28" width="9.375" style="3" customWidth="1"/>
    <col min="29" max="29" width="9.25" style="3" customWidth="1"/>
    <col min="30" max="30" width="10.375" style="3" customWidth="1"/>
    <col min="31" max="31" width="11.375" style="3" customWidth="1"/>
    <col min="32" max="32" width="9" style="3"/>
    <col min="33" max="33" width="28.125" style="3" customWidth="1"/>
    <col min="34" max="34" width="9.375" style="3" customWidth="1"/>
    <col min="35" max="35" width="9.25" style="3" customWidth="1"/>
    <col min="36" max="36" width="10.375" style="3" customWidth="1"/>
    <col min="37" max="37" width="11.375" style="3" customWidth="1"/>
    <col min="38" max="38" width="9" style="3"/>
    <col min="39" max="39" width="28.125" style="3" customWidth="1"/>
    <col min="40" max="40" width="9.375" style="3" customWidth="1"/>
    <col min="41" max="41" width="9.25" style="3" customWidth="1"/>
    <col min="42" max="42" width="10.375" style="3" customWidth="1"/>
    <col min="43" max="43" width="11.375" style="3" customWidth="1"/>
    <col min="44" max="16384" width="9" style="3"/>
  </cols>
  <sheetData>
    <row r="1" spans="1:15" ht="23.25" x14ac:dyDescent="0.35">
      <c r="B1" s="58" t="s">
        <v>91</v>
      </c>
      <c r="C1" s="32"/>
      <c r="D1" s="32"/>
      <c r="E1" s="32"/>
      <c r="F1" s="32"/>
      <c r="G1" s="32"/>
      <c r="H1" s="33"/>
      <c r="I1" s="32"/>
      <c r="J1" s="32"/>
      <c r="K1" s="32"/>
      <c r="L1" s="32"/>
      <c r="M1" s="32"/>
      <c r="N1" s="32"/>
    </row>
    <row r="2" spans="1:15" x14ac:dyDescent="0.2">
      <c r="A2"/>
      <c r="B2" s="32"/>
      <c r="C2" s="32"/>
      <c r="D2" s="32"/>
      <c r="E2" s="32"/>
      <c r="F2" s="32"/>
      <c r="G2" s="32"/>
      <c r="H2" s="33"/>
      <c r="I2" s="32"/>
      <c r="J2" s="32"/>
      <c r="K2" s="32"/>
      <c r="L2" s="32"/>
      <c r="M2" s="32"/>
      <c r="N2" s="32"/>
    </row>
    <row r="3" spans="1:15" ht="15" x14ac:dyDescent="0.25">
      <c r="B3" s="59" t="s">
        <v>92</v>
      </c>
      <c r="C3" s="57"/>
      <c r="D3" s="63"/>
      <c r="E3" s="64"/>
      <c r="F3" s="64"/>
      <c r="G3" s="64"/>
      <c r="H3" s="64"/>
      <c r="I3" s="64"/>
      <c r="J3" s="64"/>
      <c r="K3" s="64"/>
      <c r="L3" s="64"/>
      <c r="M3" s="64"/>
      <c r="N3" s="65"/>
      <c r="O3" s="52" t="s">
        <v>94</v>
      </c>
    </row>
    <row r="4" spans="1:15" x14ac:dyDescent="0.2">
      <c r="A4"/>
      <c r="B4" s="57"/>
      <c r="C4" s="57"/>
      <c r="D4" s="57"/>
      <c r="E4" s="57"/>
      <c r="F4" s="57"/>
      <c r="G4" s="57"/>
      <c r="H4" s="57"/>
      <c r="I4" s="57"/>
      <c r="J4" s="57"/>
      <c r="K4" s="32"/>
      <c r="L4" s="32"/>
      <c r="M4" s="32"/>
      <c r="N4" s="32"/>
    </row>
    <row r="5" spans="1:15" x14ac:dyDescent="0.2">
      <c r="B5" s="32"/>
      <c r="C5" s="32"/>
      <c r="D5" s="32"/>
      <c r="E5" s="32"/>
      <c r="F5" s="32"/>
      <c r="G5" s="32"/>
      <c r="H5" s="33"/>
      <c r="I5" s="32"/>
      <c r="J5" s="32"/>
      <c r="K5" s="32"/>
      <c r="L5" s="32"/>
      <c r="M5" s="32"/>
      <c r="N5" s="32"/>
    </row>
    <row r="6" spans="1:15" ht="60" x14ac:dyDescent="0.2">
      <c r="B6" s="1" t="s">
        <v>48</v>
      </c>
      <c r="C6" s="1" t="s">
        <v>45</v>
      </c>
      <c r="D6" s="1" t="s">
        <v>47</v>
      </c>
      <c r="E6" s="2" t="s">
        <v>0</v>
      </c>
      <c r="F6" s="1" t="s">
        <v>63</v>
      </c>
      <c r="G6" s="1" t="s">
        <v>2</v>
      </c>
      <c r="H6" s="20" t="s">
        <v>1</v>
      </c>
      <c r="I6" s="1" t="s">
        <v>3</v>
      </c>
      <c r="J6" s="1" t="s">
        <v>4</v>
      </c>
      <c r="K6" s="32"/>
      <c r="L6" s="18" t="s">
        <v>81</v>
      </c>
      <c r="M6" s="18" t="s">
        <v>82</v>
      </c>
      <c r="N6" s="19" t="s">
        <v>95</v>
      </c>
    </row>
    <row r="7" spans="1:15" ht="13.5" customHeight="1" x14ac:dyDescent="0.2">
      <c r="B7" s="11" t="s">
        <v>49</v>
      </c>
      <c r="C7" s="12" t="s">
        <v>46</v>
      </c>
      <c r="D7" s="4" t="s">
        <v>59</v>
      </c>
      <c r="E7" s="13" t="s">
        <v>38</v>
      </c>
      <c r="F7" s="14" t="s">
        <v>64</v>
      </c>
      <c r="G7" s="15" t="s">
        <v>5</v>
      </c>
      <c r="H7" s="21">
        <f>1.2*550</f>
        <v>660</v>
      </c>
      <c r="I7" s="29"/>
      <c r="J7" s="23">
        <f t="shared" ref="J7" si="0">H7*I7</f>
        <v>0</v>
      </c>
      <c r="K7" s="25"/>
      <c r="L7" s="25"/>
      <c r="M7" s="25"/>
      <c r="N7" s="25"/>
    </row>
    <row r="8" spans="1:15" ht="13.5" customHeight="1" x14ac:dyDescent="0.2">
      <c r="B8" s="11" t="s">
        <v>49</v>
      </c>
      <c r="C8" s="12" t="s">
        <v>46</v>
      </c>
      <c r="D8" s="4" t="s">
        <v>59</v>
      </c>
      <c r="E8" s="13" t="s">
        <v>8</v>
      </c>
      <c r="F8" s="14" t="s">
        <v>64</v>
      </c>
      <c r="G8" s="15" t="s">
        <v>5</v>
      </c>
      <c r="H8" s="21">
        <f>1.2*550</f>
        <v>660</v>
      </c>
      <c r="I8" s="29"/>
      <c r="J8" s="23">
        <f t="shared" ref="J8:J16" si="1">H8*I8</f>
        <v>0</v>
      </c>
      <c r="K8" s="25"/>
      <c r="L8" s="25"/>
      <c r="M8" s="25"/>
      <c r="N8" s="25"/>
    </row>
    <row r="9" spans="1:15" ht="13.5" customHeight="1" x14ac:dyDescent="0.2">
      <c r="B9" s="11">
        <v>730091</v>
      </c>
      <c r="C9" s="12" t="s">
        <v>46</v>
      </c>
      <c r="D9" s="4" t="s">
        <v>59</v>
      </c>
      <c r="E9" s="13" t="s">
        <v>9</v>
      </c>
      <c r="F9" s="14" t="s">
        <v>64</v>
      </c>
      <c r="G9" s="15" t="s">
        <v>6</v>
      </c>
      <c r="H9" s="21">
        <f>1.2*(500+460)</f>
        <v>1152</v>
      </c>
      <c r="I9" s="29"/>
      <c r="J9" s="23">
        <f>H9*I9</f>
        <v>0</v>
      </c>
      <c r="K9" s="25"/>
      <c r="L9" s="25"/>
      <c r="M9" s="25"/>
      <c r="N9" s="25"/>
    </row>
    <row r="10" spans="1:15" ht="13.5" customHeight="1" x14ac:dyDescent="0.2">
      <c r="B10" s="11">
        <v>730091</v>
      </c>
      <c r="C10" s="12" t="s">
        <v>46</v>
      </c>
      <c r="D10" s="4" t="s">
        <v>59</v>
      </c>
      <c r="E10" s="13" t="s">
        <v>10</v>
      </c>
      <c r="F10" s="14" t="s">
        <v>64</v>
      </c>
      <c r="G10" s="15" t="s">
        <v>6</v>
      </c>
      <c r="H10" s="21">
        <f>1.2*(500+430+200)</f>
        <v>1356</v>
      </c>
      <c r="I10" s="29"/>
      <c r="J10" s="23">
        <f t="shared" si="1"/>
        <v>0</v>
      </c>
      <c r="K10" s="25"/>
      <c r="L10" s="25"/>
      <c r="M10" s="25"/>
      <c r="N10" s="25"/>
    </row>
    <row r="11" spans="1:15" ht="13.5" customHeight="1" x14ac:dyDescent="0.2">
      <c r="B11" s="11" t="s">
        <v>49</v>
      </c>
      <c r="C11" s="12" t="s">
        <v>46</v>
      </c>
      <c r="D11" s="5" t="s">
        <v>58</v>
      </c>
      <c r="E11" s="13" t="s">
        <v>11</v>
      </c>
      <c r="F11" s="14" t="s">
        <v>64</v>
      </c>
      <c r="G11" s="15" t="s">
        <v>5</v>
      </c>
      <c r="H11" s="21">
        <f>1.2*25</f>
        <v>30</v>
      </c>
      <c r="I11" s="29"/>
      <c r="J11" s="23">
        <f t="shared" si="1"/>
        <v>0</v>
      </c>
      <c r="K11" s="25"/>
      <c r="L11" s="25"/>
      <c r="M11" s="25"/>
      <c r="N11" s="25"/>
    </row>
    <row r="12" spans="1:15" ht="13.5" customHeight="1" x14ac:dyDescent="0.2">
      <c r="B12" s="11">
        <v>730091</v>
      </c>
      <c r="C12" s="12" t="s">
        <v>46</v>
      </c>
      <c r="D12" s="6" t="s">
        <v>60</v>
      </c>
      <c r="E12" s="13" t="s">
        <v>7</v>
      </c>
      <c r="F12" s="14" t="s">
        <v>64</v>
      </c>
      <c r="G12" s="15" t="s">
        <v>5</v>
      </c>
      <c r="H12" s="21">
        <f>1.2*(720*1.2*0.8)</f>
        <v>829.44</v>
      </c>
      <c r="I12" s="29"/>
      <c r="J12" s="23">
        <f t="shared" ref="J12:J14" si="2">H12*I12</f>
        <v>0</v>
      </c>
      <c r="K12" s="25"/>
      <c r="L12" s="25"/>
      <c r="M12" s="25"/>
      <c r="N12" s="25"/>
    </row>
    <row r="13" spans="1:15" ht="13.5" customHeight="1" x14ac:dyDescent="0.2">
      <c r="B13" s="11">
        <v>730091</v>
      </c>
      <c r="C13" s="12" t="s">
        <v>46</v>
      </c>
      <c r="D13" s="6" t="s">
        <v>60</v>
      </c>
      <c r="E13" s="13" t="s">
        <v>62</v>
      </c>
      <c r="F13" s="14" t="s">
        <v>64</v>
      </c>
      <c r="G13" s="15" t="s">
        <v>5</v>
      </c>
      <c r="H13" s="21">
        <f>1.2*(720*1.2*0.15)</f>
        <v>155.51999999999998</v>
      </c>
      <c r="I13" s="29"/>
      <c r="J13" s="23">
        <f t="shared" si="2"/>
        <v>0</v>
      </c>
      <c r="K13" s="25"/>
      <c r="L13" s="25"/>
      <c r="M13" s="25"/>
      <c r="N13" s="25"/>
    </row>
    <row r="14" spans="1:15" ht="13.5" customHeight="1" x14ac:dyDescent="0.2">
      <c r="B14" s="11">
        <v>730091</v>
      </c>
      <c r="C14" s="12" t="s">
        <v>46</v>
      </c>
      <c r="D14" s="4" t="s">
        <v>59</v>
      </c>
      <c r="E14" s="16" t="s">
        <v>33</v>
      </c>
      <c r="F14" s="14" t="s">
        <v>64</v>
      </c>
      <c r="G14" s="15" t="s">
        <v>5</v>
      </c>
      <c r="H14" s="21">
        <f>1.2*35*1</f>
        <v>42</v>
      </c>
      <c r="I14" s="29"/>
      <c r="J14" s="23">
        <f t="shared" si="2"/>
        <v>0</v>
      </c>
      <c r="K14" s="25"/>
      <c r="L14" s="25"/>
      <c r="M14" s="25"/>
      <c r="N14" s="25"/>
    </row>
    <row r="15" spans="1:15" ht="13.5" customHeight="1" x14ac:dyDescent="0.25">
      <c r="B15" s="11">
        <v>730091</v>
      </c>
      <c r="C15" s="12" t="s">
        <v>46</v>
      </c>
      <c r="D15" s="4" t="s">
        <v>59</v>
      </c>
      <c r="E15" s="13" t="s">
        <v>35</v>
      </c>
      <c r="F15" s="14" t="s">
        <v>64</v>
      </c>
      <c r="G15" s="15" t="s">
        <v>5</v>
      </c>
      <c r="H15" s="21">
        <f>1.2*(35*0.15)</f>
        <v>6.3</v>
      </c>
      <c r="I15" s="29"/>
      <c r="J15" s="23">
        <f t="shared" ref="J15" si="3">H15*I15</f>
        <v>0</v>
      </c>
      <c r="K15" s="25"/>
      <c r="L15" s="25"/>
      <c r="M15" s="26"/>
      <c r="N15" s="25"/>
    </row>
    <row r="16" spans="1:15" ht="13.5" customHeight="1" thickBot="1" x14ac:dyDescent="0.3">
      <c r="B16" s="11">
        <v>730091</v>
      </c>
      <c r="C16" s="12" t="s">
        <v>46</v>
      </c>
      <c r="D16" s="4" t="s">
        <v>59</v>
      </c>
      <c r="E16" s="13" t="s">
        <v>34</v>
      </c>
      <c r="F16" s="14" t="s">
        <v>64</v>
      </c>
      <c r="G16" s="15" t="s">
        <v>5</v>
      </c>
      <c r="H16" s="21">
        <f>1.2*10*1*0.7</f>
        <v>8.3999999999999986</v>
      </c>
      <c r="I16" s="29"/>
      <c r="J16" s="23">
        <f t="shared" si="1"/>
        <v>0</v>
      </c>
      <c r="K16" s="25"/>
      <c r="L16" s="27">
        <f>SUM(J7:J16)</f>
        <v>0</v>
      </c>
      <c r="M16" s="27">
        <f>L16*0.2</f>
        <v>0</v>
      </c>
      <c r="N16" s="28">
        <f>SUM(L16+M16)</f>
        <v>0</v>
      </c>
    </row>
    <row r="17" spans="2:14" ht="13.5" customHeight="1" thickTop="1" x14ac:dyDescent="0.2">
      <c r="B17" s="11" t="s">
        <v>49</v>
      </c>
      <c r="C17" s="12" t="s">
        <v>50</v>
      </c>
      <c r="D17" s="4" t="s">
        <v>59</v>
      </c>
      <c r="E17" s="13" t="s">
        <v>39</v>
      </c>
      <c r="F17" s="14" t="s">
        <v>65</v>
      </c>
      <c r="G17" s="15" t="s">
        <v>5</v>
      </c>
      <c r="H17" s="21">
        <v>50</v>
      </c>
      <c r="I17" s="29"/>
      <c r="J17" s="23">
        <f t="shared" ref="J17" si="4">H17*I17</f>
        <v>0</v>
      </c>
      <c r="K17" s="25"/>
      <c r="L17" s="25"/>
      <c r="M17" s="25"/>
      <c r="N17" s="25"/>
    </row>
    <row r="18" spans="2:14" ht="13.5" customHeight="1" x14ac:dyDescent="0.2">
      <c r="B18" s="11">
        <v>730091</v>
      </c>
      <c r="C18" s="12" t="s">
        <v>50</v>
      </c>
      <c r="D18" s="6" t="s">
        <v>60</v>
      </c>
      <c r="E18" s="13" t="s">
        <v>12</v>
      </c>
      <c r="F18" s="14" t="s">
        <v>65</v>
      </c>
      <c r="G18" s="15" t="s">
        <v>6</v>
      </c>
      <c r="H18" s="21">
        <f>1.2*20</f>
        <v>24</v>
      </c>
      <c r="I18" s="29"/>
      <c r="J18" s="23">
        <f>H18*I18</f>
        <v>0</v>
      </c>
      <c r="K18" s="25"/>
      <c r="L18" s="25"/>
      <c r="M18" s="25"/>
      <c r="N18" s="25"/>
    </row>
    <row r="19" spans="2:14" ht="13.5" customHeight="1" x14ac:dyDescent="0.2">
      <c r="B19" s="11">
        <v>730091</v>
      </c>
      <c r="C19" s="12" t="s">
        <v>50</v>
      </c>
      <c r="D19" s="6" t="s">
        <v>60</v>
      </c>
      <c r="E19" s="13" t="s">
        <v>19</v>
      </c>
      <c r="F19" s="14" t="s">
        <v>65</v>
      </c>
      <c r="G19" s="15" t="s">
        <v>6</v>
      </c>
      <c r="H19" s="21">
        <f>1.2*55</f>
        <v>66</v>
      </c>
      <c r="I19" s="29"/>
      <c r="J19" s="23">
        <f t="shared" ref="J19:J26" si="5">H19*I19</f>
        <v>0</v>
      </c>
      <c r="K19" s="25"/>
      <c r="L19" s="25"/>
      <c r="M19" s="25"/>
      <c r="N19" s="25"/>
    </row>
    <row r="20" spans="2:14" ht="13.5" customHeight="1" x14ac:dyDescent="0.2">
      <c r="B20" s="11" t="s">
        <v>49</v>
      </c>
      <c r="C20" s="12" t="s">
        <v>50</v>
      </c>
      <c r="D20" s="4" t="s">
        <v>59</v>
      </c>
      <c r="E20" s="13" t="s">
        <v>13</v>
      </c>
      <c r="F20" s="14" t="s">
        <v>65</v>
      </c>
      <c r="G20" s="15" t="s">
        <v>5</v>
      </c>
      <c r="H20" s="21">
        <v>50</v>
      </c>
      <c r="I20" s="29"/>
      <c r="J20" s="23">
        <f t="shared" si="5"/>
        <v>0</v>
      </c>
      <c r="K20" s="25"/>
      <c r="L20" s="25"/>
      <c r="M20" s="25"/>
      <c r="N20" s="25"/>
    </row>
    <row r="21" spans="2:14" ht="13.5" customHeight="1" x14ac:dyDescent="0.2">
      <c r="B21" s="11">
        <v>730091</v>
      </c>
      <c r="C21" s="12" t="s">
        <v>50</v>
      </c>
      <c r="D21" s="4" t="s">
        <v>59</v>
      </c>
      <c r="E21" s="16" t="s">
        <v>41</v>
      </c>
      <c r="F21" s="14" t="s">
        <v>65</v>
      </c>
      <c r="G21" s="15" t="s">
        <v>5</v>
      </c>
      <c r="H21" s="21">
        <v>50</v>
      </c>
      <c r="I21" s="29"/>
      <c r="J21" s="23">
        <f t="shared" si="5"/>
        <v>0</v>
      </c>
      <c r="K21" s="25"/>
      <c r="L21" s="25"/>
      <c r="M21" s="25"/>
      <c r="N21" s="25"/>
    </row>
    <row r="22" spans="2:14" ht="13.5" customHeight="1" x14ac:dyDescent="0.2">
      <c r="B22" s="11">
        <v>730091</v>
      </c>
      <c r="C22" s="12" t="s">
        <v>50</v>
      </c>
      <c r="D22" s="6" t="s">
        <v>60</v>
      </c>
      <c r="E22" s="16" t="s">
        <v>18</v>
      </c>
      <c r="F22" s="14" t="s">
        <v>65</v>
      </c>
      <c r="G22" s="15" t="s">
        <v>6</v>
      </c>
      <c r="H22" s="21">
        <v>20</v>
      </c>
      <c r="I22" s="29"/>
      <c r="J22" s="23">
        <f t="shared" si="5"/>
        <v>0</v>
      </c>
      <c r="K22" s="25"/>
      <c r="L22" s="25"/>
      <c r="M22" s="25"/>
      <c r="N22" s="25"/>
    </row>
    <row r="23" spans="2:14" ht="13.5" customHeight="1" x14ac:dyDescent="0.2">
      <c r="B23" s="11">
        <v>730091</v>
      </c>
      <c r="C23" s="12" t="s">
        <v>50</v>
      </c>
      <c r="D23" s="6" t="s">
        <v>60</v>
      </c>
      <c r="E23" s="13" t="s">
        <v>83</v>
      </c>
      <c r="F23" s="14" t="s">
        <v>65</v>
      </c>
      <c r="G23" s="15" t="s">
        <v>5</v>
      </c>
      <c r="H23" s="21">
        <f>1.2*4*90*0.15</f>
        <v>64.8</v>
      </c>
      <c r="I23" s="29"/>
      <c r="J23" s="23">
        <f t="shared" si="5"/>
        <v>0</v>
      </c>
      <c r="K23" s="25"/>
      <c r="L23" s="25"/>
      <c r="M23" s="25"/>
      <c r="N23" s="25"/>
    </row>
    <row r="24" spans="2:14" ht="13.5" customHeight="1" x14ac:dyDescent="0.2">
      <c r="B24" s="11">
        <v>730091</v>
      </c>
      <c r="C24" s="12" t="s">
        <v>50</v>
      </c>
      <c r="D24" s="6" t="s">
        <v>60</v>
      </c>
      <c r="E24" s="13" t="s">
        <v>33</v>
      </c>
      <c r="F24" s="14" t="s">
        <v>65</v>
      </c>
      <c r="G24" s="15" t="s">
        <v>5</v>
      </c>
      <c r="H24" s="21">
        <f>1.2*4*100*1</f>
        <v>480</v>
      </c>
      <c r="I24" s="29"/>
      <c r="J24" s="23">
        <f t="shared" si="5"/>
        <v>0</v>
      </c>
      <c r="K24" s="25"/>
      <c r="L24" s="25"/>
      <c r="M24" s="25"/>
      <c r="N24" s="25"/>
    </row>
    <row r="25" spans="2:14" ht="13.5" customHeight="1" x14ac:dyDescent="0.2">
      <c r="B25" s="11">
        <v>730091</v>
      </c>
      <c r="C25" s="12" t="s">
        <v>50</v>
      </c>
      <c r="D25" s="6" t="s">
        <v>60</v>
      </c>
      <c r="E25" s="13" t="s">
        <v>37</v>
      </c>
      <c r="F25" s="14" t="s">
        <v>65</v>
      </c>
      <c r="G25" s="15" t="s">
        <v>5</v>
      </c>
      <c r="H25" s="21">
        <f>1.2*4*50*1</f>
        <v>240</v>
      </c>
      <c r="I25" s="29"/>
      <c r="J25" s="23">
        <f t="shared" si="5"/>
        <v>0</v>
      </c>
      <c r="K25" s="25"/>
      <c r="L25" s="25"/>
      <c r="M25" s="25"/>
      <c r="N25" s="25"/>
    </row>
    <row r="26" spans="2:14" ht="13.5" customHeight="1" x14ac:dyDescent="0.2">
      <c r="B26" s="11">
        <v>730091</v>
      </c>
      <c r="C26" s="12" t="s">
        <v>50</v>
      </c>
      <c r="D26" s="6" t="s">
        <v>60</v>
      </c>
      <c r="E26" s="13" t="s">
        <v>29</v>
      </c>
      <c r="F26" s="14" t="s">
        <v>65</v>
      </c>
      <c r="G26" s="15" t="s">
        <v>5</v>
      </c>
      <c r="H26" s="21">
        <f>1.2*8*10*0.5*0.8</f>
        <v>38.400000000000006</v>
      </c>
      <c r="I26" s="29"/>
      <c r="J26" s="23">
        <f t="shared" si="5"/>
        <v>0</v>
      </c>
      <c r="K26" s="25"/>
      <c r="L26" s="25"/>
      <c r="M26" s="25"/>
      <c r="N26" s="25"/>
    </row>
    <row r="27" spans="2:14" ht="13.5" customHeight="1" x14ac:dyDescent="0.2">
      <c r="B27" s="11">
        <v>730091</v>
      </c>
      <c r="C27" s="12" t="s">
        <v>50</v>
      </c>
      <c r="D27" s="6" t="s">
        <v>60</v>
      </c>
      <c r="E27" s="13" t="s">
        <v>14</v>
      </c>
      <c r="F27" s="14" t="s">
        <v>65</v>
      </c>
      <c r="G27" s="15" t="s">
        <v>5</v>
      </c>
      <c r="H27" s="21">
        <f>1.2*(4*5*0.5*0.3+H22*0.15)</f>
        <v>7.1999999999999993</v>
      </c>
      <c r="I27" s="29"/>
      <c r="J27" s="23">
        <f>H27*I27</f>
        <v>0</v>
      </c>
      <c r="K27" s="25"/>
      <c r="L27" s="25"/>
      <c r="M27" s="25"/>
      <c r="N27" s="25"/>
    </row>
    <row r="28" spans="2:14" ht="13.5" customHeight="1" thickBot="1" x14ac:dyDescent="0.3">
      <c r="B28" s="11">
        <v>730091</v>
      </c>
      <c r="C28" s="12" t="s">
        <v>50</v>
      </c>
      <c r="D28" s="6" t="s">
        <v>60</v>
      </c>
      <c r="E28" s="13" t="s">
        <v>23</v>
      </c>
      <c r="F28" s="14" t="s">
        <v>65</v>
      </c>
      <c r="G28" s="15" t="s">
        <v>5</v>
      </c>
      <c r="H28" s="21">
        <f>1.2*4*24</f>
        <v>115.19999999999999</v>
      </c>
      <c r="I28" s="29"/>
      <c r="J28" s="23">
        <f>H28*I28</f>
        <v>0</v>
      </c>
      <c r="K28" s="25"/>
      <c r="L28" s="27">
        <f>SUM(J17:J28)</f>
        <v>0</v>
      </c>
      <c r="M28" s="27">
        <f>L28*0.2</f>
        <v>0</v>
      </c>
      <c r="N28" s="28">
        <f>SUM(L28+M28)</f>
        <v>0</v>
      </c>
    </row>
    <row r="29" spans="2:14" ht="13.5" customHeight="1" thickTop="1" x14ac:dyDescent="0.25">
      <c r="B29" s="11">
        <v>730091</v>
      </c>
      <c r="C29" s="12" t="s">
        <v>51</v>
      </c>
      <c r="D29" s="4" t="s">
        <v>59</v>
      </c>
      <c r="E29" s="13" t="s">
        <v>7</v>
      </c>
      <c r="F29" s="17" t="s">
        <v>66</v>
      </c>
      <c r="G29" s="15" t="s">
        <v>5</v>
      </c>
      <c r="H29" s="21">
        <f>1.2*30*0.8</f>
        <v>28.8</v>
      </c>
      <c r="I29" s="30"/>
      <c r="J29" s="23">
        <f>H29*I29</f>
        <v>0</v>
      </c>
      <c r="K29" s="25"/>
      <c r="L29" s="25"/>
      <c r="M29" s="25"/>
      <c r="N29" s="25"/>
    </row>
    <row r="30" spans="2:14" ht="13.5" customHeight="1" x14ac:dyDescent="0.25">
      <c r="B30" s="11">
        <v>730091</v>
      </c>
      <c r="C30" s="12" t="s">
        <v>51</v>
      </c>
      <c r="D30" s="4" t="s">
        <v>59</v>
      </c>
      <c r="E30" s="13" t="s">
        <v>26</v>
      </c>
      <c r="F30" s="17" t="s">
        <v>66</v>
      </c>
      <c r="G30" s="15" t="s">
        <v>5</v>
      </c>
      <c r="H30" s="21">
        <f>1.2*(27*0.15)</f>
        <v>4.8599999999999994</v>
      </c>
      <c r="I30" s="30"/>
      <c r="J30" s="23">
        <f t="shared" ref="J30:J31" si="6">H30*I30</f>
        <v>0</v>
      </c>
      <c r="K30" s="25"/>
      <c r="L30" s="25"/>
      <c r="M30" s="25"/>
      <c r="N30" s="25"/>
    </row>
    <row r="31" spans="2:14" ht="13.5" customHeight="1" x14ac:dyDescent="0.25">
      <c r="B31" s="11">
        <v>730091</v>
      </c>
      <c r="C31" s="12" t="s">
        <v>51</v>
      </c>
      <c r="D31" s="5" t="s">
        <v>58</v>
      </c>
      <c r="E31" s="13" t="s">
        <v>15</v>
      </c>
      <c r="F31" s="17" t="s">
        <v>66</v>
      </c>
      <c r="G31" s="15" t="s">
        <v>5</v>
      </c>
      <c r="H31" s="21">
        <f>1.2*50*0.5</f>
        <v>30</v>
      </c>
      <c r="I31" s="30"/>
      <c r="J31" s="23">
        <f t="shared" si="6"/>
        <v>0</v>
      </c>
      <c r="K31" s="25"/>
      <c r="L31" s="25"/>
      <c r="M31" s="25"/>
      <c r="N31" s="25"/>
    </row>
    <row r="32" spans="2:14" ht="13.5" customHeight="1" x14ac:dyDescent="0.25">
      <c r="B32" s="11">
        <v>730091</v>
      </c>
      <c r="C32" s="12" t="s">
        <v>51</v>
      </c>
      <c r="D32" s="7" t="s">
        <v>61</v>
      </c>
      <c r="E32" s="13" t="s">
        <v>20</v>
      </c>
      <c r="F32" s="17" t="s">
        <v>66</v>
      </c>
      <c r="G32" s="15" t="s">
        <v>5</v>
      </c>
      <c r="H32" s="21">
        <f>1.2*(0.5*45*0.3+2*0.3*0.3+2*0.3*0.3+2*0.3*0.3+5*1*0.3+15*0.3)</f>
        <v>15.947999999999999</v>
      </c>
      <c r="I32" s="30"/>
      <c r="J32" s="23">
        <f>H32*I32</f>
        <v>0</v>
      </c>
      <c r="K32" s="25"/>
      <c r="L32" s="25"/>
      <c r="M32" s="25"/>
      <c r="N32" s="25"/>
    </row>
    <row r="33" spans="2:14" ht="13.5" customHeight="1" x14ac:dyDescent="0.25">
      <c r="B33" s="11">
        <v>730091</v>
      </c>
      <c r="C33" s="12" t="s">
        <v>51</v>
      </c>
      <c r="D33" s="7" t="s">
        <v>61</v>
      </c>
      <c r="E33" s="13" t="s">
        <v>17</v>
      </c>
      <c r="F33" s="17" t="s">
        <v>66</v>
      </c>
      <c r="G33" s="15" t="s">
        <v>5</v>
      </c>
      <c r="H33" s="21">
        <f>1.2*(12*2*0.35)</f>
        <v>10.079999999999998</v>
      </c>
      <c r="I33" s="30"/>
      <c r="J33" s="23">
        <f t="shared" ref="J33:J34" si="7">H33*I33</f>
        <v>0</v>
      </c>
      <c r="K33" s="25"/>
      <c r="L33" s="25"/>
      <c r="M33" s="25"/>
      <c r="N33" s="25"/>
    </row>
    <row r="34" spans="2:14" ht="13.5" customHeight="1" x14ac:dyDescent="0.25">
      <c r="B34" s="11">
        <v>730091</v>
      </c>
      <c r="C34" s="12" t="s">
        <v>51</v>
      </c>
      <c r="D34" s="7" t="s">
        <v>61</v>
      </c>
      <c r="E34" s="13" t="s">
        <v>18</v>
      </c>
      <c r="F34" s="17" t="s">
        <v>66</v>
      </c>
      <c r="G34" s="15" t="s">
        <v>6</v>
      </c>
      <c r="H34" s="21">
        <v>10</v>
      </c>
      <c r="I34" s="29"/>
      <c r="J34" s="23">
        <f t="shared" si="7"/>
        <v>0</v>
      </c>
      <c r="K34" s="25"/>
      <c r="L34" s="25"/>
      <c r="M34" s="25"/>
      <c r="N34" s="25"/>
    </row>
    <row r="35" spans="2:14" ht="13.5" customHeight="1" x14ac:dyDescent="0.25">
      <c r="B35" s="11">
        <v>730091</v>
      </c>
      <c r="C35" s="12" t="s">
        <v>51</v>
      </c>
      <c r="D35" s="7" t="s">
        <v>61</v>
      </c>
      <c r="E35" s="13" t="s">
        <v>28</v>
      </c>
      <c r="F35" s="17" t="s">
        <v>67</v>
      </c>
      <c r="G35" s="15" t="s">
        <v>5</v>
      </c>
      <c r="H35" s="21">
        <f>1.2*(12*0.5*1*10+1*110)</f>
        <v>204</v>
      </c>
      <c r="I35" s="30"/>
      <c r="J35" s="23">
        <f>H35*I35</f>
        <v>0</v>
      </c>
      <c r="K35" s="25"/>
      <c r="L35" s="25"/>
      <c r="M35" s="25"/>
      <c r="N35" s="25"/>
    </row>
    <row r="36" spans="2:14" ht="13.5" customHeight="1" x14ac:dyDescent="0.25">
      <c r="B36" s="11" t="s">
        <v>49</v>
      </c>
      <c r="C36" s="12" t="s">
        <v>51</v>
      </c>
      <c r="D36" s="7" t="s">
        <v>61</v>
      </c>
      <c r="E36" s="13" t="s">
        <v>39</v>
      </c>
      <c r="F36" s="17" t="s">
        <v>67</v>
      </c>
      <c r="G36" s="15" t="s">
        <v>5</v>
      </c>
      <c r="H36" s="21">
        <v>260</v>
      </c>
      <c r="I36" s="29"/>
      <c r="J36" s="23">
        <f t="shared" ref="J36" si="8">H36*I36</f>
        <v>0</v>
      </c>
      <c r="K36" s="25"/>
      <c r="L36" s="25"/>
      <c r="M36" s="25"/>
      <c r="N36" s="25"/>
    </row>
    <row r="37" spans="2:14" ht="13.5" customHeight="1" x14ac:dyDescent="0.25">
      <c r="B37" s="11" t="s">
        <v>49</v>
      </c>
      <c r="C37" s="12" t="s">
        <v>51</v>
      </c>
      <c r="D37" s="7" t="s">
        <v>61</v>
      </c>
      <c r="E37" s="13" t="s">
        <v>32</v>
      </c>
      <c r="F37" s="17" t="s">
        <v>67</v>
      </c>
      <c r="G37" s="15" t="s">
        <v>5</v>
      </c>
      <c r="H37" s="21">
        <f>150+110</f>
        <v>260</v>
      </c>
      <c r="I37" s="30"/>
      <c r="J37" s="23">
        <f t="shared" ref="J37:J38" si="9">H37*I37</f>
        <v>0</v>
      </c>
      <c r="K37" s="25"/>
      <c r="L37" s="25"/>
      <c r="M37" s="25"/>
      <c r="N37" s="25"/>
    </row>
    <row r="38" spans="2:14" ht="13.5" customHeight="1" x14ac:dyDescent="0.25">
      <c r="B38" s="11">
        <v>730091</v>
      </c>
      <c r="C38" s="12" t="s">
        <v>51</v>
      </c>
      <c r="D38" s="7" t="s">
        <v>61</v>
      </c>
      <c r="E38" s="13" t="s">
        <v>42</v>
      </c>
      <c r="F38" s="17" t="s">
        <v>67</v>
      </c>
      <c r="G38" s="15" t="s">
        <v>5</v>
      </c>
      <c r="H38" s="21">
        <f>150+110</f>
        <v>260</v>
      </c>
      <c r="I38" s="30"/>
      <c r="J38" s="23">
        <f t="shared" si="9"/>
        <v>0</v>
      </c>
      <c r="K38" s="25"/>
      <c r="L38" s="25"/>
      <c r="M38" s="25"/>
      <c r="N38" s="25"/>
    </row>
    <row r="39" spans="2:14" ht="13.5" customHeight="1" x14ac:dyDescent="0.25">
      <c r="B39" s="11">
        <v>730091</v>
      </c>
      <c r="C39" s="12" t="s">
        <v>51</v>
      </c>
      <c r="D39" s="7" t="s">
        <v>61</v>
      </c>
      <c r="E39" s="13" t="s">
        <v>33</v>
      </c>
      <c r="F39" s="17" t="s">
        <v>67</v>
      </c>
      <c r="G39" s="15" t="s">
        <v>5</v>
      </c>
      <c r="H39" s="21">
        <f>1.2*30*1</f>
        <v>36</v>
      </c>
      <c r="I39" s="30"/>
      <c r="J39" s="23">
        <f>H39*I39</f>
        <v>0</v>
      </c>
      <c r="K39" s="25"/>
      <c r="L39" s="25"/>
      <c r="M39" s="25"/>
      <c r="N39" s="25"/>
    </row>
    <row r="40" spans="2:14" ht="13.5" customHeight="1" x14ac:dyDescent="0.25">
      <c r="B40" s="11">
        <v>730091</v>
      </c>
      <c r="C40" s="12" t="s">
        <v>51</v>
      </c>
      <c r="D40" s="7" t="s">
        <v>61</v>
      </c>
      <c r="E40" s="13" t="s">
        <v>37</v>
      </c>
      <c r="F40" s="17" t="s">
        <v>67</v>
      </c>
      <c r="G40" s="15" t="s">
        <v>5</v>
      </c>
      <c r="H40" s="21">
        <f>1.2*50*1</f>
        <v>60</v>
      </c>
      <c r="I40" s="29"/>
      <c r="J40" s="23">
        <f t="shared" ref="J40" si="10">H40*I40</f>
        <v>0</v>
      </c>
      <c r="K40" s="25"/>
      <c r="L40" s="25"/>
      <c r="M40" s="25"/>
      <c r="N40" s="25"/>
    </row>
    <row r="41" spans="2:14" ht="13.5" customHeight="1" x14ac:dyDescent="0.25">
      <c r="B41" s="11">
        <v>730091</v>
      </c>
      <c r="C41" s="12" t="s">
        <v>51</v>
      </c>
      <c r="D41" s="7" t="s">
        <v>61</v>
      </c>
      <c r="E41" s="13" t="s">
        <v>35</v>
      </c>
      <c r="F41" s="17" t="s">
        <v>67</v>
      </c>
      <c r="G41" s="15" t="s">
        <v>5</v>
      </c>
      <c r="H41" s="21">
        <f>1.2*(27*0.15+1500*0.15)</f>
        <v>274.86</v>
      </c>
      <c r="I41" s="30"/>
      <c r="J41" s="23">
        <f t="shared" ref="J41" si="11">H41*I41</f>
        <v>0</v>
      </c>
      <c r="K41" s="25"/>
      <c r="L41" s="25"/>
      <c r="M41" s="25"/>
      <c r="N41" s="25"/>
    </row>
    <row r="42" spans="2:14" ht="13.5" customHeight="1" x14ac:dyDescent="0.25">
      <c r="B42" s="11">
        <v>730091</v>
      </c>
      <c r="C42" s="12" t="s">
        <v>51</v>
      </c>
      <c r="D42" s="7" t="s">
        <v>61</v>
      </c>
      <c r="E42" s="13" t="s">
        <v>12</v>
      </c>
      <c r="F42" s="17" t="s">
        <v>67</v>
      </c>
      <c r="G42" s="15" t="s">
        <v>6</v>
      </c>
      <c r="H42" s="21">
        <f>1.2*(15)</f>
        <v>18</v>
      </c>
      <c r="I42" s="30"/>
      <c r="J42" s="23">
        <f>H42*I42</f>
        <v>0</v>
      </c>
      <c r="K42" s="25"/>
      <c r="L42" s="25"/>
      <c r="M42" s="25"/>
      <c r="N42" s="25"/>
    </row>
    <row r="43" spans="2:14" ht="13.5" customHeight="1" x14ac:dyDescent="0.25">
      <c r="B43" s="11">
        <v>730091</v>
      </c>
      <c r="C43" s="12" t="s">
        <v>51</v>
      </c>
      <c r="D43" s="7" t="s">
        <v>61</v>
      </c>
      <c r="E43" s="13" t="s">
        <v>17</v>
      </c>
      <c r="F43" s="17" t="s">
        <v>67</v>
      </c>
      <c r="G43" s="15" t="s">
        <v>5</v>
      </c>
      <c r="H43" s="21">
        <f>1.2*(20*1*0.35)</f>
        <v>8.4</v>
      </c>
      <c r="I43" s="30"/>
      <c r="J43" s="23">
        <f t="shared" ref="J43" si="12">H43*I43</f>
        <v>0</v>
      </c>
      <c r="K43" s="25"/>
      <c r="L43" s="25"/>
      <c r="M43" s="25"/>
      <c r="N43" s="25"/>
    </row>
    <row r="44" spans="2:14" ht="13.5" customHeight="1" x14ac:dyDescent="0.25">
      <c r="B44" s="11">
        <v>730091</v>
      </c>
      <c r="C44" s="12" t="s">
        <v>51</v>
      </c>
      <c r="D44" s="7" t="s">
        <v>61</v>
      </c>
      <c r="E44" s="13" t="s">
        <v>18</v>
      </c>
      <c r="F44" s="17" t="s">
        <v>67</v>
      </c>
      <c r="G44" s="15" t="s">
        <v>6</v>
      </c>
      <c r="H44" s="21">
        <f>1.2*(20*1)</f>
        <v>24</v>
      </c>
      <c r="I44" s="30"/>
      <c r="J44" s="23">
        <f>H44*I44</f>
        <v>0</v>
      </c>
      <c r="K44" s="25"/>
      <c r="L44" s="25"/>
      <c r="M44" s="25"/>
      <c r="N44" s="25"/>
    </row>
    <row r="45" spans="2:14" ht="14.1" customHeight="1" x14ac:dyDescent="0.25">
      <c r="B45" s="11">
        <v>730091</v>
      </c>
      <c r="C45" s="12" t="s">
        <v>51</v>
      </c>
      <c r="D45" s="7" t="s">
        <v>61</v>
      </c>
      <c r="E45" s="13" t="s">
        <v>28</v>
      </c>
      <c r="F45" s="17" t="s">
        <v>68</v>
      </c>
      <c r="G45" s="15" t="s">
        <v>5</v>
      </c>
      <c r="H45" s="21">
        <f>1.2*3*0.5*1*10</f>
        <v>18</v>
      </c>
      <c r="I45" s="30"/>
      <c r="J45" s="23">
        <f t="shared" ref="J45:J48" si="13">H45*I45</f>
        <v>0</v>
      </c>
      <c r="K45" s="25"/>
      <c r="L45" s="25"/>
      <c r="M45" s="25"/>
      <c r="N45" s="25"/>
    </row>
    <row r="46" spans="2:14" ht="14.1" customHeight="1" x14ac:dyDescent="0.25">
      <c r="B46" s="11" t="s">
        <v>49</v>
      </c>
      <c r="C46" s="12" t="s">
        <v>51</v>
      </c>
      <c r="D46" s="6" t="s">
        <v>60</v>
      </c>
      <c r="E46" s="13" t="s">
        <v>39</v>
      </c>
      <c r="F46" s="17" t="s">
        <v>68</v>
      </c>
      <c r="G46" s="15" t="s">
        <v>5</v>
      </c>
      <c r="H46" s="21">
        <v>303</v>
      </c>
      <c r="I46" s="29"/>
      <c r="J46" s="23">
        <f t="shared" si="13"/>
        <v>0</v>
      </c>
      <c r="K46" s="25"/>
      <c r="L46" s="25"/>
      <c r="M46" s="25"/>
      <c r="N46" s="25"/>
    </row>
    <row r="47" spans="2:14" ht="14.1" customHeight="1" x14ac:dyDescent="0.25">
      <c r="B47" s="11" t="s">
        <v>49</v>
      </c>
      <c r="C47" s="12" t="s">
        <v>51</v>
      </c>
      <c r="D47" s="6" t="s">
        <v>60</v>
      </c>
      <c r="E47" s="13" t="s">
        <v>32</v>
      </c>
      <c r="F47" s="17" t="s">
        <v>68</v>
      </c>
      <c r="G47" s="15" t="s">
        <v>5</v>
      </c>
      <c r="H47" s="21">
        <f>80+20+35+14+40+50+64</f>
        <v>303</v>
      </c>
      <c r="I47" s="30"/>
      <c r="J47" s="23">
        <f t="shared" si="13"/>
        <v>0</v>
      </c>
      <c r="K47" s="25"/>
      <c r="L47" s="25"/>
      <c r="M47" s="25"/>
      <c r="N47" s="25"/>
    </row>
    <row r="48" spans="2:14" ht="14.1" customHeight="1" x14ac:dyDescent="0.25">
      <c r="B48" s="11">
        <v>730091</v>
      </c>
      <c r="C48" s="12" t="s">
        <v>51</v>
      </c>
      <c r="D48" s="6" t="s">
        <v>60</v>
      </c>
      <c r="E48" s="16" t="s">
        <v>42</v>
      </c>
      <c r="F48" s="17" t="s">
        <v>68</v>
      </c>
      <c r="G48" s="15" t="s">
        <v>5</v>
      </c>
      <c r="H48" s="21">
        <f>H47-64</f>
        <v>239</v>
      </c>
      <c r="I48" s="30"/>
      <c r="J48" s="23">
        <f t="shared" si="13"/>
        <v>0</v>
      </c>
      <c r="K48" s="25"/>
      <c r="L48" s="25"/>
      <c r="M48" s="25"/>
      <c r="N48" s="25"/>
    </row>
    <row r="49" spans="2:14" ht="14.1" customHeight="1" x14ac:dyDescent="0.25">
      <c r="B49" s="11">
        <v>730091</v>
      </c>
      <c r="C49" s="12" t="s">
        <v>51</v>
      </c>
      <c r="D49" s="6" t="s">
        <v>60</v>
      </c>
      <c r="E49" s="16" t="s">
        <v>20</v>
      </c>
      <c r="F49" s="17" t="s">
        <v>68</v>
      </c>
      <c r="G49" s="15" t="s">
        <v>5</v>
      </c>
      <c r="H49" s="21">
        <f>1.2*(1.2*25*0.5+1.2*10*0.5+10*1+5*1+5*1+15*0.5)</f>
        <v>58.199999999999996</v>
      </c>
      <c r="I49" s="30"/>
      <c r="J49" s="23">
        <f>H49*I49</f>
        <v>0</v>
      </c>
      <c r="K49" s="25"/>
      <c r="L49" s="25"/>
      <c r="M49" s="25"/>
      <c r="N49" s="25"/>
    </row>
    <row r="50" spans="2:14" ht="14.1" customHeight="1" x14ac:dyDescent="0.25">
      <c r="B50" s="11">
        <v>730091</v>
      </c>
      <c r="C50" s="12" t="s">
        <v>51</v>
      </c>
      <c r="D50" s="6" t="s">
        <v>60</v>
      </c>
      <c r="E50" s="16" t="s">
        <v>12</v>
      </c>
      <c r="F50" s="17" t="s">
        <v>68</v>
      </c>
      <c r="G50" s="15" t="s">
        <v>6</v>
      </c>
      <c r="H50" s="21">
        <f>1.2*(1.2*33+1.2*15+25+20)</f>
        <v>123.11999999999999</v>
      </c>
      <c r="I50" s="30"/>
      <c r="J50" s="23">
        <f>H50*I50</f>
        <v>0</v>
      </c>
      <c r="K50" s="25"/>
      <c r="L50" s="25"/>
      <c r="M50" s="25"/>
      <c r="N50" s="25"/>
    </row>
    <row r="51" spans="2:14" ht="14.1" customHeight="1" x14ac:dyDescent="0.25">
      <c r="B51" s="11">
        <v>730091</v>
      </c>
      <c r="C51" s="12" t="s">
        <v>51</v>
      </c>
      <c r="D51" s="6" t="s">
        <v>60</v>
      </c>
      <c r="E51" s="16" t="s">
        <v>17</v>
      </c>
      <c r="F51" s="17" t="s">
        <v>68</v>
      </c>
      <c r="G51" s="15" t="s">
        <v>5</v>
      </c>
      <c r="H51" s="21">
        <f>1.2*(10*1+5*1+10*1+2*1+40*0.5)+H52*0.15</f>
        <v>79.8</v>
      </c>
      <c r="I51" s="30"/>
      <c r="J51" s="23">
        <f t="shared" ref="J51:J52" si="14">H51*I51</f>
        <v>0</v>
      </c>
      <c r="K51" s="25"/>
      <c r="L51" s="25"/>
      <c r="M51" s="25"/>
      <c r="N51" s="25"/>
    </row>
    <row r="52" spans="2:14" ht="14.1" customHeight="1" thickBot="1" x14ac:dyDescent="0.3">
      <c r="B52" s="11">
        <v>730091</v>
      </c>
      <c r="C52" s="12" t="s">
        <v>51</v>
      </c>
      <c r="D52" s="6" t="s">
        <v>60</v>
      </c>
      <c r="E52" s="16" t="s">
        <v>18</v>
      </c>
      <c r="F52" s="17" t="s">
        <v>68</v>
      </c>
      <c r="G52" s="15" t="s">
        <v>6</v>
      </c>
      <c r="H52" s="21">
        <f>1.2*(10*1+30+20+30+40)</f>
        <v>156</v>
      </c>
      <c r="I52" s="30"/>
      <c r="J52" s="23">
        <f t="shared" si="14"/>
        <v>0</v>
      </c>
      <c r="K52" s="25"/>
      <c r="L52" s="27">
        <f>SUM(J29:J52)</f>
        <v>0</v>
      </c>
      <c r="M52" s="27">
        <f>L52*0.2</f>
        <v>0</v>
      </c>
      <c r="N52" s="28">
        <f>SUM(L52+M52)</f>
        <v>0</v>
      </c>
    </row>
    <row r="53" spans="2:14" ht="14.25" customHeight="1" thickTop="1" x14ac:dyDescent="0.25">
      <c r="B53" s="11">
        <v>730091</v>
      </c>
      <c r="C53" s="12" t="s">
        <v>52</v>
      </c>
      <c r="D53" s="6" t="s">
        <v>60</v>
      </c>
      <c r="E53" s="16" t="s">
        <v>12</v>
      </c>
      <c r="F53" s="17" t="s">
        <v>69</v>
      </c>
      <c r="G53" s="15" t="s">
        <v>6</v>
      </c>
      <c r="H53" s="21">
        <f>1.2*(2+20+10+5)</f>
        <v>44.4</v>
      </c>
      <c r="I53" s="31"/>
      <c r="J53" s="23">
        <f>H53*I53</f>
        <v>0</v>
      </c>
      <c r="K53" s="25"/>
      <c r="L53" s="25"/>
      <c r="M53" s="25"/>
      <c r="N53" s="25"/>
    </row>
    <row r="54" spans="2:14" ht="14.1" customHeight="1" x14ac:dyDescent="0.25">
      <c r="B54" s="11" t="s">
        <v>49</v>
      </c>
      <c r="C54" s="12" t="s">
        <v>52</v>
      </c>
      <c r="D54" s="4" t="s">
        <v>59</v>
      </c>
      <c r="E54" s="13" t="s">
        <v>39</v>
      </c>
      <c r="F54" s="17" t="s">
        <v>69</v>
      </c>
      <c r="G54" s="15" t="s">
        <v>5</v>
      </c>
      <c r="H54" s="21">
        <f>H55</f>
        <v>95</v>
      </c>
      <c r="I54" s="29"/>
      <c r="J54" s="23">
        <f t="shared" ref="J54" si="15">H54*I54</f>
        <v>0</v>
      </c>
      <c r="K54" s="25"/>
      <c r="L54" s="25"/>
      <c r="M54" s="25"/>
      <c r="N54" s="25"/>
    </row>
    <row r="55" spans="2:14" ht="14.1" customHeight="1" x14ac:dyDescent="0.25">
      <c r="B55" s="11" t="s">
        <v>49</v>
      </c>
      <c r="C55" s="12" t="s">
        <v>52</v>
      </c>
      <c r="D55" s="4" t="s">
        <v>59</v>
      </c>
      <c r="E55" s="13" t="s">
        <v>32</v>
      </c>
      <c r="F55" s="17" t="s">
        <v>69</v>
      </c>
      <c r="G55" s="15" t="s">
        <v>5</v>
      </c>
      <c r="H55" s="21">
        <f>15+80</f>
        <v>95</v>
      </c>
      <c r="I55" s="31"/>
      <c r="J55" s="23">
        <f t="shared" ref="J55:J61" si="16">H55*I55</f>
        <v>0</v>
      </c>
      <c r="K55" s="25"/>
      <c r="L55" s="25"/>
      <c r="M55" s="25"/>
      <c r="N55" s="25"/>
    </row>
    <row r="56" spans="2:14" ht="14.1" customHeight="1" x14ac:dyDescent="0.25">
      <c r="B56" s="11">
        <v>730091</v>
      </c>
      <c r="C56" s="12" t="s">
        <v>52</v>
      </c>
      <c r="D56" s="4" t="s">
        <v>59</v>
      </c>
      <c r="E56" s="16" t="s">
        <v>42</v>
      </c>
      <c r="F56" s="17" t="s">
        <v>69</v>
      </c>
      <c r="G56" s="15" t="s">
        <v>5</v>
      </c>
      <c r="H56" s="21">
        <f>15+80</f>
        <v>95</v>
      </c>
      <c r="I56" s="31"/>
      <c r="J56" s="23">
        <f t="shared" si="16"/>
        <v>0</v>
      </c>
      <c r="K56" s="25"/>
      <c r="L56" s="25"/>
      <c r="M56" s="25"/>
      <c r="N56" s="25"/>
    </row>
    <row r="57" spans="2:14" ht="14.1" customHeight="1" x14ac:dyDescent="0.25">
      <c r="B57" s="11">
        <v>730091</v>
      </c>
      <c r="C57" s="12" t="s">
        <v>52</v>
      </c>
      <c r="D57" s="4" t="s">
        <v>59</v>
      </c>
      <c r="E57" s="13" t="s">
        <v>18</v>
      </c>
      <c r="F57" s="17" t="s">
        <v>69</v>
      </c>
      <c r="G57" s="15" t="s">
        <v>6</v>
      </c>
      <c r="H57" s="21">
        <f>1.2*(15+11)</f>
        <v>31.2</v>
      </c>
      <c r="I57" s="31"/>
      <c r="J57" s="23">
        <f t="shared" si="16"/>
        <v>0</v>
      </c>
      <c r="K57" s="25"/>
      <c r="L57" s="25"/>
      <c r="M57" s="25"/>
      <c r="N57" s="25"/>
    </row>
    <row r="58" spans="2:14" ht="14.1" customHeight="1" x14ac:dyDescent="0.25">
      <c r="B58" s="11">
        <v>730091</v>
      </c>
      <c r="C58" s="12" t="s">
        <v>52</v>
      </c>
      <c r="D58" s="4" t="s">
        <v>59</v>
      </c>
      <c r="E58" s="13" t="s">
        <v>17</v>
      </c>
      <c r="F58" s="17" t="s">
        <v>69</v>
      </c>
      <c r="G58" s="15" t="s">
        <v>5</v>
      </c>
      <c r="H58" s="21">
        <f>1.2*(11*0.4*1+0.15*25*0.4)</f>
        <v>7.08</v>
      </c>
      <c r="I58" s="31"/>
      <c r="J58" s="23">
        <f t="shared" si="16"/>
        <v>0</v>
      </c>
      <c r="K58" s="25"/>
      <c r="L58" s="25"/>
      <c r="M58" s="25"/>
      <c r="N58" s="25"/>
    </row>
    <row r="59" spans="2:14" ht="14.1" customHeight="1" x14ac:dyDescent="0.25">
      <c r="B59" s="11">
        <v>730091</v>
      </c>
      <c r="C59" s="12" t="s">
        <v>52</v>
      </c>
      <c r="D59" s="6" t="s">
        <v>60</v>
      </c>
      <c r="E59" s="16" t="s">
        <v>20</v>
      </c>
      <c r="F59" s="17" t="s">
        <v>69</v>
      </c>
      <c r="G59" s="15" t="s">
        <v>5</v>
      </c>
      <c r="H59" s="21">
        <f>1.2*(2*0.4+1.2*8*0.4+5*0.4+10*0.4+11*0.4+1.2*16*0.4)</f>
        <v>27.263999999999999</v>
      </c>
      <c r="I59" s="31"/>
      <c r="J59" s="23">
        <f t="shared" si="16"/>
        <v>0</v>
      </c>
      <c r="K59" s="25"/>
      <c r="L59" s="25"/>
      <c r="M59" s="25"/>
      <c r="N59" s="25"/>
    </row>
    <row r="60" spans="2:14" ht="13.5" customHeight="1" x14ac:dyDescent="0.25">
      <c r="B60" s="11">
        <v>730091</v>
      </c>
      <c r="C60" s="12" t="s">
        <v>52</v>
      </c>
      <c r="D60" s="5" t="s">
        <v>58</v>
      </c>
      <c r="E60" s="13" t="s">
        <v>36</v>
      </c>
      <c r="F60" s="17" t="s">
        <v>69</v>
      </c>
      <c r="G60" s="15" t="s">
        <v>5</v>
      </c>
      <c r="H60" s="21">
        <f>1.2*(5*1+10*1+34*1.2*0.7)</f>
        <v>52.271999999999991</v>
      </c>
      <c r="I60" s="31"/>
      <c r="J60" s="23">
        <f t="shared" si="16"/>
        <v>0</v>
      </c>
      <c r="K60" s="25"/>
      <c r="L60" s="25"/>
      <c r="M60" s="25"/>
      <c r="N60" s="25"/>
    </row>
    <row r="61" spans="2:14" ht="13.5" customHeight="1" x14ac:dyDescent="0.25">
      <c r="B61" s="11">
        <v>730091</v>
      </c>
      <c r="C61" s="12" t="s">
        <v>52</v>
      </c>
      <c r="D61" s="5" t="s">
        <v>58</v>
      </c>
      <c r="E61" s="16" t="s">
        <v>24</v>
      </c>
      <c r="F61" s="17" t="s">
        <v>69</v>
      </c>
      <c r="G61" s="15" t="s">
        <v>5</v>
      </c>
      <c r="H61" s="21">
        <f>1.2*H60/6</f>
        <v>10.454399999999998</v>
      </c>
      <c r="I61" s="31"/>
      <c r="J61" s="23">
        <f t="shared" si="16"/>
        <v>0</v>
      </c>
      <c r="K61" s="25"/>
      <c r="L61" s="25"/>
      <c r="M61" s="25"/>
      <c r="N61" s="25"/>
    </row>
    <row r="62" spans="2:14" ht="13.5" customHeight="1" x14ac:dyDescent="0.25">
      <c r="B62" s="11">
        <v>730091</v>
      </c>
      <c r="C62" s="12" t="s">
        <v>52</v>
      </c>
      <c r="D62" s="5" t="s">
        <v>58</v>
      </c>
      <c r="E62" s="13" t="s">
        <v>36</v>
      </c>
      <c r="F62" s="17" t="s">
        <v>69</v>
      </c>
      <c r="G62" s="15" t="s">
        <v>5</v>
      </c>
      <c r="H62" s="21">
        <f>1.2*(70*1.2*0.8+210*1.2*0.7+15*0.5+45*0.7)</f>
        <v>339.11999999999995</v>
      </c>
      <c r="I62" s="31"/>
      <c r="J62" s="23">
        <f t="shared" ref="J62:J70" si="17">H62*I62</f>
        <v>0</v>
      </c>
      <c r="K62" s="25"/>
      <c r="L62" s="25"/>
      <c r="M62" s="25"/>
      <c r="N62" s="25"/>
    </row>
    <row r="63" spans="2:14" ht="13.5" customHeight="1" x14ac:dyDescent="0.25">
      <c r="B63" s="11">
        <v>730091</v>
      </c>
      <c r="C63" s="12" t="s">
        <v>52</v>
      </c>
      <c r="D63" s="5" t="s">
        <v>58</v>
      </c>
      <c r="E63" s="16" t="s">
        <v>24</v>
      </c>
      <c r="F63" s="17" t="s">
        <v>69</v>
      </c>
      <c r="G63" s="15" t="s">
        <v>5</v>
      </c>
      <c r="H63" s="21">
        <f>1.2*H62/6</f>
        <v>67.823999999999984</v>
      </c>
      <c r="I63" s="31"/>
      <c r="J63" s="23">
        <f t="shared" si="17"/>
        <v>0</v>
      </c>
      <c r="K63" s="25"/>
      <c r="L63" s="25"/>
      <c r="M63" s="25"/>
      <c r="N63" s="25"/>
    </row>
    <row r="64" spans="2:14" ht="14.1" customHeight="1" x14ac:dyDescent="0.25">
      <c r="B64" s="11" t="s">
        <v>49</v>
      </c>
      <c r="C64" s="12" t="s">
        <v>52</v>
      </c>
      <c r="D64" s="5" t="s">
        <v>58</v>
      </c>
      <c r="E64" s="13" t="s">
        <v>39</v>
      </c>
      <c r="F64" s="17" t="s">
        <v>70</v>
      </c>
      <c r="G64" s="15" t="s">
        <v>5</v>
      </c>
      <c r="H64" s="21">
        <f>H65</f>
        <v>60</v>
      </c>
      <c r="I64" s="29"/>
      <c r="J64" s="23">
        <f t="shared" si="17"/>
        <v>0</v>
      </c>
      <c r="K64" s="25"/>
      <c r="L64" s="25"/>
      <c r="M64" s="25"/>
      <c r="N64" s="25"/>
    </row>
    <row r="65" spans="2:14" ht="13.5" customHeight="1" x14ac:dyDescent="0.25">
      <c r="B65" s="11" t="s">
        <v>49</v>
      </c>
      <c r="C65" s="12" t="s">
        <v>52</v>
      </c>
      <c r="D65" s="5" t="s">
        <v>58</v>
      </c>
      <c r="E65" s="13" t="s">
        <v>16</v>
      </c>
      <c r="F65" s="17" t="s">
        <v>70</v>
      </c>
      <c r="G65" s="15" t="s">
        <v>5</v>
      </c>
      <c r="H65" s="21">
        <f>50+10</f>
        <v>60</v>
      </c>
      <c r="I65" s="31"/>
      <c r="J65" s="23">
        <f t="shared" si="17"/>
        <v>0</v>
      </c>
      <c r="K65" s="25"/>
      <c r="L65" s="25"/>
      <c r="M65" s="25"/>
      <c r="N65" s="25"/>
    </row>
    <row r="66" spans="2:14" ht="13.5" customHeight="1" x14ac:dyDescent="0.25">
      <c r="B66" s="11">
        <v>730091</v>
      </c>
      <c r="C66" s="12" t="s">
        <v>52</v>
      </c>
      <c r="D66" s="5" t="s">
        <v>58</v>
      </c>
      <c r="E66" s="16" t="s">
        <v>42</v>
      </c>
      <c r="F66" s="17" t="s">
        <v>70</v>
      </c>
      <c r="G66" s="15" t="s">
        <v>5</v>
      </c>
      <c r="H66" s="21">
        <f>H65</f>
        <v>60</v>
      </c>
      <c r="I66" s="31"/>
      <c r="J66" s="23">
        <f t="shared" si="17"/>
        <v>0</v>
      </c>
      <c r="K66" s="25"/>
      <c r="L66" s="25"/>
      <c r="M66" s="25"/>
      <c r="N66" s="25"/>
    </row>
    <row r="67" spans="2:14" ht="13.5" customHeight="1" x14ac:dyDescent="0.25">
      <c r="B67" s="11">
        <v>730091</v>
      </c>
      <c r="C67" s="12" t="s">
        <v>52</v>
      </c>
      <c r="D67" s="5" t="s">
        <v>58</v>
      </c>
      <c r="E67" s="13" t="s">
        <v>21</v>
      </c>
      <c r="F67" s="17" t="s">
        <v>70</v>
      </c>
      <c r="G67" s="15" t="s">
        <v>5</v>
      </c>
      <c r="H67" s="21">
        <f>1.2*(10*0.6*0.8)</f>
        <v>5.7600000000000007</v>
      </c>
      <c r="I67" s="31"/>
      <c r="J67" s="23">
        <f t="shared" si="17"/>
        <v>0</v>
      </c>
      <c r="K67" s="25"/>
      <c r="L67" s="25"/>
      <c r="M67" s="25"/>
      <c r="N67" s="25"/>
    </row>
    <row r="68" spans="2:14" ht="13.5" customHeight="1" x14ac:dyDescent="0.25">
      <c r="B68" s="11">
        <v>730091</v>
      </c>
      <c r="C68" s="12" t="s">
        <v>52</v>
      </c>
      <c r="D68" s="5" t="s">
        <v>58</v>
      </c>
      <c r="E68" s="16" t="s">
        <v>20</v>
      </c>
      <c r="F68" s="17" t="s">
        <v>70</v>
      </c>
      <c r="G68" s="15" t="s">
        <v>5</v>
      </c>
      <c r="H68" s="21">
        <f>1.2*(0.5*20*0.4+5*0.3+45*1.2*0.4*0.5+10*1*0.4+10*1*0.4+10*1*0.4)</f>
        <v>33.96</v>
      </c>
      <c r="I68" s="31"/>
      <c r="J68" s="23">
        <f t="shared" si="17"/>
        <v>0</v>
      </c>
      <c r="K68" s="25"/>
      <c r="L68" s="25"/>
      <c r="M68" s="25"/>
      <c r="N68" s="25"/>
    </row>
    <row r="69" spans="2:14" ht="13.5" customHeight="1" x14ac:dyDescent="0.25">
      <c r="B69" s="11">
        <v>730091</v>
      </c>
      <c r="C69" s="12" t="s">
        <v>52</v>
      </c>
      <c r="D69" s="5" t="s">
        <v>58</v>
      </c>
      <c r="E69" s="13" t="s">
        <v>17</v>
      </c>
      <c r="F69" s="17" t="s">
        <v>70</v>
      </c>
      <c r="G69" s="15" t="s">
        <v>5</v>
      </c>
      <c r="H69" s="21">
        <f>1.2*(10*1*0.4+15*1*0.4+10*2*0.3)</f>
        <v>19.2</v>
      </c>
      <c r="I69" s="31"/>
      <c r="J69" s="23">
        <f t="shared" si="17"/>
        <v>0</v>
      </c>
      <c r="K69" s="25"/>
      <c r="L69" s="25"/>
      <c r="M69" s="25"/>
      <c r="N69" s="25"/>
    </row>
    <row r="70" spans="2:14" ht="13.5" customHeight="1" x14ac:dyDescent="0.25">
      <c r="B70" s="11">
        <v>730091</v>
      </c>
      <c r="C70" s="12" t="s">
        <v>52</v>
      </c>
      <c r="D70" s="5" t="s">
        <v>58</v>
      </c>
      <c r="E70" s="13" t="s">
        <v>18</v>
      </c>
      <c r="F70" s="17" t="s">
        <v>70</v>
      </c>
      <c r="G70" s="15" t="s">
        <v>6</v>
      </c>
      <c r="H70" s="21">
        <f>1.2*(10+10+10+10)</f>
        <v>48</v>
      </c>
      <c r="I70" s="31"/>
      <c r="J70" s="23">
        <f t="shared" si="17"/>
        <v>0</v>
      </c>
      <c r="K70" s="25"/>
      <c r="L70" s="25"/>
      <c r="M70" s="25"/>
      <c r="N70" s="25"/>
    </row>
    <row r="71" spans="2:14" ht="13.5" customHeight="1" x14ac:dyDescent="0.25">
      <c r="B71" s="11">
        <v>730091</v>
      </c>
      <c r="C71" s="12" t="s">
        <v>52</v>
      </c>
      <c r="D71" s="5" t="s">
        <v>58</v>
      </c>
      <c r="E71" s="13" t="s">
        <v>17</v>
      </c>
      <c r="F71" s="17" t="s">
        <v>71</v>
      </c>
      <c r="G71" s="15" t="s">
        <v>5</v>
      </c>
      <c r="H71" s="21">
        <f>1.2*(2*0.35)</f>
        <v>0.84</v>
      </c>
      <c r="I71" s="31"/>
      <c r="J71" s="23">
        <f t="shared" ref="J71:J74" si="18">H71*I71</f>
        <v>0</v>
      </c>
      <c r="K71" s="25"/>
      <c r="L71" s="25"/>
      <c r="M71" s="25"/>
      <c r="N71" s="25"/>
    </row>
    <row r="72" spans="2:14" ht="13.5" customHeight="1" x14ac:dyDescent="0.25">
      <c r="B72" s="11">
        <v>730091</v>
      </c>
      <c r="C72" s="12" t="s">
        <v>52</v>
      </c>
      <c r="D72" s="5" t="s">
        <v>58</v>
      </c>
      <c r="E72" s="13" t="s">
        <v>18</v>
      </c>
      <c r="F72" s="17" t="s">
        <v>71</v>
      </c>
      <c r="G72" s="15" t="s">
        <v>6</v>
      </c>
      <c r="H72" s="21">
        <f>1.2*(10+10+10)</f>
        <v>36</v>
      </c>
      <c r="I72" s="31"/>
      <c r="J72" s="23">
        <f t="shared" si="18"/>
        <v>0</v>
      </c>
      <c r="K72" s="25"/>
      <c r="L72" s="25"/>
      <c r="M72" s="25"/>
      <c r="N72" s="25"/>
    </row>
    <row r="73" spans="2:14" ht="13.5" customHeight="1" x14ac:dyDescent="0.25">
      <c r="B73" s="11">
        <v>730091</v>
      </c>
      <c r="C73" s="12" t="s">
        <v>52</v>
      </c>
      <c r="D73" s="5" t="s">
        <v>58</v>
      </c>
      <c r="E73" s="13" t="s">
        <v>36</v>
      </c>
      <c r="F73" s="17" t="s">
        <v>71</v>
      </c>
      <c r="G73" s="15" t="s">
        <v>5</v>
      </c>
      <c r="H73" s="21">
        <v>5</v>
      </c>
      <c r="I73" s="31"/>
      <c r="J73" s="23">
        <f t="shared" si="18"/>
        <v>0</v>
      </c>
      <c r="K73" s="25"/>
      <c r="L73" s="25"/>
      <c r="M73" s="25"/>
      <c r="N73" s="25"/>
    </row>
    <row r="74" spans="2:14" ht="13.5" customHeight="1" x14ac:dyDescent="0.25">
      <c r="B74" s="11">
        <v>730091</v>
      </c>
      <c r="C74" s="12" t="s">
        <v>52</v>
      </c>
      <c r="D74" s="5" t="s">
        <v>58</v>
      </c>
      <c r="E74" s="16" t="s">
        <v>24</v>
      </c>
      <c r="F74" s="17" t="s">
        <v>71</v>
      </c>
      <c r="G74" s="15" t="s">
        <v>5</v>
      </c>
      <c r="H74" s="21">
        <f>1.2*H73/6</f>
        <v>1</v>
      </c>
      <c r="I74" s="31"/>
      <c r="J74" s="23">
        <f t="shared" si="18"/>
        <v>0</v>
      </c>
      <c r="K74" s="25"/>
      <c r="L74" s="25"/>
      <c r="M74" s="25"/>
      <c r="N74" s="25"/>
    </row>
    <row r="75" spans="2:14" ht="14.1" customHeight="1" x14ac:dyDescent="0.25">
      <c r="B75" s="11">
        <v>730091</v>
      </c>
      <c r="C75" s="12" t="s">
        <v>52</v>
      </c>
      <c r="D75" s="6" t="s">
        <v>60</v>
      </c>
      <c r="E75" s="16" t="s">
        <v>12</v>
      </c>
      <c r="F75" s="17" t="s">
        <v>71</v>
      </c>
      <c r="G75" s="15" t="s">
        <v>6</v>
      </c>
      <c r="H75" s="21">
        <f>1.2*(10)</f>
        <v>12</v>
      </c>
      <c r="I75" s="31"/>
      <c r="J75" s="23">
        <f>H75*I75</f>
        <v>0</v>
      </c>
      <c r="K75" s="25"/>
      <c r="L75" s="25"/>
      <c r="M75" s="25"/>
      <c r="N75" s="25"/>
    </row>
    <row r="76" spans="2:14" ht="14.1" customHeight="1" x14ac:dyDescent="0.25">
      <c r="B76" s="11">
        <v>730091</v>
      </c>
      <c r="C76" s="12" t="s">
        <v>52</v>
      </c>
      <c r="D76" s="5" t="s">
        <v>58</v>
      </c>
      <c r="E76" s="16" t="s">
        <v>43</v>
      </c>
      <c r="F76" s="17" t="s">
        <v>71</v>
      </c>
      <c r="G76" s="15" t="s">
        <v>5</v>
      </c>
      <c r="H76" s="21">
        <v>8</v>
      </c>
      <c r="I76" s="31"/>
      <c r="J76" s="23">
        <f t="shared" ref="J76" si="19">H76*I76</f>
        <v>0</v>
      </c>
      <c r="K76" s="25"/>
      <c r="L76" s="25"/>
      <c r="M76" s="25"/>
      <c r="N76" s="25"/>
    </row>
    <row r="77" spans="2:14" ht="13.5" customHeight="1" x14ac:dyDescent="0.25">
      <c r="B77" s="11" t="s">
        <v>49</v>
      </c>
      <c r="C77" s="12" t="s">
        <v>52</v>
      </c>
      <c r="D77" s="5" t="s">
        <v>58</v>
      </c>
      <c r="E77" s="13" t="s">
        <v>39</v>
      </c>
      <c r="F77" s="17" t="s">
        <v>72</v>
      </c>
      <c r="G77" s="15" t="s">
        <v>5</v>
      </c>
      <c r="H77" s="21">
        <f>H78+H90</f>
        <v>290</v>
      </c>
      <c r="I77" s="29"/>
      <c r="J77" s="23">
        <f t="shared" ref="J77" si="20">H77*I77</f>
        <v>0</v>
      </c>
      <c r="K77" s="25"/>
      <c r="L77" s="25"/>
      <c r="M77" s="25"/>
      <c r="N77" s="25"/>
    </row>
    <row r="78" spans="2:14" ht="13.5" customHeight="1" x14ac:dyDescent="0.25">
      <c r="B78" s="11" t="s">
        <v>49</v>
      </c>
      <c r="C78" s="12" t="s">
        <v>52</v>
      </c>
      <c r="D78" s="5" t="s">
        <v>58</v>
      </c>
      <c r="E78" s="13" t="s">
        <v>16</v>
      </c>
      <c r="F78" s="17" t="s">
        <v>72</v>
      </c>
      <c r="G78" s="15" t="s">
        <v>5</v>
      </c>
      <c r="H78" s="21">
        <f>20+200</f>
        <v>220</v>
      </c>
      <c r="I78" s="31"/>
      <c r="J78" s="23">
        <f t="shared" ref="J78:J87" si="21">H78*I78</f>
        <v>0</v>
      </c>
      <c r="K78" s="25"/>
      <c r="L78" s="25"/>
      <c r="M78" s="25"/>
      <c r="N78" s="25"/>
    </row>
    <row r="79" spans="2:14" ht="13.5" customHeight="1" x14ac:dyDescent="0.25">
      <c r="B79" s="11">
        <v>730091</v>
      </c>
      <c r="C79" s="12" t="s">
        <v>52</v>
      </c>
      <c r="D79" s="5" t="s">
        <v>58</v>
      </c>
      <c r="E79" s="16" t="s">
        <v>42</v>
      </c>
      <c r="F79" s="17" t="s">
        <v>72</v>
      </c>
      <c r="G79" s="15" t="s">
        <v>5</v>
      </c>
      <c r="H79" s="21">
        <f>H78</f>
        <v>220</v>
      </c>
      <c r="I79" s="31"/>
      <c r="J79" s="23">
        <f t="shared" si="21"/>
        <v>0</v>
      </c>
      <c r="K79" s="25"/>
      <c r="L79" s="25"/>
      <c r="M79" s="25"/>
      <c r="N79" s="25"/>
    </row>
    <row r="80" spans="2:14" ht="13.5" customHeight="1" x14ac:dyDescent="0.25">
      <c r="B80" s="11">
        <v>730091</v>
      </c>
      <c r="C80" s="12" t="s">
        <v>52</v>
      </c>
      <c r="D80" s="5" t="s">
        <v>58</v>
      </c>
      <c r="E80" s="13" t="s">
        <v>33</v>
      </c>
      <c r="F80" s="17" t="s">
        <v>72</v>
      </c>
      <c r="G80" s="15" t="s">
        <v>5</v>
      </c>
      <c r="H80" s="21">
        <f>1.2*90*1</f>
        <v>108</v>
      </c>
      <c r="I80" s="29"/>
      <c r="J80" s="23">
        <f>H80*I80</f>
        <v>0</v>
      </c>
      <c r="K80" s="25"/>
      <c r="L80" s="25"/>
      <c r="M80" s="25"/>
      <c r="N80" s="25"/>
    </row>
    <row r="81" spans="2:14" ht="13.5" customHeight="1" x14ac:dyDescent="0.25">
      <c r="B81" s="11">
        <v>730091</v>
      </c>
      <c r="C81" s="12" t="s">
        <v>52</v>
      </c>
      <c r="D81" s="5" t="s">
        <v>58</v>
      </c>
      <c r="E81" s="13" t="s">
        <v>35</v>
      </c>
      <c r="F81" s="17" t="s">
        <v>72</v>
      </c>
      <c r="G81" s="15" t="s">
        <v>5</v>
      </c>
      <c r="H81" s="21">
        <f>1.2*55*0.15</f>
        <v>9.9</v>
      </c>
      <c r="I81" s="29"/>
      <c r="J81" s="23">
        <f>H81*I81</f>
        <v>0</v>
      </c>
      <c r="K81" s="25"/>
      <c r="L81" s="25"/>
      <c r="M81" s="25"/>
      <c r="N81" s="25"/>
    </row>
    <row r="82" spans="2:14" ht="13.5" customHeight="1" x14ac:dyDescent="0.25">
      <c r="B82" s="11">
        <v>730091</v>
      </c>
      <c r="C82" s="12" t="s">
        <v>52</v>
      </c>
      <c r="D82" s="6" t="s">
        <v>60</v>
      </c>
      <c r="E82" s="13" t="s">
        <v>17</v>
      </c>
      <c r="F82" s="17" t="s">
        <v>72</v>
      </c>
      <c r="G82" s="15" t="s">
        <v>5</v>
      </c>
      <c r="H82" s="21">
        <f>1.2*(3*10*2*0.4+0.15*30*0.4)</f>
        <v>30.96</v>
      </c>
      <c r="I82" s="31"/>
      <c r="J82" s="23">
        <f t="shared" si="21"/>
        <v>0</v>
      </c>
      <c r="K82" s="25"/>
      <c r="L82" s="25"/>
      <c r="M82" s="25"/>
      <c r="N82" s="25"/>
    </row>
    <row r="83" spans="2:14" ht="13.5" customHeight="1" x14ac:dyDescent="0.25">
      <c r="B83" s="11">
        <v>730091</v>
      </c>
      <c r="C83" s="12" t="s">
        <v>52</v>
      </c>
      <c r="D83" s="6" t="s">
        <v>60</v>
      </c>
      <c r="E83" s="13" t="s">
        <v>18</v>
      </c>
      <c r="F83" s="17" t="s">
        <v>72</v>
      </c>
      <c r="G83" s="15" t="s">
        <v>6</v>
      </c>
      <c r="H83" s="21">
        <f>1.2*(3*10)</f>
        <v>36</v>
      </c>
      <c r="I83" s="31"/>
      <c r="J83" s="23">
        <f t="shared" si="21"/>
        <v>0</v>
      </c>
      <c r="K83" s="25"/>
      <c r="L83" s="25"/>
      <c r="M83" s="25"/>
      <c r="N83" s="25"/>
    </row>
    <row r="84" spans="2:14" ht="13.5" customHeight="1" x14ac:dyDescent="0.25">
      <c r="B84" s="11">
        <v>730091</v>
      </c>
      <c r="C84" s="12" t="s">
        <v>52</v>
      </c>
      <c r="D84" s="4" t="s">
        <v>59</v>
      </c>
      <c r="E84" s="13" t="s">
        <v>34</v>
      </c>
      <c r="F84" s="17" t="s">
        <v>72</v>
      </c>
      <c r="G84" s="15" t="s">
        <v>5</v>
      </c>
      <c r="H84" s="21">
        <f>3*1.2*10*1*0.7</f>
        <v>25.2</v>
      </c>
      <c r="I84" s="29"/>
      <c r="J84" s="23">
        <f t="shared" si="21"/>
        <v>0</v>
      </c>
      <c r="K84" s="25"/>
      <c r="L84" s="25"/>
      <c r="M84" s="25"/>
      <c r="N84" s="25"/>
    </row>
    <row r="85" spans="2:14" ht="13.5" customHeight="1" x14ac:dyDescent="0.25">
      <c r="B85" s="11">
        <v>730091</v>
      </c>
      <c r="C85" s="12" t="s">
        <v>52</v>
      </c>
      <c r="D85" s="4" t="s">
        <v>59</v>
      </c>
      <c r="E85" s="13" t="s">
        <v>7</v>
      </c>
      <c r="F85" s="17" t="s">
        <v>72</v>
      </c>
      <c r="G85" s="15" t="s">
        <v>5</v>
      </c>
      <c r="H85" s="21">
        <f>1.2*(120*0.8)</f>
        <v>115.19999999999999</v>
      </c>
      <c r="I85" s="31"/>
      <c r="J85" s="23">
        <f t="shared" si="21"/>
        <v>0</v>
      </c>
      <c r="K85" s="25"/>
      <c r="L85" s="25"/>
      <c r="M85" s="25"/>
      <c r="N85" s="25"/>
    </row>
    <row r="86" spans="2:14" ht="13.5" customHeight="1" x14ac:dyDescent="0.25">
      <c r="B86" s="11">
        <v>730091</v>
      </c>
      <c r="C86" s="12" t="s">
        <v>52</v>
      </c>
      <c r="D86" s="6" t="s">
        <v>60</v>
      </c>
      <c r="E86" s="16" t="s">
        <v>24</v>
      </c>
      <c r="F86" s="17" t="s">
        <v>72</v>
      </c>
      <c r="G86" s="15" t="s">
        <v>5</v>
      </c>
      <c r="H86" s="21">
        <f>1.2*H85/6</f>
        <v>23.039999999999996</v>
      </c>
      <c r="I86" s="31"/>
      <c r="J86" s="23">
        <f t="shared" si="21"/>
        <v>0</v>
      </c>
      <c r="K86" s="25"/>
      <c r="L86" s="25"/>
      <c r="M86" s="25"/>
      <c r="N86" s="25"/>
    </row>
    <row r="87" spans="2:14" ht="13.5" customHeight="1" x14ac:dyDescent="0.25">
      <c r="B87" s="11">
        <v>730091</v>
      </c>
      <c r="C87" s="12" t="s">
        <v>52</v>
      </c>
      <c r="D87" s="6" t="s">
        <v>60</v>
      </c>
      <c r="E87" s="13" t="s">
        <v>20</v>
      </c>
      <c r="F87" s="17" t="s">
        <v>72</v>
      </c>
      <c r="G87" s="15" t="s">
        <v>5</v>
      </c>
      <c r="H87" s="21">
        <f>1.2*(30*1*0.3)</f>
        <v>10.799999999999999</v>
      </c>
      <c r="I87" s="31"/>
      <c r="J87" s="23">
        <f t="shared" si="21"/>
        <v>0</v>
      </c>
      <c r="K87" s="25"/>
      <c r="L87" s="25"/>
      <c r="M87" s="25"/>
      <c r="N87" s="25"/>
    </row>
    <row r="88" spans="2:14" ht="13.5" customHeight="1" x14ac:dyDescent="0.25">
      <c r="B88" s="11">
        <v>730091</v>
      </c>
      <c r="C88" s="12" t="s">
        <v>52</v>
      </c>
      <c r="D88" s="6" t="s">
        <v>60</v>
      </c>
      <c r="E88" s="13" t="s">
        <v>22</v>
      </c>
      <c r="F88" s="17" t="s">
        <v>72</v>
      </c>
      <c r="G88" s="15" t="s">
        <v>5</v>
      </c>
      <c r="H88" s="21">
        <f>1.2*(17*0.5*0.5)</f>
        <v>5.0999999999999996</v>
      </c>
      <c r="I88" s="31"/>
      <c r="J88" s="23">
        <f>H88*I88</f>
        <v>0</v>
      </c>
      <c r="K88" s="25"/>
      <c r="L88" s="25"/>
      <c r="M88" s="25"/>
      <c r="N88" s="25"/>
    </row>
    <row r="89" spans="2:14" ht="13.5" customHeight="1" x14ac:dyDescent="0.25">
      <c r="B89" s="11">
        <v>730091</v>
      </c>
      <c r="C89" s="12" t="s">
        <v>52</v>
      </c>
      <c r="D89" s="6" t="s">
        <v>60</v>
      </c>
      <c r="E89" s="13" t="s">
        <v>30</v>
      </c>
      <c r="F89" s="17" t="s">
        <v>72</v>
      </c>
      <c r="G89" s="15" t="s">
        <v>5</v>
      </c>
      <c r="H89" s="21">
        <f>1.2*(1.5*20)</f>
        <v>36</v>
      </c>
      <c r="I89" s="31"/>
      <c r="J89" s="23">
        <f>H89*I89</f>
        <v>0</v>
      </c>
      <c r="K89" s="25"/>
      <c r="L89" s="25"/>
      <c r="M89" s="25"/>
      <c r="N89" s="25"/>
    </row>
    <row r="90" spans="2:14" ht="13.5" customHeight="1" thickBot="1" x14ac:dyDescent="0.3">
      <c r="B90" s="11">
        <v>730091</v>
      </c>
      <c r="C90" s="12" t="s">
        <v>52</v>
      </c>
      <c r="D90" s="4" t="s">
        <v>59</v>
      </c>
      <c r="E90" s="13" t="s">
        <v>25</v>
      </c>
      <c r="F90" s="17" t="s">
        <v>72</v>
      </c>
      <c r="G90" s="15" t="s">
        <v>5</v>
      </c>
      <c r="H90" s="21">
        <v>70</v>
      </c>
      <c r="I90" s="31"/>
      <c r="J90" s="23">
        <f>H90*I90</f>
        <v>0</v>
      </c>
      <c r="K90" s="25"/>
      <c r="L90" s="27">
        <f>SUM(J53:J90)</f>
        <v>0</v>
      </c>
      <c r="M90" s="27">
        <f>L90*0.2</f>
        <v>0</v>
      </c>
      <c r="N90" s="28">
        <f>SUM(L90+M90)</f>
        <v>0</v>
      </c>
    </row>
    <row r="91" spans="2:14" ht="13.5" customHeight="1" thickTop="1" x14ac:dyDescent="0.25">
      <c r="B91" s="11">
        <v>730091</v>
      </c>
      <c r="C91" s="12" t="s">
        <v>53</v>
      </c>
      <c r="D91" s="5" t="s">
        <v>58</v>
      </c>
      <c r="E91" s="13" t="s">
        <v>12</v>
      </c>
      <c r="F91" s="17" t="s">
        <v>73</v>
      </c>
      <c r="G91" s="15" t="s">
        <v>5</v>
      </c>
      <c r="H91" s="21">
        <f>1.2*10+10*2.2*0.5</f>
        <v>23</v>
      </c>
      <c r="I91" s="29"/>
      <c r="J91" s="23">
        <f>H91*I91</f>
        <v>0</v>
      </c>
      <c r="K91" s="25"/>
      <c r="L91" s="25"/>
      <c r="M91" s="25"/>
      <c r="N91" s="25"/>
    </row>
    <row r="92" spans="2:14" ht="13.5" customHeight="1" x14ac:dyDescent="0.25">
      <c r="B92" s="11">
        <v>730091</v>
      </c>
      <c r="C92" s="12" t="s">
        <v>53</v>
      </c>
      <c r="D92" s="4" t="s">
        <v>59</v>
      </c>
      <c r="E92" s="13" t="s">
        <v>20</v>
      </c>
      <c r="F92" s="17" t="s">
        <v>73</v>
      </c>
      <c r="G92" s="15" t="s">
        <v>5</v>
      </c>
      <c r="H92" s="21">
        <f>1.2*(8*0.4+47*0.8+8*2.2*0.4*10)</f>
        <v>133.44000000000003</v>
      </c>
      <c r="I92" s="29"/>
      <c r="J92" s="23">
        <f t="shared" ref="J92:J100" si="22">H92*I92</f>
        <v>0</v>
      </c>
      <c r="K92" s="25"/>
      <c r="L92" s="25"/>
      <c r="M92" s="25"/>
      <c r="N92" s="25"/>
    </row>
    <row r="93" spans="2:14" ht="13.5" customHeight="1" x14ac:dyDescent="0.25">
      <c r="B93" s="11" t="s">
        <v>49</v>
      </c>
      <c r="C93" s="12" t="s">
        <v>53</v>
      </c>
      <c r="D93" s="4" t="s">
        <v>59</v>
      </c>
      <c r="E93" s="13" t="s">
        <v>39</v>
      </c>
      <c r="F93" s="17" t="s">
        <v>73</v>
      </c>
      <c r="G93" s="15" t="s">
        <v>5</v>
      </c>
      <c r="H93" s="21">
        <f>H94</f>
        <v>65</v>
      </c>
      <c r="I93" s="29"/>
      <c r="J93" s="23">
        <f t="shared" si="22"/>
        <v>0</v>
      </c>
      <c r="K93" s="25"/>
      <c r="L93" s="25"/>
      <c r="M93" s="25"/>
      <c r="N93" s="25"/>
    </row>
    <row r="94" spans="2:14" ht="13.5" customHeight="1" x14ac:dyDescent="0.25">
      <c r="B94" s="11" t="s">
        <v>49</v>
      </c>
      <c r="C94" s="12" t="s">
        <v>53</v>
      </c>
      <c r="D94" s="4" t="s">
        <v>59</v>
      </c>
      <c r="E94" s="13" t="s">
        <v>16</v>
      </c>
      <c r="F94" s="17" t="s">
        <v>73</v>
      </c>
      <c r="G94" s="15" t="s">
        <v>5</v>
      </c>
      <c r="H94" s="21">
        <f>30+15+20</f>
        <v>65</v>
      </c>
      <c r="I94" s="29"/>
      <c r="J94" s="23">
        <f t="shared" si="22"/>
        <v>0</v>
      </c>
      <c r="K94" s="25"/>
      <c r="L94" s="25"/>
      <c r="M94" s="25"/>
      <c r="N94" s="25"/>
    </row>
    <row r="95" spans="2:14" ht="13.5" customHeight="1" x14ac:dyDescent="0.25">
      <c r="B95" s="11">
        <v>730091</v>
      </c>
      <c r="C95" s="12" t="s">
        <v>53</v>
      </c>
      <c r="D95" s="4" t="s">
        <v>59</v>
      </c>
      <c r="E95" s="16" t="s">
        <v>44</v>
      </c>
      <c r="F95" s="17" t="s">
        <v>73</v>
      </c>
      <c r="G95" s="15" t="s">
        <v>5</v>
      </c>
      <c r="H95" s="21">
        <f>H94</f>
        <v>65</v>
      </c>
      <c r="I95" s="31"/>
      <c r="J95" s="23">
        <f t="shared" si="22"/>
        <v>0</v>
      </c>
      <c r="K95" s="25"/>
      <c r="L95" s="25"/>
      <c r="M95" s="25"/>
      <c r="N95" s="25"/>
    </row>
    <row r="96" spans="2:14" ht="13.5" customHeight="1" x14ac:dyDescent="0.25">
      <c r="B96" s="11">
        <v>730091</v>
      </c>
      <c r="C96" s="12" t="s">
        <v>53</v>
      </c>
      <c r="D96" s="5" t="s">
        <v>58</v>
      </c>
      <c r="E96" s="13" t="s">
        <v>17</v>
      </c>
      <c r="F96" s="17" t="s">
        <v>73</v>
      </c>
      <c r="G96" s="15" t="s">
        <v>6</v>
      </c>
      <c r="H96" s="21">
        <f>1.2*(25*0.35+0.15*20*0.4)</f>
        <v>11.94</v>
      </c>
      <c r="I96" s="29"/>
      <c r="J96" s="23">
        <f t="shared" si="22"/>
        <v>0</v>
      </c>
      <c r="K96" s="25"/>
      <c r="L96" s="25"/>
      <c r="M96" s="25"/>
      <c r="N96" s="25"/>
    </row>
    <row r="97" spans="2:14" ht="13.5" customHeight="1" x14ac:dyDescent="0.25">
      <c r="B97" s="11">
        <v>730091</v>
      </c>
      <c r="C97" s="12" t="s">
        <v>53</v>
      </c>
      <c r="D97" s="5" t="s">
        <v>58</v>
      </c>
      <c r="E97" s="13" t="s">
        <v>18</v>
      </c>
      <c r="F97" s="17" t="s">
        <v>73</v>
      </c>
      <c r="G97" s="15" t="s">
        <v>6</v>
      </c>
      <c r="H97" s="21">
        <f>1.2*(10+10)</f>
        <v>24</v>
      </c>
      <c r="I97" s="29"/>
      <c r="J97" s="23">
        <f t="shared" si="22"/>
        <v>0</v>
      </c>
      <c r="K97" s="25"/>
      <c r="L97" s="25"/>
      <c r="M97" s="25"/>
      <c r="N97" s="25"/>
    </row>
    <row r="98" spans="2:14" ht="13.5" customHeight="1" x14ac:dyDescent="0.25">
      <c r="B98" s="11">
        <v>730091</v>
      </c>
      <c r="C98" s="12" t="s">
        <v>53</v>
      </c>
      <c r="D98" s="5" t="s">
        <v>58</v>
      </c>
      <c r="E98" s="13" t="s">
        <v>7</v>
      </c>
      <c r="F98" s="17" t="s">
        <v>73</v>
      </c>
      <c r="G98" s="15" t="s">
        <v>5</v>
      </c>
      <c r="H98" s="21">
        <f>1.2*(1.2*50*0.8)</f>
        <v>57.599999999999994</v>
      </c>
      <c r="I98" s="29"/>
      <c r="J98" s="23">
        <f t="shared" ref="J98:J99" si="23">H98*I98</f>
        <v>0</v>
      </c>
      <c r="K98" s="25"/>
      <c r="L98" s="25"/>
      <c r="M98" s="25"/>
      <c r="N98" s="25"/>
    </row>
    <row r="99" spans="2:14" ht="13.5" customHeight="1" x14ac:dyDescent="0.25">
      <c r="B99" s="11">
        <v>730091</v>
      </c>
      <c r="C99" s="12" t="s">
        <v>53</v>
      </c>
      <c r="D99" s="4" t="s">
        <v>59</v>
      </c>
      <c r="E99" s="13" t="s">
        <v>34</v>
      </c>
      <c r="F99" s="17" t="s">
        <v>73</v>
      </c>
      <c r="G99" s="15" t="s">
        <v>5</v>
      </c>
      <c r="H99" s="21">
        <f>3*1.2*10*1*0.7</f>
        <v>25.2</v>
      </c>
      <c r="I99" s="29"/>
      <c r="J99" s="23">
        <f t="shared" si="23"/>
        <v>0</v>
      </c>
      <c r="K99" s="25"/>
      <c r="L99" s="25"/>
      <c r="M99" s="25"/>
      <c r="N99" s="25"/>
    </row>
    <row r="100" spans="2:14" ht="13.5" customHeight="1" thickBot="1" x14ac:dyDescent="0.3">
      <c r="B100" s="11">
        <v>730091</v>
      </c>
      <c r="C100" s="12" t="s">
        <v>53</v>
      </c>
      <c r="D100" s="4" t="s">
        <v>59</v>
      </c>
      <c r="E100" s="13" t="s">
        <v>24</v>
      </c>
      <c r="F100" s="17" t="s">
        <v>73</v>
      </c>
      <c r="G100" s="15" t="s">
        <v>5</v>
      </c>
      <c r="H100" s="21">
        <f>1.2*(H98/6)</f>
        <v>11.52</v>
      </c>
      <c r="I100" s="29"/>
      <c r="J100" s="23">
        <f t="shared" si="22"/>
        <v>0</v>
      </c>
      <c r="K100" s="25"/>
      <c r="L100" s="27">
        <f>SUM(J91:J100)</f>
        <v>0</v>
      </c>
      <c r="M100" s="27">
        <f>L100*0.2</f>
        <v>0</v>
      </c>
      <c r="N100" s="28">
        <f>SUM(L100+M100)</f>
        <v>0</v>
      </c>
    </row>
    <row r="101" spans="2:14" ht="14.1" customHeight="1" thickTop="1" x14ac:dyDescent="0.25">
      <c r="B101" s="11">
        <v>730091</v>
      </c>
      <c r="C101" s="12" t="s">
        <v>54</v>
      </c>
      <c r="D101" s="6" t="s">
        <v>60</v>
      </c>
      <c r="E101" s="13" t="s">
        <v>12</v>
      </c>
      <c r="F101" s="17" t="s">
        <v>74</v>
      </c>
      <c r="G101" s="15" t="s">
        <v>5</v>
      </c>
      <c r="H101" s="21">
        <f>1.2*(5+10)</f>
        <v>18</v>
      </c>
      <c r="I101" s="29"/>
      <c r="J101" s="23">
        <f>H101*I101</f>
        <v>0</v>
      </c>
      <c r="K101" s="25"/>
      <c r="L101" s="25"/>
      <c r="M101" s="25"/>
      <c r="N101" s="25"/>
    </row>
    <row r="102" spans="2:14" ht="14.1" customHeight="1" x14ac:dyDescent="0.25">
      <c r="B102" s="11">
        <v>730091</v>
      </c>
      <c r="C102" s="12" t="s">
        <v>54</v>
      </c>
      <c r="D102" s="6" t="s">
        <v>60</v>
      </c>
      <c r="E102" s="16" t="s">
        <v>20</v>
      </c>
      <c r="F102" s="17" t="s">
        <v>74</v>
      </c>
      <c r="G102" s="15" t="s">
        <v>5</v>
      </c>
      <c r="H102" s="21">
        <f>1.2*10</f>
        <v>12</v>
      </c>
      <c r="I102" s="29"/>
      <c r="J102" s="23">
        <f t="shared" ref="J102:J108" si="24">H102*I102</f>
        <v>0</v>
      </c>
      <c r="K102" s="25"/>
      <c r="L102" s="25"/>
      <c r="M102" s="25"/>
      <c r="N102" s="25"/>
    </row>
    <row r="103" spans="2:14" ht="13.5" customHeight="1" x14ac:dyDescent="0.25">
      <c r="B103" s="11" t="s">
        <v>49</v>
      </c>
      <c r="C103" s="12" t="s">
        <v>54</v>
      </c>
      <c r="D103" s="5" t="s">
        <v>58</v>
      </c>
      <c r="E103" s="13" t="s">
        <v>39</v>
      </c>
      <c r="F103" s="17" t="s">
        <v>74</v>
      </c>
      <c r="G103" s="15" t="s">
        <v>5</v>
      </c>
      <c r="H103" s="21">
        <f>H104</f>
        <v>50</v>
      </c>
      <c r="I103" s="29"/>
      <c r="J103" s="23">
        <f t="shared" si="24"/>
        <v>0</v>
      </c>
      <c r="K103" s="25"/>
      <c r="L103" s="25"/>
      <c r="M103" s="25"/>
      <c r="N103" s="25"/>
    </row>
    <row r="104" spans="2:14" ht="14.1" customHeight="1" x14ac:dyDescent="0.25">
      <c r="B104" s="11" t="s">
        <v>49</v>
      </c>
      <c r="C104" s="12" t="s">
        <v>54</v>
      </c>
      <c r="D104" s="5" t="s">
        <v>58</v>
      </c>
      <c r="E104" s="13" t="s">
        <v>16</v>
      </c>
      <c r="F104" s="17" t="s">
        <v>74</v>
      </c>
      <c r="G104" s="15" t="s">
        <v>5</v>
      </c>
      <c r="H104" s="21">
        <v>50</v>
      </c>
      <c r="I104" s="29"/>
      <c r="J104" s="23">
        <f t="shared" si="24"/>
        <v>0</v>
      </c>
      <c r="K104" s="25"/>
      <c r="L104" s="25"/>
      <c r="M104" s="25"/>
      <c r="N104" s="25"/>
    </row>
    <row r="105" spans="2:14" ht="14.1" customHeight="1" x14ac:dyDescent="0.25">
      <c r="B105" s="11">
        <v>730091</v>
      </c>
      <c r="C105" s="12" t="s">
        <v>54</v>
      </c>
      <c r="D105" s="5" t="s">
        <v>58</v>
      </c>
      <c r="E105" s="13" t="s">
        <v>44</v>
      </c>
      <c r="F105" s="17" t="s">
        <v>74</v>
      </c>
      <c r="G105" s="15" t="s">
        <v>5</v>
      </c>
      <c r="H105" s="21">
        <f>H104</f>
        <v>50</v>
      </c>
      <c r="I105" s="31"/>
      <c r="J105" s="23">
        <f t="shared" si="24"/>
        <v>0</v>
      </c>
      <c r="K105" s="25"/>
      <c r="L105" s="25"/>
      <c r="M105" s="25"/>
      <c r="N105" s="25"/>
    </row>
    <row r="106" spans="2:14" ht="14.1" customHeight="1" x14ac:dyDescent="0.25">
      <c r="B106" s="11">
        <v>730091</v>
      </c>
      <c r="C106" s="12" t="s">
        <v>54</v>
      </c>
      <c r="D106" s="5" t="s">
        <v>58</v>
      </c>
      <c r="E106" s="13" t="s">
        <v>24</v>
      </c>
      <c r="F106" s="17" t="s">
        <v>74</v>
      </c>
      <c r="G106" s="15" t="s">
        <v>5</v>
      </c>
      <c r="H106" s="21">
        <f>1.2*(35*1.2*0.15)</f>
        <v>7.56</v>
      </c>
      <c r="I106" s="29"/>
      <c r="J106" s="23">
        <f t="shared" ref="J106" si="25">H106*I106</f>
        <v>0</v>
      </c>
      <c r="K106" s="25"/>
      <c r="L106" s="25"/>
      <c r="M106" s="25"/>
      <c r="N106" s="25"/>
    </row>
    <row r="107" spans="2:14" ht="14.1" customHeight="1" x14ac:dyDescent="0.25">
      <c r="B107" s="11">
        <v>730091</v>
      </c>
      <c r="C107" s="12" t="s">
        <v>54</v>
      </c>
      <c r="D107" s="5" t="s">
        <v>58</v>
      </c>
      <c r="E107" s="13" t="s">
        <v>17</v>
      </c>
      <c r="F107" s="17" t="s">
        <v>74</v>
      </c>
      <c r="G107" s="15" t="s">
        <v>6</v>
      </c>
      <c r="H107" s="21">
        <f>1.2*(5*0.5*0.3+10*0.6*1+10*0.35+0.15*34*0.4)</f>
        <v>14.747999999999998</v>
      </c>
      <c r="I107" s="29"/>
      <c r="J107" s="23">
        <f t="shared" si="24"/>
        <v>0</v>
      </c>
      <c r="K107" s="25"/>
      <c r="L107" s="25"/>
      <c r="M107" s="25"/>
      <c r="N107" s="25"/>
    </row>
    <row r="108" spans="2:14" ht="14.1" customHeight="1" x14ac:dyDescent="0.25">
      <c r="B108" s="11">
        <v>730091</v>
      </c>
      <c r="C108" s="12" t="s">
        <v>54</v>
      </c>
      <c r="D108" s="4" t="s">
        <v>59</v>
      </c>
      <c r="E108" s="13" t="s">
        <v>18</v>
      </c>
      <c r="F108" s="17" t="s">
        <v>74</v>
      </c>
      <c r="G108" s="15" t="s">
        <v>5</v>
      </c>
      <c r="H108" s="21">
        <f>1.2*(3+40)</f>
        <v>51.6</v>
      </c>
      <c r="I108" s="29"/>
      <c r="J108" s="23">
        <f t="shared" si="24"/>
        <v>0</v>
      </c>
      <c r="K108" s="25"/>
      <c r="L108" s="25"/>
      <c r="M108" s="25"/>
      <c r="N108" s="25"/>
    </row>
    <row r="109" spans="2:14" ht="14.1" customHeight="1" x14ac:dyDescent="0.25">
      <c r="B109" s="11">
        <v>730091</v>
      </c>
      <c r="C109" s="12" t="s">
        <v>54</v>
      </c>
      <c r="D109" s="5" t="s">
        <v>58</v>
      </c>
      <c r="E109" s="13" t="s">
        <v>31</v>
      </c>
      <c r="F109" s="17" t="s">
        <v>74</v>
      </c>
      <c r="G109" s="15" t="s">
        <v>5</v>
      </c>
      <c r="H109" s="21">
        <f>10*0.5*0.8</f>
        <v>4</v>
      </c>
      <c r="I109" s="29"/>
      <c r="J109" s="23">
        <f t="shared" ref="J109" si="26">H109*I109</f>
        <v>0</v>
      </c>
      <c r="K109" s="25"/>
      <c r="L109" s="25"/>
      <c r="M109" s="25"/>
      <c r="N109" s="25"/>
    </row>
    <row r="110" spans="2:14" ht="14.1" customHeight="1" x14ac:dyDescent="0.25">
      <c r="B110" s="11">
        <v>730091</v>
      </c>
      <c r="C110" s="12" t="s">
        <v>54</v>
      </c>
      <c r="D110" s="4" t="s">
        <v>59</v>
      </c>
      <c r="E110" s="13" t="s">
        <v>33</v>
      </c>
      <c r="F110" s="17" t="s">
        <v>75</v>
      </c>
      <c r="G110" s="15" t="s">
        <v>5</v>
      </c>
      <c r="H110" s="21">
        <f>1.2*(100*0.8+2*10*1*0.8)</f>
        <v>115.19999999999999</v>
      </c>
      <c r="I110" s="29"/>
      <c r="J110" s="23">
        <f t="shared" ref="J110:J111" si="27">H110*I110</f>
        <v>0</v>
      </c>
      <c r="K110" s="25"/>
      <c r="L110" s="25"/>
      <c r="M110" s="25"/>
      <c r="N110" s="25"/>
    </row>
    <row r="111" spans="2:14" ht="14.1" customHeight="1" x14ac:dyDescent="0.25">
      <c r="B111" s="11">
        <v>730091</v>
      </c>
      <c r="C111" s="12" t="s">
        <v>54</v>
      </c>
      <c r="D111" s="4" t="s">
        <v>59</v>
      </c>
      <c r="E111" s="13" t="s">
        <v>24</v>
      </c>
      <c r="F111" s="17" t="s">
        <v>75</v>
      </c>
      <c r="G111" s="15" t="s">
        <v>5</v>
      </c>
      <c r="H111" s="21">
        <f>1.2*(100*0.15+2*10*1*0.15)</f>
        <v>21.599999999999998</v>
      </c>
      <c r="I111" s="29"/>
      <c r="J111" s="23">
        <f t="shared" si="27"/>
        <v>0</v>
      </c>
      <c r="K111" s="25"/>
      <c r="L111" s="25"/>
      <c r="M111" s="25"/>
      <c r="N111" s="25"/>
    </row>
    <row r="112" spans="2:14" ht="14.1" customHeight="1" thickBot="1" x14ac:dyDescent="0.3">
      <c r="B112" s="11">
        <v>730091</v>
      </c>
      <c r="C112" s="12" t="s">
        <v>54</v>
      </c>
      <c r="D112" s="4" t="s">
        <v>59</v>
      </c>
      <c r="E112" s="13" t="s">
        <v>12</v>
      </c>
      <c r="F112" s="17" t="s">
        <v>75</v>
      </c>
      <c r="G112" s="15" t="s">
        <v>5</v>
      </c>
      <c r="H112" s="21">
        <f>1.2*(18)</f>
        <v>21.599999999999998</v>
      </c>
      <c r="I112" s="29"/>
      <c r="J112" s="23">
        <f>H112*I112</f>
        <v>0</v>
      </c>
      <c r="K112" s="25"/>
      <c r="L112" s="27">
        <f>SUM(J101:J112)</f>
        <v>0</v>
      </c>
      <c r="M112" s="27">
        <f>L112*0.2</f>
        <v>0</v>
      </c>
      <c r="N112" s="28">
        <f>SUM(L112+M112)</f>
        <v>0</v>
      </c>
    </row>
    <row r="113" spans="2:14" ht="14.1" customHeight="1" thickTop="1" x14ac:dyDescent="0.25">
      <c r="B113" s="11">
        <v>730091</v>
      </c>
      <c r="C113" s="12" t="s">
        <v>55</v>
      </c>
      <c r="D113" s="6" t="s">
        <v>60</v>
      </c>
      <c r="E113" s="13" t="s">
        <v>28</v>
      </c>
      <c r="F113" s="17" t="s">
        <v>76</v>
      </c>
      <c r="G113" s="15" t="s">
        <v>5</v>
      </c>
      <c r="H113" s="21">
        <f>1.2*(8*0.5*0.8+120*0.4*0.4+120*0.15*1)</f>
        <v>48.480000000000004</v>
      </c>
      <c r="I113" s="29"/>
      <c r="J113" s="23">
        <f>H113*I113</f>
        <v>0</v>
      </c>
      <c r="K113" s="25"/>
      <c r="L113" s="25"/>
      <c r="M113" s="25"/>
      <c r="N113" s="25"/>
    </row>
    <row r="114" spans="2:14" ht="13.5" customHeight="1" x14ac:dyDescent="0.25">
      <c r="B114" s="11" t="s">
        <v>49</v>
      </c>
      <c r="C114" s="12" t="s">
        <v>55</v>
      </c>
      <c r="D114" s="4" t="s">
        <v>59</v>
      </c>
      <c r="E114" s="13" t="s">
        <v>39</v>
      </c>
      <c r="F114" s="17" t="s">
        <v>76</v>
      </c>
      <c r="G114" s="15" t="s">
        <v>5</v>
      </c>
      <c r="H114" s="21">
        <f>H115</f>
        <v>144</v>
      </c>
      <c r="I114" s="29"/>
      <c r="J114" s="23">
        <f t="shared" ref="J114" si="28">H114*I114</f>
        <v>0</v>
      </c>
      <c r="K114" s="25"/>
      <c r="L114" s="25"/>
      <c r="M114" s="25"/>
      <c r="N114" s="25"/>
    </row>
    <row r="115" spans="2:14" ht="13.5" customHeight="1" x14ac:dyDescent="0.25">
      <c r="B115" s="11" t="s">
        <v>49</v>
      </c>
      <c r="C115" s="12" t="s">
        <v>55</v>
      </c>
      <c r="D115" s="4" t="s">
        <v>59</v>
      </c>
      <c r="E115" s="13" t="s">
        <v>16</v>
      </c>
      <c r="F115" s="17" t="s">
        <v>76</v>
      </c>
      <c r="G115" s="15" t="s">
        <v>5</v>
      </c>
      <c r="H115" s="21">
        <f>50+94</f>
        <v>144</v>
      </c>
      <c r="I115" s="29"/>
      <c r="J115" s="23">
        <f t="shared" ref="J115:J118" si="29">H115*I115</f>
        <v>0</v>
      </c>
      <c r="K115" s="25"/>
      <c r="L115" s="25"/>
      <c r="M115" s="25"/>
      <c r="N115" s="25"/>
    </row>
    <row r="116" spans="2:14" ht="13.5" customHeight="1" x14ac:dyDescent="0.25">
      <c r="B116" s="11">
        <v>730091</v>
      </c>
      <c r="C116" s="12" t="s">
        <v>55</v>
      </c>
      <c r="D116" s="4" t="s">
        <v>59</v>
      </c>
      <c r="E116" s="13" t="s">
        <v>44</v>
      </c>
      <c r="F116" s="17" t="s">
        <v>76</v>
      </c>
      <c r="G116" s="15" t="s">
        <v>5</v>
      </c>
      <c r="H116" s="21">
        <f>H115</f>
        <v>144</v>
      </c>
      <c r="I116" s="29"/>
      <c r="J116" s="23">
        <f t="shared" si="29"/>
        <v>0</v>
      </c>
      <c r="K116" s="25"/>
      <c r="L116" s="25"/>
      <c r="M116" s="25"/>
      <c r="N116" s="25"/>
    </row>
    <row r="117" spans="2:14" ht="13.5" customHeight="1" x14ac:dyDescent="0.25">
      <c r="B117" s="11">
        <v>730091</v>
      </c>
      <c r="C117" s="12" t="s">
        <v>55</v>
      </c>
      <c r="D117" s="4" t="s">
        <v>59</v>
      </c>
      <c r="E117" s="13" t="s">
        <v>36</v>
      </c>
      <c r="F117" s="17" t="s">
        <v>76</v>
      </c>
      <c r="G117" s="15" t="s">
        <v>5</v>
      </c>
      <c r="H117" s="21">
        <f>1.2*(35*1.2*0.8)</f>
        <v>40.32</v>
      </c>
      <c r="I117" s="29"/>
      <c r="J117" s="23">
        <f t="shared" si="29"/>
        <v>0</v>
      </c>
      <c r="K117" s="25"/>
      <c r="L117" s="25"/>
      <c r="M117" s="25"/>
      <c r="N117" s="25"/>
    </row>
    <row r="118" spans="2:14" ht="13.5" customHeight="1" x14ac:dyDescent="0.25">
      <c r="B118" s="11">
        <v>730091</v>
      </c>
      <c r="C118" s="12" t="s">
        <v>55</v>
      </c>
      <c r="D118" s="4" t="s">
        <v>59</v>
      </c>
      <c r="E118" s="16" t="s">
        <v>24</v>
      </c>
      <c r="F118" s="17" t="s">
        <v>76</v>
      </c>
      <c r="G118" s="15" t="s">
        <v>5</v>
      </c>
      <c r="H118" s="21">
        <f>1.2*(35*1.2*0.15)</f>
        <v>7.56</v>
      </c>
      <c r="I118" s="29"/>
      <c r="J118" s="23">
        <f t="shared" si="29"/>
        <v>0</v>
      </c>
      <c r="K118" s="25"/>
      <c r="L118" s="25"/>
      <c r="M118" s="25"/>
      <c r="N118" s="25"/>
    </row>
    <row r="119" spans="2:14" ht="13.5" customHeight="1" x14ac:dyDescent="0.25">
      <c r="B119" s="11">
        <v>730091</v>
      </c>
      <c r="C119" s="12" t="s">
        <v>55</v>
      </c>
      <c r="D119" s="6" t="s">
        <v>60</v>
      </c>
      <c r="E119" s="13" t="s">
        <v>12</v>
      </c>
      <c r="F119" s="17" t="s">
        <v>77</v>
      </c>
      <c r="G119" s="15" t="s">
        <v>6</v>
      </c>
      <c r="H119" s="21">
        <f>1.2*10</f>
        <v>12</v>
      </c>
      <c r="I119" s="29"/>
      <c r="J119" s="23">
        <f>H119*I119</f>
        <v>0</v>
      </c>
      <c r="K119" s="25"/>
      <c r="L119" s="25"/>
      <c r="M119" s="25"/>
      <c r="N119" s="25"/>
    </row>
    <row r="120" spans="2:14" ht="13.5" customHeight="1" x14ac:dyDescent="0.25">
      <c r="B120" s="11">
        <v>730091</v>
      </c>
      <c r="C120" s="12" t="s">
        <v>55</v>
      </c>
      <c r="D120" s="6" t="s">
        <v>60</v>
      </c>
      <c r="E120" s="13" t="s">
        <v>17</v>
      </c>
      <c r="F120" s="17" t="s">
        <v>77</v>
      </c>
      <c r="G120" s="15" t="s">
        <v>5</v>
      </c>
      <c r="H120" s="21">
        <f>1.2*(5*0.3*0.3+5*0.35*0.6+5*0.35*0.6+3+10*0.3+0.15*20*0.4)</f>
        <v>11.7</v>
      </c>
      <c r="I120" s="29"/>
      <c r="J120" s="23">
        <f>H120*I120</f>
        <v>0</v>
      </c>
      <c r="K120" s="25"/>
      <c r="L120" s="25"/>
      <c r="M120" s="25"/>
      <c r="N120" s="25"/>
    </row>
    <row r="121" spans="2:14" ht="13.5" customHeight="1" x14ac:dyDescent="0.25">
      <c r="B121" s="11">
        <v>730091</v>
      </c>
      <c r="C121" s="12" t="s">
        <v>55</v>
      </c>
      <c r="D121" s="6" t="s">
        <v>60</v>
      </c>
      <c r="E121" s="16" t="s">
        <v>20</v>
      </c>
      <c r="F121" s="17" t="s">
        <v>77</v>
      </c>
      <c r="G121" s="15" t="s">
        <v>5</v>
      </c>
      <c r="H121" s="21">
        <f>1.2*(120*0.2*0.2+6*0.3*0.3+10*0.3*0.3)</f>
        <v>7.4879999999999995</v>
      </c>
      <c r="I121" s="29"/>
      <c r="J121" s="23">
        <f>H121*I121</f>
        <v>0</v>
      </c>
      <c r="K121" s="25"/>
      <c r="L121" s="25"/>
      <c r="M121" s="25"/>
      <c r="N121" s="25"/>
    </row>
    <row r="122" spans="2:14" ht="13.5" customHeight="1" x14ac:dyDescent="0.25">
      <c r="B122" s="11">
        <v>730091</v>
      </c>
      <c r="C122" s="12" t="s">
        <v>55</v>
      </c>
      <c r="D122" s="6" t="s">
        <v>60</v>
      </c>
      <c r="E122" s="13" t="s">
        <v>18</v>
      </c>
      <c r="F122" s="17" t="s">
        <v>77</v>
      </c>
      <c r="G122" s="15" t="s">
        <v>6</v>
      </c>
      <c r="H122" s="21">
        <f>1.2*20</f>
        <v>24</v>
      </c>
      <c r="I122" s="29"/>
      <c r="J122" s="23">
        <f>H122*I122</f>
        <v>0</v>
      </c>
      <c r="K122" s="25"/>
      <c r="L122" s="25"/>
      <c r="M122" s="25"/>
      <c r="N122" s="25"/>
    </row>
    <row r="123" spans="2:14" ht="13.5" customHeight="1" x14ac:dyDescent="0.25">
      <c r="B123" s="11" t="s">
        <v>49</v>
      </c>
      <c r="C123" s="12" t="s">
        <v>55</v>
      </c>
      <c r="D123" s="5" t="s">
        <v>58</v>
      </c>
      <c r="E123" s="13" t="s">
        <v>39</v>
      </c>
      <c r="F123" s="17" t="s">
        <v>77</v>
      </c>
      <c r="G123" s="15" t="s">
        <v>5</v>
      </c>
      <c r="H123" s="21">
        <f>H124</f>
        <v>230</v>
      </c>
      <c r="I123" s="29"/>
      <c r="J123" s="23">
        <f t="shared" ref="J123" si="30">H123*I123</f>
        <v>0</v>
      </c>
      <c r="K123" s="25"/>
      <c r="L123" s="25"/>
      <c r="M123" s="25"/>
      <c r="N123" s="25"/>
    </row>
    <row r="124" spans="2:14" ht="13.5" customHeight="1" x14ac:dyDescent="0.25">
      <c r="B124" s="11" t="s">
        <v>49</v>
      </c>
      <c r="C124" s="12" t="s">
        <v>55</v>
      </c>
      <c r="D124" s="5" t="s">
        <v>58</v>
      </c>
      <c r="E124" s="13" t="s">
        <v>32</v>
      </c>
      <c r="F124" s="17" t="s">
        <v>77</v>
      </c>
      <c r="G124" s="15" t="s">
        <v>5</v>
      </c>
      <c r="H124" s="21">
        <v>230</v>
      </c>
      <c r="I124" s="29"/>
      <c r="J124" s="23">
        <f>H124*I124</f>
        <v>0</v>
      </c>
      <c r="K124" s="25"/>
      <c r="L124" s="25"/>
      <c r="M124" s="25"/>
      <c r="N124" s="25"/>
    </row>
    <row r="125" spans="2:14" ht="13.5" customHeight="1" thickBot="1" x14ac:dyDescent="0.3">
      <c r="B125" s="11">
        <v>730091</v>
      </c>
      <c r="C125" s="12" t="s">
        <v>55</v>
      </c>
      <c r="D125" s="5" t="s">
        <v>58</v>
      </c>
      <c r="E125" s="16" t="s">
        <v>40</v>
      </c>
      <c r="F125" s="17" t="s">
        <v>77</v>
      </c>
      <c r="G125" s="15" t="s">
        <v>5</v>
      </c>
      <c r="H125" s="21">
        <f>H124</f>
        <v>230</v>
      </c>
      <c r="I125" s="31"/>
      <c r="J125" s="23">
        <f t="shared" ref="J125" si="31">H125*I125</f>
        <v>0</v>
      </c>
      <c r="K125" s="25"/>
      <c r="L125" s="27">
        <f>SUM(J113:J125)</f>
        <v>0</v>
      </c>
      <c r="M125" s="27">
        <f>L125*0.2</f>
        <v>0</v>
      </c>
      <c r="N125" s="28">
        <f>SUM(L125+M125)</f>
        <v>0</v>
      </c>
    </row>
    <row r="126" spans="2:14" ht="13.5" customHeight="1" thickTop="1" x14ac:dyDescent="0.25">
      <c r="B126" s="11" t="s">
        <v>49</v>
      </c>
      <c r="C126" s="12" t="s">
        <v>56</v>
      </c>
      <c r="D126" s="8" t="s">
        <v>57</v>
      </c>
      <c r="E126" s="13" t="s">
        <v>39</v>
      </c>
      <c r="F126" s="17" t="s">
        <v>78</v>
      </c>
      <c r="G126" s="15" t="s">
        <v>5</v>
      </c>
      <c r="H126" s="21">
        <f>H127</f>
        <v>1300</v>
      </c>
      <c r="I126" s="29"/>
      <c r="J126" s="23">
        <f t="shared" ref="J126" si="32">H126*I126</f>
        <v>0</v>
      </c>
      <c r="K126" s="25"/>
      <c r="L126" s="25"/>
      <c r="M126" s="25"/>
      <c r="N126" s="25"/>
    </row>
    <row r="127" spans="2:14" ht="13.5" customHeight="1" x14ac:dyDescent="0.25">
      <c r="B127" s="11" t="s">
        <v>49</v>
      </c>
      <c r="C127" s="12" t="s">
        <v>56</v>
      </c>
      <c r="D127" s="8" t="s">
        <v>57</v>
      </c>
      <c r="E127" s="13" t="s">
        <v>27</v>
      </c>
      <c r="F127" s="17" t="s">
        <v>78</v>
      </c>
      <c r="G127" s="15" t="s">
        <v>5</v>
      </c>
      <c r="H127" s="21">
        <f>30+80+200+300+300+390</f>
        <v>1300</v>
      </c>
      <c r="I127" s="29"/>
      <c r="J127" s="23">
        <f>H127*I127</f>
        <v>0</v>
      </c>
      <c r="K127" s="25"/>
      <c r="L127" s="25"/>
      <c r="M127" s="25"/>
      <c r="N127" s="25"/>
    </row>
    <row r="128" spans="2:14" ht="13.5" customHeight="1" x14ac:dyDescent="0.25">
      <c r="B128" s="11">
        <v>730091</v>
      </c>
      <c r="C128" s="12" t="s">
        <v>56</v>
      </c>
      <c r="D128" s="4" t="s">
        <v>59</v>
      </c>
      <c r="E128" s="13" t="s">
        <v>17</v>
      </c>
      <c r="F128" s="17" t="s">
        <v>78</v>
      </c>
      <c r="G128" s="15" t="s">
        <v>5</v>
      </c>
      <c r="H128" s="21">
        <f>1.2*(2*5*1*0.3+4*0.4+0.15*25*0.4)</f>
        <v>7.3199999999999994</v>
      </c>
      <c r="I128" s="29"/>
      <c r="J128" s="23">
        <f t="shared" ref="J128" si="33">H128*I128</f>
        <v>0</v>
      </c>
      <c r="K128" s="25"/>
      <c r="L128" s="25"/>
      <c r="M128" s="25"/>
      <c r="N128" s="25"/>
    </row>
    <row r="129" spans="2:14" ht="13.5" customHeight="1" x14ac:dyDescent="0.25">
      <c r="B129" s="11">
        <v>730091</v>
      </c>
      <c r="C129" s="12" t="s">
        <v>56</v>
      </c>
      <c r="D129" s="4" t="s">
        <v>59</v>
      </c>
      <c r="E129" s="16" t="s">
        <v>12</v>
      </c>
      <c r="F129" s="17" t="s">
        <v>78</v>
      </c>
      <c r="G129" s="15" t="s">
        <v>6</v>
      </c>
      <c r="H129" s="21">
        <f>1.2*(25)</f>
        <v>30</v>
      </c>
      <c r="I129" s="29"/>
      <c r="J129" s="23">
        <f>H129*I129</f>
        <v>0</v>
      </c>
      <c r="K129" s="25"/>
      <c r="L129" s="25"/>
      <c r="M129" s="25"/>
      <c r="N129" s="25"/>
    </row>
    <row r="130" spans="2:14" ht="13.5" customHeight="1" x14ac:dyDescent="0.25">
      <c r="B130" s="11">
        <v>730091</v>
      </c>
      <c r="C130" s="12" t="s">
        <v>56</v>
      </c>
      <c r="D130" s="4" t="s">
        <v>59</v>
      </c>
      <c r="E130" s="16" t="s">
        <v>20</v>
      </c>
      <c r="F130" s="17" t="s">
        <v>78</v>
      </c>
      <c r="G130" s="15" t="s">
        <v>5</v>
      </c>
      <c r="H130" s="21">
        <f>1.2*(2*4*0.6*0.3*0.3+10*0.3)</f>
        <v>4.1183999999999994</v>
      </c>
      <c r="I130" s="29"/>
      <c r="J130" s="23">
        <f t="shared" ref="J130:J131" si="34">H130*I130</f>
        <v>0</v>
      </c>
      <c r="K130" s="25"/>
      <c r="L130" s="25"/>
      <c r="M130" s="25"/>
      <c r="N130" s="25"/>
    </row>
    <row r="131" spans="2:14" ht="13.5" customHeight="1" x14ac:dyDescent="0.25">
      <c r="B131" s="11">
        <v>730091</v>
      </c>
      <c r="C131" s="12" t="s">
        <v>56</v>
      </c>
      <c r="D131" s="6" t="s">
        <v>60</v>
      </c>
      <c r="E131" s="13" t="s">
        <v>18</v>
      </c>
      <c r="F131" s="17" t="s">
        <v>78</v>
      </c>
      <c r="G131" s="15" t="s">
        <v>6</v>
      </c>
      <c r="H131" s="21">
        <f>1.2*(20+5)</f>
        <v>30</v>
      </c>
      <c r="I131" s="29"/>
      <c r="J131" s="23">
        <f t="shared" si="34"/>
        <v>0</v>
      </c>
      <c r="K131" s="25"/>
      <c r="L131" s="25"/>
      <c r="M131" s="25"/>
      <c r="N131" s="25"/>
    </row>
    <row r="132" spans="2:14" ht="13.5" customHeight="1" x14ac:dyDescent="0.25">
      <c r="B132" s="11" t="s">
        <v>49</v>
      </c>
      <c r="C132" s="12" t="s">
        <v>56</v>
      </c>
      <c r="D132" s="4" t="s">
        <v>59</v>
      </c>
      <c r="E132" s="13" t="s">
        <v>39</v>
      </c>
      <c r="F132" s="17" t="s">
        <v>79</v>
      </c>
      <c r="G132" s="15" t="s">
        <v>5</v>
      </c>
      <c r="H132" s="21">
        <f>H133</f>
        <v>500</v>
      </c>
      <c r="I132" s="29"/>
      <c r="J132" s="23">
        <f t="shared" ref="J132" si="35">H132*I132</f>
        <v>0</v>
      </c>
      <c r="K132" s="25"/>
      <c r="L132" s="25"/>
      <c r="M132" s="25"/>
      <c r="N132" s="25"/>
    </row>
    <row r="133" spans="2:14" ht="13.5" customHeight="1" x14ac:dyDescent="0.25">
      <c r="B133" s="11" t="s">
        <v>49</v>
      </c>
      <c r="C133" s="12" t="s">
        <v>56</v>
      </c>
      <c r="D133" s="4" t="s">
        <v>59</v>
      </c>
      <c r="E133" s="13" t="s">
        <v>27</v>
      </c>
      <c r="F133" s="17" t="s">
        <v>79</v>
      </c>
      <c r="G133" s="15" t="s">
        <v>5</v>
      </c>
      <c r="H133" s="21">
        <v>500</v>
      </c>
      <c r="I133" s="29"/>
      <c r="J133" s="23">
        <f>H133*I133</f>
        <v>0</v>
      </c>
      <c r="K133" s="25"/>
      <c r="L133" s="25"/>
      <c r="M133" s="25"/>
      <c r="N133" s="25"/>
    </row>
    <row r="134" spans="2:14" ht="13.5" customHeight="1" x14ac:dyDescent="0.25">
      <c r="B134" s="11">
        <v>730091</v>
      </c>
      <c r="C134" s="12" t="s">
        <v>56</v>
      </c>
      <c r="D134" s="6" t="s">
        <v>60</v>
      </c>
      <c r="E134" s="13" t="s">
        <v>18</v>
      </c>
      <c r="F134" s="17" t="s">
        <v>79</v>
      </c>
      <c r="G134" s="15" t="s">
        <v>6</v>
      </c>
      <c r="H134" s="21">
        <f>1.2*(10+30+20)</f>
        <v>72</v>
      </c>
      <c r="I134" s="29"/>
      <c r="J134" s="23">
        <f t="shared" ref="J134" si="36">H134*I134</f>
        <v>0</v>
      </c>
      <c r="K134" s="25"/>
      <c r="L134" s="25"/>
      <c r="M134" s="25"/>
      <c r="N134" s="25"/>
    </row>
    <row r="135" spans="2:14" ht="13.5" customHeight="1" x14ac:dyDescent="0.25">
      <c r="B135" s="11">
        <v>730091</v>
      </c>
      <c r="C135" s="12" t="s">
        <v>56</v>
      </c>
      <c r="D135" s="6" t="s">
        <v>60</v>
      </c>
      <c r="E135" s="13" t="s">
        <v>12</v>
      </c>
      <c r="F135" s="17" t="s">
        <v>79</v>
      </c>
      <c r="G135" s="15" t="s">
        <v>6</v>
      </c>
      <c r="H135" s="21">
        <f>1.2*(10+1+10)</f>
        <v>25.2</v>
      </c>
      <c r="I135" s="29"/>
      <c r="J135" s="23">
        <f>H135*I135</f>
        <v>0</v>
      </c>
      <c r="K135" s="25"/>
      <c r="L135" s="25"/>
      <c r="M135" s="25"/>
      <c r="N135" s="25"/>
    </row>
    <row r="136" spans="2:14" ht="13.5" customHeight="1" x14ac:dyDescent="0.25">
      <c r="B136" s="11">
        <v>730091</v>
      </c>
      <c r="C136" s="12" t="s">
        <v>56</v>
      </c>
      <c r="D136" s="6" t="s">
        <v>60</v>
      </c>
      <c r="E136" s="13" t="s">
        <v>17</v>
      </c>
      <c r="F136" s="17" t="s">
        <v>79</v>
      </c>
      <c r="G136" s="15" t="s">
        <v>5</v>
      </c>
      <c r="H136" s="21">
        <f>1.2*(10*0.4+20*0.4*0.4+3*0.4*0.4+0.15*60*0.4)</f>
        <v>13.536000000000001</v>
      </c>
      <c r="I136" s="29"/>
      <c r="J136" s="23">
        <f t="shared" ref="J136" si="37">H136*I136</f>
        <v>0</v>
      </c>
      <c r="K136" s="25"/>
      <c r="L136" s="25"/>
      <c r="M136" s="25"/>
      <c r="N136" s="25"/>
    </row>
    <row r="137" spans="2:14" ht="13.5" customHeight="1" x14ac:dyDescent="0.25">
      <c r="B137" s="11" t="s">
        <v>49</v>
      </c>
      <c r="C137" s="12" t="s">
        <v>56</v>
      </c>
      <c r="D137" s="8" t="s">
        <v>57</v>
      </c>
      <c r="E137" s="13" t="s">
        <v>39</v>
      </c>
      <c r="F137" s="17" t="s">
        <v>80</v>
      </c>
      <c r="G137" s="15" t="s">
        <v>5</v>
      </c>
      <c r="H137" s="21">
        <f>H138+H142</f>
        <v>290</v>
      </c>
      <c r="I137" s="29"/>
      <c r="J137" s="23">
        <f t="shared" ref="J137" si="38">H137*I137</f>
        <v>0</v>
      </c>
      <c r="K137" s="25"/>
      <c r="L137" s="25"/>
      <c r="M137" s="25"/>
      <c r="N137" s="25"/>
    </row>
    <row r="138" spans="2:14" ht="13.5" customHeight="1" x14ac:dyDescent="0.25">
      <c r="B138" s="11" t="s">
        <v>49</v>
      </c>
      <c r="C138" s="12" t="s">
        <v>56</v>
      </c>
      <c r="D138" s="8" t="s">
        <v>57</v>
      </c>
      <c r="E138" s="13" t="s">
        <v>16</v>
      </c>
      <c r="F138" s="17" t="s">
        <v>80</v>
      </c>
      <c r="G138" s="15" t="s">
        <v>5</v>
      </c>
      <c r="H138" s="21">
        <f>40*0.5</f>
        <v>20</v>
      </c>
      <c r="I138" s="29"/>
      <c r="J138" s="23">
        <f t="shared" ref="J138:J141" si="39">H138*I138</f>
        <v>0</v>
      </c>
      <c r="K138" s="25"/>
      <c r="L138" s="25"/>
      <c r="M138" s="25"/>
      <c r="N138" s="25"/>
    </row>
    <row r="139" spans="2:14" ht="13.5" customHeight="1" x14ac:dyDescent="0.25">
      <c r="B139" s="11">
        <v>730091</v>
      </c>
      <c r="C139" s="12" t="s">
        <v>56</v>
      </c>
      <c r="D139" s="5" t="s">
        <v>58</v>
      </c>
      <c r="E139" s="16" t="s">
        <v>40</v>
      </c>
      <c r="F139" s="17" t="s">
        <v>80</v>
      </c>
      <c r="G139" s="15" t="s">
        <v>5</v>
      </c>
      <c r="H139" s="21">
        <f>H138</f>
        <v>20</v>
      </c>
      <c r="I139" s="31"/>
      <c r="J139" s="23">
        <f t="shared" si="39"/>
        <v>0</v>
      </c>
      <c r="K139" s="25"/>
      <c r="L139" s="25"/>
      <c r="M139" s="25"/>
      <c r="N139" s="25"/>
    </row>
    <row r="140" spans="2:14" ht="13.5" customHeight="1" x14ac:dyDescent="0.25">
      <c r="B140" s="11">
        <v>730091</v>
      </c>
      <c r="C140" s="12" t="s">
        <v>56</v>
      </c>
      <c r="D140" s="6" t="s">
        <v>60</v>
      </c>
      <c r="E140" s="13" t="s">
        <v>17</v>
      </c>
      <c r="F140" s="17" t="s">
        <v>80</v>
      </c>
      <c r="G140" s="15" t="s">
        <v>5</v>
      </c>
      <c r="H140" s="21">
        <f>0.15*(110+10+30)*0.4</f>
        <v>9</v>
      </c>
      <c r="I140" s="29"/>
      <c r="J140" s="23">
        <f t="shared" si="39"/>
        <v>0</v>
      </c>
      <c r="K140" s="25"/>
      <c r="L140" s="25"/>
      <c r="M140" s="25"/>
      <c r="N140" s="25"/>
    </row>
    <row r="141" spans="2:14" ht="13.5" customHeight="1" x14ac:dyDescent="0.25">
      <c r="B141" s="11">
        <v>730091</v>
      </c>
      <c r="C141" s="12" t="s">
        <v>56</v>
      </c>
      <c r="D141" s="6" t="s">
        <v>60</v>
      </c>
      <c r="E141" s="13" t="s">
        <v>18</v>
      </c>
      <c r="F141" s="17" t="s">
        <v>80</v>
      </c>
      <c r="G141" s="15" t="s">
        <v>6</v>
      </c>
      <c r="H141" s="21">
        <f>1.2*(110+10+30)</f>
        <v>180</v>
      </c>
      <c r="I141" s="29"/>
      <c r="J141" s="23">
        <f t="shared" si="39"/>
        <v>0</v>
      </c>
      <c r="K141" s="25"/>
      <c r="L141" s="25"/>
      <c r="M141" s="25"/>
      <c r="N141" s="25"/>
    </row>
    <row r="142" spans="2:14" ht="13.5" customHeight="1" thickBot="1" x14ac:dyDescent="0.3">
      <c r="B142" s="11" t="s">
        <v>49</v>
      </c>
      <c r="C142" s="12" t="s">
        <v>56</v>
      </c>
      <c r="D142" s="8" t="s">
        <v>57</v>
      </c>
      <c r="E142" s="13" t="s">
        <v>27</v>
      </c>
      <c r="F142" s="17" t="s">
        <v>80</v>
      </c>
      <c r="G142" s="15" t="s">
        <v>5</v>
      </c>
      <c r="H142" s="21">
        <f>15+25+230</f>
        <v>270</v>
      </c>
      <c r="I142" s="29"/>
      <c r="J142" s="23">
        <f>H142*I142</f>
        <v>0</v>
      </c>
      <c r="K142" s="25"/>
      <c r="L142" s="27">
        <f>SUM(J126:J142)</f>
        <v>0</v>
      </c>
      <c r="M142" s="27">
        <f>L142*0.2</f>
        <v>0</v>
      </c>
      <c r="N142" s="28">
        <f>SUM(L142+M142)</f>
        <v>0</v>
      </c>
    </row>
    <row r="143" spans="2:14" ht="15" thickTop="1" x14ac:dyDescent="0.2">
      <c r="I143" s="24"/>
      <c r="J143" s="24"/>
      <c r="K143" s="24"/>
      <c r="L143" s="66"/>
      <c r="M143" s="66"/>
      <c r="N143" s="66"/>
    </row>
    <row r="144" spans="2:14" ht="15" x14ac:dyDescent="0.25">
      <c r="B144" s="9" t="s">
        <v>85</v>
      </c>
      <c r="I144" s="24"/>
      <c r="J144" s="24"/>
      <c r="K144" s="24"/>
      <c r="L144" s="24"/>
      <c r="M144" s="24"/>
      <c r="N144" s="24"/>
    </row>
    <row r="145" spans="2:15" ht="15" x14ac:dyDescent="0.25">
      <c r="B145" s="9"/>
      <c r="E145" s="37" t="s">
        <v>84</v>
      </c>
      <c r="F145" s="38"/>
      <c r="G145" s="38"/>
      <c r="H145" s="39"/>
      <c r="I145" s="40"/>
      <c r="J145" s="40"/>
      <c r="K145" s="40"/>
      <c r="L145" s="40"/>
      <c r="M145" s="40"/>
      <c r="N145" s="41"/>
    </row>
    <row r="146" spans="2:15" ht="15.75" thickBot="1" x14ac:dyDescent="0.3">
      <c r="B146" s="10"/>
      <c r="E146" s="42" t="s">
        <v>49</v>
      </c>
      <c r="F146" s="34"/>
      <c r="G146" s="34"/>
      <c r="H146" s="35"/>
      <c r="I146" s="36"/>
      <c r="J146" s="36"/>
      <c r="K146" s="36"/>
      <c r="L146" s="26">
        <f ca="1">SUMIF(B6:J142,"730 086 (UPP)",J6:J142)</f>
        <v>0</v>
      </c>
      <c r="M146" s="26">
        <f ca="1">L146*0.2</f>
        <v>0</v>
      </c>
      <c r="N146" s="43">
        <f ca="1">SUM(L146+M146)</f>
        <v>0</v>
      </c>
    </row>
    <row r="147" spans="2:15" ht="16.5" thickTop="1" thickBot="1" x14ac:dyDescent="0.3">
      <c r="B147" s="10"/>
      <c r="E147" s="44">
        <v>730091</v>
      </c>
      <c r="F147" s="34"/>
      <c r="G147" s="34"/>
      <c r="H147" s="35"/>
      <c r="I147" s="36"/>
      <c r="J147" s="36"/>
      <c r="K147" s="36"/>
      <c r="L147" s="26">
        <f ca="1">SUMIF(B7:J142,"730 091",J7:J142)</f>
        <v>0</v>
      </c>
      <c r="M147" s="26">
        <f ca="1">L147*0.2</f>
        <v>0</v>
      </c>
      <c r="N147" s="43">
        <f ca="1">SUM(L147+M147)</f>
        <v>0</v>
      </c>
    </row>
    <row r="148" spans="2:15" ht="15.75" thickTop="1" x14ac:dyDescent="0.25">
      <c r="E148" s="45" t="s">
        <v>89</v>
      </c>
      <c r="F148" s="34"/>
      <c r="G148" s="34"/>
      <c r="H148" s="35"/>
      <c r="I148" s="36"/>
      <c r="J148" s="36"/>
      <c r="K148" s="36"/>
      <c r="L148" s="26"/>
      <c r="M148" s="26"/>
      <c r="N148" s="46">
        <f ca="1">SUM(N146:N147)</f>
        <v>0</v>
      </c>
    </row>
    <row r="149" spans="2:15" ht="15" x14ac:dyDescent="0.25">
      <c r="B149" s="10"/>
      <c r="E149" s="45" t="s">
        <v>87</v>
      </c>
      <c r="F149" s="34"/>
      <c r="G149" s="34"/>
      <c r="H149" s="35"/>
      <c r="I149" s="36"/>
      <c r="J149" s="36"/>
      <c r="K149" s="36"/>
      <c r="L149" s="26"/>
      <c r="M149" s="26"/>
      <c r="N149" s="47"/>
      <c r="O149" s="52" t="s">
        <v>93</v>
      </c>
    </row>
    <row r="150" spans="2:15" ht="15" x14ac:dyDescent="0.25">
      <c r="B150" s="10"/>
      <c r="E150" s="45" t="s">
        <v>86</v>
      </c>
      <c r="F150" s="34"/>
      <c r="G150" s="34"/>
      <c r="H150" s="35"/>
      <c r="I150" s="36"/>
      <c r="J150" s="36"/>
      <c r="K150" s="36"/>
      <c r="L150" s="26"/>
      <c r="M150" s="26"/>
      <c r="N150" s="47"/>
      <c r="O150" s="52" t="s">
        <v>90</v>
      </c>
    </row>
    <row r="151" spans="2:15" ht="19.5" thickBot="1" x14ac:dyDescent="0.35">
      <c r="E151" s="48" t="s">
        <v>88</v>
      </c>
      <c r="F151" s="49"/>
      <c r="G151" s="49"/>
      <c r="H151" s="50"/>
      <c r="I151" s="51"/>
      <c r="J151" s="51"/>
      <c r="K151" s="51"/>
      <c r="L151" s="60">
        <f ca="1">+N148+N149+N150</f>
        <v>0</v>
      </c>
      <c r="M151" s="61"/>
      <c r="N151" s="62"/>
    </row>
    <row r="152" spans="2:15" ht="15" thickTop="1" x14ac:dyDescent="0.2">
      <c r="E152" s="53"/>
      <c r="F152" s="54"/>
      <c r="G152" s="54"/>
      <c r="H152" s="55"/>
      <c r="I152" s="54"/>
      <c r="J152" s="54"/>
      <c r="K152" s="54"/>
      <c r="L152" s="54"/>
      <c r="M152" s="54"/>
      <c r="N152" s="56"/>
    </row>
    <row r="153" spans="2:15" x14ac:dyDescent="0.2">
      <c r="H153" s="3"/>
    </row>
    <row r="154" spans="2:15" x14ac:dyDescent="0.2">
      <c r="H154" s="3"/>
    </row>
  </sheetData>
  <sheetProtection algorithmName="SHA-512" hashValue="1U0LgQ4+sGfE0PDGD+WcKByuGUno6ILx2KOwFdw371yPzflMiygRulK4naoVzzTxZYDXBfE9ZZZ7lv6VaQZrVw==" saltValue="zrgdDG/sPyif+FbGeoLVpg==" spinCount="100000" sheet="1" objects="1" scenarios="1"/>
  <autoFilter ref="A6:AQ142" xr:uid="{1531E69A-2144-480B-8732-02A6F734026B}"/>
  <mergeCells count="2">
    <mergeCell ref="L151:N151"/>
    <mergeCell ref="D3:N3"/>
  </mergeCells>
  <phoneticPr fontId="9" type="noConversion"/>
  <pageMargins left="0.70866141732283472" right="0.70866141732283472" top="0.70866141732283472" bottom="0.51181102362204722" header="0.31496062992125984" footer="0.31496062992125984"/>
  <pageSetup paperSize="9" scale="63" orientation="landscape" r:id="rId1"/>
  <headerFooter>
    <oddHeader>&amp;R„OPŠ 07/2021 – Jílovský potok Děčín - Jílové 
– uvolnění průtočného profilu“</oddHeader>
    <oddFooter>&amp;R&amp;P/&amp;N</oddFooter>
  </headerFooter>
  <rowBreaks count="2" manualBreakCount="2">
    <brk id="56" max="13" man="1"/>
    <brk id="11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</vt:lpstr>
      <vt:lpstr>List!Názvy_tisku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Krátký</dc:creator>
  <cp:lastModifiedBy>MC</cp:lastModifiedBy>
  <cp:lastPrinted>2022-07-28T09:17:58Z</cp:lastPrinted>
  <dcterms:created xsi:type="dcterms:W3CDTF">2022-02-04T08:55:58Z</dcterms:created>
  <dcterms:modified xsi:type="dcterms:W3CDTF">2022-07-28T09:17:59Z</dcterms:modified>
</cp:coreProperties>
</file>