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sek.PVL\Downloads\"/>
    </mc:Choice>
  </mc:AlternateContent>
  <xr:revisionPtr revIDLastSave="0" documentId="13_ncr:1_{0E613B9B-3823-4885-BC23-3A923274A53B}" xr6:coauthVersionLast="47" xr6:coauthVersionMax="47" xr10:uidLastSave="{00000000-0000-0000-0000-000000000000}"/>
  <bookViews>
    <workbookView xWindow="16080" yWindow="-120" windowWidth="38640" windowHeight="21390" xr2:uid="{00000000-000D-0000-FFFF-FFFF00000000}"/>
  </bookViews>
  <sheets>
    <sheet name="Stavební rozpočet" sheetId="1" r:id="rId1"/>
    <sheet name="Výkaz výměr" sheetId="2" r:id="rId2"/>
    <sheet name="Krycí list rozpočtu" sheetId="3" r:id="rId3"/>
    <sheet name="VORN" sheetId="4" r:id="rId4"/>
  </sheets>
  <definedNames>
    <definedName name="vorn_sum">VORN!$I$42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I21" i="4"/>
  <c r="I27" i="4" s="1"/>
  <c r="F29" i="4" s="1"/>
  <c r="AS1" i="1"/>
  <c r="AT1" i="1"/>
  <c r="AU1" i="1"/>
  <c r="K14" i="1"/>
  <c r="AL14" i="1"/>
  <c r="AK14" i="1"/>
  <c r="M14" i="1"/>
  <c r="M13" i="1"/>
  <c r="AO14" i="1"/>
  <c r="AW14" i="1" s="1"/>
  <c r="AP14" i="1"/>
  <c r="AX14" i="1" s="1"/>
  <c r="BD14" i="1"/>
  <c r="BJ14" i="1"/>
  <c r="Z14" i="1"/>
  <c r="K15" i="1"/>
  <c r="AL15" i="1" s="1"/>
  <c r="AJ15" i="1"/>
  <c r="M15" i="1"/>
  <c r="BF15" i="1"/>
  <c r="AO15" i="1"/>
  <c r="I15" i="1"/>
  <c r="AP15" i="1"/>
  <c r="AX15" i="1"/>
  <c r="BD15" i="1"/>
  <c r="BJ15" i="1"/>
  <c r="Z15" i="1"/>
  <c r="K16" i="1"/>
  <c r="K13" i="1" s="1"/>
  <c r="AJ16" i="1"/>
  <c r="M16" i="1"/>
  <c r="BF16" i="1"/>
  <c r="AK16" i="1"/>
  <c r="AO16" i="1"/>
  <c r="I16" i="1"/>
  <c r="AP16" i="1"/>
  <c r="BI16" i="1" s="1"/>
  <c r="AC16" i="1" s="1"/>
  <c r="BD16" i="1"/>
  <c r="AE16" i="1"/>
  <c r="BJ16" i="1"/>
  <c r="Z16" i="1"/>
  <c r="K18" i="1"/>
  <c r="AJ18" i="1"/>
  <c r="M18" i="1"/>
  <c r="AO18" i="1"/>
  <c r="I18" i="1" s="1"/>
  <c r="AP18" i="1"/>
  <c r="AX18" i="1" s="1"/>
  <c r="BD18" i="1"/>
  <c r="BF18" i="1"/>
  <c r="BJ18" i="1"/>
  <c r="AH18" i="1"/>
  <c r="K19" i="1"/>
  <c r="AL19" i="1" s="1"/>
  <c r="M19" i="1"/>
  <c r="M17" i="1"/>
  <c r="AO19" i="1"/>
  <c r="I19" i="1" s="1"/>
  <c r="AP19" i="1"/>
  <c r="J19" i="1" s="1"/>
  <c r="BD19" i="1"/>
  <c r="BJ19" i="1"/>
  <c r="Z19" i="1"/>
  <c r="K21" i="1"/>
  <c r="AJ21" i="1"/>
  <c r="M21" i="1"/>
  <c r="M20" i="1"/>
  <c r="AK21" i="1"/>
  <c r="AL21" i="1"/>
  <c r="AO21" i="1"/>
  <c r="BH21" i="1" s="1"/>
  <c r="AB21" i="1" s="1"/>
  <c r="I21" i="1"/>
  <c r="AP21" i="1"/>
  <c r="BI21" i="1" s="1"/>
  <c r="AC21" i="1" s="1"/>
  <c r="BD21" i="1"/>
  <c r="AD21" i="1"/>
  <c r="BJ21" i="1"/>
  <c r="Z21" i="1"/>
  <c r="K22" i="1"/>
  <c r="AK22" i="1"/>
  <c r="M22" i="1"/>
  <c r="BF22" i="1"/>
  <c r="AJ22" i="1"/>
  <c r="AO22" i="1"/>
  <c r="BH22" i="1" s="1"/>
  <c r="AB22" i="1" s="1"/>
  <c r="AP22" i="1"/>
  <c r="AX22" i="1" s="1"/>
  <c r="BD22" i="1"/>
  <c r="BJ22" i="1"/>
  <c r="Z22" i="1"/>
  <c r="K23" i="1"/>
  <c r="M23" i="1"/>
  <c r="BF23" i="1"/>
  <c r="AK23" i="1"/>
  <c r="AO23" i="1"/>
  <c r="BH23" i="1" s="1"/>
  <c r="AB23" i="1" s="1"/>
  <c r="AP23" i="1"/>
  <c r="BI23" i="1"/>
  <c r="AC23" i="1" s="1"/>
  <c r="BD23" i="1"/>
  <c r="BJ23" i="1"/>
  <c r="Z23" i="1"/>
  <c r="K24" i="1"/>
  <c r="AJ24" i="1"/>
  <c r="M24" i="1"/>
  <c r="BF24" i="1"/>
  <c r="AK24" i="1"/>
  <c r="AO24" i="1"/>
  <c r="BH24" i="1" s="1"/>
  <c r="AB24" i="1" s="1"/>
  <c r="AP24" i="1"/>
  <c r="BI24" i="1" s="1"/>
  <c r="AC24" i="1" s="1"/>
  <c r="BD24" i="1"/>
  <c r="BJ24" i="1"/>
  <c r="AH24" i="1"/>
  <c r="J25" i="1"/>
  <c r="K25" i="1"/>
  <c r="AL25" i="1"/>
  <c r="AJ25" i="1"/>
  <c r="M25" i="1"/>
  <c r="AO25" i="1"/>
  <c r="BH25" i="1"/>
  <c r="AB25" i="1" s="1"/>
  <c r="AP25" i="1"/>
  <c r="AX25" i="1"/>
  <c r="BD25" i="1"/>
  <c r="BF25" i="1"/>
  <c r="BJ25" i="1"/>
  <c r="Z25" i="1"/>
  <c r="M27" i="1"/>
  <c r="M26" i="1"/>
  <c r="K28" i="1"/>
  <c r="AJ28" i="1"/>
  <c r="M28" i="1"/>
  <c r="AO28" i="1"/>
  <c r="AW28" i="1" s="1"/>
  <c r="AP28" i="1"/>
  <c r="J28" i="1" s="1"/>
  <c r="BD28" i="1"/>
  <c r="BF28" i="1"/>
  <c r="BJ28" i="1"/>
  <c r="AH28" i="1"/>
  <c r="I29" i="1"/>
  <c r="K29" i="1"/>
  <c r="AK29" i="1"/>
  <c r="M29" i="1"/>
  <c r="AL29" i="1"/>
  <c r="AO29" i="1"/>
  <c r="AW29" i="1" s="1"/>
  <c r="AP29" i="1"/>
  <c r="BI29" i="1" s="1"/>
  <c r="AC29" i="1" s="1"/>
  <c r="BD29" i="1"/>
  <c r="BF29" i="1"/>
  <c r="AD29" i="1"/>
  <c r="BJ29" i="1"/>
  <c r="AH29" i="1"/>
  <c r="K32" i="1"/>
  <c r="K31" i="1" s="1"/>
  <c r="AK32" i="1"/>
  <c r="M32" i="1"/>
  <c r="M31" i="1"/>
  <c r="AO32" i="1"/>
  <c r="AW32" i="1" s="1"/>
  <c r="AP32" i="1"/>
  <c r="AX32" i="1" s="1"/>
  <c r="J32" i="1"/>
  <c r="J31" i="1" s="1"/>
  <c r="BD32" i="1"/>
  <c r="BJ32" i="1"/>
  <c r="Z32" i="1"/>
  <c r="K33" i="1"/>
  <c r="AK33" i="1"/>
  <c r="AJ33" i="1"/>
  <c r="M33" i="1"/>
  <c r="BF33" i="1"/>
  <c r="AH33" i="1"/>
  <c r="AO33" i="1"/>
  <c r="BH33" i="1" s="1"/>
  <c r="AB33" i="1" s="1"/>
  <c r="AF33" i="1"/>
  <c r="AP33" i="1"/>
  <c r="J33" i="1"/>
  <c r="BD33" i="1"/>
  <c r="BJ33" i="1"/>
  <c r="Z33" i="1"/>
  <c r="K35" i="1"/>
  <c r="AL35" i="1" s="1"/>
  <c r="AU34" i="1" s="1"/>
  <c r="AJ35" i="1"/>
  <c r="AS34" i="1" s="1"/>
  <c r="AK35" i="1"/>
  <c r="AT34" i="1" s="1"/>
  <c r="M35" i="1"/>
  <c r="BF35" i="1"/>
  <c r="AO35" i="1"/>
  <c r="I35" i="1" s="1"/>
  <c r="I34" i="1" s="1"/>
  <c r="AP35" i="1"/>
  <c r="J35" i="1" s="1"/>
  <c r="J34" i="1" s="1"/>
  <c r="BD35" i="1"/>
  <c r="BJ35" i="1"/>
  <c r="Z35" i="1"/>
  <c r="K37" i="1"/>
  <c r="AJ37" i="1"/>
  <c r="M37" i="1"/>
  <c r="AO37" i="1"/>
  <c r="AW37" i="1" s="1"/>
  <c r="AP37" i="1"/>
  <c r="BI37" i="1" s="1"/>
  <c r="AC37" i="1" s="1"/>
  <c r="J37" i="1"/>
  <c r="AX37" i="1"/>
  <c r="BD37" i="1"/>
  <c r="BF37" i="1"/>
  <c r="BJ37" i="1"/>
  <c r="Z37" i="1"/>
  <c r="K38" i="1"/>
  <c r="AK38" i="1"/>
  <c r="M38" i="1"/>
  <c r="BF38" i="1"/>
  <c r="Z38" i="1"/>
  <c r="AJ38" i="1"/>
  <c r="AL38" i="1"/>
  <c r="AO38" i="1"/>
  <c r="I38" i="1" s="1"/>
  <c r="AP38" i="1"/>
  <c r="J38" i="1" s="1"/>
  <c r="BD38" i="1"/>
  <c r="BJ38" i="1"/>
  <c r="AH38" i="1"/>
  <c r="K39" i="1"/>
  <c r="AL39" i="1" s="1"/>
  <c r="AJ39" i="1"/>
  <c r="M39" i="1"/>
  <c r="AK39" i="1"/>
  <c r="AO39" i="1"/>
  <c r="AW39" i="1" s="1"/>
  <c r="I39" i="1"/>
  <c r="AP39" i="1"/>
  <c r="BI39" i="1" s="1"/>
  <c r="AC39" i="1" s="1"/>
  <c r="BD39" i="1"/>
  <c r="BF39" i="1"/>
  <c r="AD39" i="1"/>
  <c r="AG39" i="1"/>
  <c r="BJ39" i="1"/>
  <c r="AH39" i="1"/>
  <c r="K40" i="1"/>
  <c r="AL40" i="1" s="1"/>
  <c r="AK40" i="1"/>
  <c r="M40" i="1"/>
  <c r="BF40" i="1"/>
  <c r="AO40" i="1"/>
  <c r="AW40" i="1" s="1"/>
  <c r="I40" i="1"/>
  <c r="AP40" i="1"/>
  <c r="J40" i="1" s="1"/>
  <c r="BD40" i="1"/>
  <c r="BJ40" i="1"/>
  <c r="Z40" i="1"/>
  <c r="K41" i="1"/>
  <c r="M41" i="1"/>
  <c r="AJ41" i="1"/>
  <c r="AK41" i="1"/>
  <c r="AL41" i="1"/>
  <c r="AO41" i="1"/>
  <c r="AW41" i="1" s="1"/>
  <c r="AP41" i="1"/>
  <c r="AX41" i="1" s="1"/>
  <c r="BD41" i="1"/>
  <c r="BF41" i="1"/>
  <c r="BH41" i="1"/>
  <c r="AB41" i="1" s="1"/>
  <c r="BJ41" i="1"/>
  <c r="AH41" i="1"/>
  <c r="K43" i="1"/>
  <c r="AK43" i="1"/>
  <c r="AT42" i="1" s="1"/>
  <c r="M43" i="1"/>
  <c r="M42" i="1"/>
  <c r="BF43" i="1"/>
  <c r="AO43" i="1"/>
  <c r="AW43" i="1" s="1"/>
  <c r="AP43" i="1"/>
  <c r="AX43" i="1" s="1"/>
  <c r="BD43" i="1"/>
  <c r="BI43" i="1"/>
  <c r="AE43" i="1"/>
  <c r="BJ43" i="1"/>
  <c r="Z43" i="1"/>
  <c r="K45" i="1"/>
  <c r="AK45" i="1"/>
  <c r="AT44" i="1" s="1"/>
  <c r="M45" i="1"/>
  <c r="M44" i="1"/>
  <c r="AJ45" i="1"/>
  <c r="AS44" i="1" s="1"/>
  <c r="AO45" i="1"/>
  <c r="BH45" i="1"/>
  <c r="AB45" i="1" s="1"/>
  <c r="AP45" i="1"/>
  <c r="J45" i="1" s="1"/>
  <c r="AX45" i="1"/>
  <c r="BD45" i="1"/>
  <c r="AE45" i="1"/>
  <c r="BJ45" i="1"/>
  <c r="Z45" i="1"/>
  <c r="K46" i="1"/>
  <c r="AL46" i="1" s="1"/>
  <c r="AJ46" i="1"/>
  <c r="M46" i="1"/>
  <c r="BF46" i="1"/>
  <c r="AK46" i="1"/>
  <c r="AO46" i="1"/>
  <c r="BH46" i="1" s="1"/>
  <c r="AB46" i="1" s="1"/>
  <c r="AP46" i="1"/>
  <c r="BI46" i="1"/>
  <c r="BD46" i="1"/>
  <c r="BJ46" i="1"/>
  <c r="AH46" i="1"/>
  <c r="K47" i="1"/>
  <c r="AJ47" i="1"/>
  <c r="M47" i="1"/>
  <c r="BF47" i="1"/>
  <c r="AK47" i="1"/>
  <c r="AO47" i="1"/>
  <c r="I47" i="1" s="1"/>
  <c r="AP47" i="1"/>
  <c r="J47" i="1" s="1"/>
  <c r="BD47" i="1"/>
  <c r="BJ47" i="1"/>
  <c r="Z47" i="1"/>
  <c r="K49" i="1"/>
  <c r="M49" i="1"/>
  <c r="M48" i="1"/>
  <c r="AL49" i="1"/>
  <c r="AO49" i="1"/>
  <c r="I49" i="1" s="1"/>
  <c r="AP49" i="1"/>
  <c r="J49" i="1" s="1"/>
  <c r="AW49" i="1"/>
  <c r="BD49" i="1"/>
  <c r="BF49" i="1"/>
  <c r="AD49" i="1"/>
  <c r="AE49" i="1"/>
  <c r="BJ49" i="1"/>
  <c r="Z49" i="1"/>
  <c r="K50" i="1"/>
  <c r="AL50" i="1" s="1"/>
  <c r="AK50" i="1"/>
  <c r="AT48" i="1" s="1"/>
  <c r="M50" i="1"/>
  <c r="AJ50" i="1"/>
  <c r="AO50" i="1"/>
  <c r="AW50" i="1" s="1"/>
  <c r="AP50" i="1"/>
  <c r="J50" i="1" s="1"/>
  <c r="BD50" i="1"/>
  <c r="BF50" i="1"/>
  <c r="AD50" i="1"/>
  <c r="BJ50" i="1"/>
  <c r="AH50" i="1"/>
  <c r="K52" i="1"/>
  <c r="AL52" i="1" s="1"/>
  <c r="M52" i="1"/>
  <c r="M51" i="1"/>
  <c r="AK52" i="1"/>
  <c r="AO52" i="1"/>
  <c r="AW52" i="1" s="1"/>
  <c r="BC52" i="1" s="1"/>
  <c r="I52" i="1"/>
  <c r="AP52" i="1"/>
  <c r="AX52" i="1" s="1"/>
  <c r="BD52" i="1"/>
  <c r="AE52" i="1"/>
  <c r="BJ52" i="1"/>
  <c r="Z52" i="1"/>
  <c r="K53" i="1"/>
  <c r="AJ53" i="1"/>
  <c r="M53" i="1"/>
  <c r="BF53" i="1"/>
  <c r="AO53" i="1"/>
  <c r="BH53" i="1" s="1"/>
  <c r="AB53" i="1" s="1"/>
  <c r="AP53" i="1"/>
  <c r="AX53" i="1" s="1"/>
  <c r="BD53" i="1"/>
  <c r="BJ53" i="1"/>
  <c r="AH53" i="1"/>
  <c r="K54" i="1"/>
  <c r="AL54" i="1" s="1"/>
  <c r="M54" i="1"/>
  <c r="BF54" i="1"/>
  <c r="AK54" i="1"/>
  <c r="AO54" i="1"/>
  <c r="AW54" i="1" s="1"/>
  <c r="AV54" i="1" s="1"/>
  <c r="AP54" i="1"/>
  <c r="AX54" i="1" s="1"/>
  <c r="BD54" i="1"/>
  <c r="BJ54" i="1"/>
  <c r="Z54" i="1"/>
  <c r="K55" i="1"/>
  <c r="AJ55" i="1"/>
  <c r="M55" i="1"/>
  <c r="BF55" i="1"/>
  <c r="AK55" i="1"/>
  <c r="AO55" i="1"/>
  <c r="AW55" i="1" s="1"/>
  <c r="AP55" i="1"/>
  <c r="BI55" i="1"/>
  <c r="BD55" i="1"/>
  <c r="AD55" i="1"/>
  <c r="BJ55" i="1"/>
  <c r="AH55" i="1"/>
  <c r="K57" i="1"/>
  <c r="AL57" i="1" s="1"/>
  <c r="AU56" i="1" s="1"/>
  <c r="M57" i="1"/>
  <c r="M56" i="1"/>
  <c r="AO57" i="1"/>
  <c r="I57" i="1" s="1"/>
  <c r="I56" i="1" s="1"/>
  <c r="AP57" i="1"/>
  <c r="J57" i="1" s="1"/>
  <c r="J56" i="1" s="1"/>
  <c r="BD57" i="1"/>
  <c r="BF57" i="1"/>
  <c r="BJ57" i="1"/>
  <c r="AH57" i="1"/>
  <c r="C2" i="2"/>
  <c r="F2" i="2"/>
  <c r="C4" i="2"/>
  <c r="F4" i="2"/>
  <c r="C6" i="2"/>
  <c r="C8" i="2"/>
  <c r="C2" i="3"/>
  <c r="F2" i="3"/>
  <c r="C4" i="3"/>
  <c r="F4" i="3"/>
  <c r="C6" i="3"/>
  <c r="F6" i="3"/>
  <c r="C10" i="3"/>
  <c r="F10" i="3"/>
  <c r="C2" i="4"/>
  <c r="F2" i="4"/>
  <c r="C4" i="4"/>
  <c r="F4" i="4"/>
  <c r="C6" i="4"/>
  <c r="F6" i="4"/>
  <c r="C10" i="4"/>
  <c r="F10" i="4"/>
  <c r="I10" i="4"/>
  <c r="I35" i="4"/>
  <c r="I36" i="4"/>
  <c r="I37" i="4"/>
  <c r="I38" i="4"/>
  <c r="I39" i="4"/>
  <c r="I40" i="4"/>
  <c r="I41" i="4"/>
  <c r="AF55" i="1"/>
  <c r="AK53" i="1"/>
  <c r="AT51" i="1" s="1"/>
  <c r="AJ52" i="1"/>
  <c r="AJ54" i="1"/>
  <c r="AL53" i="1"/>
  <c r="AL55" i="1"/>
  <c r="AH52" i="1"/>
  <c r="AG49" i="1"/>
  <c r="J43" i="1"/>
  <c r="J42" i="1"/>
  <c r="AL43" i="1"/>
  <c r="AU42" i="1" s="1"/>
  <c r="AJ40" i="1"/>
  <c r="BH40" i="1"/>
  <c r="AB40" i="1" s="1"/>
  <c r="AH40" i="1"/>
  <c r="Z39" i="1"/>
  <c r="AW38" i="1"/>
  <c r="Z41" i="1"/>
  <c r="AF39" i="1"/>
  <c r="BH38" i="1"/>
  <c r="AB38" i="1" s="1"/>
  <c r="AH35" i="1"/>
  <c r="AL33" i="1"/>
  <c r="AH32" i="1"/>
  <c r="Z29" i="1"/>
  <c r="AF28" i="1"/>
  <c r="Z24" i="1"/>
  <c r="AX23" i="1"/>
  <c r="AH21" i="1"/>
  <c r="AL18" i="1"/>
  <c r="AX19" i="1"/>
  <c r="BI19" i="1"/>
  <c r="AC19" i="1" s="1"/>
  <c r="AW19" i="1"/>
  <c r="AV19" i="1" s="1"/>
  <c r="J15" i="1"/>
  <c r="BI15" i="1"/>
  <c r="AH15" i="1"/>
  <c r="AG16" i="1"/>
  <c r="AF50" i="1"/>
  <c r="Z50" i="1"/>
  <c r="J52" i="1"/>
  <c r="Z57" i="1"/>
  <c r="BI57" i="1"/>
  <c r="AE57" i="1"/>
  <c r="AC57" i="1"/>
  <c r="AF57" i="1"/>
  <c r="Z28" i="1"/>
  <c r="BI25" i="1"/>
  <c r="Z18" i="1"/>
  <c r="AE50" i="1"/>
  <c r="AH45" i="1"/>
  <c r="BH43" i="1"/>
  <c r="AE39" i="1"/>
  <c r="AF35" i="1"/>
  <c r="AD35" i="1"/>
  <c r="AG29" i="1"/>
  <c r="AH25" i="1"/>
  <c r="AF21" i="1"/>
  <c r="AW16" i="1"/>
  <c r="AX57" i="1"/>
  <c r="Z55" i="1"/>
  <c r="Z53" i="1"/>
  <c r="I53" i="1"/>
  <c r="BF52" i="1"/>
  <c r="AG52" i="1"/>
  <c r="AK49" i="1"/>
  <c r="AF49" i="1"/>
  <c r="Z46" i="1"/>
  <c r="BF45" i="1"/>
  <c r="AW45" i="1"/>
  <c r="BC45" i="1" s="1"/>
  <c r="AG45" i="1"/>
  <c r="BI40" i="1"/>
  <c r="AC40" i="1" s="1"/>
  <c r="AG40" i="1"/>
  <c r="BI38" i="1"/>
  <c r="M34" i="1"/>
  <c r="AX33" i="1"/>
  <c r="BI33" i="1"/>
  <c r="I23" i="1"/>
  <c r="AJ23" i="1"/>
  <c r="AL23" i="1"/>
  <c r="I22" i="1"/>
  <c r="AW21" i="1"/>
  <c r="AV21" i="1" s="1"/>
  <c r="BH19" i="1"/>
  <c r="BH16" i="1"/>
  <c r="AC15" i="1"/>
  <c r="AG15" i="1"/>
  <c r="AE15" i="1"/>
  <c r="BF14" i="1"/>
  <c r="AG57" i="1"/>
  <c r="AG50" i="1"/>
  <c r="AJ49" i="1"/>
  <c r="AS48" i="1"/>
  <c r="AH43" i="1"/>
  <c r="AF38" i="1"/>
  <c r="AW15" i="1"/>
  <c r="AV15" i="1" s="1"/>
  <c r="BH15" i="1"/>
  <c r="AB15" i="1" s="1"/>
  <c r="AC43" i="1"/>
  <c r="I43" i="1"/>
  <c r="I42" i="1" s="1"/>
  <c r="AD38" i="1"/>
  <c r="BI35" i="1"/>
  <c r="AG35" i="1"/>
  <c r="AX35" i="1"/>
  <c r="BH32" i="1"/>
  <c r="AF32" i="1"/>
  <c r="AF29" i="1"/>
  <c r="AJ29" i="1"/>
  <c r="AK25" i="1"/>
  <c r="AH23" i="1"/>
  <c r="AD22" i="1"/>
  <c r="AJ14" i="1"/>
  <c r="AH16" i="1"/>
  <c r="M36" i="1"/>
  <c r="AK18" i="1"/>
  <c r="AT17" i="1" s="1"/>
  <c r="AH14" i="1"/>
  <c r="AD28" i="1"/>
  <c r="AG19" i="1"/>
  <c r="AE19" i="1"/>
  <c r="AB57" i="1"/>
  <c r="AE25" i="1"/>
  <c r="AC25" i="1"/>
  <c r="AG25" i="1"/>
  <c r="AE35" i="1"/>
  <c r="AF23" i="1"/>
  <c r="AD23" i="1"/>
  <c r="AB19" i="1"/>
  <c r="AF19" i="1"/>
  <c r="AD19" i="1"/>
  <c r="AC33" i="1"/>
  <c r="AG33" i="1"/>
  <c r="AE33" i="1"/>
  <c r="AE40" i="1"/>
  <c r="AG24" i="1"/>
  <c r="AE24" i="1"/>
  <c r="AE38" i="1"/>
  <c r="AG38" i="1"/>
  <c r="AC38" i="1"/>
  <c r="AD32" i="1"/>
  <c r="AB32" i="1"/>
  <c r="AD15" i="1"/>
  <c r="AF15" i="1"/>
  <c r="AD16" i="1"/>
  <c r="AF16" i="1"/>
  <c r="AB16" i="1"/>
  <c r="AG22" i="1"/>
  <c r="AE22" i="1"/>
  <c r="AF43" i="1"/>
  <c r="AB43" i="1"/>
  <c r="AD43" i="1"/>
  <c r="M12" i="1"/>
  <c r="AT31" i="1"/>
  <c r="AD45" i="1"/>
  <c r="AF45" i="1"/>
  <c r="AD24" i="1"/>
  <c r="AF24" i="1"/>
  <c r="AG23" i="1"/>
  <c r="AE23" i="1"/>
  <c r="AF25" i="1"/>
  <c r="AD25" i="1"/>
  <c r="AF52" i="1"/>
  <c r="AD52" i="1"/>
  <c r="M30" i="1"/>
  <c r="AE55" i="1"/>
  <c r="AC55" i="1"/>
  <c r="AG55" i="1"/>
  <c r="AE21" i="1"/>
  <c r="AG21" i="1"/>
  <c r="AD14" i="1"/>
  <c r="AF14" i="1"/>
  <c r="AD47" i="1"/>
  <c r="AF47" i="1"/>
  <c r="AD53" i="1"/>
  <c r="AF53" i="1"/>
  <c r="AD46" i="1"/>
  <c r="AF46" i="1"/>
  <c r="AG46" i="1"/>
  <c r="AC46" i="1"/>
  <c r="AE46" i="1"/>
  <c r="AG14" i="1"/>
  <c r="AE14" i="1"/>
  <c r="J53" i="1"/>
  <c r="AE29" i="1"/>
  <c r="AC35" i="1"/>
  <c r="AD57" i="1"/>
  <c r="AG37" i="1"/>
  <c r="I37" i="1"/>
  <c r="I36" i="1" s="1"/>
  <c r="AW18" i="1"/>
  <c r="AK28" i="1"/>
  <c r="J46" i="1"/>
  <c r="AK57" i="1"/>
  <c r="AT56" i="1" s="1"/>
  <c r="I54" i="1"/>
  <c r="AW53" i="1"/>
  <c r="AX46" i="1"/>
  <c r="AJ43" i="1"/>
  <c r="AS42" i="1"/>
  <c r="AD41" i="1"/>
  <c r="I41" i="1"/>
  <c r="AE37" i="1"/>
  <c r="AJ32" i="1"/>
  <c r="AS31" i="1"/>
  <c r="AW25" i="1"/>
  <c r="J23" i="1"/>
  <c r="AF22" i="1"/>
  <c r="AK19" i="1"/>
  <c r="BH18" i="1"/>
  <c r="BI54" i="1"/>
  <c r="AC54" i="1" s="1"/>
  <c r="K27" i="1"/>
  <c r="K26" i="1"/>
  <c r="BF21" i="1"/>
  <c r="AL37" i="1"/>
  <c r="AU36" i="1" s="1"/>
  <c r="AD33" i="1"/>
  <c r="AF41" i="1"/>
  <c r="AX55" i="1"/>
  <c r="BI53" i="1"/>
  <c r="AH49" i="1"/>
  <c r="AX38" i="1"/>
  <c r="BC38" i="1" s="1"/>
  <c r="AX21" i="1"/>
  <c r="BC15" i="1"/>
  <c r="AD40" i="1"/>
  <c r="BF32" i="1"/>
  <c r="AJ57" i="1"/>
  <c r="AS56" i="1"/>
  <c r="J55" i="1"/>
  <c r="BH54" i="1"/>
  <c r="AB54" i="1" s="1"/>
  <c r="I45" i="1"/>
  <c r="K42" i="1"/>
  <c r="K34" i="1"/>
  <c r="I25" i="1"/>
  <c r="AL24" i="1"/>
  <c r="J21" i="1"/>
  <c r="AJ19" i="1"/>
  <c r="AK15" i="1"/>
  <c r="AT13" i="1" s="1"/>
  <c r="I14" i="1"/>
  <c r="I13" i="1" s="1"/>
  <c r="AH37" i="1"/>
  <c r="AF40" i="1"/>
  <c r="AK37" i="1"/>
  <c r="AT36" i="1" s="1"/>
  <c r="J41" i="1"/>
  <c r="AH54" i="1"/>
  <c r="AH47" i="1"/>
  <c r="BI32" i="1"/>
  <c r="AL28" i="1"/>
  <c r="AH19" i="1"/>
  <c r="BH37" i="1"/>
  <c r="AB37" i="1" s="1"/>
  <c r="BI41" i="1"/>
  <c r="AC41" i="1" s="1"/>
  <c r="AL45" i="1"/>
  <c r="BI28" i="1"/>
  <c r="AC28" i="1" s="1"/>
  <c r="AL22" i="1"/>
  <c r="BF19" i="1"/>
  <c r="AG43" i="1"/>
  <c r="AH22" i="1"/>
  <c r="AF18" i="1"/>
  <c r="AB18" i="1"/>
  <c r="AD18" i="1"/>
  <c r="AE53" i="1"/>
  <c r="AC53" i="1"/>
  <c r="AG53" i="1"/>
  <c r="AG54" i="1"/>
  <c r="AE54" i="1"/>
  <c r="AG41" i="1"/>
  <c r="AE41" i="1"/>
  <c r="AG28" i="1"/>
  <c r="AE28" i="1"/>
  <c r="AD37" i="1"/>
  <c r="AF37" i="1"/>
  <c r="AD54" i="1"/>
  <c r="AF54" i="1"/>
  <c r="AG18" i="1"/>
  <c r="AE18" i="1"/>
  <c r="AV25" i="1"/>
  <c r="BC25" i="1"/>
  <c r="AG32" i="1"/>
  <c r="AE32" i="1"/>
  <c r="AC32" i="1"/>
  <c r="AG47" i="1"/>
  <c r="AE47" i="1"/>
  <c r="I14" i="3" l="1"/>
  <c r="I22" i="3" s="1"/>
  <c r="I42" i="4"/>
  <c r="I24" i="3" s="1"/>
  <c r="K56" i="1"/>
  <c r="I51" i="1"/>
  <c r="J54" i="1"/>
  <c r="BH52" i="1"/>
  <c r="AB52" i="1" s="1"/>
  <c r="AS51" i="1"/>
  <c r="BC53" i="1"/>
  <c r="BI52" i="1"/>
  <c r="AC52" i="1" s="1"/>
  <c r="I55" i="1"/>
  <c r="J48" i="1"/>
  <c r="AV49" i="1"/>
  <c r="I50" i="1"/>
  <c r="AX49" i="1"/>
  <c r="BI50" i="1"/>
  <c r="AC50" i="1" s="1"/>
  <c r="BI49" i="1"/>
  <c r="AC49" i="1" s="1"/>
  <c r="I48" i="1"/>
  <c r="AU48" i="1"/>
  <c r="BH50" i="1"/>
  <c r="AB50" i="1" s="1"/>
  <c r="AX50" i="1"/>
  <c r="AV50" i="1" s="1"/>
  <c r="BC49" i="1"/>
  <c r="K48" i="1"/>
  <c r="BH47" i="1"/>
  <c r="AB47" i="1" s="1"/>
  <c r="AW47" i="1"/>
  <c r="AV45" i="1"/>
  <c r="BI45" i="1"/>
  <c r="AC45" i="1" s="1"/>
  <c r="K44" i="1"/>
  <c r="AV41" i="1"/>
  <c r="BC41" i="1"/>
  <c r="AV37" i="1"/>
  <c r="BC37" i="1"/>
  <c r="AX39" i="1"/>
  <c r="BC39" i="1" s="1"/>
  <c r="BH39" i="1"/>
  <c r="AB39" i="1" s="1"/>
  <c r="K36" i="1"/>
  <c r="AS36" i="1"/>
  <c r="J39" i="1"/>
  <c r="J36" i="1" s="1"/>
  <c r="J30" i="1" s="1"/>
  <c r="AW35" i="1"/>
  <c r="BC35" i="1" s="1"/>
  <c r="AL32" i="1"/>
  <c r="AU31" i="1" s="1"/>
  <c r="AU27" i="1"/>
  <c r="AS27" i="1"/>
  <c r="AT27" i="1"/>
  <c r="AS20" i="1"/>
  <c r="K20" i="1"/>
  <c r="I24" i="1"/>
  <c r="AW24" i="1"/>
  <c r="AS17" i="1"/>
  <c r="BC19" i="1"/>
  <c r="AV18" i="1"/>
  <c r="AU17" i="1"/>
  <c r="J16" i="1"/>
  <c r="BI14" i="1"/>
  <c r="AC14" i="1" s="1"/>
  <c r="J14" i="1"/>
  <c r="J13" i="1" s="1"/>
  <c r="BH14" i="1"/>
  <c r="AB14" i="1" s="1"/>
  <c r="AS13" i="1"/>
  <c r="AX16" i="1"/>
  <c r="BC16" i="1" s="1"/>
  <c r="AL16" i="1"/>
  <c r="AU13" i="1" s="1"/>
  <c r="BC14" i="1"/>
  <c r="AV14" i="1"/>
  <c r="BC18" i="1"/>
  <c r="I17" i="1"/>
  <c r="K17" i="1"/>
  <c r="K12" i="1" s="1"/>
  <c r="BI18" i="1"/>
  <c r="AC18" i="1" s="1"/>
  <c r="J18" i="1"/>
  <c r="J17" i="1" s="1"/>
  <c r="BC21" i="1"/>
  <c r="AW23" i="1"/>
  <c r="AW22" i="1"/>
  <c r="AV22" i="1" s="1"/>
  <c r="J22" i="1"/>
  <c r="I20" i="1"/>
  <c r="I12" i="1" s="1"/>
  <c r="BI22" i="1"/>
  <c r="AC22" i="1" s="1"/>
  <c r="J24" i="1"/>
  <c r="J20" i="1" s="1"/>
  <c r="AX24" i="1"/>
  <c r="I33" i="1"/>
  <c r="AW33" i="1"/>
  <c r="AV28" i="1"/>
  <c r="J29" i="1"/>
  <c r="J27" i="1" s="1"/>
  <c r="J26" i="1" s="1"/>
  <c r="AX29" i="1"/>
  <c r="AV29" i="1" s="1"/>
  <c r="I28" i="1"/>
  <c r="I27" i="1" s="1"/>
  <c r="I26" i="1" s="1"/>
  <c r="BH28" i="1"/>
  <c r="AB28" i="1" s="1"/>
  <c r="BH29" i="1"/>
  <c r="AB29" i="1" s="1"/>
  <c r="AX28" i="1"/>
  <c r="BC28" i="1" s="1"/>
  <c r="AV32" i="1"/>
  <c r="BC32" i="1"/>
  <c r="I32" i="1"/>
  <c r="I31" i="1" s="1"/>
  <c r="BH35" i="1"/>
  <c r="AB35" i="1" s="1"/>
  <c r="AV35" i="1"/>
  <c r="AX40" i="1"/>
  <c r="BC40" i="1" s="1"/>
  <c r="AV38" i="1"/>
  <c r="BC43" i="1"/>
  <c r="AV43" i="1"/>
  <c r="J44" i="1"/>
  <c r="AX47" i="1"/>
  <c r="BC47" i="1" s="1"/>
  <c r="AL47" i="1"/>
  <c r="AU44" i="1" s="1"/>
  <c r="I46" i="1"/>
  <c r="I44" i="1" s="1"/>
  <c r="AW46" i="1"/>
  <c r="C27" i="3"/>
  <c r="BI47" i="1"/>
  <c r="AC47" i="1" s="1"/>
  <c r="C19" i="3"/>
  <c r="BH49" i="1"/>
  <c r="AB49" i="1" s="1"/>
  <c r="AV52" i="1"/>
  <c r="AV53" i="1"/>
  <c r="AU51" i="1"/>
  <c r="J51" i="1"/>
  <c r="K51" i="1"/>
  <c r="BC54" i="1"/>
  <c r="K30" i="1"/>
  <c r="C17" i="3"/>
  <c r="BC55" i="1"/>
  <c r="AV55" i="1"/>
  <c r="BH55" i="1"/>
  <c r="AB55" i="1" s="1"/>
  <c r="BH57" i="1"/>
  <c r="C16" i="3"/>
  <c r="AW57" i="1"/>
  <c r="C18" i="3"/>
  <c r="C21" i="3"/>
  <c r="C28" i="3"/>
  <c r="F28" i="3" s="1"/>
  <c r="BC22" i="1"/>
  <c r="AT20" i="1"/>
  <c r="AU20" i="1"/>
  <c r="C20" i="3"/>
  <c r="K58" i="1"/>
  <c r="C15" i="3" l="1"/>
  <c r="BC50" i="1"/>
  <c r="C29" i="3"/>
  <c r="F29" i="3" s="1"/>
  <c r="AV39" i="1"/>
  <c r="C14" i="3"/>
  <c r="C22" i="3" s="1"/>
  <c r="AV16" i="1"/>
  <c r="J12" i="1"/>
  <c r="AV23" i="1"/>
  <c r="BC23" i="1"/>
  <c r="BC24" i="1"/>
  <c r="AV24" i="1"/>
  <c r="AV33" i="1"/>
  <c r="BC33" i="1"/>
  <c r="BC29" i="1"/>
  <c r="I30" i="1"/>
  <c r="AV40" i="1"/>
  <c r="AV46" i="1"/>
  <c r="BC46" i="1"/>
  <c r="AV47" i="1"/>
  <c r="BC57" i="1"/>
  <c r="AV57" i="1"/>
  <c r="I28" i="3" l="1"/>
  <c r="I29" i="3" s="1"/>
</calcChain>
</file>

<file path=xl/sharedStrings.xml><?xml version="1.0" encoding="utf-8"?>
<sst xmlns="http://schemas.openxmlformats.org/spreadsheetml/2006/main" count="891" uniqueCount="274">
  <si>
    <t>Poloslepý rozpočet</t>
  </si>
  <si>
    <t>Název stavby:</t>
  </si>
  <si>
    <t>VN Šlapanice - odstranění sedimentů</t>
  </si>
  <si>
    <t>Doba výstavby:</t>
  </si>
  <si>
    <t>Objednatel:</t>
  </si>
  <si>
    <t>Povodí Vltavy, státní podnik</t>
  </si>
  <si>
    <t>Druh stavby:</t>
  </si>
  <si>
    <t>pročištění, oprava</t>
  </si>
  <si>
    <t>Začátek výstavby:</t>
  </si>
  <si>
    <t>Projektant:</t>
  </si>
  <si>
    <t>Ing. Zdeněk Viták</t>
  </si>
  <si>
    <t>Lokalita:</t>
  </si>
  <si>
    <t>k.ú.Šlapanice v Čechách</t>
  </si>
  <si>
    <t>Konec výstavby:</t>
  </si>
  <si>
    <t>Zhotovitel:</t>
  </si>
  <si>
    <t>JKSO:</t>
  </si>
  <si>
    <t>833</t>
  </si>
  <si>
    <t>Zpracováno dne:</t>
  </si>
  <si>
    <t>Zpracoval:</t>
  </si>
  <si>
    <t>Ing. Viták Zdeněk</t>
  </si>
  <si>
    <t>Č</t>
  </si>
  <si>
    <t>Objekt</t>
  </si>
  <si>
    <t>Kód</t>
  </si>
  <si>
    <t>Zkrácený popis</t>
  </si>
  <si>
    <t>MJ</t>
  </si>
  <si>
    <t>Množství</t>
  </si>
  <si>
    <t>Cena/MJ</t>
  </si>
  <si>
    <t>Náklady (Kč)</t>
  </si>
  <si>
    <t>Hmotnost (t)</t>
  </si>
  <si>
    <t>Cenová</t>
  </si>
  <si>
    <t>ISWORK</t>
  </si>
  <si>
    <t>GROUPCODE</t>
  </si>
  <si>
    <t xml:space="preserve"> </t>
  </si>
  <si>
    <t>Rozměry</t>
  </si>
  <si>
    <t>(Kč)</t>
  </si>
  <si>
    <t>Dodávka</t>
  </si>
  <si>
    <t>Montáž</t>
  </si>
  <si>
    <t>Celkem</t>
  </si>
  <si>
    <t>Jednot.</t>
  </si>
  <si>
    <t>soustava</t>
  </si>
  <si>
    <t>změna závazku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</si>
  <si>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</si>
  <si>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</si>
  <si>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</si>
  <si>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</si>
  <si>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</si>
  <si>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</si>
  <si>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</si>
  <si>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</si>
  <si>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</si>
  <si>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</si>
  <si>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</si>
  <si>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</si>
  <si>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</si>
  <si>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SO 01</t>
  </si>
  <si>
    <t>Úpravy v zátopě VN Šlapanice</t>
  </si>
  <si>
    <t>11</t>
  </si>
  <si>
    <t>Přípravné a přidružené práce</t>
  </si>
  <si>
    <t>1</t>
  </si>
  <si>
    <t>0002VD</t>
  </si>
  <si>
    <t>Převedení a čerpání vody během stavby dle skutečnosti</t>
  </si>
  <si>
    <t>kpl</t>
  </si>
  <si>
    <t>11_</t>
  </si>
  <si>
    <t>SO 01_1_</t>
  </si>
  <si>
    <t>SO 01_</t>
  </si>
  <si>
    <t>2</t>
  </si>
  <si>
    <t>111201101R00</t>
  </si>
  <si>
    <t>Odstranění náletu a  nevhodných předmětů ze zátopy</t>
  </si>
  <si>
    <t>m2</t>
  </si>
  <si>
    <t>3</t>
  </si>
  <si>
    <t>111201401R00</t>
  </si>
  <si>
    <t>Likvidace náletu a nevhodných předmětů zákonným způsobem</t>
  </si>
  <si>
    <t>12</t>
  </si>
  <si>
    <t>Odkopávky a prokopávky</t>
  </si>
  <si>
    <t>4</t>
  </si>
  <si>
    <t>R1</t>
  </si>
  <si>
    <t>Odstranění sedimentu z MVN včetně urovnání dna, nakládání, vodorovného přemístění, uložení a rozprostření na zemědělské pozemky</t>
  </si>
  <si>
    <t>m3</t>
  </si>
  <si>
    <t>VZZ</t>
  </si>
  <si>
    <t>12_</t>
  </si>
  <si>
    <t>5</t>
  </si>
  <si>
    <t>122101401R00</t>
  </si>
  <si>
    <t>Provedení tůňky a udržování odvod. příkopů v zátopě</t>
  </si>
  <si>
    <t>18</t>
  </si>
  <si>
    <t>Povrchové úpravy terénu</t>
  </si>
  <si>
    <t>6</t>
  </si>
  <si>
    <t>180401211R00</t>
  </si>
  <si>
    <t>Založení trávníku lučního výsevem v rovině (uvedení ZS a okolních pozemků do původního sdtavu)</t>
  </si>
  <si>
    <t>18_</t>
  </si>
  <si>
    <t>7</t>
  </si>
  <si>
    <t>182001111R00</t>
  </si>
  <si>
    <t>Plošná úprava terénu (uvedení okolních pozemků do původního stavu)</t>
  </si>
  <si>
    <t>8</t>
  </si>
  <si>
    <t>184807111R00</t>
  </si>
  <si>
    <t>Ochrana stromu bedněním - zřízení</t>
  </si>
  <si>
    <t>9</t>
  </si>
  <si>
    <t>184807112R00</t>
  </si>
  <si>
    <t>Ochrana stromu bedněním - odstranění</t>
  </si>
  <si>
    <t>10</t>
  </si>
  <si>
    <t>0001VD</t>
  </si>
  <si>
    <t>Poplatek za uložení sedimentu (20Kč/m3)</t>
  </si>
  <si>
    <t>SO 02</t>
  </si>
  <si>
    <t>Dočasné komunikace</t>
  </si>
  <si>
    <t>R2</t>
  </si>
  <si>
    <t>Zřízení a odstranění provizorních sjezdů do MVN včetně materiálu, likvidace a uvedení do původního stavu</t>
  </si>
  <si>
    <t>ks</t>
  </si>
  <si>
    <t>SO 02_1_</t>
  </si>
  <si>
    <t>SO 02_</t>
  </si>
  <si>
    <t>R3</t>
  </si>
  <si>
    <t>Zřízení a odstranění dočasných komunikací včetně materiálu, likvidace a uvedení do původního stavu</t>
  </si>
  <si>
    <t>SO 03</t>
  </si>
  <si>
    <t>Úprava funkčních objektů</t>
  </si>
  <si>
    <t>13</t>
  </si>
  <si>
    <t>Odstranění náletu u bezpečnostního přelivu</t>
  </si>
  <si>
    <t>SO 03_1_</t>
  </si>
  <si>
    <t>SO 03_</t>
  </si>
  <si>
    <t>14</t>
  </si>
  <si>
    <t>21</t>
  </si>
  <si>
    <t>Úprava podloží a základové spáry</t>
  </si>
  <si>
    <t>15</t>
  </si>
  <si>
    <t>216904112R00</t>
  </si>
  <si>
    <t>Očištění a otryskání zdiva FO (přelivná hrana BP, šachta požeráku)</t>
  </si>
  <si>
    <t>21_</t>
  </si>
  <si>
    <t>SO 03_2_</t>
  </si>
  <si>
    <t>28</t>
  </si>
  <si>
    <t>Zpevňování hornin a konstrukcí</t>
  </si>
  <si>
    <t>16</t>
  </si>
  <si>
    <t>0003VD</t>
  </si>
  <si>
    <t>Výměna drážek dlužové stěny po posouzení jejich stavu (pozink.U50)</t>
  </si>
  <si>
    <t>28_</t>
  </si>
  <si>
    <t>17</t>
  </si>
  <si>
    <t>0004VD</t>
  </si>
  <si>
    <t>Injektáž aktiv.směsmi nízkotl.- oprava porušeného zdiva</t>
  </si>
  <si>
    <t>289471111R00</t>
  </si>
  <si>
    <t>Sanace trhlin konstr. hl.spárováním š.3 cm, hl.15 cm</t>
  </si>
  <si>
    <t>m</t>
  </si>
  <si>
    <t>19</t>
  </si>
  <si>
    <t>289474221R00</t>
  </si>
  <si>
    <t>Přespár.zdiva hl.do 3 cm akt.maltou z lom.kamene</t>
  </si>
  <si>
    <t>20</t>
  </si>
  <si>
    <t>289901111R00</t>
  </si>
  <si>
    <t>Vyčištění trhlin konstr. do 3 cm hl. do 15 cm</t>
  </si>
  <si>
    <t>33</t>
  </si>
  <si>
    <t>Nádrže na tocích, úpravy toků a kanály</t>
  </si>
  <si>
    <t>998331011R00</t>
  </si>
  <si>
    <t>Přesun hmot pro nádrže</t>
  </si>
  <si>
    <t>t</t>
  </si>
  <si>
    <t>33_</t>
  </si>
  <si>
    <t>SO 03_3_</t>
  </si>
  <si>
    <t>46</t>
  </si>
  <si>
    <t>Zpevněné plochy (kromě vozovek a železničního svršku)</t>
  </si>
  <si>
    <t>22</t>
  </si>
  <si>
    <t>464511111R00</t>
  </si>
  <si>
    <t>Oprava a doplnění pohozu z lom.kamene před BP</t>
  </si>
  <si>
    <t>46_</t>
  </si>
  <si>
    <t>SO 03_4_</t>
  </si>
  <si>
    <t>23</t>
  </si>
  <si>
    <t>465511217R00</t>
  </si>
  <si>
    <t>Oprava kam.dlažby do 20 m, tl.25 cm s výkl. (loviště)</t>
  </si>
  <si>
    <t>24</t>
  </si>
  <si>
    <t>465513317R00</t>
  </si>
  <si>
    <t>Oprava kam.dlažby do 20 m2 na MC,tl.30 cm s vyspár (přeliv)</t>
  </si>
  <si>
    <t>89</t>
  </si>
  <si>
    <t>Ostatní konstrukce a práce na trubním vedení</t>
  </si>
  <si>
    <t>25</t>
  </si>
  <si>
    <t>899102111RT2</t>
  </si>
  <si>
    <t>Osazení pozink.poklopu s rámem, petlicí a zámkem včetně dodávky</t>
  </si>
  <si>
    <t>kus</t>
  </si>
  <si>
    <t>89_</t>
  </si>
  <si>
    <t>SO 03_8_</t>
  </si>
  <si>
    <t>26</t>
  </si>
  <si>
    <t>0005VD</t>
  </si>
  <si>
    <t>Orientační tabulka na řetízku ocel. (zákaz vstupu na lávku výpusti)</t>
  </si>
  <si>
    <t>93</t>
  </si>
  <si>
    <t>Různé dokončovací konstrukce a práce inženýrských staveb</t>
  </si>
  <si>
    <t>27</t>
  </si>
  <si>
    <t>0006VD</t>
  </si>
  <si>
    <t>Odřezání a likvidace nefunkčních stupadel požerá</t>
  </si>
  <si>
    <t>93_</t>
  </si>
  <si>
    <t>SO 03_9_</t>
  </si>
  <si>
    <t>934956124R00</t>
  </si>
  <si>
    <t>Hradítka z dubového dřeva tloušťky 5 cm</t>
  </si>
  <si>
    <t>29</t>
  </si>
  <si>
    <t>936501111R00</t>
  </si>
  <si>
    <t>Vodočetná lať osazená na dubové fošně</t>
  </si>
  <si>
    <t>30</t>
  </si>
  <si>
    <t>936941112R00</t>
  </si>
  <si>
    <t>Osazení doplňkových ocel. součástí (drážky U5 - dlužová stěna, poklop)</t>
  </si>
  <si>
    <t>kg</t>
  </si>
  <si>
    <t>S</t>
  </si>
  <si>
    <t>Přesuny sutí</t>
  </si>
  <si>
    <t>31</t>
  </si>
  <si>
    <t>0007VD</t>
  </si>
  <si>
    <t>Naložení a likvidace nevhodných předmětů zákonným způsobem - FO, zátopa (včetně SO 01)</t>
  </si>
  <si>
    <t>S_</t>
  </si>
  <si>
    <t>Celkem:</t>
  </si>
  <si>
    <t>Poznámka:</t>
  </si>
  <si>
    <t>Vyplní zhotovitel</t>
  </si>
  <si>
    <t>R1, R3</t>
  </si>
  <si>
    <t>Vyhrazená změna závazku:  Tato položka je předmětem vyhrazené změny závazku dle §100 odst 1 ZZVZ</t>
  </si>
  <si>
    <t>Výkaz výměr</t>
  </si>
  <si>
    <t>Potřebné množství</t>
  </si>
  <si>
    <t>viz. VK</t>
  </si>
  <si>
    <t>u sjezdů do zátopy</t>
  </si>
  <si>
    <t>viz.VK</t>
  </si>
  <si>
    <t>VZZ: Tato položka je předmětem vyhrazené změny závazku dle §100 odst..1 ZZVZ</t>
  </si>
  <si>
    <t>300,0 m3 + 550,0 m3 = 850,0 m3</t>
  </si>
  <si>
    <t>ZS</t>
  </si>
  <si>
    <t>Úhrada kompenzace za uložení sedimentu</t>
  </si>
  <si>
    <t>VZZ: Tato položka je předmětem vyhrazené změny závazku dle §100 odst.1 ZZVZ</t>
  </si>
  <si>
    <t>u FO</t>
  </si>
  <si>
    <t>21,2m2+6,25mx2,5m=36,83m2</t>
  </si>
  <si>
    <t>4Ks d.5m</t>
  </si>
  <si>
    <t>3,0 m3+5,0 m3=8,0 m3</t>
  </si>
  <si>
    <t>cca.20 m2</t>
  </si>
  <si>
    <t>cca.8,2 m2</t>
  </si>
  <si>
    <t>1 ks</t>
  </si>
  <si>
    <t>Orientační tabulky na řetízku ocel. (zákaz vstupu na lávku výpusti)</t>
  </si>
  <si>
    <t>12 ks</t>
  </si>
  <si>
    <t>(208,15-203,35)x2x0,85= 8,2 m2</t>
  </si>
  <si>
    <t>1x 2,5m</t>
  </si>
  <si>
    <t>4xU50 d.5m, tj.40kg</t>
  </si>
  <si>
    <t>Krycí list rozpočtu</t>
  </si>
  <si>
    <t>IČO/DIČ:</t>
  </si>
  <si>
    <t>70889953/CZ70889953</t>
  </si>
  <si>
    <t>45265887/CZ6301221927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</si>
  <si>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</si>
  <si>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</si>
  <si>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</si>
  <si>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</si>
  <si>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</si>
  <si>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</si>
  <si>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</si>
  <si>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</si>
  <si>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</si>
  <si>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</si>
  <si>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</si>
  <si>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Zařízení staveniště</t>
  </si>
  <si>
    <t>PSV</t>
  </si>
  <si>
    <t>"M"</t>
  </si>
  <si>
    <t>Ostatní materiál</t>
  </si>
  <si>
    <t>Přesun hmot a sutí</t>
  </si>
  <si>
    <t>ZRN celkem</t>
  </si>
  <si>
    <t>NUS celkem</t>
  </si>
  <si>
    <t>NUS celkem z obj.</t>
  </si>
  <si>
    <t>ORN celkem</t>
  </si>
  <si>
    <t>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</si>
  <si>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</si>
  <si>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</si>
  <si>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</si>
  <si>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</si>
  <si>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</si>
  <si>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</si>
  <si>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</si>
  <si>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</si>
  <si>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</si>
  <si>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</si>
  <si>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SVIP - projektová kancelář</t>
  </si>
  <si>
    <t>Datum, razítko a podpis</t>
  </si>
  <si>
    <t>Vedlejší a ostatní rozpočtové náklady</t>
  </si>
  <si>
    <t>Vedlejší rozpočtové náklady VRN</t>
  </si>
  <si>
    <t>Kč</t>
  </si>
  <si>
    <t>Celkem NUS</t>
  </si>
  <si>
    <t>Celkem VRN</t>
  </si>
  <si>
    <t>Ostatní rozpočtové náklady ORN</t>
  </si>
  <si>
    <t>Ostatní rozpočtové náklady (ORN)</t>
  </si>
  <si>
    <t>Geodetické práce - před stavbou</t>
  </si>
  <si>
    <t>Geodetické práce - po výstavbě</t>
  </si>
  <si>
    <t>Dokumentace skutečného provedení stavby</t>
  </si>
  <si>
    <t>Informační tabule, dopravní značení</t>
  </si>
  <si>
    <t>Opatření k zamezení vyvážení nečistot ze staveniště</t>
  </si>
  <si>
    <t>Uvedení dotčených ploch do původního stavu</t>
  </si>
  <si>
    <t>Ostatní požadavky (požadavky BOZP, fotodokumentace ap.)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</si>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</sst>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8"/>
      <name val="Arial"/>
    </font>
    <font>
      <sz val="11"/>
      <name val="Calibri"/>
    </font>
    <font>
      <sz val="11"/>
      <name val="Calibri"/>
      <family val="2"/>
      <charset val="238"/>
    </font>
    <font>
      <sz val="8"/>
      <name val="Arial"/>
      <family val="2"/>
      <charset val="238"/>
    </font>
    <font>
      <i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sz val="12"/>
      <color rgb="FF000000"/>
      <name val="Arial"/>
      <charset val="238"/>
    </font>
    <font>
      <b/>
      <sz val="12"/>
      <color rgb="FF000000"/>
      <name val="Arial"/>
      <charset val="238"/>
    </font>
    <font>
      <b/>
      <sz val="20"/>
      <color rgb="FF000000"/>
      <name val="Arial"/>
      <charset val="238"/>
    </font>
    <font>
      <i/>
      <sz val="9"/>
      <color rgb="FF000000"/>
      <name val="Arial"/>
      <charset val="238"/>
    </font>
    <font>
      <i/>
      <sz val="8"/>
      <color rgb="FF000000"/>
      <name val="Arial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8"/>
      <color rgb="FF000000"/>
      <name val="Arial"/>
      <family val="2"/>
      <charset val="238"/>
    </font>
    <font>
      <sz val="18"/>
      <color rgb="FF000000"/>
      <name val="Arial"/>
      <charset val="238"/>
    </font>
    <font>
      <b/>
      <i/>
      <sz val="9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charset val="238"/>
    </font>
    <font>
      <b/>
      <sz val="18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9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</cellStyleXfs>
  <cellXfs count="163">
    <xf numFmtId="0" fontId="1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right" vertical="center"/>
    </xf>
    <xf numFmtId="4" fontId="9" fillId="2" borderId="4" xfId="0" applyNumberFormat="1" applyFont="1" applyFill="1" applyBorder="1" applyAlignment="1" applyProtection="1">
      <alignment horizontal="right" vertical="center"/>
    </xf>
    <xf numFmtId="0" fontId="6" fillId="0" borderId="2" xfId="0" applyNumberFormat="1" applyFont="1" applyFill="1" applyBorder="1" applyAlignment="1" applyProtection="1">
      <alignment horizontal="left" vertical="center"/>
    </xf>
    <xf numFmtId="0" fontId="6" fillId="2" borderId="5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/>
    <xf numFmtId="4" fontId="6" fillId="0" borderId="2" xfId="0" applyNumberFormat="1" applyFont="1" applyFill="1" applyBorder="1" applyAlignment="1" applyProtection="1">
      <alignment horizontal="right" vertical="center"/>
    </xf>
    <xf numFmtId="0" fontId="9" fillId="0" borderId="6" xfId="0" applyNumberFormat="1" applyFont="1" applyFill="1" applyBorder="1" applyAlignment="1" applyProtection="1">
      <alignment horizontal="left" vertical="center"/>
    </xf>
    <xf numFmtId="0" fontId="10" fillId="2" borderId="4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horizontal="center" vertical="center"/>
    </xf>
    <xf numFmtId="4" fontId="11" fillId="0" borderId="8" xfId="0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Fill="1" applyBorder="1" applyAlignment="1" applyProtection="1">
      <alignment horizontal="right" vertical="center"/>
    </xf>
    <xf numFmtId="0" fontId="6" fillId="0" borderId="8" xfId="0" applyNumberFormat="1" applyFont="1" applyFill="1" applyBorder="1" applyAlignment="1" applyProtection="1">
      <alignment horizontal="left" vertical="center"/>
    </xf>
    <xf numFmtId="4" fontId="7" fillId="2" borderId="0" xfId="0" applyNumberFormat="1" applyFont="1" applyFill="1" applyBorder="1" applyAlignment="1" applyProtection="1">
      <alignment horizontal="right" vertical="center"/>
    </xf>
    <xf numFmtId="4" fontId="6" fillId="0" borderId="1" xfId="0" applyNumberFormat="1" applyFont="1" applyFill="1" applyBorder="1" applyAlignment="1" applyProtection="1">
      <alignment horizontal="right" vertical="center"/>
    </xf>
    <xf numFmtId="0" fontId="10" fillId="2" borderId="9" xfId="0" applyNumberFormat="1" applyFont="1" applyFill="1" applyBorder="1" applyAlignment="1" applyProtection="1">
      <alignment horizontal="center" vertical="center"/>
    </xf>
    <xf numFmtId="0" fontId="7" fillId="0" borderId="10" xfId="0" applyNumberFormat="1" applyFont="1" applyFill="1" applyBorder="1" applyAlignment="1" applyProtection="1">
      <alignment horizontal="left" vertical="center"/>
    </xf>
    <xf numFmtId="0" fontId="7" fillId="0" borderId="11" xfId="0" applyNumberFormat="1" applyFont="1" applyFill="1" applyBorder="1" applyAlignment="1" applyProtection="1">
      <alignment horizontal="right" vertical="center"/>
    </xf>
    <xf numFmtId="0" fontId="1" fillId="0" borderId="5" xfId="0" applyNumberFormat="1" applyFont="1" applyFill="1" applyBorder="1" applyAlignment="1" applyProtection="1"/>
    <xf numFmtId="0" fontId="7" fillId="0" borderId="12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right" vertical="center"/>
    </xf>
    <xf numFmtId="0" fontId="1" fillId="0" borderId="13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0" fontId="7" fillId="0" borderId="14" xfId="0" applyNumberFormat="1" applyFont="1" applyFill="1" applyBorder="1" applyAlignment="1" applyProtection="1">
      <alignment horizontal="center" vertical="center"/>
    </xf>
    <xf numFmtId="4" fontId="6" fillId="0" borderId="8" xfId="0" applyNumberFormat="1" applyFont="1" applyFill="1" applyBorder="1" applyAlignment="1" applyProtection="1">
      <alignment horizontal="right" vertical="center"/>
    </xf>
    <xf numFmtId="0" fontId="6" fillId="0" borderId="15" xfId="0" applyNumberFormat="1" applyFont="1" applyFill="1" applyBorder="1" applyAlignment="1" applyProtection="1">
      <alignment horizontal="left" vertical="center"/>
    </xf>
    <xf numFmtId="0" fontId="7" fillId="2" borderId="1" xfId="0" applyNumberFormat="1" applyFont="1" applyFill="1" applyBorder="1" applyAlignment="1" applyProtection="1">
      <alignment horizontal="righ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8" fillId="0" borderId="1" xfId="0" applyNumberFormat="1" applyFont="1" applyFill="1" applyBorder="1" applyAlignment="1" applyProtection="1">
      <alignment horizontal="right" vertical="center"/>
    </xf>
    <xf numFmtId="0" fontId="11" fillId="0" borderId="8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2" borderId="2" xfId="0" applyNumberFormat="1" applyFont="1" applyFill="1" applyBorder="1" applyAlignment="1" applyProtection="1">
      <alignment horizontal="right" vertical="center"/>
    </xf>
    <xf numFmtId="0" fontId="6" fillId="0" borderId="5" xfId="0" applyNumberFormat="1" applyFont="1" applyFill="1" applyBorder="1" applyAlignment="1" applyProtection="1">
      <alignment horizontal="left" vertical="center"/>
    </xf>
    <xf numFmtId="4" fontId="8" fillId="0" borderId="15" xfId="0" applyNumberFormat="1" applyFont="1" applyFill="1" applyBorder="1" applyAlignment="1" applyProtection="1">
      <alignment horizontal="right" vertical="center"/>
    </xf>
    <xf numFmtId="0" fontId="7" fillId="2" borderId="0" xfId="0" applyNumberFormat="1" applyFont="1" applyFill="1" applyBorder="1" applyAlignment="1" applyProtection="1">
      <alignment horizontal="right" vertical="center"/>
    </xf>
    <xf numFmtId="0" fontId="7" fillId="2" borderId="5" xfId="0" applyNumberFormat="1" applyFont="1" applyFill="1" applyBorder="1" applyAlignment="1" applyProtection="1">
      <alignment horizontal="left" vertical="center"/>
    </xf>
    <xf numFmtId="4" fontId="8" fillId="0" borderId="4" xfId="0" applyNumberFormat="1" applyFont="1" applyFill="1" applyBorder="1" applyAlignment="1" applyProtection="1">
      <alignment horizontal="right" vertical="center"/>
    </xf>
    <xf numFmtId="0" fontId="7" fillId="0" borderId="16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center" vertical="center"/>
    </xf>
    <xf numFmtId="0" fontId="7" fillId="0" borderId="10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/>
    <xf numFmtId="0" fontId="7" fillId="0" borderId="18" xfId="0" applyNumberFormat="1" applyFont="1" applyFill="1" applyBorder="1" applyAlignment="1" applyProtection="1">
      <alignment horizontal="right" vertical="center"/>
    </xf>
    <xf numFmtId="0" fontId="7" fillId="2" borderId="0" xfId="0" applyNumberFormat="1" applyFont="1" applyFill="1" applyBorder="1" applyAlignment="1" applyProtection="1">
      <alignment horizontal="left" vertical="center"/>
    </xf>
    <xf numFmtId="0" fontId="7" fillId="0" borderId="19" xfId="0" applyNumberFormat="1" applyFont="1" applyFill="1" applyBorder="1" applyAlignment="1" applyProtection="1">
      <alignment horizontal="right" vertical="center"/>
    </xf>
    <xf numFmtId="4" fontId="8" fillId="0" borderId="2" xfId="0" applyNumberFormat="1" applyFont="1" applyFill="1" applyBorder="1" applyAlignment="1" applyProtection="1">
      <alignment horizontal="right" vertical="center"/>
    </xf>
    <xf numFmtId="0" fontId="6" fillId="0" borderId="20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7" fillId="0" borderId="23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right" vertical="center"/>
    </xf>
    <xf numFmtId="0" fontId="9" fillId="0" borderId="24" xfId="0" applyNumberFormat="1" applyFont="1" applyFill="1" applyBorder="1" applyAlignment="1" applyProtection="1">
      <alignment horizontal="left" vertical="center"/>
    </xf>
    <xf numFmtId="4" fontId="7" fillId="0" borderId="18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5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4" fontId="14" fillId="0" borderId="0" xfId="0" applyNumberFormat="1" applyFont="1" applyFill="1" applyBorder="1" applyAlignment="1" applyProtection="1">
      <alignment horizontal="right" vertical="center"/>
    </xf>
    <xf numFmtId="0" fontId="13" fillId="0" borderId="8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wrapText="1"/>
    </xf>
    <xf numFmtId="0" fontId="1" fillId="3" borderId="0" xfId="0" applyNumberFormat="1" applyFont="1" applyFill="1" applyBorder="1" applyAlignment="1" applyProtection="1"/>
    <xf numFmtId="0" fontId="6" fillId="0" borderId="8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7" fillId="2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7" fillId="0" borderId="15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center" vertical="center"/>
    </xf>
    <xf numFmtId="0" fontId="7" fillId="0" borderId="26" xfId="0" applyNumberFormat="1" applyFont="1" applyFill="1" applyBorder="1" applyAlignment="1" applyProtection="1">
      <alignment horizontal="center" vertical="center"/>
    </xf>
    <xf numFmtId="0" fontId="7" fillId="0" borderId="19" xfId="0" applyNumberFormat="1" applyFont="1" applyFill="1" applyBorder="1" applyAlignment="1" applyProtection="1">
      <alignment horizontal="center" vertical="center"/>
    </xf>
    <xf numFmtId="0" fontId="6" fillId="0" borderId="27" xfId="0" applyNumberFormat="1" applyFont="1" applyFill="1" applyBorder="1" applyAlignment="1" applyProtection="1">
      <alignment horizontal="left" vertical="center" wrapText="1"/>
    </xf>
    <xf numFmtId="0" fontId="6" fillId="0" borderId="27" xfId="0" applyNumberFormat="1" applyFont="1" applyFill="1" applyBorder="1" applyAlignment="1" applyProtection="1">
      <alignment horizontal="left" vertical="center"/>
    </xf>
    <xf numFmtId="0" fontId="6" fillId="0" borderId="28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horizontal="left" vertical="center"/>
    </xf>
    <xf numFmtId="0" fontId="7" fillId="0" borderId="7" xfId="0" applyNumberFormat="1" applyFont="1" applyFill="1" applyBorder="1" applyAlignment="1" applyProtection="1">
      <alignment horizontal="left" vertical="center"/>
    </xf>
    <xf numFmtId="0" fontId="7" fillId="0" borderId="10" xfId="0" applyNumberFormat="1" applyFont="1" applyFill="1" applyBorder="1" applyAlignment="1" applyProtection="1">
      <alignment horizontal="left" vertical="center"/>
    </xf>
    <xf numFmtId="0" fontId="7" fillId="0" borderId="27" xfId="0" applyNumberFormat="1" applyFont="1" applyFill="1" applyBorder="1" applyAlignment="1" applyProtection="1">
      <alignment horizontal="left" vertical="center" wrapText="1"/>
    </xf>
    <xf numFmtId="0" fontId="7" fillId="0" borderId="27" xfId="0" applyNumberFormat="1" applyFont="1" applyFill="1" applyBorder="1" applyAlignment="1" applyProtection="1">
      <alignment horizontal="left" vertical="center"/>
    </xf>
    <xf numFmtId="14" fontId="6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6" fillId="0" borderId="29" xfId="0" applyNumberFormat="1" applyFont="1" applyFill="1" applyBorder="1" applyAlignment="1" applyProtection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left" vertical="center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8" xfId="0" applyNumberFormat="1" applyFont="1" applyFill="1" applyBorder="1" applyAlignment="1" applyProtection="1">
      <alignment horizontal="left" vertical="center"/>
    </xf>
    <xf numFmtId="0" fontId="17" fillId="0" borderId="0" xfId="0" applyNumberFormat="1" applyFont="1" applyFill="1" applyBorder="1" applyAlignment="1" applyProtection="1">
      <alignment horizontal="left" vertical="center"/>
    </xf>
    <xf numFmtId="14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18" fillId="0" borderId="3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34" xfId="0" applyNumberFormat="1" applyFont="1" applyFill="1" applyBorder="1" applyAlignment="1" applyProtection="1">
      <alignment horizontal="left" vertical="center"/>
    </xf>
    <xf numFmtId="0" fontId="8" fillId="0" borderId="14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18" fillId="0" borderId="0" xfId="0" applyNumberFormat="1" applyFont="1" applyFill="1" applyBorder="1" applyAlignment="1" applyProtection="1">
      <alignment horizontal="left" vertical="center"/>
    </xf>
    <xf numFmtId="0" fontId="9" fillId="2" borderId="35" xfId="0" applyNumberFormat="1" applyFont="1" applyFill="1" applyBorder="1" applyAlignment="1" applyProtection="1">
      <alignment horizontal="left" vertical="center"/>
    </xf>
    <xf numFmtId="0" fontId="9" fillId="2" borderId="36" xfId="0" applyNumberFormat="1" applyFont="1" applyFill="1" applyBorder="1" applyAlignment="1" applyProtection="1">
      <alignment horizontal="left" vertical="center"/>
    </xf>
    <xf numFmtId="0" fontId="9" fillId="2" borderId="13" xfId="0" applyNumberFormat="1" applyFont="1" applyFill="1" applyBorder="1" applyAlignment="1" applyProtection="1">
      <alignment horizontal="left" vertical="center"/>
    </xf>
    <xf numFmtId="0" fontId="9" fillId="2" borderId="8" xfId="0" applyNumberFormat="1" applyFont="1" applyFill="1" applyBorder="1" applyAlignment="1" applyProtection="1">
      <alignment horizontal="lef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8" fillId="0" borderId="1" xfId="0" applyNumberFormat="1" applyFont="1" applyFill="1" applyBorder="1" applyAlignment="1" applyProtection="1">
      <alignment horizontal="left" vertical="center"/>
    </xf>
    <xf numFmtId="0" fontId="9" fillId="0" borderId="36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13" xfId="0" applyNumberFormat="1" applyFont="1" applyFill="1" applyBorder="1" applyAlignment="1" applyProtection="1">
      <alignment horizontal="left" vertical="center"/>
    </xf>
    <xf numFmtId="0" fontId="19" fillId="0" borderId="36" xfId="0" applyNumberFormat="1" applyFont="1" applyFill="1" applyBorder="1" applyAlignment="1" applyProtection="1">
      <alignment horizontal="left" vertical="center"/>
    </xf>
    <xf numFmtId="0" fontId="19" fillId="0" borderId="4" xfId="0" applyNumberFormat="1" applyFont="1" applyFill="1" applyBorder="1" applyAlignment="1" applyProtection="1">
      <alignment horizontal="left" vertical="center"/>
    </xf>
    <xf numFmtId="0" fontId="9" fillId="0" borderId="5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left" vertical="center"/>
    </xf>
    <xf numFmtId="1" fontId="6" fillId="0" borderId="1" xfId="0" applyNumberFormat="1" applyFont="1" applyFill="1" applyBorder="1" applyAlignment="1" applyProtection="1">
      <alignment horizontal="left" vertical="center"/>
    </xf>
    <xf numFmtId="14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/>
    </xf>
    <xf numFmtId="0" fontId="9" fillId="0" borderId="37" xfId="0" applyNumberFormat="1" applyFont="1" applyFill="1" applyBorder="1" applyAlignment="1" applyProtection="1">
      <alignment horizontal="left" vertical="center"/>
    </xf>
    <xf numFmtId="0" fontId="9" fillId="0" borderId="11" xfId="0" applyNumberFormat="1" applyFont="1" applyFill="1" applyBorder="1" applyAlignment="1" applyProtection="1">
      <alignment horizontal="left" vertical="center"/>
    </xf>
    <xf numFmtId="0" fontId="9" fillId="0" borderId="18" xfId="0" applyNumberFormat="1" applyFont="1" applyFill="1" applyBorder="1" applyAlignment="1" applyProtection="1">
      <alignment horizontal="left" vertical="center"/>
    </xf>
    <xf numFmtId="4" fontId="9" fillId="0" borderId="11" xfId="0" applyNumberFormat="1" applyFont="1" applyFill="1" applyBorder="1" applyAlignment="1" applyProtection="1">
      <alignment horizontal="right" vertical="center"/>
    </xf>
    <xf numFmtId="0" fontId="9" fillId="0" borderId="11" xfId="0" applyNumberFormat="1" applyFont="1" applyFill="1" applyBorder="1" applyAlignment="1" applyProtection="1">
      <alignment horizontal="right" vertical="center"/>
    </xf>
    <xf numFmtId="0" fontId="9" fillId="0" borderId="18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26" xfId="0" applyNumberFormat="1" applyFont="1" applyFill="1" applyBorder="1" applyAlignment="1" applyProtection="1">
      <alignment horizontal="left" vertical="center"/>
    </xf>
    <xf numFmtId="0" fontId="7" fillId="0" borderId="19" xfId="0" applyNumberFormat="1" applyFont="1" applyFill="1" applyBorder="1" applyAlignment="1" applyProtection="1">
      <alignment horizontal="left" vertical="center"/>
    </xf>
    <xf numFmtId="0" fontId="7" fillId="0" borderId="37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4" fontId="6" fillId="3" borderId="0" xfId="0" applyNumberFormat="1" applyFont="1" applyFill="1" applyBorder="1" applyAlignment="1" applyProtection="1">
      <alignment horizontal="right" vertical="center"/>
      <protection locked="0"/>
    </xf>
    <xf numFmtId="4" fontId="6" fillId="3" borderId="8" xfId="0" applyNumberFormat="1" applyFont="1" applyFill="1" applyBorder="1" applyAlignment="1" applyProtection="1">
      <alignment horizontal="right" vertical="center"/>
      <protection locked="0"/>
    </xf>
    <xf numFmtId="0" fontId="6" fillId="3" borderId="0" xfId="0" applyNumberFormat="1" applyFont="1" applyFill="1" applyBorder="1" applyAlignment="1" applyProtection="1">
      <alignment horizontal="left" vertical="center"/>
      <protection locked="0"/>
    </xf>
    <xf numFmtId="0" fontId="6" fillId="3" borderId="1" xfId="0" applyNumberFormat="1" applyFont="1" applyFill="1" applyBorder="1" applyAlignment="1" applyProtection="1">
      <alignment horizontal="left" vertical="center"/>
      <protection locked="0"/>
    </xf>
    <xf numFmtId="0" fontId="6" fillId="3" borderId="0" xfId="0" applyNumberFormat="1" applyFont="1" applyFill="1" applyBorder="1" applyAlignment="1" applyProtection="1">
      <alignment horizontal="left" vertical="center" wrapText="1"/>
      <protection locked="0"/>
    </xf>
    <xf numFmtId="0" fontId="8" fillId="3" borderId="0" xfId="0" applyNumberFormat="1" applyFont="1" applyFill="1" applyBorder="1" applyAlignment="1" applyProtection="1">
      <alignment horizontal="left" vertical="center"/>
      <protection locked="0"/>
    </xf>
    <xf numFmtId="0" fontId="8" fillId="3" borderId="31" xfId="0" applyNumberFormat="1" applyFont="1" applyFill="1" applyBorder="1" applyAlignment="1" applyProtection="1">
      <alignment horizontal="left" vertical="center"/>
      <protection locked="0"/>
    </xf>
    <xf numFmtId="4" fontId="6" fillId="3" borderId="2" xfId="0" applyNumberFormat="1" applyFont="1" applyFill="1" applyBorder="1" applyAlignment="1" applyProtection="1">
      <alignment horizontal="right" vertical="center"/>
      <protection locked="0"/>
    </xf>
    <xf numFmtId="4" fontId="6" fillId="3" borderId="1" xfId="0" applyNumberFormat="1" applyFont="1" applyFill="1" applyBorder="1" applyAlignment="1" applyProtection="1">
      <alignment horizontal="right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1044" name="Picture 2">
          <a:extLst>
            <a:ext uri="{FF2B5EF4-FFF2-40B4-BE49-F238E27FC236}">
              <a16:creationId xmlns:a16="http://schemas.microsoft.com/office/drawing/2014/main" id="{152DB289-69AF-C2AA-E0B0-F85A5CE0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2059" name="Picture 4">
          <a:extLst>
            <a:ext uri="{FF2B5EF4-FFF2-40B4-BE49-F238E27FC236}">
              <a16:creationId xmlns:a16="http://schemas.microsoft.com/office/drawing/2014/main" id="{D3BA84ED-3A76-96FC-CA26-63A5DE98E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3083" name="Picture 6">
          <a:extLst>
            <a:ext uri="{FF2B5EF4-FFF2-40B4-BE49-F238E27FC236}">
              <a16:creationId xmlns:a16="http://schemas.microsoft.com/office/drawing/2014/main" id="{36EAA3FB-9178-B945-0421-5B8B1C6B3A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4107" name="Picture 8">
          <a:extLst>
            <a:ext uri="{FF2B5EF4-FFF2-40B4-BE49-F238E27FC236}">
              <a16:creationId xmlns:a16="http://schemas.microsoft.com/office/drawing/2014/main" id="{5885298B-5461-2CE6-E3D6-404C72D3A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BV64"/>
  <sheetViews>
    <sheetView tabSelected="1" showOutlineSymbols="0" workbookViewId="0">
      <pane ySplit="11" topLeftCell="A33" activePane="bottomLeft" state="frozenSplit"/>
      <selection activeCell="F49" sqref="F49"/>
      <selection pane="bottomLeft" activeCell="P38" sqref="P38"/>
    </sheetView>
  </sheetViews>
  <sheetFormatPr defaultColWidth="14.1640625" defaultRowHeight="15" customHeight="1" x14ac:dyDescent="0.25"/>
  <cols>
    <col min="1" max="1" width="4.6640625" customWidth="1"/>
    <col min="2" max="2" width="8.83203125" customWidth="1"/>
    <col min="3" max="3" width="20.83203125" customWidth="1"/>
    <col min="4" max="4" width="1.6640625" customWidth="1"/>
    <col min="5" max="5" width="128.33203125" customWidth="1"/>
    <col min="6" max="6" width="5" customWidth="1"/>
    <col min="7" max="7" width="15" customWidth="1"/>
    <col min="8" max="8" width="14" customWidth="1"/>
    <col min="9" max="11" width="18.33203125" customWidth="1"/>
    <col min="12" max="13" width="13.6640625" customWidth="1"/>
    <col min="14" max="14" width="15.6640625" customWidth="1"/>
    <col min="25" max="74" width="14.1640625" hidden="1" customWidth="1"/>
  </cols>
  <sheetData>
    <row r="1" spans="1:64" ht="54.75" customHeight="1" x14ac:dyDescent="0.25">
      <c r="A1" s="95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AS1" s="18">
        <f>SUM(AJ1:AJ2)</f>
        <v>0</v>
      </c>
      <c r="AT1" s="18">
        <f>SUM(AK1:AK2)</f>
        <v>0</v>
      </c>
      <c r="AU1" s="18">
        <f>SUM(AL1:AL2)</f>
        <v>0</v>
      </c>
    </row>
    <row r="2" spans="1:64" ht="15" customHeight="1" x14ac:dyDescent="0.25">
      <c r="A2" s="97" t="s">
        <v>1</v>
      </c>
      <c r="B2" s="87"/>
      <c r="C2" s="87"/>
      <c r="D2" s="92" t="s">
        <v>2</v>
      </c>
      <c r="E2" s="93"/>
      <c r="F2" s="87" t="s">
        <v>3</v>
      </c>
      <c r="G2" s="87"/>
      <c r="H2" s="87"/>
      <c r="I2" s="86" t="s">
        <v>4</v>
      </c>
      <c r="J2" s="86" t="s">
        <v>5</v>
      </c>
      <c r="K2" s="87"/>
      <c r="L2" s="87"/>
      <c r="M2" s="87"/>
      <c r="N2" s="88"/>
    </row>
    <row r="3" spans="1:64" ht="15" customHeight="1" x14ac:dyDescent="0.25">
      <c r="A3" s="98"/>
      <c r="B3" s="77"/>
      <c r="C3" s="77"/>
      <c r="D3" s="75"/>
      <c r="E3" s="75"/>
      <c r="F3" s="77"/>
      <c r="G3" s="77"/>
      <c r="H3" s="77"/>
      <c r="I3" s="77"/>
      <c r="J3" s="77"/>
      <c r="K3" s="77"/>
      <c r="L3" s="77"/>
      <c r="M3" s="77"/>
      <c r="N3" s="89"/>
    </row>
    <row r="4" spans="1:64" ht="15" customHeight="1" x14ac:dyDescent="0.25">
      <c r="A4" s="99" t="s">
        <v>6</v>
      </c>
      <c r="B4" s="77"/>
      <c r="C4" s="77"/>
      <c r="D4" s="76" t="s">
        <v>7</v>
      </c>
      <c r="E4" s="77"/>
      <c r="F4" s="77" t="s">
        <v>8</v>
      </c>
      <c r="G4" s="77"/>
      <c r="H4" s="77"/>
      <c r="I4" s="76" t="s">
        <v>9</v>
      </c>
      <c r="J4" s="76" t="s">
        <v>10</v>
      </c>
      <c r="K4" s="77"/>
      <c r="L4" s="77"/>
      <c r="M4" s="77"/>
      <c r="N4" s="89"/>
    </row>
    <row r="5" spans="1:64" ht="15" customHeight="1" x14ac:dyDescent="0.25">
      <c r="A5" s="98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89"/>
    </row>
    <row r="6" spans="1:64" ht="15" customHeight="1" x14ac:dyDescent="0.25">
      <c r="A6" s="99" t="s">
        <v>11</v>
      </c>
      <c r="B6" s="77"/>
      <c r="C6" s="77"/>
      <c r="D6" s="76" t="s">
        <v>12</v>
      </c>
      <c r="E6" s="77"/>
      <c r="F6" s="77" t="s">
        <v>13</v>
      </c>
      <c r="G6" s="77"/>
      <c r="H6" s="77"/>
      <c r="I6" s="76" t="s">
        <v>14</v>
      </c>
      <c r="J6" s="156"/>
      <c r="K6" s="156"/>
      <c r="L6" s="156"/>
      <c r="M6" s="156"/>
      <c r="N6" s="157"/>
    </row>
    <row r="7" spans="1:64" ht="15" customHeight="1" x14ac:dyDescent="0.25">
      <c r="A7" s="98"/>
      <c r="B7" s="77"/>
      <c r="C7" s="77"/>
      <c r="D7" s="77"/>
      <c r="E7" s="77"/>
      <c r="F7" s="77"/>
      <c r="G7" s="77"/>
      <c r="H7" s="77"/>
      <c r="I7" s="77"/>
      <c r="J7" s="156"/>
      <c r="K7" s="156"/>
      <c r="L7" s="156"/>
      <c r="M7" s="156"/>
      <c r="N7" s="157"/>
    </row>
    <row r="8" spans="1:64" ht="15" customHeight="1" x14ac:dyDescent="0.25">
      <c r="A8" s="99" t="s">
        <v>15</v>
      </c>
      <c r="B8" s="77"/>
      <c r="C8" s="77"/>
      <c r="D8" s="76" t="s">
        <v>16</v>
      </c>
      <c r="E8" s="77"/>
      <c r="F8" s="77" t="s">
        <v>17</v>
      </c>
      <c r="G8" s="77"/>
      <c r="H8" s="94">
        <v>45033</v>
      </c>
      <c r="I8" s="76" t="s">
        <v>18</v>
      </c>
      <c r="J8" s="76" t="s">
        <v>19</v>
      </c>
      <c r="K8" s="77"/>
      <c r="L8" s="77"/>
      <c r="M8" s="77"/>
      <c r="N8" s="89"/>
    </row>
    <row r="9" spans="1:64" ht="15" customHeight="1" x14ac:dyDescent="0.25">
      <c r="A9" s="98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89"/>
    </row>
    <row r="10" spans="1:64" ht="15" customHeight="1" x14ac:dyDescent="0.25">
      <c r="A10" s="59" t="s">
        <v>20</v>
      </c>
      <c r="B10" s="21" t="s">
        <v>21</v>
      </c>
      <c r="C10" s="21" t="s">
        <v>22</v>
      </c>
      <c r="D10" s="90" t="s">
        <v>23</v>
      </c>
      <c r="E10" s="91"/>
      <c r="F10" s="21" t="s">
        <v>24</v>
      </c>
      <c r="G10" s="47" t="s">
        <v>25</v>
      </c>
      <c r="H10" s="14" t="s">
        <v>26</v>
      </c>
      <c r="I10" s="83" t="s">
        <v>27</v>
      </c>
      <c r="J10" s="84"/>
      <c r="K10" s="85"/>
      <c r="L10" s="84" t="s">
        <v>28</v>
      </c>
      <c r="M10" s="84"/>
      <c r="N10" s="45" t="s">
        <v>29</v>
      </c>
      <c r="BK10" s="42" t="s">
        <v>30</v>
      </c>
      <c r="BL10" s="29" t="s">
        <v>31</v>
      </c>
    </row>
    <row r="11" spans="1:64" ht="15" customHeight="1" x14ac:dyDescent="0.25">
      <c r="A11" s="56" t="s">
        <v>32</v>
      </c>
      <c r="B11" s="33" t="s">
        <v>32</v>
      </c>
      <c r="C11" s="33" t="s">
        <v>32</v>
      </c>
      <c r="D11" s="81" t="s">
        <v>33</v>
      </c>
      <c r="E11" s="82"/>
      <c r="F11" s="33" t="s">
        <v>32</v>
      </c>
      <c r="G11" s="33" t="s">
        <v>32</v>
      </c>
      <c r="H11" s="31" t="s">
        <v>34</v>
      </c>
      <c r="I11" s="5" t="s">
        <v>35</v>
      </c>
      <c r="J11" s="46" t="s">
        <v>36</v>
      </c>
      <c r="K11" s="60" t="s">
        <v>37</v>
      </c>
      <c r="L11" s="46" t="s">
        <v>38</v>
      </c>
      <c r="M11" s="31" t="s">
        <v>37</v>
      </c>
      <c r="N11" s="5" t="s">
        <v>39</v>
      </c>
      <c r="O11" s="71" t="s">
        <v>40</v>
      </c>
      <c r="Z11" s="42" t="s">
        <v>41</v>
      </c>
      <c r="AA11" s="42" t="s">
        <v>42</v>
      </c>
      <c r="AB11" s="42" t="s">
        <v>43</v>
      </c>
      <c r="AC11" s="42" t="s">
        <v>44</v>
      </c>
      <c r="AD11" s="42" t="s">
        <v>45</v>
      </c>
      <c r="AE11" s="42" t="s">
        <v>46</v>
      </c>
      <c r="AF11" s="42" t="s">
        <v>47</v>
      </c>
      <c r="AG11" s="42" t="s">
        <v>48</v>
      </c>
      <c r="AH11" s="42" t="s">
        <v>49</v>
      </c>
      <c r="BH11" s="42" t="s">
        <v>50</v>
      </c>
      <c r="BI11" s="42" t="s">
        <v>51</v>
      </c>
      <c r="BJ11" s="42" t="s">
        <v>52</v>
      </c>
    </row>
    <row r="12" spans="1:64" ht="15" customHeight="1" x14ac:dyDescent="0.25">
      <c r="A12" s="9" t="s">
        <v>53</v>
      </c>
      <c r="B12" s="53" t="s">
        <v>54</v>
      </c>
      <c r="C12" s="53" t="s">
        <v>53</v>
      </c>
      <c r="D12" s="78" t="s">
        <v>55</v>
      </c>
      <c r="E12" s="78"/>
      <c r="F12" s="27" t="s">
        <v>32</v>
      </c>
      <c r="G12" s="27" t="s">
        <v>32</v>
      </c>
      <c r="H12" s="27" t="s">
        <v>32</v>
      </c>
      <c r="I12" s="18">
        <f>I13+I17+I20</f>
        <v>0</v>
      </c>
      <c r="J12" s="18">
        <f>J13+J17+J20</f>
        <v>1261030</v>
      </c>
      <c r="K12" s="18">
        <f>K13+K17+K20</f>
        <v>1261030</v>
      </c>
      <c r="L12" s="42" t="s">
        <v>53</v>
      </c>
      <c r="M12" s="18">
        <f>M13+M17+M20</f>
        <v>0.193</v>
      </c>
      <c r="N12" s="34" t="s">
        <v>53</v>
      </c>
    </row>
    <row r="13" spans="1:64" ht="15" customHeight="1" x14ac:dyDescent="0.25">
      <c r="A13" s="9" t="s">
        <v>53</v>
      </c>
      <c r="B13" s="53" t="s">
        <v>54</v>
      </c>
      <c r="C13" s="53" t="s">
        <v>56</v>
      </c>
      <c r="D13" s="78" t="s">
        <v>57</v>
      </c>
      <c r="E13" s="78"/>
      <c r="F13" s="27" t="s">
        <v>32</v>
      </c>
      <c r="G13" s="27" t="s">
        <v>32</v>
      </c>
      <c r="H13" s="27" t="s">
        <v>32</v>
      </c>
      <c r="I13" s="18">
        <f>SUM(I14:I16)</f>
        <v>0</v>
      </c>
      <c r="J13" s="18">
        <f>SUM(J14:J16)</f>
        <v>0</v>
      </c>
      <c r="K13" s="18">
        <f>SUM(K14:K16)</f>
        <v>0</v>
      </c>
      <c r="L13" s="42" t="s">
        <v>53</v>
      </c>
      <c r="M13" s="18">
        <f>SUM(M14:M16)</f>
        <v>5.0000000000000001E-3</v>
      </c>
      <c r="N13" s="34" t="s">
        <v>53</v>
      </c>
      <c r="AI13" s="42" t="s">
        <v>54</v>
      </c>
      <c r="AS13" s="18">
        <f>SUM(AJ14:AJ16)</f>
        <v>0</v>
      </c>
      <c r="AT13" s="18">
        <f>SUM(AK14:AK16)</f>
        <v>0</v>
      </c>
      <c r="AU13" s="18">
        <f>SUM(AL14:AL16)</f>
        <v>0</v>
      </c>
    </row>
    <row r="14" spans="1:64" ht="15" customHeight="1" x14ac:dyDescent="0.25">
      <c r="A14" s="40" t="s">
        <v>58</v>
      </c>
      <c r="B14" s="3" t="s">
        <v>54</v>
      </c>
      <c r="C14" s="66" t="s">
        <v>59</v>
      </c>
      <c r="D14" s="77" t="s">
        <v>60</v>
      </c>
      <c r="E14" s="77"/>
      <c r="F14" s="3" t="s">
        <v>61</v>
      </c>
      <c r="G14" s="38">
        <v>1</v>
      </c>
      <c r="H14" s="154"/>
      <c r="I14" s="38">
        <f>G14*AO14</f>
        <v>0</v>
      </c>
      <c r="J14" s="38">
        <f>G14*AP14</f>
        <v>0</v>
      </c>
      <c r="K14" s="38">
        <f>G14*H14</f>
        <v>0</v>
      </c>
      <c r="L14" s="38">
        <v>0</v>
      </c>
      <c r="M14" s="38">
        <f>G14*L14</f>
        <v>0</v>
      </c>
      <c r="N14" s="62"/>
      <c r="Z14" s="38">
        <f>IF(AQ14="5",BJ14,0)</f>
        <v>0</v>
      </c>
      <c r="AB14" s="38">
        <f>IF(AQ14="1",BH14,0)</f>
        <v>0</v>
      </c>
      <c r="AC14" s="38">
        <f>IF(AQ14="1",BI14,0)</f>
        <v>0</v>
      </c>
      <c r="AD14" s="38">
        <f>IF(AQ14="7",BH14,0)</f>
        <v>0</v>
      </c>
      <c r="AE14" s="38">
        <f>IF(AQ14="7",BI14,0)</f>
        <v>0</v>
      </c>
      <c r="AF14" s="38">
        <f>IF(AQ14="2",BH14,0)</f>
        <v>0</v>
      </c>
      <c r="AG14" s="38">
        <f>IF(AQ14="2",BI14,0)</f>
        <v>0</v>
      </c>
      <c r="AH14" s="38">
        <f>IF(AQ14="0",BJ14,0)</f>
        <v>0</v>
      </c>
      <c r="AI14" s="42" t="s">
        <v>54</v>
      </c>
      <c r="AJ14" s="38">
        <f>IF(AN14=0,K14,0)</f>
        <v>0</v>
      </c>
      <c r="AK14" s="38">
        <f>IF(AN14=15,K14,0)</f>
        <v>0</v>
      </c>
      <c r="AL14" s="38">
        <f>IF(AN14=21,K14,0)</f>
        <v>0</v>
      </c>
      <c r="AN14" s="38">
        <v>21</v>
      </c>
      <c r="AO14" s="38">
        <f>H14*1</f>
        <v>0</v>
      </c>
      <c r="AP14" s="38">
        <f>H14*(1-1)</f>
        <v>0</v>
      </c>
      <c r="AQ14" s="25" t="s">
        <v>58</v>
      </c>
      <c r="AV14" s="38">
        <f>AW14+AX14</f>
        <v>0</v>
      </c>
      <c r="AW14" s="38">
        <f>G14*AO14</f>
        <v>0</v>
      </c>
      <c r="AX14" s="38">
        <f>G14*AP14</f>
        <v>0</v>
      </c>
      <c r="AY14" s="25" t="s">
        <v>62</v>
      </c>
      <c r="AZ14" s="25" t="s">
        <v>63</v>
      </c>
      <c r="BA14" s="42" t="s">
        <v>64</v>
      </c>
      <c r="BC14" s="38">
        <f>AW14+AX14</f>
        <v>0</v>
      </c>
      <c r="BD14" s="38">
        <f>H14/(100-BE14)*100</f>
        <v>0</v>
      </c>
      <c r="BE14" s="38">
        <v>0</v>
      </c>
      <c r="BF14" s="38">
        <f>M14</f>
        <v>0</v>
      </c>
      <c r="BH14" s="38">
        <f>G14*AO14</f>
        <v>0</v>
      </c>
      <c r="BI14" s="38">
        <f>G14*AP14</f>
        <v>0</v>
      </c>
      <c r="BJ14" s="38">
        <f>G14*H14</f>
        <v>0</v>
      </c>
      <c r="BK14" s="38"/>
      <c r="BL14" s="38">
        <v>11</v>
      </c>
    </row>
    <row r="15" spans="1:64" ht="15" customHeight="1" x14ac:dyDescent="0.25">
      <c r="A15" s="40" t="s">
        <v>65</v>
      </c>
      <c r="B15" s="3" t="s">
        <v>54</v>
      </c>
      <c r="C15" s="3" t="s">
        <v>66</v>
      </c>
      <c r="D15" s="77" t="s">
        <v>67</v>
      </c>
      <c r="E15" s="77"/>
      <c r="F15" s="3" t="s">
        <v>68</v>
      </c>
      <c r="G15" s="38">
        <v>100</v>
      </c>
      <c r="H15" s="154"/>
      <c r="I15" s="38">
        <f>G15*AO15</f>
        <v>0</v>
      </c>
      <c r="J15" s="38">
        <f>G15*AP15</f>
        <v>0</v>
      </c>
      <c r="K15" s="38">
        <f>G15*H15</f>
        <v>0</v>
      </c>
      <c r="L15" s="38">
        <v>0</v>
      </c>
      <c r="M15" s="38">
        <f>G15*L15</f>
        <v>0</v>
      </c>
      <c r="N15" s="62"/>
      <c r="Z15" s="38">
        <f>IF(AQ15="5",BJ15,0)</f>
        <v>0</v>
      </c>
      <c r="AB15" s="38">
        <f>IF(AQ15="1",BH15,0)</f>
        <v>0</v>
      </c>
      <c r="AC15" s="38">
        <f>IF(AQ15="1",BI15,0)</f>
        <v>0</v>
      </c>
      <c r="AD15" s="38">
        <f>IF(AQ15="7",BH15,0)</f>
        <v>0</v>
      </c>
      <c r="AE15" s="38">
        <f>IF(AQ15="7",BI15,0)</f>
        <v>0</v>
      </c>
      <c r="AF15" s="38">
        <f>IF(AQ15="2",BH15,0)</f>
        <v>0</v>
      </c>
      <c r="AG15" s="38">
        <f>IF(AQ15="2",BI15,0)</f>
        <v>0</v>
      </c>
      <c r="AH15" s="38">
        <f>IF(AQ15="0",BJ15,0)</f>
        <v>0</v>
      </c>
      <c r="AI15" s="42" t="s">
        <v>54</v>
      </c>
      <c r="AJ15" s="38">
        <f>IF(AN15=0,K15,0)</f>
        <v>0</v>
      </c>
      <c r="AK15" s="38">
        <f>IF(AN15=15,K15,0)</f>
        <v>0</v>
      </c>
      <c r="AL15" s="38">
        <f>IF(AN15=21,K15,0)</f>
        <v>0</v>
      </c>
      <c r="AN15" s="38">
        <v>21</v>
      </c>
      <c r="AO15" s="38">
        <f>H15*0</f>
        <v>0</v>
      </c>
      <c r="AP15" s="38">
        <f>H15*(1-0)</f>
        <v>0</v>
      </c>
      <c r="AQ15" s="25" t="s">
        <v>58</v>
      </c>
      <c r="AV15" s="38">
        <f>AW15+AX15</f>
        <v>0</v>
      </c>
      <c r="AW15" s="38">
        <f>G15*AO15</f>
        <v>0</v>
      </c>
      <c r="AX15" s="38">
        <f>G15*AP15</f>
        <v>0</v>
      </c>
      <c r="AY15" s="25" t="s">
        <v>62</v>
      </c>
      <c r="AZ15" s="25" t="s">
        <v>63</v>
      </c>
      <c r="BA15" s="42" t="s">
        <v>64</v>
      </c>
      <c r="BC15" s="38">
        <f>AW15+AX15</f>
        <v>0</v>
      </c>
      <c r="BD15" s="38">
        <f>H15/(100-BE15)*100</f>
        <v>0</v>
      </c>
      <c r="BE15" s="38">
        <v>0</v>
      </c>
      <c r="BF15" s="38">
        <f>M15</f>
        <v>0</v>
      </c>
      <c r="BH15" s="38">
        <f>G15*AO15</f>
        <v>0</v>
      </c>
      <c r="BI15" s="38">
        <f>G15*AP15</f>
        <v>0</v>
      </c>
      <c r="BJ15" s="38">
        <f>G15*H15</f>
        <v>0</v>
      </c>
      <c r="BK15" s="38"/>
      <c r="BL15" s="38">
        <v>11</v>
      </c>
    </row>
    <row r="16" spans="1:64" ht="15" customHeight="1" x14ac:dyDescent="0.25">
      <c r="A16" s="40" t="s">
        <v>69</v>
      </c>
      <c r="B16" s="3" t="s">
        <v>54</v>
      </c>
      <c r="C16" s="3" t="s">
        <v>70</v>
      </c>
      <c r="D16" s="77" t="s">
        <v>71</v>
      </c>
      <c r="E16" s="77"/>
      <c r="F16" s="3" t="s">
        <v>68</v>
      </c>
      <c r="G16" s="38">
        <v>100</v>
      </c>
      <c r="H16" s="154"/>
      <c r="I16" s="38">
        <f>G16*AO16</f>
        <v>0</v>
      </c>
      <c r="J16" s="38">
        <f>G16*AP16</f>
        <v>0</v>
      </c>
      <c r="K16" s="38">
        <f>G16*H16</f>
        <v>0</v>
      </c>
      <c r="L16" s="38">
        <v>5.0000000000000002E-5</v>
      </c>
      <c r="M16" s="38">
        <f>G16*L16</f>
        <v>5.0000000000000001E-3</v>
      </c>
      <c r="N16" s="62"/>
      <c r="Z16" s="38">
        <f>IF(AQ16="5",BJ16,0)</f>
        <v>0</v>
      </c>
      <c r="AB16" s="38">
        <f>IF(AQ16="1",BH16,0)</f>
        <v>0</v>
      </c>
      <c r="AC16" s="38">
        <f>IF(AQ16="1",BI16,0)</f>
        <v>0</v>
      </c>
      <c r="AD16" s="38">
        <f>IF(AQ16="7",BH16,0)</f>
        <v>0</v>
      </c>
      <c r="AE16" s="38">
        <f>IF(AQ16="7",BI16,0)</f>
        <v>0</v>
      </c>
      <c r="AF16" s="38">
        <f>IF(AQ16="2",BH16,0)</f>
        <v>0</v>
      </c>
      <c r="AG16" s="38">
        <f>IF(AQ16="2",BI16,0)</f>
        <v>0</v>
      </c>
      <c r="AH16" s="38">
        <f>IF(AQ16="0",BJ16,0)</f>
        <v>0</v>
      </c>
      <c r="AI16" s="42" t="s">
        <v>54</v>
      </c>
      <c r="AJ16" s="38">
        <f>IF(AN16=0,K16,0)</f>
        <v>0</v>
      </c>
      <c r="AK16" s="38">
        <f>IF(AN16=15,K16,0)</f>
        <v>0</v>
      </c>
      <c r="AL16" s="38">
        <f>IF(AN16=21,K16,0)</f>
        <v>0</v>
      </c>
      <c r="AN16" s="38">
        <v>21</v>
      </c>
      <c r="AO16" s="38">
        <f>H16*0.144370860927152</f>
        <v>0</v>
      </c>
      <c r="AP16" s="38">
        <f>H16*(1-0.144370860927152)</f>
        <v>0</v>
      </c>
      <c r="AQ16" s="25" t="s">
        <v>58</v>
      </c>
      <c r="AV16" s="38">
        <f>AW16+AX16</f>
        <v>0</v>
      </c>
      <c r="AW16" s="38">
        <f>G16*AO16</f>
        <v>0</v>
      </c>
      <c r="AX16" s="38">
        <f>G16*AP16</f>
        <v>0</v>
      </c>
      <c r="AY16" s="25" t="s">
        <v>62</v>
      </c>
      <c r="AZ16" s="25" t="s">
        <v>63</v>
      </c>
      <c r="BA16" s="42" t="s">
        <v>64</v>
      </c>
      <c r="BC16" s="38">
        <f>AW16+AX16</f>
        <v>0</v>
      </c>
      <c r="BD16" s="38">
        <f>H16/(100-BE16)*100</f>
        <v>0</v>
      </c>
      <c r="BE16" s="38">
        <v>0</v>
      </c>
      <c r="BF16" s="38">
        <f>M16</f>
        <v>5.0000000000000001E-3</v>
      </c>
      <c r="BH16" s="38">
        <f>G16*AO16</f>
        <v>0</v>
      </c>
      <c r="BI16" s="38">
        <f>G16*AP16</f>
        <v>0</v>
      </c>
      <c r="BJ16" s="38">
        <f>G16*H16</f>
        <v>0</v>
      </c>
      <c r="BK16" s="38"/>
      <c r="BL16" s="38">
        <v>11</v>
      </c>
    </row>
    <row r="17" spans="1:64" ht="15" customHeight="1" x14ac:dyDescent="0.25">
      <c r="A17" s="9" t="s">
        <v>53</v>
      </c>
      <c r="B17" s="53" t="s">
        <v>54</v>
      </c>
      <c r="C17" s="53" t="s">
        <v>72</v>
      </c>
      <c r="D17" s="78" t="s">
        <v>73</v>
      </c>
      <c r="E17" s="78"/>
      <c r="F17" s="27" t="s">
        <v>32</v>
      </c>
      <c r="G17" s="27" t="s">
        <v>32</v>
      </c>
      <c r="H17" s="27" t="s">
        <v>32</v>
      </c>
      <c r="I17" s="18">
        <f>SUM(I18:I19)</f>
        <v>0</v>
      </c>
      <c r="J17" s="18">
        <f>SUM(J18:J19)</f>
        <v>0</v>
      </c>
      <c r="K17" s="18">
        <f>SUM(K18:K19)</f>
        <v>0</v>
      </c>
      <c r="L17" s="42" t="s">
        <v>53</v>
      </c>
      <c r="M17" s="18">
        <f>SUM(M18:M19)</f>
        <v>0</v>
      </c>
      <c r="N17" s="34"/>
      <c r="AI17" s="42" t="s">
        <v>54</v>
      </c>
      <c r="AS17" s="18">
        <f>SUM(AJ18:AJ19)</f>
        <v>0</v>
      </c>
      <c r="AT17" s="18">
        <f>SUM(AK18:AK19)</f>
        <v>0</v>
      </c>
      <c r="AU17" s="18">
        <f>SUM(AL18:AL19)</f>
        <v>0</v>
      </c>
    </row>
    <row r="18" spans="1:64" ht="15" customHeight="1" x14ac:dyDescent="0.25">
      <c r="A18" s="40" t="s">
        <v>74</v>
      </c>
      <c r="B18" s="3" t="s">
        <v>54</v>
      </c>
      <c r="C18" s="66" t="s">
        <v>75</v>
      </c>
      <c r="D18" s="77" t="s">
        <v>76</v>
      </c>
      <c r="E18" s="77"/>
      <c r="F18" s="3" t="s">
        <v>77</v>
      </c>
      <c r="G18" s="38">
        <v>63051.5</v>
      </c>
      <c r="H18" s="154"/>
      <c r="I18" s="38">
        <f>G18*AO18</f>
        <v>0</v>
      </c>
      <c r="J18" s="38">
        <f>G18*AP18</f>
        <v>0</v>
      </c>
      <c r="K18" s="38">
        <f>G18*H18</f>
        <v>0</v>
      </c>
      <c r="L18" s="38">
        <v>0</v>
      </c>
      <c r="M18" s="38">
        <f>G18*L18</f>
        <v>0</v>
      </c>
      <c r="N18" s="62"/>
      <c r="O18" s="71" t="s">
        <v>78</v>
      </c>
      <c r="Z18" s="38">
        <f>IF(AQ18="5",BJ18,0)</f>
        <v>0</v>
      </c>
      <c r="AB18" s="38">
        <f>IF(AQ18="1",BH18,0)</f>
        <v>0</v>
      </c>
      <c r="AC18" s="38">
        <f>IF(AQ18="1",BI18,0)</f>
        <v>0</v>
      </c>
      <c r="AD18" s="38">
        <f>IF(AQ18="7",BH18,0)</f>
        <v>0</v>
      </c>
      <c r="AE18" s="38">
        <f>IF(AQ18="7",BI18,0)</f>
        <v>0</v>
      </c>
      <c r="AF18" s="38">
        <f>IF(AQ18="2",BH18,0)</f>
        <v>0</v>
      </c>
      <c r="AG18" s="38">
        <f>IF(AQ18="2",BI18,0)</f>
        <v>0</v>
      </c>
      <c r="AH18" s="38">
        <f>IF(AQ18="0",BJ18,0)</f>
        <v>0</v>
      </c>
      <c r="AI18" s="42" t="s">
        <v>54</v>
      </c>
      <c r="AJ18" s="38">
        <f>IF(AN18=0,K18,0)</f>
        <v>0</v>
      </c>
      <c r="AK18" s="38">
        <f>IF(AN18=15,K18,0)</f>
        <v>0</v>
      </c>
      <c r="AL18" s="38">
        <f>IF(AN18=21,K18,0)</f>
        <v>0</v>
      </c>
      <c r="AN18" s="38">
        <v>21</v>
      </c>
      <c r="AO18" s="38">
        <f>H18*1</f>
        <v>0</v>
      </c>
      <c r="AP18" s="38">
        <f>H18*(1-1)</f>
        <v>0</v>
      </c>
      <c r="AQ18" s="25" t="s">
        <v>58</v>
      </c>
      <c r="AV18" s="38">
        <f>AW18+AX18</f>
        <v>0</v>
      </c>
      <c r="AW18" s="38">
        <f>G18*AO18</f>
        <v>0</v>
      </c>
      <c r="AX18" s="38">
        <f>G18*AP18</f>
        <v>0</v>
      </c>
      <c r="AY18" s="25" t="s">
        <v>79</v>
      </c>
      <c r="AZ18" s="25" t="s">
        <v>63</v>
      </c>
      <c r="BA18" s="42" t="s">
        <v>64</v>
      </c>
      <c r="BC18" s="38">
        <f>AW18+AX18</f>
        <v>0</v>
      </c>
      <c r="BD18" s="38">
        <f>H18/(100-BE18)*100</f>
        <v>0</v>
      </c>
      <c r="BE18" s="38">
        <v>0</v>
      </c>
      <c r="BF18" s="38">
        <f>M18</f>
        <v>0</v>
      </c>
      <c r="BH18" s="38">
        <f>G18*AO18</f>
        <v>0</v>
      </c>
      <c r="BI18" s="38">
        <f>G18*AP18</f>
        <v>0</v>
      </c>
      <c r="BJ18" s="38">
        <f>G18*H18</f>
        <v>0</v>
      </c>
      <c r="BK18" s="38"/>
      <c r="BL18" s="38">
        <v>12</v>
      </c>
    </row>
    <row r="19" spans="1:64" ht="15" customHeight="1" x14ac:dyDescent="0.25">
      <c r="A19" s="40" t="s">
        <v>80</v>
      </c>
      <c r="B19" s="3" t="s">
        <v>54</v>
      </c>
      <c r="C19" s="3" t="s">
        <v>81</v>
      </c>
      <c r="D19" s="77" t="s">
        <v>82</v>
      </c>
      <c r="E19" s="77"/>
      <c r="F19" s="3" t="s">
        <v>77</v>
      </c>
      <c r="G19" s="38">
        <v>850</v>
      </c>
      <c r="H19" s="154"/>
      <c r="I19" s="38">
        <f>G19*AO19</f>
        <v>0</v>
      </c>
      <c r="J19" s="38">
        <f>G19*AP19</f>
        <v>0</v>
      </c>
      <c r="K19" s="38">
        <f>G19*H19</f>
        <v>0</v>
      </c>
      <c r="L19" s="38">
        <v>0</v>
      </c>
      <c r="M19" s="38">
        <f>G19*L19</f>
        <v>0</v>
      </c>
      <c r="N19" s="62"/>
      <c r="Z19" s="38">
        <f>IF(AQ19="5",BJ19,0)</f>
        <v>0</v>
      </c>
      <c r="AB19" s="38">
        <f>IF(AQ19="1",BH19,0)</f>
        <v>0</v>
      </c>
      <c r="AC19" s="38">
        <f>IF(AQ19="1",BI19,0)</f>
        <v>0</v>
      </c>
      <c r="AD19" s="38">
        <f>IF(AQ19="7",BH19,0)</f>
        <v>0</v>
      </c>
      <c r="AE19" s="38">
        <f>IF(AQ19="7",BI19,0)</f>
        <v>0</v>
      </c>
      <c r="AF19" s="38">
        <f>IF(AQ19="2",BH19,0)</f>
        <v>0</v>
      </c>
      <c r="AG19" s="38">
        <f>IF(AQ19="2",BI19,0)</f>
        <v>0</v>
      </c>
      <c r="AH19" s="38">
        <f>IF(AQ19="0",BJ19,0)</f>
        <v>0</v>
      </c>
      <c r="AI19" s="42" t="s">
        <v>54</v>
      </c>
      <c r="AJ19" s="38">
        <f>IF(AN19=0,K19,0)</f>
        <v>0</v>
      </c>
      <c r="AK19" s="38">
        <f>IF(AN19=15,K19,0)</f>
        <v>0</v>
      </c>
      <c r="AL19" s="38">
        <f>IF(AN19=21,K19,0)</f>
        <v>0</v>
      </c>
      <c r="AN19" s="38">
        <v>21</v>
      </c>
      <c r="AO19" s="38">
        <f>H19*0</f>
        <v>0</v>
      </c>
      <c r="AP19" s="38">
        <f>H19*(1-0)</f>
        <v>0</v>
      </c>
      <c r="AQ19" s="25" t="s">
        <v>58</v>
      </c>
      <c r="AV19" s="38">
        <f>AW19+AX19</f>
        <v>0</v>
      </c>
      <c r="AW19" s="38">
        <f>G19*AO19</f>
        <v>0</v>
      </c>
      <c r="AX19" s="38">
        <f>G19*AP19</f>
        <v>0</v>
      </c>
      <c r="AY19" s="25" t="s">
        <v>79</v>
      </c>
      <c r="AZ19" s="25" t="s">
        <v>63</v>
      </c>
      <c r="BA19" s="42" t="s">
        <v>64</v>
      </c>
      <c r="BC19" s="38">
        <f>AW19+AX19</f>
        <v>0</v>
      </c>
      <c r="BD19" s="38">
        <f>H19/(100-BE19)*100</f>
        <v>0</v>
      </c>
      <c r="BE19" s="38">
        <v>0</v>
      </c>
      <c r="BF19" s="38">
        <f>M19</f>
        <v>0</v>
      </c>
      <c r="BH19" s="38">
        <f>G19*AO19</f>
        <v>0</v>
      </c>
      <c r="BI19" s="38">
        <f>G19*AP19</f>
        <v>0</v>
      </c>
      <c r="BJ19" s="38">
        <f>G19*H19</f>
        <v>0</v>
      </c>
      <c r="BK19" s="38"/>
      <c r="BL19" s="38">
        <v>12</v>
      </c>
    </row>
    <row r="20" spans="1:64" ht="15" customHeight="1" x14ac:dyDescent="0.25">
      <c r="A20" s="9" t="s">
        <v>53</v>
      </c>
      <c r="B20" s="53" t="s">
        <v>54</v>
      </c>
      <c r="C20" s="53" t="s">
        <v>83</v>
      </c>
      <c r="D20" s="78" t="s">
        <v>84</v>
      </c>
      <c r="E20" s="78"/>
      <c r="F20" s="27" t="s">
        <v>32</v>
      </c>
      <c r="G20" s="27" t="s">
        <v>32</v>
      </c>
      <c r="H20" s="27" t="s">
        <v>32</v>
      </c>
      <c r="I20" s="18">
        <f>SUM(I21:I25)</f>
        <v>0</v>
      </c>
      <c r="J20" s="18">
        <f>SUM(J21:J25)</f>
        <v>1261030</v>
      </c>
      <c r="K20" s="18">
        <f>SUM(K21:K25)</f>
        <v>1261030</v>
      </c>
      <c r="L20" s="42" t="s">
        <v>53</v>
      </c>
      <c r="M20" s="18">
        <f>SUM(M21:M25)</f>
        <v>0.188</v>
      </c>
      <c r="N20" s="34"/>
      <c r="AI20" s="42" t="s">
        <v>54</v>
      </c>
      <c r="AS20" s="18">
        <f>SUM(AJ21:AJ25)</f>
        <v>0</v>
      </c>
      <c r="AT20" s="18">
        <f>SUM(AK21:AK25)</f>
        <v>0</v>
      </c>
      <c r="AU20" s="18">
        <f>SUM(AL21:AL25)</f>
        <v>1261030</v>
      </c>
    </row>
    <row r="21" spans="1:64" ht="15" customHeight="1" x14ac:dyDescent="0.25">
      <c r="A21" s="40" t="s">
        <v>85</v>
      </c>
      <c r="B21" s="3" t="s">
        <v>54</v>
      </c>
      <c r="C21" s="3" t="s">
        <v>86</v>
      </c>
      <c r="D21" s="77" t="s">
        <v>87</v>
      </c>
      <c r="E21" s="77"/>
      <c r="F21" s="3" t="s">
        <v>68</v>
      </c>
      <c r="G21" s="38">
        <v>2000</v>
      </c>
      <c r="H21" s="154"/>
      <c r="I21" s="38">
        <f>G21*AO21</f>
        <v>0</v>
      </c>
      <c r="J21" s="38">
        <f>G21*AP21</f>
        <v>0</v>
      </c>
      <c r="K21" s="38">
        <f>G21*H21</f>
        <v>0</v>
      </c>
      <c r="L21" s="38">
        <v>0</v>
      </c>
      <c r="M21" s="38">
        <f>G21*L21</f>
        <v>0</v>
      </c>
      <c r="N21" s="62"/>
      <c r="Z21" s="38">
        <f>IF(AQ21="5",BJ21,0)</f>
        <v>0</v>
      </c>
      <c r="AB21" s="38">
        <f>IF(AQ21="1",BH21,0)</f>
        <v>0</v>
      </c>
      <c r="AC21" s="38">
        <f>IF(AQ21="1",BI21,0)</f>
        <v>0</v>
      </c>
      <c r="AD21" s="38">
        <f>IF(AQ21="7",BH21,0)</f>
        <v>0</v>
      </c>
      <c r="AE21" s="38">
        <f>IF(AQ21="7",BI21,0)</f>
        <v>0</v>
      </c>
      <c r="AF21" s="38">
        <f>IF(AQ21="2",BH21,0)</f>
        <v>0</v>
      </c>
      <c r="AG21" s="38">
        <f>IF(AQ21="2",BI21,0)</f>
        <v>0</v>
      </c>
      <c r="AH21" s="38">
        <f>IF(AQ21="0",BJ21,0)</f>
        <v>0</v>
      </c>
      <c r="AI21" s="42" t="s">
        <v>54</v>
      </c>
      <c r="AJ21" s="38">
        <f>IF(AN21=0,K21,0)</f>
        <v>0</v>
      </c>
      <c r="AK21" s="38">
        <f>IF(AN21=15,K21,0)</f>
        <v>0</v>
      </c>
      <c r="AL21" s="38">
        <f>IF(AN21=21,K21,0)</f>
        <v>0</v>
      </c>
      <c r="AN21" s="38">
        <v>21</v>
      </c>
      <c r="AO21" s="38">
        <f>H21*0.0672727272727273</f>
        <v>0</v>
      </c>
      <c r="AP21" s="38">
        <f>H21*(1-0.0672727272727273)</f>
        <v>0</v>
      </c>
      <c r="AQ21" s="25" t="s">
        <v>58</v>
      </c>
      <c r="AV21" s="38">
        <f>AW21+AX21</f>
        <v>0</v>
      </c>
      <c r="AW21" s="38">
        <f>G21*AO21</f>
        <v>0</v>
      </c>
      <c r="AX21" s="38">
        <f>G21*AP21</f>
        <v>0</v>
      </c>
      <c r="AY21" s="25" t="s">
        <v>88</v>
      </c>
      <c r="AZ21" s="25" t="s">
        <v>63</v>
      </c>
      <c r="BA21" s="42" t="s">
        <v>64</v>
      </c>
      <c r="BC21" s="38">
        <f>AW21+AX21</f>
        <v>0</v>
      </c>
      <c r="BD21" s="38">
        <f>H21/(100-BE21)*100</f>
        <v>0</v>
      </c>
      <c r="BE21" s="38">
        <v>0</v>
      </c>
      <c r="BF21" s="38">
        <f>M21</f>
        <v>0</v>
      </c>
      <c r="BH21" s="38">
        <f>G21*AO21</f>
        <v>0</v>
      </c>
      <c r="BI21" s="38">
        <f>G21*AP21</f>
        <v>0</v>
      </c>
      <c r="BJ21" s="38">
        <f>G21*H21</f>
        <v>0</v>
      </c>
      <c r="BK21" s="38"/>
      <c r="BL21" s="38">
        <v>18</v>
      </c>
    </row>
    <row r="22" spans="1:64" ht="15" customHeight="1" x14ac:dyDescent="0.25">
      <c r="A22" s="40" t="s">
        <v>89</v>
      </c>
      <c r="B22" s="3" t="s">
        <v>54</v>
      </c>
      <c r="C22" s="3" t="s">
        <v>90</v>
      </c>
      <c r="D22" s="77" t="s">
        <v>91</v>
      </c>
      <c r="E22" s="77"/>
      <c r="F22" s="3" t="s">
        <v>68</v>
      </c>
      <c r="G22" s="38">
        <v>2000</v>
      </c>
      <c r="H22" s="154"/>
      <c r="I22" s="38">
        <f>G22*AO22</f>
        <v>0</v>
      </c>
      <c r="J22" s="38">
        <f>G22*AP22</f>
        <v>0</v>
      </c>
      <c r="K22" s="38">
        <f>G22*H22</f>
        <v>0</v>
      </c>
      <c r="L22" s="38">
        <v>0</v>
      </c>
      <c r="M22" s="38">
        <f>G22*L22</f>
        <v>0</v>
      </c>
      <c r="N22" s="62"/>
      <c r="Z22" s="38">
        <f>IF(AQ22="5",BJ22,0)</f>
        <v>0</v>
      </c>
      <c r="AB22" s="38">
        <f>IF(AQ22="1",BH22,0)</f>
        <v>0</v>
      </c>
      <c r="AC22" s="38">
        <f>IF(AQ22="1",BI22,0)</f>
        <v>0</v>
      </c>
      <c r="AD22" s="38">
        <f>IF(AQ22="7",BH22,0)</f>
        <v>0</v>
      </c>
      <c r="AE22" s="38">
        <f>IF(AQ22="7",BI22,0)</f>
        <v>0</v>
      </c>
      <c r="AF22" s="38">
        <f>IF(AQ22="2",BH22,0)</f>
        <v>0</v>
      </c>
      <c r="AG22" s="38">
        <f>IF(AQ22="2",BI22,0)</f>
        <v>0</v>
      </c>
      <c r="AH22" s="38">
        <f>IF(AQ22="0",BJ22,0)</f>
        <v>0</v>
      </c>
      <c r="AI22" s="42" t="s">
        <v>54</v>
      </c>
      <c r="AJ22" s="38">
        <f>IF(AN22=0,K22,0)</f>
        <v>0</v>
      </c>
      <c r="AK22" s="38">
        <f>IF(AN22=15,K22,0)</f>
        <v>0</v>
      </c>
      <c r="AL22" s="38">
        <f>IF(AN22=21,K22,0)</f>
        <v>0</v>
      </c>
      <c r="AN22" s="38">
        <v>21</v>
      </c>
      <c r="AO22" s="38">
        <f>H22*0</f>
        <v>0</v>
      </c>
      <c r="AP22" s="38">
        <f>H22*(1-0)</f>
        <v>0</v>
      </c>
      <c r="AQ22" s="25" t="s">
        <v>58</v>
      </c>
      <c r="AV22" s="38">
        <f>AW22+AX22</f>
        <v>0</v>
      </c>
      <c r="AW22" s="38">
        <f>G22*AO22</f>
        <v>0</v>
      </c>
      <c r="AX22" s="38">
        <f>G22*AP22</f>
        <v>0</v>
      </c>
      <c r="AY22" s="25" t="s">
        <v>88</v>
      </c>
      <c r="AZ22" s="25" t="s">
        <v>63</v>
      </c>
      <c r="BA22" s="42" t="s">
        <v>64</v>
      </c>
      <c r="BC22" s="38">
        <f>AW22+AX22</f>
        <v>0</v>
      </c>
      <c r="BD22" s="38">
        <f>H22/(100-BE22)*100</f>
        <v>0</v>
      </c>
      <c r="BE22" s="38">
        <v>0</v>
      </c>
      <c r="BF22" s="38">
        <f>M22</f>
        <v>0</v>
      </c>
      <c r="BH22" s="38">
        <f>G22*AO22</f>
        <v>0</v>
      </c>
      <c r="BI22" s="38">
        <f>G22*AP22</f>
        <v>0</v>
      </c>
      <c r="BJ22" s="38">
        <f>G22*H22</f>
        <v>0</v>
      </c>
      <c r="BK22" s="38"/>
      <c r="BL22" s="38">
        <v>18</v>
      </c>
    </row>
    <row r="23" spans="1:64" ht="15" customHeight="1" x14ac:dyDescent="0.25">
      <c r="A23" s="40" t="s">
        <v>92</v>
      </c>
      <c r="B23" s="3" t="s">
        <v>54</v>
      </c>
      <c r="C23" s="3" t="s">
        <v>93</v>
      </c>
      <c r="D23" s="77" t="s">
        <v>94</v>
      </c>
      <c r="E23" s="77"/>
      <c r="F23" s="3" t="s">
        <v>68</v>
      </c>
      <c r="G23" s="38">
        <v>20</v>
      </c>
      <c r="H23" s="154"/>
      <c r="I23" s="38">
        <f>G23*AO23</f>
        <v>0</v>
      </c>
      <c r="J23" s="38">
        <f>G23*AP23</f>
        <v>0</v>
      </c>
      <c r="K23" s="38">
        <f>G23*H23</f>
        <v>0</v>
      </c>
      <c r="L23" s="38">
        <v>9.4000000000000004E-3</v>
      </c>
      <c r="M23" s="38">
        <f>G23*L23</f>
        <v>0.188</v>
      </c>
      <c r="N23" s="62"/>
      <c r="Z23" s="38">
        <f>IF(AQ23="5",BJ23,0)</f>
        <v>0</v>
      </c>
      <c r="AB23" s="38">
        <f>IF(AQ23="1",BH23,0)</f>
        <v>0</v>
      </c>
      <c r="AC23" s="38">
        <f>IF(AQ23="1",BI23,0)</f>
        <v>0</v>
      </c>
      <c r="AD23" s="38">
        <f>IF(AQ23="7",BH23,0)</f>
        <v>0</v>
      </c>
      <c r="AE23" s="38">
        <f>IF(AQ23="7",BI23,0)</f>
        <v>0</v>
      </c>
      <c r="AF23" s="38">
        <f>IF(AQ23="2",BH23,0)</f>
        <v>0</v>
      </c>
      <c r="AG23" s="38">
        <f>IF(AQ23="2",BI23,0)</f>
        <v>0</v>
      </c>
      <c r="AH23" s="38">
        <f>IF(AQ23="0",BJ23,0)</f>
        <v>0</v>
      </c>
      <c r="AI23" s="42" t="s">
        <v>54</v>
      </c>
      <c r="AJ23" s="38">
        <f>IF(AN23=0,K23,0)</f>
        <v>0</v>
      </c>
      <c r="AK23" s="38">
        <f>IF(AN23=15,K23,0)</f>
        <v>0</v>
      </c>
      <c r="AL23" s="38">
        <f>IF(AN23=21,K23,0)</f>
        <v>0</v>
      </c>
      <c r="AN23" s="38">
        <v>21</v>
      </c>
      <c r="AO23" s="38">
        <f>H23*0.208796659253452</f>
        <v>0</v>
      </c>
      <c r="AP23" s="38">
        <f>H23*(1-0.208796659253452)</f>
        <v>0</v>
      </c>
      <c r="AQ23" s="25" t="s">
        <v>58</v>
      </c>
      <c r="AV23" s="38">
        <f>AW23+AX23</f>
        <v>0</v>
      </c>
      <c r="AW23" s="38">
        <f>G23*AO23</f>
        <v>0</v>
      </c>
      <c r="AX23" s="38">
        <f>G23*AP23</f>
        <v>0</v>
      </c>
      <c r="AY23" s="25" t="s">
        <v>88</v>
      </c>
      <c r="AZ23" s="25" t="s">
        <v>63</v>
      </c>
      <c r="BA23" s="42" t="s">
        <v>64</v>
      </c>
      <c r="BC23" s="38">
        <f>AW23+AX23</f>
        <v>0</v>
      </c>
      <c r="BD23" s="38">
        <f>H23/(100-BE23)*100</f>
        <v>0</v>
      </c>
      <c r="BE23" s="38">
        <v>0</v>
      </c>
      <c r="BF23" s="38">
        <f>M23</f>
        <v>0.188</v>
      </c>
      <c r="BH23" s="38">
        <f>G23*AO23</f>
        <v>0</v>
      </c>
      <c r="BI23" s="38">
        <f>G23*AP23</f>
        <v>0</v>
      </c>
      <c r="BJ23" s="38">
        <f>G23*H23</f>
        <v>0</v>
      </c>
      <c r="BK23" s="38"/>
      <c r="BL23" s="38">
        <v>18</v>
      </c>
    </row>
    <row r="24" spans="1:64" ht="15" customHeight="1" x14ac:dyDescent="0.25">
      <c r="A24" s="40" t="s">
        <v>95</v>
      </c>
      <c r="B24" s="3" t="s">
        <v>54</v>
      </c>
      <c r="C24" s="3" t="s">
        <v>96</v>
      </c>
      <c r="D24" s="77" t="s">
        <v>97</v>
      </c>
      <c r="E24" s="77"/>
      <c r="F24" s="3" t="s">
        <v>68</v>
      </c>
      <c r="G24" s="38">
        <v>20</v>
      </c>
      <c r="H24" s="154"/>
      <c r="I24" s="38">
        <f>G24*AO24</f>
        <v>0</v>
      </c>
      <c r="J24" s="38">
        <f>G24*AP24</f>
        <v>0</v>
      </c>
      <c r="K24" s="38">
        <f>G24*H24</f>
        <v>0</v>
      </c>
      <c r="L24" s="38">
        <v>0</v>
      </c>
      <c r="M24" s="38">
        <f>G24*L24</f>
        <v>0</v>
      </c>
      <c r="N24" s="62"/>
      <c r="Z24" s="38">
        <f>IF(AQ24="5",BJ24,0)</f>
        <v>0</v>
      </c>
      <c r="AB24" s="38">
        <f>IF(AQ24="1",BH24,0)</f>
        <v>0</v>
      </c>
      <c r="AC24" s="38">
        <f>IF(AQ24="1",BI24,0)</f>
        <v>0</v>
      </c>
      <c r="AD24" s="38">
        <f>IF(AQ24="7",BH24,0)</f>
        <v>0</v>
      </c>
      <c r="AE24" s="38">
        <f>IF(AQ24="7",BI24,0)</f>
        <v>0</v>
      </c>
      <c r="AF24" s="38">
        <f>IF(AQ24="2",BH24,0)</f>
        <v>0</v>
      </c>
      <c r="AG24" s="38">
        <f>IF(AQ24="2",BI24,0)</f>
        <v>0</v>
      </c>
      <c r="AH24" s="38">
        <f>IF(AQ24="0",BJ24,0)</f>
        <v>0</v>
      </c>
      <c r="AI24" s="42" t="s">
        <v>54</v>
      </c>
      <c r="AJ24" s="38">
        <f>IF(AN24=0,K24,0)</f>
        <v>0</v>
      </c>
      <c r="AK24" s="38">
        <f>IF(AN24=15,K24,0)</f>
        <v>0</v>
      </c>
      <c r="AL24" s="38">
        <f>IF(AN24=21,K24,0)</f>
        <v>0</v>
      </c>
      <c r="AN24" s="38">
        <v>21</v>
      </c>
      <c r="AO24" s="38">
        <f>H24*0</f>
        <v>0</v>
      </c>
      <c r="AP24" s="38">
        <f>H24*(1-0)</f>
        <v>0</v>
      </c>
      <c r="AQ24" s="25" t="s">
        <v>58</v>
      </c>
      <c r="AV24" s="38">
        <f>AW24+AX24</f>
        <v>0</v>
      </c>
      <c r="AW24" s="38">
        <f>G24*AO24</f>
        <v>0</v>
      </c>
      <c r="AX24" s="38">
        <f>G24*AP24</f>
        <v>0</v>
      </c>
      <c r="AY24" s="25" t="s">
        <v>88</v>
      </c>
      <c r="AZ24" s="25" t="s">
        <v>63</v>
      </c>
      <c r="BA24" s="42" t="s">
        <v>64</v>
      </c>
      <c r="BC24" s="38">
        <f>AW24+AX24</f>
        <v>0</v>
      </c>
      <c r="BD24" s="38">
        <f>H24/(100-BE24)*100</f>
        <v>0</v>
      </c>
      <c r="BE24" s="38">
        <v>0</v>
      </c>
      <c r="BF24" s="38">
        <f>M24</f>
        <v>0</v>
      </c>
      <c r="BH24" s="38">
        <f>G24*AO24</f>
        <v>0</v>
      </c>
      <c r="BI24" s="38">
        <f>G24*AP24</f>
        <v>0</v>
      </c>
      <c r="BJ24" s="38">
        <f>G24*H24</f>
        <v>0</v>
      </c>
      <c r="BK24" s="38"/>
      <c r="BL24" s="38">
        <v>18</v>
      </c>
    </row>
    <row r="25" spans="1:64" ht="15" customHeight="1" x14ac:dyDescent="0.25">
      <c r="A25" s="67" t="s">
        <v>98</v>
      </c>
      <c r="B25" s="68" t="s">
        <v>54</v>
      </c>
      <c r="C25" s="68" t="s">
        <v>99</v>
      </c>
      <c r="D25" s="80" t="s">
        <v>100</v>
      </c>
      <c r="E25" s="80"/>
      <c r="F25" s="68" t="s">
        <v>77</v>
      </c>
      <c r="G25" s="69">
        <v>63051.5</v>
      </c>
      <c r="H25" s="69">
        <v>20</v>
      </c>
      <c r="I25" s="69">
        <f>G25*AO25</f>
        <v>0</v>
      </c>
      <c r="J25" s="69">
        <f>G25*AP25</f>
        <v>1261030</v>
      </c>
      <c r="K25" s="69">
        <f>G25*H25</f>
        <v>1261030</v>
      </c>
      <c r="L25" s="69">
        <v>0</v>
      </c>
      <c r="M25" s="69">
        <f>G25*L25</f>
        <v>0</v>
      </c>
      <c r="N25" s="62"/>
      <c r="Z25" s="38">
        <f>IF(AQ25="5",BJ25,0)</f>
        <v>0</v>
      </c>
      <c r="AB25" s="38">
        <f>IF(AQ25="1",BH25,0)</f>
        <v>0</v>
      </c>
      <c r="AC25" s="38">
        <f>IF(AQ25="1",BI25,0)</f>
        <v>1261030</v>
      </c>
      <c r="AD25" s="38">
        <f>IF(AQ25="7",BH25,0)</f>
        <v>0</v>
      </c>
      <c r="AE25" s="38">
        <f>IF(AQ25="7",BI25,0)</f>
        <v>0</v>
      </c>
      <c r="AF25" s="38">
        <f>IF(AQ25="2",BH25,0)</f>
        <v>0</v>
      </c>
      <c r="AG25" s="38">
        <f>IF(AQ25="2",BI25,0)</f>
        <v>0</v>
      </c>
      <c r="AH25" s="38">
        <f>IF(AQ25="0",BJ25,0)</f>
        <v>0</v>
      </c>
      <c r="AI25" s="42" t="s">
        <v>54</v>
      </c>
      <c r="AJ25" s="38">
        <f>IF(AN25=0,K25,0)</f>
        <v>0</v>
      </c>
      <c r="AK25" s="38">
        <f>IF(AN25=15,K25,0)</f>
        <v>0</v>
      </c>
      <c r="AL25" s="38">
        <f>IF(AN25=21,K25,0)</f>
        <v>1261030</v>
      </c>
      <c r="AN25" s="38">
        <v>21</v>
      </c>
      <c r="AO25" s="38">
        <f>H25*0</f>
        <v>0</v>
      </c>
      <c r="AP25" s="38">
        <f>H25*(1-0)</f>
        <v>20</v>
      </c>
      <c r="AQ25" s="25" t="s">
        <v>58</v>
      </c>
      <c r="AV25" s="38">
        <f>AW25+AX25</f>
        <v>1261030</v>
      </c>
      <c r="AW25" s="38">
        <f>G25*AO25</f>
        <v>0</v>
      </c>
      <c r="AX25" s="38">
        <f>G25*AP25</f>
        <v>1261030</v>
      </c>
      <c r="AY25" s="25" t="s">
        <v>88</v>
      </c>
      <c r="AZ25" s="25" t="s">
        <v>63</v>
      </c>
      <c r="BA25" s="42" t="s">
        <v>64</v>
      </c>
      <c r="BC25" s="38">
        <f>AW25+AX25</f>
        <v>1261030</v>
      </c>
      <c r="BD25" s="38">
        <f>H25/(100-BE25)*100</f>
        <v>20</v>
      </c>
      <c r="BE25" s="38">
        <v>0</v>
      </c>
      <c r="BF25" s="38">
        <f>M25</f>
        <v>0</v>
      </c>
      <c r="BH25" s="38">
        <f>G25*AO25</f>
        <v>0</v>
      </c>
      <c r="BI25" s="38">
        <f>G25*AP25</f>
        <v>1261030</v>
      </c>
      <c r="BJ25" s="38">
        <f>G25*H25</f>
        <v>1261030</v>
      </c>
      <c r="BK25" s="38"/>
      <c r="BL25" s="38">
        <v>18</v>
      </c>
    </row>
    <row r="26" spans="1:64" ht="15" customHeight="1" x14ac:dyDescent="0.25">
      <c r="A26" s="9" t="s">
        <v>53</v>
      </c>
      <c r="B26" s="53" t="s">
        <v>101</v>
      </c>
      <c r="C26" s="53" t="s">
        <v>53</v>
      </c>
      <c r="D26" s="78" t="s">
        <v>102</v>
      </c>
      <c r="E26" s="78"/>
      <c r="F26" s="27" t="s">
        <v>32</v>
      </c>
      <c r="G26" s="27" t="s">
        <v>32</v>
      </c>
      <c r="H26" s="27" t="s">
        <v>32</v>
      </c>
      <c r="I26" s="18">
        <f>I27</f>
        <v>0</v>
      </c>
      <c r="J26" s="18">
        <f>J27</f>
        <v>0</v>
      </c>
      <c r="K26" s="18">
        <f>K27</f>
        <v>0</v>
      </c>
      <c r="L26" s="42" t="s">
        <v>53</v>
      </c>
      <c r="M26" s="18">
        <f>M27</f>
        <v>0</v>
      </c>
      <c r="N26" s="34"/>
    </row>
    <row r="27" spans="1:64" ht="15" customHeight="1" x14ac:dyDescent="0.25">
      <c r="A27" s="9" t="s">
        <v>53</v>
      </c>
      <c r="B27" s="53" t="s">
        <v>101</v>
      </c>
      <c r="C27" s="53" t="s">
        <v>56</v>
      </c>
      <c r="D27" s="78" t="s">
        <v>57</v>
      </c>
      <c r="E27" s="78"/>
      <c r="F27" s="27" t="s">
        <v>32</v>
      </c>
      <c r="G27" s="27" t="s">
        <v>32</v>
      </c>
      <c r="H27" s="27" t="s">
        <v>32</v>
      </c>
      <c r="I27" s="18">
        <f>SUM(I28:I29)</f>
        <v>0</v>
      </c>
      <c r="J27" s="18">
        <f>SUM(J28:J29)</f>
        <v>0</v>
      </c>
      <c r="K27" s="18">
        <f>SUM(K28:K29)</f>
        <v>0</v>
      </c>
      <c r="L27" s="42" t="s">
        <v>53</v>
      </c>
      <c r="M27" s="18">
        <f>SUM(M28:M29)</f>
        <v>0</v>
      </c>
      <c r="N27" s="34"/>
      <c r="AI27" s="42" t="s">
        <v>101</v>
      </c>
      <c r="AS27" s="18">
        <f>SUM(AJ28:AJ29)</f>
        <v>0</v>
      </c>
      <c r="AT27" s="18">
        <f>SUM(AK28:AK29)</f>
        <v>0</v>
      </c>
      <c r="AU27" s="18">
        <f>SUM(AL28:AL29)</f>
        <v>0</v>
      </c>
    </row>
    <row r="28" spans="1:64" ht="15" customHeight="1" x14ac:dyDescent="0.25">
      <c r="A28" s="40" t="s">
        <v>56</v>
      </c>
      <c r="B28" s="3" t="s">
        <v>101</v>
      </c>
      <c r="C28" s="66" t="s">
        <v>103</v>
      </c>
      <c r="D28" s="77" t="s">
        <v>104</v>
      </c>
      <c r="E28" s="77"/>
      <c r="F28" s="3" t="s">
        <v>105</v>
      </c>
      <c r="G28" s="38">
        <v>4</v>
      </c>
      <c r="H28" s="154"/>
      <c r="I28" s="38">
        <f>G28*AO28</f>
        <v>0</v>
      </c>
      <c r="J28" s="38">
        <f>G28*AP28</f>
        <v>0</v>
      </c>
      <c r="K28" s="38">
        <f>G28*H28</f>
        <v>0</v>
      </c>
      <c r="L28" s="38">
        <v>0</v>
      </c>
      <c r="M28" s="38">
        <f>G28*L28</f>
        <v>0</v>
      </c>
      <c r="N28" s="62"/>
      <c r="O28" s="71" t="s">
        <v>78</v>
      </c>
      <c r="Z28" s="38">
        <f>IF(AQ28="5",BJ28,0)</f>
        <v>0</v>
      </c>
      <c r="AB28" s="38">
        <f>IF(AQ28="1",BH28,0)</f>
        <v>0</v>
      </c>
      <c r="AC28" s="38">
        <f>IF(AQ28="1",BI28,0)</f>
        <v>0</v>
      </c>
      <c r="AD28" s="38">
        <f>IF(AQ28="7",BH28,0)</f>
        <v>0</v>
      </c>
      <c r="AE28" s="38">
        <f>IF(AQ28="7",BI28,0)</f>
        <v>0</v>
      </c>
      <c r="AF28" s="38">
        <f>IF(AQ28="2",BH28,0)</f>
        <v>0</v>
      </c>
      <c r="AG28" s="38">
        <f>IF(AQ28="2",BI28,0)</f>
        <v>0</v>
      </c>
      <c r="AH28" s="38">
        <f>IF(AQ28="0",BJ28,0)</f>
        <v>0</v>
      </c>
      <c r="AI28" s="42" t="s">
        <v>101</v>
      </c>
      <c r="AJ28" s="38">
        <f>IF(AN28=0,K28,0)</f>
        <v>0</v>
      </c>
      <c r="AK28" s="38">
        <f>IF(AN28=15,K28,0)</f>
        <v>0</v>
      </c>
      <c r="AL28" s="38">
        <f>IF(AN28=21,K28,0)</f>
        <v>0</v>
      </c>
      <c r="AN28" s="38">
        <v>21</v>
      </c>
      <c r="AO28" s="38">
        <f>H28*1</f>
        <v>0</v>
      </c>
      <c r="AP28" s="38">
        <f>H28*(1-1)</f>
        <v>0</v>
      </c>
      <c r="AQ28" s="25" t="s">
        <v>58</v>
      </c>
      <c r="AV28" s="38">
        <f>AW28+AX28</f>
        <v>0</v>
      </c>
      <c r="AW28" s="38">
        <f>G28*AO28</f>
        <v>0</v>
      </c>
      <c r="AX28" s="38">
        <f>G28*AP28</f>
        <v>0</v>
      </c>
      <c r="AY28" s="25" t="s">
        <v>62</v>
      </c>
      <c r="AZ28" s="25" t="s">
        <v>106</v>
      </c>
      <c r="BA28" s="42" t="s">
        <v>107</v>
      </c>
      <c r="BC28" s="38">
        <f>AW28+AX28</f>
        <v>0</v>
      </c>
      <c r="BD28" s="38">
        <f>H28/(100-BE28)*100</f>
        <v>0</v>
      </c>
      <c r="BE28" s="38">
        <v>0</v>
      </c>
      <c r="BF28" s="38">
        <f>M28</f>
        <v>0</v>
      </c>
      <c r="BH28" s="38">
        <f>G28*AO28</f>
        <v>0</v>
      </c>
      <c r="BI28" s="38">
        <f>G28*AP28</f>
        <v>0</v>
      </c>
      <c r="BJ28" s="38">
        <f>G28*H28</f>
        <v>0</v>
      </c>
      <c r="BK28" s="38"/>
      <c r="BL28" s="38">
        <v>11</v>
      </c>
    </row>
    <row r="29" spans="1:64" ht="15" customHeight="1" x14ac:dyDescent="0.25">
      <c r="A29" s="40" t="s">
        <v>72</v>
      </c>
      <c r="B29" s="3" t="s">
        <v>101</v>
      </c>
      <c r="C29" s="66" t="s">
        <v>108</v>
      </c>
      <c r="D29" s="77" t="s">
        <v>109</v>
      </c>
      <c r="E29" s="77"/>
      <c r="F29" s="3" t="s">
        <v>68</v>
      </c>
      <c r="G29" s="38">
        <v>1704</v>
      </c>
      <c r="H29" s="154"/>
      <c r="I29" s="38">
        <f>G29*AO29</f>
        <v>0</v>
      </c>
      <c r="J29" s="38">
        <f>G29*AP29</f>
        <v>0</v>
      </c>
      <c r="K29" s="38">
        <f>G29*H29</f>
        <v>0</v>
      </c>
      <c r="L29" s="38">
        <v>0</v>
      </c>
      <c r="M29" s="38">
        <f>G29*L29</f>
        <v>0</v>
      </c>
      <c r="N29" s="62"/>
      <c r="O29" s="71" t="s">
        <v>78</v>
      </c>
      <c r="Z29" s="38">
        <f>IF(AQ29="5",BJ29,0)</f>
        <v>0</v>
      </c>
      <c r="AB29" s="38">
        <f>IF(AQ29="1",BH29,0)</f>
        <v>0</v>
      </c>
      <c r="AC29" s="38">
        <f>IF(AQ29="1",BI29,0)</f>
        <v>0</v>
      </c>
      <c r="AD29" s="38">
        <f>IF(AQ29="7",BH29,0)</f>
        <v>0</v>
      </c>
      <c r="AE29" s="38">
        <f>IF(AQ29="7",BI29,0)</f>
        <v>0</v>
      </c>
      <c r="AF29" s="38">
        <f>IF(AQ29="2",BH29,0)</f>
        <v>0</v>
      </c>
      <c r="AG29" s="38">
        <f>IF(AQ29="2",BI29,0)</f>
        <v>0</v>
      </c>
      <c r="AH29" s="38">
        <f>IF(AQ29="0",BJ29,0)</f>
        <v>0</v>
      </c>
      <c r="AI29" s="42" t="s">
        <v>101</v>
      </c>
      <c r="AJ29" s="38">
        <f>IF(AN29=0,K29,0)</f>
        <v>0</v>
      </c>
      <c r="AK29" s="38">
        <f>IF(AN29=15,K29,0)</f>
        <v>0</v>
      </c>
      <c r="AL29" s="38">
        <f>IF(AN29=21,K29,0)</f>
        <v>0</v>
      </c>
      <c r="AN29" s="38">
        <v>21</v>
      </c>
      <c r="AO29" s="38">
        <f>H29*1</f>
        <v>0</v>
      </c>
      <c r="AP29" s="38">
        <f>H29*(1-1)</f>
        <v>0</v>
      </c>
      <c r="AQ29" s="25" t="s">
        <v>58</v>
      </c>
      <c r="AV29" s="38">
        <f>AW29+AX29</f>
        <v>0</v>
      </c>
      <c r="AW29" s="38">
        <f>G29*AO29</f>
        <v>0</v>
      </c>
      <c r="AX29" s="38">
        <f>G29*AP29</f>
        <v>0</v>
      </c>
      <c r="AY29" s="25" t="s">
        <v>62</v>
      </c>
      <c r="AZ29" s="25" t="s">
        <v>106</v>
      </c>
      <c r="BA29" s="42" t="s">
        <v>107</v>
      </c>
      <c r="BC29" s="38">
        <f>AW29+AX29</f>
        <v>0</v>
      </c>
      <c r="BD29" s="38">
        <f>H29/(100-BE29)*100</f>
        <v>0</v>
      </c>
      <c r="BE29" s="38">
        <v>0</v>
      </c>
      <c r="BF29" s="38">
        <f>M29</f>
        <v>0</v>
      </c>
      <c r="BH29" s="38">
        <f>G29*AO29</f>
        <v>0</v>
      </c>
      <c r="BI29" s="38">
        <f>G29*AP29</f>
        <v>0</v>
      </c>
      <c r="BJ29" s="38">
        <f>G29*H29</f>
        <v>0</v>
      </c>
      <c r="BK29" s="38"/>
      <c r="BL29" s="38">
        <v>11</v>
      </c>
    </row>
    <row r="30" spans="1:64" ht="15" customHeight="1" x14ac:dyDescent="0.25">
      <c r="A30" s="9" t="s">
        <v>53</v>
      </c>
      <c r="B30" s="53" t="s">
        <v>110</v>
      </c>
      <c r="C30" s="53" t="s">
        <v>53</v>
      </c>
      <c r="D30" s="78" t="s">
        <v>111</v>
      </c>
      <c r="E30" s="78"/>
      <c r="F30" s="27" t="s">
        <v>32</v>
      </c>
      <c r="G30" s="27" t="s">
        <v>32</v>
      </c>
      <c r="H30" s="27" t="s">
        <v>32</v>
      </c>
      <c r="I30" s="18">
        <f>I31+I34+I36+I42+I44+I48+I51+I56</f>
        <v>0</v>
      </c>
      <c r="J30" s="18">
        <f>J31+J34+J36+J42+J44+J48+J51+J56</f>
        <v>0</v>
      </c>
      <c r="K30" s="18">
        <f>K31+K34+K36+K42+K44+K48+K51+K56</f>
        <v>0</v>
      </c>
      <c r="L30" s="42" t="s">
        <v>53</v>
      </c>
      <c r="M30" s="18">
        <f>M31+M34+M36+M42+M44+M48+M51+M56</f>
        <v>30.059478600000002</v>
      </c>
      <c r="N30" s="34"/>
    </row>
    <row r="31" spans="1:64" ht="15" customHeight="1" x14ac:dyDescent="0.25">
      <c r="A31" s="9" t="s">
        <v>53</v>
      </c>
      <c r="B31" s="53" t="s">
        <v>110</v>
      </c>
      <c r="C31" s="53" t="s">
        <v>56</v>
      </c>
      <c r="D31" s="78" t="s">
        <v>57</v>
      </c>
      <c r="E31" s="78"/>
      <c r="F31" s="27" t="s">
        <v>32</v>
      </c>
      <c r="G31" s="27" t="s">
        <v>32</v>
      </c>
      <c r="H31" s="27" t="s">
        <v>32</v>
      </c>
      <c r="I31" s="18">
        <f>SUM(I32:I33)</f>
        <v>0</v>
      </c>
      <c r="J31" s="18">
        <f>SUM(J32:J33)</f>
        <v>0</v>
      </c>
      <c r="K31" s="18">
        <f>SUM(K32:K33)</f>
        <v>0</v>
      </c>
      <c r="L31" s="42" t="s">
        <v>53</v>
      </c>
      <c r="M31" s="18">
        <f>SUM(M32:M33)</f>
        <v>2.5000000000000001E-4</v>
      </c>
      <c r="N31" s="34"/>
      <c r="AI31" s="42" t="s">
        <v>110</v>
      </c>
      <c r="AS31" s="18">
        <f>SUM(AJ32:AJ33)</f>
        <v>0</v>
      </c>
      <c r="AT31" s="18">
        <f>SUM(AK32:AK33)</f>
        <v>0</v>
      </c>
      <c r="AU31" s="18">
        <f>SUM(AL32:AL33)</f>
        <v>0</v>
      </c>
    </row>
    <row r="32" spans="1:64" ht="15" customHeight="1" x14ac:dyDescent="0.25">
      <c r="A32" s="40" t="s">
        <v>112</v>
      </c>
      <c r="B32" s="3" t="s">
        <v>110</v>
      </c>
      <c r="C32" s="3" t="s">
        <v>66</v>
      </c>
      <c r="D32" s="77" t="s">
        <v>113</v>
      </c>
      <c r="E32" s="77"/>
      <c r="F32" s="3" t="s">
        <v>68</v>
      </c>
      <c r="G32" s="38">
        <v>5</v>
      </c>
      <c r="H32" s="154"/>
      <c r="I32" s="38">
        <f>G32*AO32</f>
        <v>0</v>
      </c>
      <c r="J32" s="38">
        <f>G32*AP32</f>
        <v>0</v>
      </c>
      <c r="K32" s="38">
        <f>G32*H32</f>
        <v>0</v>
      </c>
      <c r="L32" s="38">
        <v>0</v>
      </c>
      <c r="M32" s="38">
        <f>G32*L32</f>
        <v>0</v>
      </c>
      <c r="N32" s="62"/>
      <c r="Z32" s="38">
        <f>IF(AQ32="5",BJ32,0)</f>
        <v>0</v>
      </c>
      <c r="AB32" s="38">
        <f>IF(AQ32="1",BH32,0)</f>
        <v>0</v>
      </c>
      <c r="AC32" s="38">
        <f>IF(AQ32="1",BI32,0)</f>
        <v>0</v>
      </c>
      <c r="AD32" s="38">
        <f>IF(AQ32="7",BH32,0)</f>
        <v>0</v>
      </c>
      <c r="AE32" s="38">
        <f>IF(AQ32="7",BI32,0)</f>
        <v>0</v>
      </c>
      <c r="AF32" s="38">
        <f>IF(AQ32="2",BH32,0)</f>
        <v>0</v>
      </c>
      <c r="AG32" s="38">
        <f>IF(AQ32="2",BI32,0)</f>
        <v>0</v>
      </c>
      <c r="AH32" s="38">
        <f>IF(AQ32="0",BJ32,0)</f>
        <v>0</v>
      </c>
      <c r="AI32" s="42" t="s">
        <v>110</v>
      </c>
      <c r="AJ32" s="38">
        <f>IF(AN32=0,K32,0)</f>
        <v>0</v>
      </c>
      <c r="AK32" s="38">
        <f>IF(AN32=15,K32,0)</f>
        <v>0</v>
      </c>
      <c r="AL32" s="38">
        <f>IF(AN32=21,K32,0)</f>
        <v>0</v>
      </c>
      <c r="AN32" s="38">
        <v>21</v>
      </c>
      <c r="AO32" s="38">
        <f>H32*0</f>
        <v>0</v>
      </c>
      <c r="AP32" s="38">
        <f>H32*(1-0)</f>
        <v>0</v>
      </c>
      <c r="AQ32" s="25" t="s">
        <v>58</v>
      </c>
      <c r="AV32" s="38">
        <f>AW32+AX32</f>
        <v>0</v>
      </c>
      <c r="AW32" s="38">
        <f>G32*AO32</f>
        <v>0</v>
      </c>
      <c r="AX32" s="38">
        <f>G32*AP32</f>
        <v>0</v>
      </c>
      <c r="AY32" s="25" t="s">
        <v>62</v>
      </c>
      <c r="AZ32" s="25" t="s">
        <v>114</v>
      </c>
      <c r="BA32" s="42" t="s">
        <v>115</v>
      </c>
      <c r="BC32" s="38">
        <f>AW32+AX32</f>
        <v>0</v>
      </c>
      <c r="BD32" s="38">
        <f>H32/(100-BE32)*100</f>
        <v>0</v>
      </c>
      <c r="BE32" s="38">
        <v>0</v>
      </c>
      <c r="BF32" s="38">
        <f>M32</f>
        <v>0</v>
      </c>
      <c r="BH32" s="38">
        <f>G32*AO32</f>
        <v>0</v>
      </c>
      <c r="BI32" s="38">
        <f>G32*AP32</f>
        <v>0</v>
      </c>
      <c r="BJ32" s="38">
        <f>G32*H32</f>
        <v>0</v>
      </c>
      <c r="BK32" s="38"/>
      <c r="BL32" s="38">
        <v>11</v>
      </c>
    </row>
    <row r="33" spans="1:64" ht="15" customHeight="1" x14ac:dyDescent="0.25">
      <c r="A33" s="40" t="s">
        <v>116</v>
      </c>
      <c r="B33" s="3" t="s">
        <v>110</v>
      </c>
      <c r="C33" s="3" t="s">
        <v>70</v>
      </c>
      <c r="D33" s="77" t="s">
        <v>71</v>
      </c>
      <c r="E33" s="77"/>
      <c r="F33" s="3" t="s">
        <v>68</v>
      </c>
      <c r="G33" s="38">
        <v>5</v>
      </c>
      <c r="H33" s="154"/>
      <c r="I33" s="38">
        <f>G33*AO33</f>
        <v>0</v>
      </c>
      <c r="J33" s="38">
        <f>G33*AP33</f>
        <v>0</v>
      </c>
      <c r="K33" s="38">
        <f>G33*H33</f>
        <v>0</v>
      </c>
      <c r="L33" s="38">
        <v>5.0000000000000002E-5</v>
      </c>
      <c r="M33" s="38">
        <f>G33*L33</f>
        <v>2.5000000000000001E-4</v>
      </c>
      <c r="N33" s="62"/>
      <c r="Z33" s="38">
        <f>IF(AQ33="5",BJ33,0)</f>
        <v>0</v>
      </c>
      <c r="AB33" s="38">
        <f>IF(AQ33="1",BH33,0)</f>
        <v>0</v>
      </c>
      <c r="AC33" s="38">
        <f>IF(AQ33="1",BI33,0)</f>
        <v>0</v>
      </c>
      <c r="AD33" s="38">
        <f>IF(AQ33="7",BH33,0)</f>
        <v>0</v>
      </c>
      <c r="AE33" s="38">
        <f>IF(AQ33="7",BI33,0)</f>
        <v>0</v>
      </c>
      <c r="AF33" s="38">
        <f>IF(AQ33="2",BH33,0)</f>
        <v>0</v>
      </c>
      <c r="AG33" s="38">
        <f>IF(AQ33="2",BI33,0)</f>
        <v>0</v>
      </c>
      <c r="AH33" s="38">
        <f>IF(AQ33="0",BJ33,0)</f>
        <v>0</v>
      </c>
      <c r="AI33" s="42" t="s">
        <v>110</v>
      </c>
      <c r="AJ33" s="38">
        <f>IF(AN33=0,K33,0)</f>
        <v>0</v>
      </c>
      <c r="AK33" s="38">
        <f>IF(AN33=15,K33,0)</f>
        <v>0</v>
      </c>
      <c r="AL33" s="38">
        <f>IF(AN33=21,K33,0)</f>
        <v>0</v>
      </c>
      <c r="AN33" s="38">
        <v>21</v>
      </c>
      <c r="AO33" s="38">
        <f>H33*0.144370860927152</f>
        <v>0</v>
      </c>
      <c r="AP33" s="38">
        <f>H33*(1-0.144370860927152)</f>
        <v>0</v>
      </c>
      <c r="AQ33" s="25" t="s">
        <v>58</v>
      </c>
      <c r="AV33" s="38">
        <f>AW33+AX33</f>
        <v>0</v>
      </c>
      <c r="AW33" s="38">
        <f>G33*AO33</f>
        <v>0</v>
      </c>
      <c r="AX33" s="38">
        <f>G33*AP33</f>
        <v>0</v>
      </c>
      <c r="AY33" s="25" t="s">
        <v>62</v>
      </c>
      <c r="AZ33" s="25" t="s">
        <v>114</v>
      </c>
      <c r="BA33" s="42" t="s">
        <v>115</v>
      </c>
      <c r="BC33" s="38">
        <f>AW33+AX33</f>
        <v>0</v>
      </c>
      <c r="BD33" s="38">
        <f>H33/(100-BE33)*100</f>
        <v>0</v>
      </c>
      <c r="BE33" s="38">
        <v>0</v>
      </c>
      <c r="BF33" s="38">
        <f>M33</f>
        <v>2.5000000000000001E-4</v>
      </c>
      <c r="BH33" s="38">
        <f>G33*AO33</f>
        <v>0</v>
      </c>
      <c r="BI33" s="38">
        <f>G33*AP33</f>
        <v>0</v>
      </c>
      <c r="BJ33" s="38">
        <f>G33*H33</f>
        <v>0</v>
      </c>
      <c r="BK33" s="38"/>
      <c r="BL33" s="38">
        <v>11</v>
      </c>
    </row>
    <row r="34" spans="1:64" ht="15" customHeight="1" x14ac:dyDescent="0.25">
      <c r="A34" s="9" t="s">
        <v>53</v>
      </c>
      <c r="B34" s="53" t="s">
        <v>110</v>
      </c>
      <c r="C34" s="53" t="s">
        <v>117</v>
      </c>
      <c r="D34" s="78" t="s">
        <v>118</v>
      </c>
      <c r="E34" s="78"/>
      <c r="F34" s="27" t="s">
        <v>32</v>
      </c>
      <c r="G34" s="27" t="s">
        <v>32</v>
      </c>
      <c r="H34" s="27" t="s">
        <v>32</v>
      </c>
      <c r="I34" s="18">
        <f>SUM(I35:I35)</f>
        <v>0</v>
      </c>
      <c r="J34" s="18">
        <f>SUM(J35:J35)</f>
        <v>0</v>
      </c>
      <c r="K34" s="18">
        <f>SUM(K35:K35)</f>
        <v>0</v>
      </c>
      <c r="L34" s="42" t="s">
        <v>53</v>
      </c>
      <c r="M34" s="18">
        <f>SUM(M35:M35)</f>
        <v>7.3660000000000002E-4</v>
      </c>
      <c r="N34" s="34"/>
      <c r="AI34" s="42" t="s">
        <v>110</v>
      </c>
      <c r="AS34" s="18">
        <f>SUM(AJ35:AJ35)</f>
        <v>0</v>
      </c>
      <c r="AT34" s="18">
        <f>SUM(AK35:AK35)</f>
        <v>0</v>
      </c>
      <c r="AU34" s="18">
        <f>SUM(AL35:AL35)</f>
        <v>0</v>
      </c>
    </row>
    <row r="35" spans="1:64" ht="15" customHeight="1" x14ac:dyDescent="0.25">
      <c r="A35" s="40" t="s">
        <v>119</v>
      </c>
      <c r="B35" s="3" t="s">
        <v>110</v>
      </c>
      <c r="C35" s="3" t="s">
        <v>120</v>
      </c>
      <c r="D35" s="77" t="s">
        <v>121</v>
      </c>
      <c r="E35" s="77"/>
      <c r="F35" s="3" t="s">
        <v>68</v>
      </c>
      <c r="G35" s="38">
        <v>36.83</v>
      </c>
      <c r="H35" s="154"/>
      <c r="I35" s="38">
        <f>G35*AO35</f>
        <v>0</v>
      </c>
      <c r="J35" s="38">
        <f>G35*AP35</f>
        <v>0</v>
      </c>
      <c r="K35" s="38">
        <f>G35*H35</f>
        <v>0</v>
      </c>
      <c r="L35" s="38">
        <v>2.0000000000000002E-5</v>
      </c>
      <c r="M35" s="38">
        <f>G35*L35</f>
        <v>7.3660000000000002E-4</v>
      </c>
      <c r="N35" s="62"/>
      <c r="Z35" s="38">
        <f>IF(AQ35="5",BJ35,0)</f>
        <v>0</v>
      </c>
      <c r="AB35" s="38">
        <f>IF(AQ35="1",BH35,0)</f>
        <v>0</v>
      </c>
      <c r="AC35" s="38">
        <f>IF(AQ35="1",BI35,0)</f>
        <v>0</v>
      </c>
      <c r="AD35" s="38">
        <f>IF(AQ35="7",BH35,0)</f>
        <v>0</v>
      </c>
      <c r="AE35" s="38">
        <f>IF(AQ35="7",BI35,0)</f>
        <v>0</v>
      </c>
      <c r="AF35" s="38">
        <f>IF(AQ35="2",BH35,0)</f>
        <v>0</v>
      </c>
      <c r="AG35" s="38">
        <f>IF(AQ35="2",BI35,0)</f>
        <v>0</v>
      </c>
      <c r="AH35" s="38">
        <f>IF(AQ35="0",BJ35,0)</f>
        <v>0</v>
      </c>
      <c r="AI35" s="42" t="s">
        <v>110</v>
      </c>
      <c r="AJ35" s="38">
        <f>IF(AN35=0,K35,0)</f>
        <v>0</v>
      </c>
      <c r="AK35" s="38">
        <f>IF(AN35=15,K35,0)</f>
        <v>0</v>
      </c>
      <c r="AL35" s="38">
        <f>IF(AN35=21,K35,0)</f>
        <v>0</v>
      </c>
      <c r="AN35" s="38">
        <v>21</v>
      </c>
      <c r="AO35" s="38">
        <f>H35*0.0509090909090909</f>
        <v>0</v>
      </c>
      <c r="AP35" s="38">
        <f>H35*(1-0.0509090909090909)</f>
        <v>0</v>
      </c>
      <c r="AQ35" s="25" t="s">
        <v>58</v>
      </c>
      <c r="AV35" s="38">
        <f>AW35+AX35</f>
        <v>0</v>
      </c>
      <c r="AW35" s="38">
        <f>G35*AO35</f>
        <v>0</v>
      </c>
      <c r="AX35" s="38">
        <f>G35*AP35</f>
        <v>0</v>
      </c>
      <c r="AY35" s="25" t="s">
        <v>122</v>
      </c>
      <c r="AZ35" s="25" t="s">
        <v>123</v>
      </c>
      <c r="BA35" s="42" t="s">
        <v>115</v>
      </c>
      <c r="BC35" s="38">
        <f>AW35+AX35</f>
        <v>0</v>
      </c>
      <c r="BD35" s="38">
        <f>H35/(100-BE35)*100</f>
        <v>0</v>
      </c>
      <c r="BE35" s="38">
        <v>0</v>
      </c>
      <c r="BF35" s="38">
        <f>M35</f>
        <v>7.3660000000000002E-4</v>
      </c>
      <c r="BH35" s="38">
        <f>G35*AO35</f>
        <v>0</v>
      </c>
      <c r="BI35" s="38">
        <f>G35*AP35</f>
        <v>0</v>
      </c>
      <c r="BJ35" s="38">
        <f>G35*H35</f>
        <v>0</v>
      </c>
      <c r="BK35" s="38"/>
      <c r="BL35" s="38">
        <v>21</v>
      </c>
    </row>
    <row r="36" spans="1:64" ht="15" customHeight="1" x14ac:dyDescent="0.25">
      <c r="A36" s="9" t="s">
        <v>53</v>
      </c>
      <c r="B36" s="53" t="s">
        <v>110</v>
      </c>
      <c r="C36" s="53" t="s">
        <v>124</v>
      </c>
      <c r="D36" s="78" t="s">
        <v>125</v>
      </c>
      <c r="E36" s="78"/>
      <c r="F36" s="27" t="s">
        <v>32</v>
      </c>
      <c r="G36" s="27" t="s">
        <v>32</v>
      </c>
      <c r="H36" s="27" t="s">
        <v>32</v>
      </c>
      <c r="I36" s="18">
        <f>SUM(I37:I41)</f>
        <v>0</v>
      </c>
      <c r="J36" s="18">
        <f>SUM(J37:J41)</f>
        <v>0</v>
      </c>
      <c r="K36" s="18">
        <f>SUM(K37:K41)</f>
        <v>0</v>
      </c>
      <c r="L36" s="42" t="s">
        <v>53</v>
      </c>
      <c r="M36" s="18">
        <f>SUM(M37:M41)</f>
        <v>0.56730000000000003</v>
      </c>
      <c r="N36" s="34"/>
      <c r="AI36" s="42" t="s">
        <v>110</v>
      </c>
      <c r="AS36" s="18">
        <f>SUM(AJ37:AJ41)</f>
        <v>0</v>
      </c>
      <c r="AT36" s="18">
        <f>SUM(AK37:AK41)</f>
        <v>0</v>
      </c>
      <c r="AU36" s="18">
        <f>SUM(AL37:AL41)</f>
        <v>0</v>
      </c>
    </row>
    <row r="37" spans="1:64" ht="15" customHeight="1" x14ac:dyDescent="0.25">
      <c r="A37" s="40" t="s">
        <v>126</v>
      </c>
      <c r="B37" s="3" t="s">
        <v>110</v>
      </c>
      <c r="C37" s="66" t="s">
        <v>127</v>
      </c>
      <c r="D37" s="77" t="s">
        <v>128</v>
      </c>
      <c r="E37" s="77"/>
      <c r="F37" s="3" t="s">
        <v>105</v>
      </c>
      <c r="G37" s="38">
        <v>4</v>
      </c>
      <c r="H37" s="154"/>
      <c r="I37" s="38">
        <f>G37*AO37</f>
        <v>0</v>
      </c>
      <c r="J37" s="38">
        <f>G37*AP37</f>
        <v>0</v>
      </c>
      <c r="K37" s="38">
        <f>G37*H37</f>
        <v>0</v>
      </c>
      <c r="L37" s="38">
        <v>0</v>
      </c>
      <c r="M37" s="38">
        <f>G37*L37</f>
        <v>0</v>
      </c>
      <c r="N37" s="62"/>
      <c r="Z37" s="38">
        <f>IF(AQ37="5",BJ37,0)</f>
        <v>0</v>
      </c>
      <c r="AB37" s="38">
        <f>IF(AQ37="1",BH37,0)</f>
        <v>0</v>
      </c>
      <c r="AC37" s="38">
        <f>IF(AQ37="1",BI37,0)</f>
        <v>0</v>
      </c>
      <c r="AD37" s="38">
        <f>IF(AQ37="7",BH37,0)</f>
        <v>0</v>
      </c>
      <c r="AE37" s="38">
        <f>IF(AQ37="7",BI37,0)</f>
        <v>0</v>
      </c>
      <c r="AF37" s="38">
        <f>IF(AQ37="2",BH37,0)</f>
        <v>0</v>
      </c>
      <c r="AG37" s="38">
        <f>IF(AQ37="2",BI37,0)</f>
        <v>0</v>
      </c>
      <c r="AH37" s="38">
        <f>IF(AQ37="0",BJ37,0)</f>
        <v>0</v>
      </c>
      <c r="AI37" s="42" t="s">
        <v>110</v>
      </c>
      <c r="AJ37" s="38">
        <f>IF(AN37=0,K37,0)</f>
        <v>0</v>
      </c>
      <c r="AK37" s="38">
        <f>IF(AN37=15,K37,0)</f>
        <v>0</v>
      </c>
      <c r="AL37" s="38">
        <f>IF(AN37=21,K37,0)</f>
        <v>0</v>
      </c>
      <c r="AN37" s="38">
        <v>21</v>
      </c>
      <c r="AO37" s="38">
        <f>H37*0</f>
        <v>0</v>
      </c>
      <c r="AP37" s="38">
        <f>H37*(1-0)</f>
        <v>0</v>
      </c>
      <c r="AQ37" s="25" t="s">
        <v>58</v>
      </c>
      <c r="AV37" s="38">
        <f>AW37+AX37</f>
        <v>0</v>
      </c>
      <c r="AW37" s="38">
        <f>G37*AO37</f>
        <v>0</v>
      </c>
      <c r="AX37" s="38">
        <f>G37*AP37</f>
        <v>0</v>
      </c>
      <c r="AY37" s="25" t="s">
        <v>129</v>
      </c>
      <c r="AZ37" s="25" t="s">
        <v>123</v>
      </c>
      <c r="BA37" s="42" t="s">
        <v>115</v>
      </c>
      <c r="BC37" s="38">
        <f>AW37+AX37</f>
        <v>0</v>
      </c>
      <c r="BD37" s="38">
        <f>H37/(100-BE37)*100</f>
        <v>0</v>
      </c>
      <c r="BE37" s="38">
        <v>0</v>
      </c>
      <c r="BF37" s="38">
        <f>M37</f>
        <v>0</v>
      </c>
      <c r="BH37" s="38">
        <f>G37*AO37</f>
        <v>0</v>
      </c>
      <c r="BI37" s="38">
        <f>G37*AP37</f>
        <v>0</v>
      </c>
      <c r="BJ37" s="38">
        <f>G37*H37</f>
        <v>0</v>
      </c>
      <c r="BK37" s="38"/>
      <c r="BL37" s="38">
        <v>28</v>
      </c>
    </row>
    <row r="38" spans="1:64" ht="15" customHeight="1" x14ac:dyDescent="0.25">
      <c r="A38" s="40" t="s">
        <v>130</v>
      </c>
      <c r="B38" s="3" t="s">
        <v>110</v>
      </c>
      <c r="C38" s="66" t="s">
        <v>131</v>
      </c>
      <c r="D38" s="77" t="s">
        <v>132</v>
      </c>
      <c r="E38" s="77"/>
      <c r="F38" s="66" t="s">
        <v>77</v>
      </c>
      <c r="G38" s="38">
        <v>5</v>
      </c>
      <c r="H38" s="154"/>
      <c r="I38" s="38">
        <f>G38*AO38</f>
        <v>0</v>
      </c>
      <c r="J38" s="38">
        <f>G38*AP38</f>
        <v>0</v>
      </c>
      <c r="K38" s="38">
        <f>G38*H38</f>
        <v>0</v>
      </c>
      <c r="L38" s="38">
        <v>6.9999999999999994E-5</v>
      </c>
      <c r="M38" s="38">
        <f>G38*L38</f>
        <v>3.4999999999999994E-4</v>
      </c>
      <c r="N38" s="62"/>
      <c r="Z38" s="38">
        <f>IF(AQ38="5",BJ38,0)</f>
        <v>0</v>
      </c>
      <c r="AB38" s="38">
        <f>IF(AQ38="1",BH38,0)</f>
        <v>0</v>
      </c>
      <c r="AC38" s="38">
        <f>IF(AQ38="1",BI38,0)</f>
        <v>0</v>
      </c>
      <c r="AD38" s="38">
        <f>IF(AQ38="7",BH38,0)</f>
        <v>0</v>
      </c>
      <c r="AE38" s="38">
        <f>IF(AQ38="7",BI38,0)</f>
        <v>0</v>
      </c>
      <c r="AF38" s="38">
        <f>IF(AQ38="2",BH38,0)</f>
        <v>0</v>
      </c>
      <c r="AG38" s="38">
        <f>IF(AQ38="2",BI38,0)</f>
        <v>0</v>
      </c>
      <c r="AH38" s="38">
        <f>IF(AQ38="0",BJ38,0)</f>
        <v>0</v>
      </c>
      <c r="AI38" s="42" t="s">
        <v>110</v>
      </c>
      <c r="AJ38" s="38">
        <f>IF(AN38=0,K38,0)</f>
        <v>0</v>
      </c>
      <c r="AK38" s="38">
        <f>IF(AN38=15,K38,0)</f>
        <v>0</v>
      </c>
      <c r="AL38" s="38">
        <f>IF(AN38=21,K38,0)</f>
        <v>0</v>
      </c>
      <c r="AN38" s="38">
        <v>21</v>
      </c>
      <c r="AO38" s="38">
        <f>H38*0.0344651162790698</f>
        <v>0</v>
      </c>
      <c r="AP38" s="38">
        <f>H38*(1-0.0344651162790698)</f>
        <v>0</v>
      </c>
      <c r="AQ38" s="25" t="s">
        <v>58</v>
      </c>
      <c r="AV38" s="38">
        <f>AW38+AX38</f>
        <v>0</v>
      </c>
      <c r="AW38" s="38">
        <f>G38*AO38</f>
        <v>0</v>
      </c>
      <c r="AX38" s="38">
        <f>G38*AP38</f>
        <v>0</v>
      </c>
      <c r="AY38" s="25" t="s">
        <v>129</v>
      </c>
      <c r="AZ38" s="25" t="s">
        <v>123</v>
      </c>
      <c r="BA38" s="42" t="s">
        <v>115</v>
      </c>
      <c r="BC38" s="38">
        <f>AW38+AX38</f>
        <v>0</v>
      </c>
      <c r="BD38" s="38">
        <f>H38/(100-BE38)*100</f>
        <v>0</v>
      </c>
      <c r="BE38" s="38">
        <v>0</v>
      </c>
      <c r="BF38" s="38">
        <f>M38</f>
        <v>3.4999999999999994E-4</v>
      </c>
      <c r="BH38" s="38">
        <f>G38*AO38</f>
        <v>0</v>
      </c>
      <c r="BI38" s="38">
        <f>G38*AP38</f>
        <v>0</v>
      </c>
      <c r="BJ38" s="38">
        <f>G38*H38</f>
        <v>0</v>
      </c>
      <c r="BK38" s="38"/>
      <c r="BL38" s="38">
        <v>28</v>
      </c>
    </row>
    <row r="39" spans="1:64" ht="15" customHeight="1" x14ac:dyDescent="0.25">
      <c r="A39" s="40" t="s">
        <v>83</v>
      </c>
      <c r="B39" s="3" t="s">
        <v>110</v>
      </c>
      <c r="C39" s="3" t="s">
        <v>133</v>
      </c>
      <c r="D39" s="77" t="s">
        <v>134</v>
      </c>
      <c r="E39" s="77"/>
      <c r="F39" s="3" t="s">
        <v>135</v>
      </c>
      <c r="G39" s="38">
        <v>5</v>
      </c>
      <c r="H39" s="154"/>
      <c r="I39" s="38">
        <f>G39*AO39</f>
        <v>0</v>
      </c>
      <c r="J39" s="38">
        <f>G39*AP39</f>
        <v>0</v>
      </c>
      <c r="K39" s="38">
        <f>G39*H39</f>
        <v>0</v>
      </c>
      <c r="L39" s="38">
        <v>7.3899999999999999E-3</v>
      </c>
      <c r="M39" s="38">
        <f>G39*L39</f>
        <v>3.6949999999999997E-2</v>
      </c>
      <c r="N39" s="62"/>
      <c r="Z39" s="38">
        <f>IF(AQ39="5",BJ39,0)</f>
        <v>0</v>
      </c>
      <c r="AB39" s="38">
        <f>IF(AQ39="1",BH39,0)</f>
        <v>0</v>
      </c>
      <c r="AC39" s="38">
        <f>IF(AQ39="1",BI39,0)</f>
        <v>0</v>
      </c>
      <c r="AD39" s="38">
        <f>IF(AQ39="7",BH39,0)</f>
        <v>0</v>
      </c>
      <c r="AE39" s="38">
        <f>IF(AQ39="7",BI39,0)</f>
        <v>0</v>
      </c>
      <c r="AF39" s="38">
        <f>IF(AQ39="2",BH39,0)</f>
        <v>0</v>
      </c>
      <c r="AG39" s="38">
        <f>IF(AQ39="2",BI39,0)</f>
        <v>0</v>
      </c>
      <c r="AH39" s="38">
        <f>IF(AQ39="0",BJ39,0)</f>
        <v>0</v>
      </c>
      <c r="AI39" s="42" t="s">
        <v>110</v>
      </c>
      <c r="AJ39" s="38">
        <f>IF(AN39=0,K39,0)</f>
        <v>0</v>
      </c>
      <c r="AK39" s="38">
        <f>IF(AN39=15,K39,0)</f>
        <v>0</v>
      </c>
      <c r="AL39" s="38">
        <f>IF(AN39=21,K39,0)</f>
        <v>0</v>
      </c>
      <c r="AN39" s="38">
        <v>21</v>
      </c>
      <c r="AO39" s="38">
        <f>H39*0.172177777777778</f>
        <v>0</v>
      </c>
      <c r="AP39" s="38">
        <f>H39*(1-0.172177777777778)</f>
        <v>0</v>
      </c>
      <c r="AQ39" s="25" t="s">
        <v>58</v>
      </c>
      <c r="AV39" s="38">
        <f>AW39+AX39</f>
        <v>0</v>
      </c>
      <c r="AW39" s="38">
        <f>G39*AO39</f>
        <v>0</v>
      </c>
      <c r="AX39" s="38">
        <f>G39*AP39</f>
        <v>0</v>
      </c>
      <c r="AY39" s="25" t="s">
        <v>129</v>
      </c>
      <c r="AZ39" s="25" t="s">
        <v>123</v>
      </c>
      <c r="BA39" s="42" t="s">
        <v>115</v>
      </c>
      <c r="BC39" s="38">
        <f>AW39+AX39</f>
        <v>0</v>
      </c>
      <c r="BD39" s="38">
        <f>H39/(100-BE39)*100</f>
        <v>0</v>
      </c>
      <c r="BE39" s="38">
        <v>0</v>
      </c>
      <c r="BF39" s="38">
        <f>M39</f>
        <v>3.6949999999999997E-2</v>
      </c>
      <c r="BH39" s="38">
        <f>G39*AO39</f>
        <v>0</v>
      </c>
      <c r="BI39" s="38">
        <f>G39*AP39</f>
        <v>0</v>
      </c>
      <c r="BJ39" s="38">
        <f>G39*H39</f>
        <v>0</v>
      </c>
      <c r="BK39" s="38"/>
      <c r="BL39" s="38">
        <v>28</v>
      </c>
    </row>
    <row r="40" spans="1:64" ht="15" customHeight="1" x14ac:dyDescent="0.25">
      <c r="A40" s="40" t="s">
        <v>136</v>
      </c>
      <c r="B40" s="3" t="s">
        <v>110</v>
      </c>
      <c r="C40" s="3" t="s">
        <v>137</v>
      </c>
      <c r="D40" s="77" t="s">
        <v>138</v>
      </c>
      <c r="E40" s="77"/>
      <c r="F40" s="3" t="s">
        <v>68</v>
      </c>
      <c r="G40" s="38">
        <v>20</v>
      </c>
      <c r="H40" s="154"/>
      <c r="I40" s="38">
        <f>G40*AO40</f>
        <v>0</v>
      </c>
      <c r="J40" s="38">
        <f>G40*AP40</f>
        <v>0</v>
      </c>
      <c r="K40" s="38">
        <f>G40*H40</f>
        <v>0</v>
      </c>
      <c r="L40" s="38">
        <v>2.6499999999999999E-2</v>
      </c>
      <c r="M40" s="38">
        <f>G40*L40</f>
        <v>0.53</v>
      </c>
      <c r="N40" s="62"/>
      <c r="Z40" s="38">
        <f>IF(AQ40="5",BJ40,0)</f>
        <v>0</v>
      </c>
      <c r="AB40" s="38">
        <f>IF(AQ40="1",BH40,0)</f>
        <v>0</v>
      </c>
      <c r="AC40" s="38">
        <f>IF(AQ40="1",BI40,0)</f>
        <v>0</v>
      </c>
      <c r="AD40" s="38">
        <f>IF(AQ40="7",BH40,0)</f>
        <v>0</v>
      </c>
      <c r="AE40" s="38">
        <f>IF(AQ40="7",BI40,0)</f>
        <v>0</v>
      </c>
      <c r="AF40" s="38">
        <f>IF(AQ40="2",BH40,0)</f>
        <v>0</v>
      </c>
      <c r="AG40" s="38">
        <f>IF(AQ40="2",BI40,0)</f>
        <v>0</v>
      </c>
      <c r="AH40" s="38">
        <f>IF(AQ40="0",BJ40,0)</f>
        <v>0</v>
      </c>
      <c r="AI40" s="42" t="s">
        <v>110</v>
      </c>
      <c r="AJ40" s="38">
        <f>IF(AN40=0,K40,0)</f>
        <v>0</v>
      </c>
      <c r="AK40" s="38">
        <f>IF(AN40=15,K40,0)</f>
        <v>0</v>
      </c>
      <c r="AL40" s="38">
        <f>IF(AN40=21,K40,0)</f>
        <v>0</v>
      </c>
      <c r="AN40" s="38">
        <v>21</v>
      </c>
      <c r="AO40" s="38">
        <f>H40*0.20706312037937</f>
        <v>0</v>
      </c>
      <c r="AP40" s="38">
        <f>H40*(1-0.20706312037937)</f>
        <v>0</v>
      </c>
      <c r="AQ40" s="25" t="s">
        <v>58</v>
      </c>
      <c r="AV40" s="38">
        <f>AW40+AX40</f>
        <v>0</v>
      </c>
      <c r="AW40" s="38">
        <f>G40*AO40</f>
        <v>0</v>
      </c>
      <c r="AX40" s="38">
        <f>G40*AP40</f>
        <v>0</v>
      </c>
      <c r="AY40" s="25" t="s">
        <v>129</v>
      </c>
      <c r="AZ40" s="25" t="s">
        <v>123</v>
      </c>
      <c r="BA40" s="42" t="s">
        <v>115</v>
      </c>
      <c r="BC40" s="38">
        <f>AW40+AX40</f>
        <v>0</v>
      </c>
      <c r="BD40" s="38">
        <f>H40/(100-BE40)*100</f>
        <v>0</v>
      </c>
      <c r="BE40" s="38">
        <v>0</v>
      </c>
      <c r="BF40" s="38">
        <f>M40</f>
        <v>0.53</v>
      </c>
      <c r="BH40" s="38">
        <f>G40*AO40</f>
        <v>0</v>
      </c>
      <c r="BI40" s="38">
        <f>G40*AP40</f>
        <v>0</v>
      </c>
      <c r="BJ40" s="38">
        <f>G40*H40</f>
        <v>0</v>
      </c>
      <c r="BK40" s="38"/>
      <c r="BL40" s="38">
        <v>28</v>
      </c>
    </row>
    <row r="41" spans="1:64" ht="15" customHeight="1" x14ac:dyDescent="0.25">
      <c r="A41" s="40" t="s">
        <v>139</v>
      </c>
      <c r="B41" s="3" t="s">
        <v>110</v>
      </c>
      <c r="C41" s="3" t="s">
        <v>140</v>
      </c>
      <c r="D41" s="77" t="s">
        <v>141</v>
      </c>
      <c r="E41" s="77"/>
      <c r="F41" s="3" t="s">
        <v>135</v>
      </c>
      <c r="G41" s="38">
        <v>5</v>
      </c>
      <c r="H41" s="154"/>
      <c r="I41" s="38">
        <f>G41*AO41</f>
        <v>0</v>
      </c>
      <c r="J41" s="38">
        <f>G41*AP41</f>
        <v>0</v>
      </c>
      <c r="K41" s="38">
        <f>G41*H41</f>
        <v>0</v>
      </c>
      <c r="L41" s="38">
        <v>0</v>
      </c>
      <c r="M41" s="38">
        <f>G41*L41</f>
        <v>0</v>
      </c>
      <c r="N41" s="62"/>
      <c r="Z41" s="38">
        <f>IF(AQ41="5",BJ41,0)</f>
        <v>0</v>
      </c>
      <c r="AB41" s="38">
        <f>IF(AQ41="1",BH41,0)</f>
        <v>0</v>
      </c>
      <c r="AC41" s="38">
        <f>IF(AQ41="1",BI41,0)</f>
        <v>0</v>
      </c>
      <c r="AD41" s="38">
        <f>IF(AQ41="7",BH41,0)</f>
        <v>0</v>
      </c>
      <c r="AE41" s="38">
        <f>IF(AQ41="7",BI41,0)</f>
        <v>0</v>
      </c>
      <c r="AF41" s="38">
        <f>IF(AQ41="2",BH41,0)</f>
        <v>0</v>
      </c>
      <c r="AG41" s="38">
        <f>IF(AQ41="2",BI41,0)</f>
        <v>0</v>
      </c>
      <c r="AH41" s="38">
        <f>IF(AQ41="0",BJ41,0)</f>
        <v>0</v>
      </c>
      <c r="AI41" s="42" t="s">
        <v>110</v>
      </c>
      <c r="AJ41" s="38">
        <f>IF(AN41=0,K41,0)</f>
        <v>0</v>
      </c>
      <c r="AK41" s="38">
        <f>IF(AN41=15,K41,0)</f>
        <v>0</v>
      </c>
      <c r="AL41" s="38">
        <f>IF(AN41=21,K41,0)</f>
        <v>0</v>
      </c>
      <c r="AN41" s="38">
        <v>21</v>
      </c>
      <c r="AO41" s="38">
        <f>H41*0.00367959241437872</f>
        <v>0</v>
      </c>
      <c r="AP41" s="38">
        <f>H41*(1-0.00367959241437872)</f>
        <v>0</v>
      </c>
      <c r="AQ41" s="25" t="s">
        <v>58</v>
      </c>
      <c r="AV41" s="38">
        <f>AW41+AX41</f>
        <v>0</v>
      </c>
      <c r="AW41" s="38">
        <f>G41*AO41</f>
        <v>0</v>
      </c>
      <c r="AX41" s="38">
        <f>G41*AP41</f>
        <v>0</v>
      </c>
      <c r="AY41" s="25" t="s">
        <v>129</v>
      </c>
      <c r="AZ41" s="25" t="s">
        <v>123</v>
      </c>
      <c r="BA41" s="42" t="s">
        <v>115</v>
      </c>
      <c r="BC41" s="38">
        <f>AW41+AX41</f>
        <v>0</v>
      </c>
      <c r="BD41" s="38">
        <f>H41/(100-BE41)*100</f>
        <v>0</v>
      </c>
      <c r="BE41" s="38">
        <v>0</v>
      </c>
      <c r="BF41" s="38">
        <f>M41</f>
        <v>0</v>
      </c>
      <c r="BH41" s="38">
        <f>G41*AO41</f>
        <v>0</v>
      </c>
      <c r="BI41" s="38">
        <f>G41*AP41</f>
        <v>0</v>
      </c>
      <c r="BJ41" s="38">
        <f>G41*H41</f>
        <v>0</v>
      </c>
      <c r="BK41" s="38"/>
      <c r="BL41" s="38">
        <v>28</v>
      </c>
    </row>
    <row r="42" spans="1:64" ht="15" customHeight="1" x14ac:dyDescent="0.25">
      <c r="A42" s="9" t="s">
        <v>53</v>
      </c>
      <c r="B42" s="53" t="s">
        <v>110</v>
      </c>
      <c r="C42" s="53" t="s">
        <v>142</v>
      </c>
      <c r="D42" s="78" t="s">
        <v>143</v>
      </c>
      <c r="E42" s="78"/>
      <c r="F42" s="27" t="s">
        <v>32</v>
      </c>
      <c r="G42" s="27" t="s">
        <v>32</v>
      </c>
      <c r="H42" s="27" t="s">
        <v>32</v>
      </c>
      <c r="I42" s="18">
        <f>SUM(I43:I43)</f>
        <v>0</v>
      </c>
      <c r="J42" s="18">
        <f>SUM(J43:J43)</f>
        <v>0</v>
      </c>
      <c r="K42" s="18">
        <f>SUM(K43:K43)</f>
        <v>0</v>
      </c>
      <c r="L42" s="42" t="s">
        <v>53</v>
      </c>
      <c r="M42" s="18">
        <f>SUM(M43:M43)</f>
        <v>0</v>
      </c>
      <c r="N42" s="34"/>
      <c r="AI42" s="42" t="s">
        <v>110</v>
      </c>
      <c r="AS42" s="18">
        <f>SUM(AJ43:AJ43)</f>
        <v>0</v>
      </c>
      <c r="AT42" s="18">
        <f>SUM(AK43:AK43)</f>
        <v>0</v>
      </c>
      <c r="AU42" s="18">
        <f>SUM(AL43:AL43)</f>
        <v>0</v>
      </c>
    </row>
    <row r="43" spans="1:64" ht="15" customHeight="1" x14ac:dyDescent="0.25">
      <c r="A43" s="40" t="s">
        <v>117</v>
      </c>
      <c r="B43" s="3" t="s">
        <v>110</v>
      </c>
      <c r="C43" s="3" t="s">
        <v>144</v>
      </c>
      <c r="D43" s="77" t="s">
        <v>145</v>
      </c>
      <c r="E43" s="77"/>
      <c r="F43" s="3" t="s">
        <v>146</v>
      </c>
      <c r="G43" s="38">
        <v>30.0595</v>
      </c>
      <c r="H43" s="154"/>
      <c r="I43" s="38">
        <f>G43*AO43</f>
        <v>0</v>
      </c>
      <c r="J43" s="38">
        <f>G43*AP43</f>
        <v>0</v>
      </c>
      <c r="K43" s="38">
        <f>G43*H43</f>
        <v>0</v>
      </c>
      <c r="L43" s="38">
        <v>0</v>
      </c>
      <c r="M43" s="38">
        <f>G43*L43</f>
        <v>0</v>
      </c>
      <c r="N43" s="62"/>
      <c r="Z43" s="38">
        <f>IF(AQ43="5",BJ43,0)</f>
        <v>0</v>
      </c>
      <c r="AB43" s="38">
        <f>IF(AQ43="1",BH43,0)</f>
        <v>0</v>
      </c>
      <c r="AC43" s="38">
        <f>IF(AQ43="1",BI43,0)</f>
        <v>0</v>
      </c>
      <c r="AD43" s="38">
        <f>IF(AQ43="7",BH43,0)</f>
        <v>0</v>
      </c>
      <c r="AE43" s="38">
        <f>IF(AQ43="7",BI43,0)</f>
        <v>0</v>
      </c>
      <c r="AF43" s="38">
        <f>IF(AQ43="2",BH43,0)</f>
        <v>0</v>
      </c>
      <c r="AG43" s="38">
        <f>IF(AQ43="2",BI43,0)</f>
        <v>0</v>
      </c>
      <c r="AH43" s="38">
        <f>IF(AQ43="0",BJ43,0)</f>
        <v>0</v>
      </c>
      <c r="AI43" s="42" t="s">
        <v>110</v>
      </c>
      <c r="AJ43" s="38">
        <f>IF(AN43=0,K43,0)</f>
        <v>0</v>
      </c>
      <c r="AK43" s="38">
        <f>IF(AN43=15,K43,0)</f>
        <v>0</v>
      </c>
      <c r="AL43" s="38">
        <f>IF(AN43=21,K43,0)</f>
        <v>0</v>
      </c>
      <c r="AN43" s="38">
        <v>21</v>
      </c>
      <c r="AO43" s="38">
        <f>H43*0</f>
        <v>0</v>
      </c>
      <c r="AP43" s="38">
        <f>H43*(1-0)</f>
        <v>0</v>
      </c>
      <c r="AQ43" s="25" t="s">
        <v>80</v>
      </c>
      <c r="AV43" s="38">
        <f>AW43+AX43</f>
        <v>0</v>
      </c>
      <c r="AW43" s="38">
        <f>G43*AO43</f>
        <v>0</v>
      </c>
      <c r="AX43" s="38">
        <f>G43*AP43</f>
        <v>0</v>
      </c>
      <c r="AY43" s="25" t="s">
        <v>147</v>
      </c>
      <c r="AZ43" s="25" t="s">
        <v>148</v>
      </c>
      <c r="BA43" s="42" t="s">
        <v>115</v>
      </c>
      <c r="BC43" s="38">
        <f>AW43+AX43</f>
        <v>0</v>
      </c>
      <c r="BD43" s="38">
        <f>H43/(100-BE43)*100</f>
        <v>0</v>
      </c>
      <c r="BE43" s="38">
        <v>0</v>
      </c>
      <c r="BF43" s="38">
        <f>M43</f>
        <v>0</v>
      </c>
      <c r="BH43" s="38">
        <f>G43*AO43</f>
        <v>0</v>
      </c>
      <c r="BI43" s="38">
        <f>G43*AP43</f>
        <v>0</v>
      </c>
      <c r="BJ43" s="38">
        <f>G43*H43</f>
        <v>0</v>
      </c>
      <c r="BK43" s="38"/>
      <c r="BL43" s="38">
        <v>33</v>
      </c>
    </row>
    <row r="44" spans="1:64" ht="15" customHeight="1" x14ac:dyDescent="0.25">
      <c r="A44" s="9" t="s">
        <v>53</v>
      </c>
      <c r="B44" s="53" t="s">
        <v>110</v>
      </c>
      <c r="C44" s="53" t="s">
        <v>149</v>
      </c>
      <c r="D44" s="78" t="s">
        <v>150</v>
      </c>
      <c r="E44" s="78"/>
      <c r="F44" s="27" t="s">
        <v>32</v>
      </c>
      <c r="G44" s="27" t="s">
        <v>32</v>
      </c>
      <c r="H44" s="27" t="s">
        <v>32</v>
      </c>
      <c r="I44" s="18">
        <f>SUM(I45:I47)</f>
        <v>0</v>
      </c>
      <c r="J44" s="18">
        <f>SUM(J45:J47)</f>
        <v>0</v>
      </c>
      <c r="K44" s="18">
        <f>SUM(K45:K47)</f>
        <v>0</v>
      </c>
      <c r="L44" s="42" t="s">
        <v>53</v>
      </c>
      <c r="M44" s="18">
        <f>SUM(M45:M47)</f>
        <v>28.864556</v>
      </c>
      <c r="N44" s="34"/>
      <c r="AI44" s="42" t="s">
        <v>110</v>
      </c>
      <c r="AS44" s="18">
        <f>SUM(AJ45:AJ47)</f>
        <v>0</v>
      </c>
      <c r="AT44" s="18">
        <f>SUM(AK45:AK47)</f>
        <v>0</v>
      </c>
      <c r="AU44" s="18">
        <f>SUM(AL45:AL47)</f>
        <v>0</v>
      </c>
    </row>
    <row r="45" spans="1:64" ht="15" customHeight="1" x14ac:dyDescent="0.25">
      <c r="A45" s="40" t="s">
        <v>151</v>
      </c>
      <c r="B45" s="3" t="s">
        <v>110</v>
      </c>
      <c r="C45" s="3" t="s">
        <v>152</v>
      </c>
      <c r="D45" s="77" t="s">
        <v>153</v>
      </c>
      <c r="E45" s="77"/>
      <c r="F45" s="3" t="s">
        <v>77</v>
      </c>
      <c r="G45" s="38">
        <v>8</v>
      </c>
      <c r="H45" s="154"/>
      <c r="I45" s="38">
        <f>G45*AO45</f>
        <v>0</v>
      </c>
      <c r="J45" s="38">
        <f>G45*AP45</f>
        <v>0</v>
      </c>
      <c r="K45" s="38">
        <f>G45*H45</f>
        <v>0</v>
      </c>
      <c r="L45" s="38">
        <v>1.2</v>
      </c>
      <c r="M45" s="38">
        <f>G45*L45</f>
        <v>9.6</v>
      </c>
      <c r="N45" s="62"/>
      <c r="Z45" s="38">
        <f>IF(AQ45="5",BJ45,0)</f>
        <v>0</v>
      </c>
      <c r="AB45" s="38">
        <f>IF(AQ45="1",BH45,0)</f>
        <v>0</v>
      </c>
      <c r="AC45" s="38">
        <f>IF(AQ45="1",BI45,0)</f>
        <v>0</v>
      </c>
      <c r="AD45" s="38">
        <f>IF(AQ45="7",BH45,0)</f>
        <v>0</v>
      </c>
      <c r="AE45" s="38">
        <f>IF(AQ45="7",BI45,0)</f>
        <v>0</v>
      </c>
      <c r="AF45" s="38">
        <f>IF(AQ45="2",BH45,0)</f>
        <v>0</v>
      </c>
      <c r="AG45" s="38">
        <f>IF(AQ45="2",BI45,0)</f>
        <v>0</v>
      </c>
      <c r="AH45" s="38">
        <f>IF(AQ45="0",BJ45,0)</f>
        <v>0</v>
      </c>
      <c r="AI45" s="42" t="s">
        <v>110</v>
      </c>
      <c r="AJ45" s="38">
        <f>IF(AN45=0,K45,0)</f>
        <v>0</v>
      </c>
      <c r="AK45" s="38">
        <f>IF(AN45=15,K45,0)</f>
        <v>0</v>
      </c>
      <c r="AL45" s="38">
        <f>IF(AN45=21,K45,0)</f>
        <v>0</v>
      </c>
      <c r="AN45" s="38">
        <v>21</v>
      </c>
      <c r="AO45" s="38">
        <f>H45*0.551397683397683</f>
        <v>0</v>
      </c>
      <c r="AP45" s="38">
        <f>H45*(1-0.551397683397683)</f>
        <v>0</v>
      </c>
      <c r="AQ45" s="25" t="s">
        <v>58</v>
      </c>
      <c r="AV45" s="38">
        <f>AW45+AX45</f>
        <v>0</v>
      </c>
      <c r="AW45" s="38">
        <f>G45*AO45</f>
        <v>0</v>
      </c>
      <c r="AX45" s="38">
        <f>G45*AP45</f>
        <v>0</v>
      </c>
      <c r="AY45" s="25" t="s">
        <v>154</v>
      </c>
      <c r="AZ45" s="25" t="s">
        <v>155</v>
      </c>
      <c r="BA45" s="42" t="s">
        <v>115</v>
      </c>
      <c r="BC45" s="38">
        <f>AW45+AX45</f>
        <v>0</v>
      </c>
      <c r="BD45" s="38">
        <f>H45/(100-BE45)*100</f>
        <v>0</v>
      </c>
      <c r="BE45" s="38">
        <v>0</v>
      </c>
      <c r="BF45" s="38">
        <f>M45</f>
        <v>9.6</v>
      </c>
      <c r="BH45" s="38">
        <f>G45*AO45</f>
        <v>0</v>
      </c>
      <c r="BI45" s="38">
        <f>G45*AP45</f>
        <v>0</v>
      </c>
      <c r="BJ45" s="38">
        <f>G45*H45</f>
        <v>0</v>
      </c>
      <c r="BK45" s="38"/>
      <c r="BL45" s="38">
        <v>46</v>
      </c>
    </row>
    <row r="46" spans="1:64" ht="15" customHeight="1" x14ac:dyDescent="0.25">
      <c r="A46" s="40" t="s">
        <v>156</v>
      </c>
      <c r="B46" s="3" t="s">
        <v>110</v>
      </c>
      <c r="C46" s="3" t="s">
        <v>157</v>
      </c>
      <c r="D46" s="77" t="s">
        <v>158</v>
      </c>
      <c r="E46" s="77"/>
      <c r="F46" s="3" t="s">
        <v>68</v>
      </c>
      <c r="G46" s="38">
        <v>20</v>
      </c>
      <c r="H46" s="154"/>
      <c r="I46" s="38">
        <f>G46*AO46</f>
        <v>0</v>
      </c>
      <c r="J46" s="38">
        <f>G46*AP46</f>
        <v>0</v>
      </c>
      <c r="K46" s="38">
        <f>G46*H46</f>
        <v>0</v>
      </c>
      <c r="L46" s="38">
        <v>0.50666</v>
      </c>
      <c r="M46" s="38">
        <f>G46*L46</f>
        <v>10.1332</v>
      </c>
      <c r="N46" s="62"/>
      <c r="Z46" s="38">
        <f>IF(AQ46="5",BJ46,0)</f>
        <v>0</v>
      </c>
      <c r="AB46" s="38">
        <f>IF(AQ46="1",BH46,0)</f>
        <v>0</v>
      </c>
      <c r="AC46" s="38">
        <f>IF(AQ46="1",BI46,0)</f>
        <v>0</v>
      </c>
      <c r="AD46" s="38">
        <f>IF(AQ46="7",BH46,0)</f>
        <v>0</v>
      </c>
      <c r="AE46" s="38">
        <f>IF(AQ46="7",BI46,0)</f>
        <v>0</v>
      </c>
      <c r="AF46" s="38">
        <f>IF(AQ46="2",BH46,0)</f>
        <v>0</v>
      </c>
      <c r="AG46" s="38">
        <f>IF(AQ46="2",BI46,0)</f>
        <v>0</v>
      </c>
      <c r="AH46" s="38">
        <f>IF(AQ46="0",BJ46,0)</f>
        <v>0</v>
      </c>
      <c r="AI46" s="42" t="s">
        <v>110</v>
      </c>
      <c r="AJ46" s="38">
        <f>IF(AN46=0,K46,0)</f>
        <v>0</v>
      </c>
      <c r="AK46" s="38">
        <f>IF(AN46=15,K46,0)</f>
        <v>0</v>
      </c>
      <c r="AL46" s="38">
        <f>IF(AN46=21,K46,0)</f>
        <v>0</v>
      </c>
      <c r="AN46" s="38">
        <v>21</v>
      </c>
      <c r="AO46" s="38">
        <f>H46*0.49133473139223</f>
        <v>0</v>
      </c>
      <c r="AP46" s="38">
        <f>H46*(1-0.49133473139223)</f>
        <v>0</v>
      </c>
      <c r="AQ46" s="25" t="s">
        <v>58</v>
      </c>
      <c r="AV46" s="38">
        <f>AW46+AX46</f>
        <v>0</v>
      </c>
      <c r="AW46" s="38">
        <f>G46*AO46</f>
        <v>0</v>
      </c>
      <c r="AX46" s="38">
        <f>G46*AP46</f>
        <v>0</v>
      </c>
      <c r="AY46" s="25" t="s">
        <v>154</v>
      </c>
      <c r="AZ46" s="25" t="s">
        <v>155</v>
      </c>
      <c r="BA46" s="42" t="s">
        <v>115</v>
      </c>
      <c r="BC46" s="38">
        <f>AW46+AX46</f>
        <v>0</v>
      </c>
      <c r="BD46" s="38">
        <f>H46/(100-BE46)*100</f>
        <v>0</v>
      </c>
      <c r="BE46" s="38">
        <v>0</v>
      </c>
      <c r="BF46" s="38">
        <f>M46</f>
        <v>10.1332</v>
      </c>
      <c r="BH46" s="38">
        <f>G46*AO46</f>
        <v>0</v>
      </c>
      <c r="BI46" s="38">
        <f>G46*AP46</f>
        <v>0</v>
      </c>
      <c r="BJ46" s="38">
        <f>G46*H46</f>
        <v>0</v>
      </c>
      <c r="BK46" s="38"/>
      <c r="BL46" s="38">
        <v>46</v>
      </c>
    </row>
    <row r="47" spans="1:64" ht="15" customHeight="1" x14ac:dyDescent="0.25">
      <c r="A47" s="40" t="s">
        <v>159</v>
      </c>
      <c r="B47" s="3" t="s">
        <v>110</v>
      </c>
      <c r="C47" s="3" t="s">
        <v>160</v>
      </c>
      <c r="D47" s="77" t="s">
        <v>161</v>
      </c>
      <c r="E47" s="77"/>
      <c r="F47" s="3" t="s">
        <v>68</v>
      </c>
      <c r="G47" s="38">
        <v>8.1999999999999993</v>
      </c>
      <c r="H47" s="154"/>
      <c r="I47" s="38">
        <f>G47*AO47</f>
        <v>0</v>
      </c>
      <c r="J47" s="38">
        <f>G47*AP47</f>
        <v>0</v>
      </c>
      <c r="K47" s="38">
        <f>G47*H47</f>
        <v>0</v>
      </c>
      <c r="L47" s="38">
        <v>1.11358</v>
      </c>
      <c r="M47" s="38">
        <f>G47*L47</f>
        <v>9.1313559999999985</v>
      </c>
      <c r="N47" s="62"/>
      <c r="Z47" s="38">
        <f>IF(AQ47="5",BJ47,0)</f>
        <v>0</v>
      </c>
      <c r="AB47" s="38">
        <f>IF(AQ47="1",BH47,0)</f>
        <v>0</v>
      </c>
      <c r="AC47" s="38">
        <f>IF(AQ47="1",BI47,0)</f>
        <v>0</v>
      </c>
      <c r="AD47" s="38">
        <f>IF(AQ47="7",BH47,0)</f>
        <v>0</v>
      </c>
      <c r="AE47" s="38">
        <f>IF(AQ47="7",BI47,0)</f>
        <v>0</v>
      </c>
      <c r="AF47" s="38">
        <f>IF(AQ47="2",BH47,0)</f>
        <v>0</v>
      </c>
      <c r="AG47" s="38">
        <f>IF(AQ47="2",BI47,0)</f>
        <v>0</v>
      </c>
      <c r="AH47" s="38">
        <f>IF(AQ47="0",BJ47,0)</f>
        <v>0</v>
      </c>
      <c r="AI47" s="42" t="s">
        <v>110</v>
      </c>
      <c r="AJ47" s="38">
        <f>IF(AN47=0,K47,0)</f>
        <v>0</v>
      </c>
      <c r="AK47" s="38">
        <f>IF(AN47=15,K47,0)</f>
        <v>0</v>
      </c>
      <c r="AL47" s="38">
        <f>IF(AN47=21,K47,0)</f>
        <v>0</v>
      </c>
      <c r="AN47" s="38">
        <v>21</v>
      </c>
      <c r="AO47" s="38">
        <f>H47*0.533625207296849</f>
        <v>0</v>
      </c>
      <c r="AP47" s="38">
        <f>H47*(1-0.533625207296849)</f>
        <v>0</v>
      </c>
      <c r="AQ47" s="25" t="s">
        <v>58</v>
      </c>
      <c r="AV47" s="38">
        <f>AW47+AX47</f>
        <v>0</v>
      </c>
      <c r="AW47" s="38">
        <f>G47*AO47</f>
        <v>0</v>
      </c>
      <c r="AX47" s="38">
        <f>G47*AP47</f>
        <v>0</v>
      </c>
      <c r="AY47" s="25" t="s">
        <v>154</v>
      </c>
      <c r="AZ47" s="25" t="s">
        <v>155</v>
      </c>
      <c r="BA47" s="42" t="s">
        <v>115</v>
      </c>
      <c r="BC47" s="38">
        <f>AW47+AX47</f>
        <v>0</v>
      </c>
      <c r="BD47" s="38">
        <f>H47/(100-BE47)*100</f>
        <v>0</v>
      </c>
      <c r="BE47" s="38">
        <v>0</v>
      </c>
      <c r="BF47" s="38">
        <f>M47</f>
        <v>9.1313559999999985</v>
      </c>
      <c r="BH47" s="38">
        <f>G47*AO47</f>
        <v>0</v>
      </c>
      <c r="BI47" s="38">
        <f>G47*AP47</f>
        <v>0</v>
      </c>
      <c r="BJ47" s="38">
        <f>G47*H47</f>
        <v>0</v>
      </c>
      <c r="BK47" s="38"/>
      <c r="BL47" s="38">
        <v>46</v>
      </c>
    </row>
    <row r="48" spans="1:64" ht="15" customHeight="1" x14ac:dyDescent="0.25">
      <c r="A48" s="9" t="s">
        <v>53</v>
      </c>
      <c r="B48" s="53" t="s">
        <v>110</v>
      </c>
      <c r="C48" s="53" t="s">
        <v>162</v>
      </c>
      <c r="D48" s="78" t="s">
        <v>163</v>
      </c>
      <c r="E48" s="78"/>
      <c r="F48" s="27" t="s">
        <v>32</v>
      </c>
      <c r="G48" s="27" t="s">
        <v>32</v>
      </c>
      <c r="H48" s="27" t="s">
        <v>32</v>
      </c>
      <c r="I48" s="18">
        <f>SUM(I49:I50)</f>
        <v>0</v>
      </c>
      <c r="J48" s="18">
        <f>SUM(J49:J50)</f>
        <v>0</v>
      </c>
      <c r="K48" s="18">
        <f>SUM(K49:K50)</f>
        <v>0</v>
      </c>
      <c r="L48" s="42" t="s">
        <v>53</v>
      </c>
      <c r="M48" s="18">
        <f>SUM(M49:M50)</f>
        <v>4.786E-2</v>
      </c>
      <c r="N48" s="34"/>
      <c r="AI48" s="42" t="s">
        <v>110</v>
      </c>
      <c r="AS48" s="18">
        <f>SUM(AJ49:AJ50)</f>
        <v>0</v>
      </c>
      <c r="AT48" s="18">
        <f>SUM(AK49:AK50)</f>
        <v>0</v>
      </c>
      <c r="AU48" s="18">
        <f>SUM(AL49:AL50)</f>
        <v>0</v>
      </c>
    </row>
    <row r="49" spans="1:64" ht="15" customHeight="1" x14ac:dyDescent="0.25">
      <c r="A49" s="40" t="s">
        <v>164</v>
      </c>
      <c r="B49" s="3" t="s">
        <v>110</v>
      </c>
      <c r="C49" s="3" t="s">
        <v>165</v>
      </c>
      <c r="D49" s="77" t="s">
        <v>166</v>
      </c>
      <c r="E49" s="77"/>
      <c r="F49" s="3" t="s">
        <v>167</v>
      </c>
      <c r="G49" s="38">
        <v>1</v>
      </c>
      <c r="H49" s="154"/>
      <c r="I49" s="38">
        <f>G49*AO49</f>
        <v>0</v>
      </c>
      <c r="J49" s="38">
        <f>G49*AP49</f>
        <v>0</v>
      </c>
      <c r="K49" s="38">
        <f>G49*H49</f>
        <v>0</v>
      </c>
      <c r="L49" s="38">
        <v>4.7620000000000003E-2</v>
      </c>
      <c r="M49" s="38">
        <f>G49*L49</f>
        <v>4.7620000000000003E-2</v>
      </c>
      <c r="N49" s="62"/>
      <c r="Z49" s="38">
        <f>IF(AQ49="5",BJ49,0)</f>
        <v>0</v>
      </c>
      <c r="AB49" s="38">
        <f>IF(AQ49="1",BH49,0)</f>
        <v>0</v>
      </c>
      <c r="AC49" s="38">
        <f>IF(AQ49="1",BI49,0)</f>
        <v>0</v>
      </c>
      <c r="AD49" s="38">
        <f>IF(AQ49="7",BH49,0)</f>
        <v>0</v>
      </c>
      <c r="AE49" s="38">
        <f>IF(AQ49="7",BI49,0)</f>
        <v>0</v>
      </c>
      <c r="AF49" s="38">
        <f>IF(AQ49="2",BH49,0)</f>
        <v>0</v>
      </c>
      <c r="AG49" s="38">
        <f>IF(AQ49="2",BI49,0)</f>
        <v>0</v>
      </c>
      <c r="AH49" s="38">
        <f>IF(AQ49="0",BJ49,0)</f>
        <v>0</v>
      </c>
      <c r="AI49" s="42" t="s">
        <v>110</v>
      </c>
      <c r="AJ49" s="38">
        <f>IF(AN49=0,K49,0)</f>
        <v>0</v>
      </c>
      <c r="AK49" s="38">
        <f>IF(AN49=15,K49,0)</f>
        <v>0</v>
      </c>
      <c r="AL49" s="38">
        <f>IF(AN49=21,K49,0)</f>
        <v>0</v>
      </c>
      <c r="AN49" s="38">
        <v>21</v>
      </c>
      <c r="AO49" s="38">
        <f>H49*0.906274276886256</f>
        <v>0</v>
      </c>
      <c r="AP49" s="38">
        <f>H49*(1-0.906274276886256)</f>
        <v>0</v>
      </c>
      <c r="AQ49" s="25" t="s">
        <v>58</v>
      </c>
      <c r="AV49" s="38">
        <f>AW49+AX49</f>
        <v>0</v>
      </c>
      <c r="AW49" s="38">
        <f>G49*AO49</f>
        <v>0</v>
      </c>
      <c r="AX49" s="38">
        <f>G49*AP49</f>
        <v>0</v>
      </c>
      <c r="AY49" s="25" t="s">
        <v>168</v>
      </c>
      <c r="AZ49" s="25" t="s">
        <v>169</v>
      </c>
      <c r="BA49" s="42" t="s">
        <v>115</v>
      </c>
      <c r="BC49" s="38">
        <f>AW49+AX49</f>
        <v>0</v>
      </c>
      <c r="BD49" s="38">
        <f>H49/(100-BE49)*100</f>
        <v>0</v>
      </c>
      <c r="BE49" s="38">
        <v>0</v>
      </c>
      <c r="BF49" s="38">
        <f>M49</f>
        <v>4.7620000000000003E-2</v>
      </c>
      <c r="BH49" s="38">
        <f>G49*AO49</f>
        <v>0</v>
      </c>
      <c r="BI49" s="38">
        <f>G49*AP49</f>
        <v>0</v>
      </c>
      <c r="BJ49" s="38">
        <f>G49*H49</f>
        <v>0</v>
      </c>
      <c r="BK49" s="38"/>
      <c r="BL49" s="38">
        <v>89</v>
      </c>
    </row>
    <row r="50" spans="1:64" ht="15" customHeight="1" x14ac:dyDescent="0.25">
      <c r="A50" s="40" t="s">
        <v>170</v>
      </c>
      <c r="B50" s="3" t="s">
        <v>110</v>
      </c>
      <c r="C50" s="66" t="s">
        <v>171</v>
      </c>
      <c r="D50" s="79" t="s">
        <v>172</v>
      </c>
      <c r="E50" s="77"/>
      <c r="F50" s="3" t="s">
        <v>167</v>
      </c>
      <c r="G50" s="38">
        <v>1</v>
      </c>
      <c r="H50" s="154"/>
      <c r="I50" s="38">
        <f>G50*AO50</f>
        <v>0</v>
      </c>
      <c r="J50" s="38">
        <f>G50*AP50</f>
        <v>0</v>
      </c>
      <c r="K50" s="38">
        <f>G50*H50</f>
        <v>0</v>
      </c>
      <c r="L50" s="38">
        <v>2.4000000000000001E-4</v>
      </c>
      <c r="M50" s="38">
        <f>G50*L50</f>
        <v>2.4000000000000001E-4</v>
      </c>
      <c r="N50" s="62"/>
      <c r="Z50" s="38">
        <f>IF(AQ50="5",BJ50,0)</f>
        <v>0</v>
      </c>
      <c r="AB50" s="38">
        <f>IF(AQ50="1",BH50,0)</f>
        <v>0</v>
      </c>
      <c r="AC50" s="38">
        <f>IF(AQ50="1",BI50,0)</f>
        <v>0</v>
      </c>
      <c r="AD50" s="38">
        <f>IF(AQ50="7",BH50,0)</f>
        <v>0</v>
      </c>
      <c r="AE50" s="38">
        <f>IF(AQ50="7",BI50,0)</f>
        <v>0</v>
      </c>
      <c r="AF50" s="38">
        <f>IF(AQ50="2",BH50,0)</f>
        <v>0</v>
      </c>
      <c r="AG50" s="38">
        <f>IF(AQ50="2",BI50,0)</f>
        <v>0</v>
      </c>
      <c r="AH50" s="38">
        <f>IF(AQ50="0",BJ50,0)</f>
        <v>0</v>
      </c>
      <c r="AI50" s="42" t="s">
        <v>110</v>
      </c>
      <c r="AJ50" s="38">
        <f>IF(AN50=0,K50,0)</f>
        <v>0</v>
      </c>
      <c r="AK50" s="38">
        <f>IF(AN50=15,K50,0)</f>
        <v>0</v>
      </c>
      <c r="AL50" s="38">
        <f>IF(AN50=21,K50,0)</f>
        <v>0</v>
      </c>
      <c r="AN50" s="38">
        <v>21</v>
      </c>
      <c r="AO50" s="38">
        <f>H50*0.352660550458716</f>
        <v>0</v>
      </c>
      <c r="AP50" s="38">
        <f>H50*(1-0.352660550458716)</f>
        <v>0</v>
      </c>
      <c r="AQ50" s="25" t="s">
        <v>58</v>
      </c>
      <c r="AV50" s="38">
        <f>AW50+AX50</f>
        <v>0</v>
      </c>
      <c r="AW50" s="38">
        <f>G50*AO50</f>
        <v>0</v>
      </c>
      <c r="AX50" s="38">
        <f>G50*AP50</f>
        <v>0</v>
      </c>
      <c r="AY50" s="25" t="s">
        <v>168</v>
      </c>
      <c r="AZ50" s="25" t="s">
        <v>169</v>
      </c>
      <c r="BA50" s="42" t="s">
        <v>115</v>
      </c>
      <c r="BC50" s="38">
        <f>AW50+AX50</f>
        <v>0</v>
      </c>
      <c r="BD50" s="38">
        <f>H50/(100-BE50)*100</f>
        <v>0</v>
      </c>
      <c r="BE50" s="38">
        <v>0</v>
      </c>
      <c r="BF50" s="38">
        <f>M50</f>
        <v>2.4000000000000001E-4</v>
      </c>
      <c r="BH50" s="38">
        <f>G50*AO50</f>
        <v>0</v>
      </c>
      <c r="BI50" s="38">
        <f>G50*AP50</f>
        <v>0</v>
      </c>
      <c r="BJ50" s="38">
        <f>G50*H50</f>
        <v>0</v>
      </c>
      <c r="BK50" s="38"/>
      <c r="BL50" s="38">
        <v>89</v>
      </c>
    </row>
    <row r="51" spans="1:64" ht="15" customHeight="1" x14ac:dyDescent="0.25">
      <c r="A51" s="9" t="s">
        <v>53</v>
      </c>
      <c r="B51" s="53" t="s">
        <v>110</v>
      </c>
      <c r="C51" s="53" t="s">
        <v>173</v>
      </c>
      <c r="D51" s="78" t="s">
        <v>174</v>
      </c>
      <c r="E51" s="78"/>
      <c r="F51" s="27" t="s">
        <v>32</v>
      </c>
      <c r="G51" s="27" t="s">
        <v>32</v>
      </c>
      <c r="H51" s="27" t="s">
        <v>32</v>
      </c>
      <c r="I51" s="18">
        <f>SUM(I52:I55)</f>
        <v>0</v>
      </c>
      <c r="J51" s="18">
        <f>SUM(J52:J55)</f>
        <v>0</v>
      </c>
      <c r="K51" s="18">
        <f>SUM(K52:K55)</f>
        <v>0</v>
      </c>
      <c r="L51" s="42" t="s">
        <v>53</v>
      </c>
      <c r="M51" s="18">
        <f>SUM(M52:M55)</f>
        <v>0.57877599999999996</v>
      </c>
      <c r="N51" s="34"/>
      <c r="AI51" s="42" t="s">
        <v>110</v>
      </c>
      <c r="AS51" s="18">
        <f>SUM(AJ52:AJ55)</f>
        <v>0</v>
      </c>
      <c r="AT51" s="18">
        <f>SUM(AK52:AK55)</f>
        <v>0</v>
      </c>
      <c r="AU51" s="18">
        <f>SUM(AL52:AL55)</f>
        <v>0</v>
      </c>
    </row>
    <row r="52" spans="1:64" ht="15" customHeight="1" x14ac:dyDescent="0.25">
      <c r="A52" s="40" t="s">
        <v>175</v>
      </c>
      <c r="B52" s="3" t="s">
        <v>110</v>
      </c>
      <c r="C52" s="66" t="s">
        <v>176</v>
      </c>
      <c r="D52" s="77" t="s">
        <v>177</v>
      </c>
      <c r="E52" s="77"/>
      <c r="F52" s="3" t="s">
        <v>105</v>
      </c>
      <c r="G52" s="38">
        <v>12</v>
      </c>
      <c r="H52" s="154"/>
      <c r="I52" s="38">
        <f>G52*AO52</f>
        <v>0</v>
      </c>
      <c r="J52" s="38">
        <f>G52*AP52</f>
        <v>0</v>
      </c>
      <c r="K52" s="38">
        <f>G52*H52</f>
        <v>0</v>
      </c>
      <c r="L52" s="38">
        <v>0</v>
      </c>
      <c r="M52" s="38">
        <f>G52*L52</f>
        <v>0</v>
      </c>
      <c r="N52" s="62"/>
      <c r="Z52" s="38">
        <f>IF(AQ52="5",BJ52,0)</f>
        <v>0</v>
      </c>
      <c r="AB52" s="38">
        <f>IF(AQ52="1",BH52,0)</f>
        <v>0</v>
      </c>
      <c r="AC52" s="38">
        <f>IF(AQ52="1",BI52,0)</f>
        <v>0</v>
      </c>
      <c r="AD52" s="38">
        <f>IF(AQ52="7",BH52,0)</f>
        <v>0</v>
      </c>
      <c r="AE52" s="38">
        <f>IF(AQ52="7",BI52,0)</f>
        <v>0</v>
      </c>
      <c r="AF52" s="38">
        <f>IF(AQ52="2",BH52,0)</f>
        <v>0</v>
      </c>
      <c r="AG52" s="38">
        <f>IF(AQ52="2",BI52,0)</f>
        <v>0</v>
      </c>
      <c r="AH52" s="38">
        <f>IF(AQ52="0",BJ52,0)</f>
        <v>0</v>
      </c>
      <c r="AI52" s="42" t="s">
        <v>110</v>
      </c>
      <c r="AJ52" s="38">
        <f>IF(AN52=0,K52,0)</f>
        <v>0</v>
      </c>
      <c r="AK52" s="38">
        <f>IF(AN52=15,K52,0)</f>
        <v>0</v>
      </c>
      <c r="AL52" s="38">
        <f>IF(AN52=21,K52,0)</f>
        <v>0</v>
      </c>
      <c r="AN52" s="38">
        <v>21</v>
      </c>
      <c r="AO52" s="38">
        <f>H52*1</f>
        <v>0</v>
      </c>
      <c r="AP52" s="38">
        <f>H52*(1-1)</f>
        <v>0</v>
      </c>
      <c r="AQ52" s="25" t="s">
        <v>58</v>
      </c>
      <c r="AV52" s="38">
        <f>AW52+AX52</f>
        <v>0</v>
      </c>
      <c r="AW52" s="38">
        <f>G52*AO52</f>
        <v>0</v>
      </c>
      <c r="AX52" s="38">
        <f>G52*AP52</f>
        <v>0</v>
      </c>
      <c r="AY52" s="25" t="s">
        <v>178</v>
      </c>
      <c r="AZ52" s="25" t="s">
        <v>179</v>
      </c>
      <c r="BA52" s="42" t="s">
        <v>115</v>
      </c>
      <c r="BC52" s="38">
        <f>AW52+AX52</f>
        <v>0</v>
      </c>
      <c r="BD52" s="38">
        <f>H52/(100-BE52)*100</f>
        <v>0</v>
      </c>
      <c r="BE52" s="38">
        <v>0</v>
      </c>
      <c r="BF52" s="38">
        <f>M52</f>
        <v>0</v>
      </c>
      <c r="BH52" s="38">
        <f>G52*AO52</f>
        <v>0</v>
      </c>
      <c r="BI52" s="38">
        <f>G52*AP52</f>
        <v>0</v>
      </c>
      <c r="BJ52" s="38">
        <f>G52*H52</f>
        <v>0</v>
      </c>
      <c r="BK52" s="38"/>
      <c r="BL52" s="38">
        <v>93</v>
      </c>
    </row>
    <row r="53" spans="1:64" ht="15" customHeight="1" x14ac:dyDescent="0.25">
      <c r="A53" s="40" t="s">
        <v>124</v>
      </c>
      <c r="B53" s="3" t="s">
        <v>110</v>
      </c>
      <c r="C53" s="3" t="s">
        <v>180</v>
      </c>
      <c r="D53" s="77" t="s">
        <v>181</v>
      </c>
      <c r="E53" s="77"/>
      <c r="F53" s="3" t="s">
        <v>68</v>
      </c>
      <c r="G53" s="38">
        <v>8.1999999999999993</v>
      </c>
      <c r="H53" s="154"/>
      <c r="I53" s="38">
        <f>G53*AO53</f>
        <v>0</v>
      </c>
      <c r="J53" s="38">
        <f>G53*AP53</f>
        <v>0</v>
      </c>
      <c r="K53" s="38">
        <f>G53*H53</f>
        <v>0</v>
      </c>
      <c r="L53" s="38">
        <v>4.9430000000000002E-2</v>
      </c>
      <c r="M53" s="38">
        <f>G53*L53</f>
        <v>0.40532599999999996</v>
      </c>
      <c r="N53" s="62"/>
      <c r="Z53" s="38">
        <f>IF(AQ53="5",BJ53,0)</f>
        <v>0</v>
      </c>
      <c r="AB53" s="38">
        <f>IF(AQ53="1",BH53,0)</f>
        <v>0</v>
      </c>
      <c r="AC53" s="38">
        <f>IF(AQ53="1",BI53,0)</f>
        <v>0</v>
      </c>
      <c r="AD53" s="38">
        <f>IF(AQ53="7",BH53,0)</f>
        <v>0</v>
      </c>
      <c r="AE53" s="38">
        <f>IF(AQ53="7",BI53,0)</f>
        <v>0</v>
      </c>
      <c r="AF53" s="38">
        <f>IF(AQ53="2",BH53,0)</f>
        <v>0</v>
      </c>
      <c r="AG53" s="38">
        <f>IF(AQ53="2",BI53,0)</f>
        <v>0</v>
      </c>
      <c r="AH53" s="38">
        <f>IF(AQ53="0",BJ53,0)</f>
        <v>0</v>
      </c>
      <c r="AI53" s="42" t="s">
        <v>110</v>
      </c>
      <c r="AJ53" s="38">
        <f>IF(AN53=0,K53,0)</f>
        <v>0</v>
      </c>
      <c r="AK53" s="38">
        <f>IF(AN53=15,K53,0)</f>
        <v>0</v>
      </c>
      <c r="AL53" s="38">
        <f>IF(AN53=21,K53,0)</f>
        <v>0</v>
      </c>
      <c r="AN53" s="38">
        <v>21</v>
      </c>
      <c r="AO53" s="38">
        <f>H53*0.628261558784676</f>
        <v>0</v>
      </c>
      <c r="AP53" s="38">
        <f>H53*(1-0.628261558784676)</f>
        <v>0</v>
      </c>
      <c r="AQ53" s="25" t="s">
        <v>58</v>
      </c>
      <c r="AV53" s="38">
        <f>AW53+AX53</f>
        <v>0</v>
      </c>
      <c r="AW53" s="38">
        <f>G53*AO53</f>
        <v>0</v>
      </c>
      <c r="AX53" s="38">
        <f>G53*AP53</f>
        <v>0</v>
      </c>
      <c r="AY53" s="25" t="s">
        <v>178</v>
      </c>
      <c r="AZ53" s="25" t="s">
        <v>179</v>
      </c>
      <c r="BA53" s="42" t="s">
        <v>115</v>
      </c>
      <c r="BC53" s="38">
        <f>AW53+AX53</f>
        <v>0</v>
      </c>
      <c r="BD53" s="38">
        <f>H53/(100-BE53)*100</f>
        <v>0</v>
      </c>
      <c r="BE53" s="38">
        <v>0</v>
      </c>
      <c r="BF53" s="38">
        <f>M53</f>
        <v>0.40532599999999996</v>
      </c>
      <c r="BH53" s="38">
        <f>G53*AO53</f>
        <v>0</v>
      </c>
      <c r="BI53" s="38">
        <f>G53*AP53</f>
        <v>0</v>
      </c>
      <c r="BJ53" s="38">
        <f>G53*H53</f>
        <v>0</v>
      </c>
      <c r="BK53" s="38"/>
      <c r="BL53" s="38">
        <v>93</v>
      </c>
    </row>
    <row r="54" spans="1:64" ht="15" customHeight="1" x14ac:dyDescent="0.25">
      <c r="A54" s="40" t="s">
        <v>182</v>
      </c>
      <c r="B54" s="3" t="s">
        <v>110</v>
      </c>
      <c r="C54" s="3" t="s">
        <v>183</v>
      </c>
      <c r="D54" s="77" t="s">
        <v>184</v>
      </c>
      <c r="E54" s="77"/>
      <c r="F54" s="3" t="s">
        <v>135</v>
      </c>
      <c r="G54" s="38">
        <v>2.5</v>
      </c>
      <c r="H54" s="154"/>
      <c r="I54" s="38">
        <f>G54*AO54</f>
        <v>0</v>
      </c>
      <c r="J54" s="38">
        <f>G54*AP54</f>
        <v>0</v>
      </c>
      <c r="K54" s="38">
        <f>G54*H54</f>
        <v>0</v>
      </c>
      <c r="L54" s="38">
        <v>6.9379999999999997E-2</v>
      </c>
      <c r="M54" s="38">
        <f>G54*L54</f>
        <v>0.17344999999999999</v>
      </c>
      <c r="N54" s="62"/>
      <c r="Z54" s="38">
        <f>IF(AQ54="5",BJ54,0)</f>
        <v>0</v>
      </c>
      <c r="AB54" s="38">
        <f>IF(AQ54="1",BH54,0)</f>
        <v>0</v>
      </c>
      <c r="AC54" s="38">
        <f>IF(AQ54="1",BI54,0)</f>
        <v>0</v>
      </c>
      <c r="AD54" s="38">
        <f>IF(AQ54="7",BH54,0)</f>
        <v>0</v>
      </c>
      <c r="AE54" s="38">
        <f>IF(AQ54="7",BI54,0)</f>
        <v>0</v>
      </c>
      <c r="AF54" s="38">
        <f>IF(AQ54="2",BH54,0)</f>
        <v>0</v>
      </c>
      <c r="AG54" s="38">
        <f>IF(AQ54="2",BI54,0)</f>
        <v>0</v>
      </c>
      <c r="AH54" s="38">
        <f>IF(AQ54="0",BJ54,0)</f>
        <v>0</v>
      </c>
      <c r="AI54" s="42" t="s">
        <v>110</v>
      </c>
      <c r="AJ54" s="38">
        <f>IF(AN54=0,K54,0)</f>
        <v>0</v>
      </c>
      <c r="AK54" s="38">
        <f>IF(AN54=15,K54,0)</f>
        <v>0</v>
      </c>
      <c r="AL54" s="38">
        <f>IF(AN54=21,K54,0)</f>
        <v>0</v>
      </c>
      <c r="AN54" s="38">
        <v>21</v>
      </c>
      <c r="AO54" s="38">
        <f>H54*0.866102173913044</f>
        <v>0</v>
      </c>
      <c r="AP54" s="38">
        <f>H54*(1-0.866102173913044)</f>
        <v>0</v>
      </c>
      <c r="AQ54" s="25" t="s">
        <v>58</v>
      </c>
      <c r="AV54" s="38">
        <f>AW54+AX54</f>
        <v>0</v>
      </c>
      <c r="AW54" s="38">
        <f>G54*AO54</f>
        <v>0</v>
      </c>
      <c r="AX54" s="38">
        <f>G54*AP54</f>
        <v>0</v>
      </c>
      <c r="AY54" s="25" t="s">
        <v>178</v>
      </c>
      <c r="AZ54" s="25" t="s">
        <v>179</v>
      </c>
      <c r="BA54" s="42" t="s">
        <v>115</v>
      </c>
      <c r="BC54" s="38">
        <f>AW54+AX54</f>
        <v>0</v>
      </c>
      <c r="BD54" s="38">
        <f>H54/(100-BE54)*100</f>
        <v>0</v>
      </c>
      <c r="BE54" s="38">
        <v>0</v>
      </c>
      <c r="BF54" s="38">
        <f>M54</f>
        <v>0.17344999999999999</v>
      </c>
      <c r="BH54" s="38">
        <f>G54*AO54</f>
        <v>0</v>
      </c>
      <c r="BI54" s="38">
        <f>G54*AP54</f>
        <v>0</v>
      </c>
      <c r="BJ54" s="38">
        <f>G54*H54</f>
        <v>0</v>
      </c>
      <c r="BK54" s="38"/>
      <c r="BL54" s="38">
        <v>93</v>
      </c>
    </row>
    <row r="55" spans="1:64" ht="15" customHeight="1" x14ac:dyDescent="0.25">
      <c r="A55" s="40" t="s">
        <v>185</v>
      </c>
      <c r="B55" s="3" t="s">
        <v>110</v>
      </c>
      <c r="C55" s="3" t="s">
        <v>186</v>
      </c>
      <c r="D55" s="77" t="s">
        <v>187</v>
      </c>
      <c r="E55" s="77"/>
      <c r="F55" s="3" t="s">
        <v>188</v>
      </c>
      <c r="G55" s="38">
        <v>40</v>
      </c>
      <c r="H55" s="154"/>
      <c r="I55" s="38">
        <f>G55*AO55</f>
        <v>0</v>
      </c>
      <c r="J55" s="38">
        <f>G55*AP55</f>
        <v>0</v>
      </c>
      <c r="K55" s="38">
        <f>G55*H55</f>
        <v>0</v>
      </c>
      <c r="L55" s="38">
        <v>0</v>
      </c>
      <c r="M55" s="38">
        <f>G55*L55</f>
        <v>0</v>
      </c>
      <c r="N55" s="62"/>
      <c r="Z55" s="38">
        <f>IF(AQ55="5",BJ55,0)</f>
        <v>0</v>
      </c>
      <c r="AB55" s="38">
        <f>IF(AQ55="1",BH55,0)</f>
        <v>0</v>
      </c>
      <c r="AC55" s="38">
        <f>IF(AQ55="1",BI55,0)</f>
        <v>0</v>
      </c>
      <c r="AD55" s="38">
        <f>IF(AQ55="7",BH55,0)</f>
        <v>0</v>
      </c>
      <c r="AE55" s="38">
        <f>IF(AQ55="7",BI55,0)</f>
        <v>0</v>
      </c>
      <c r="AF55" s="38">
        <f>IF(AQ55="2",BH55,0)</f>
        <v>0</v>
      </c>
      <c r="AG55" s="38">
        <f>IF(AQ55="2",BI55,0)</f>
        <v>0</v>
      </c>
      <c r="AH55" s="38">
        <f>IF(AQ55="0",BJ55,0)</f>
        <v>0</v>
      </c>
      <c r="AI55" s="42" t="s">
        <v>110</v>
      </c>
      <c r="AJ55" s="38">
        <f>IF(AN55=0,K55,0)</f>
        <v>0</v>
      </c>
      <c r="AK55" s="38">
        <f>IF(AN55=15,K55,0)</f>
        <v>0</v>
      </c>
      <c r="AL55" s="38">
        <f>IF(AN55=21,K55,0)</f>
        <v>0</v>
      </c>
      <c r="AN55" s="38">
        <v>21</v>
      </c>
      <c r="AO55" s="38">
        <f>H55*0</f>
        <v>0</v>
      </c>
      <c r="AP55" s="38">
        <f>H55*(1-0)</f>
        <v>0</v>
      </c>
      <c r="AQ55" s="25" t="s">
        <v>58</v>
      </c>
      <c r="AV55" s="38">
        <f>AW55+AX55</f>
        <v>0</v>
      </c>
      <c r="AW55" s="38">
        <f>G55*AO55</f>
        <v>0</v>
      </c>
      <c r="AX55" s="38">
        <f>G55*AP55</f>
        <v>0</v>
      </c>
      <c r="AY55" s="25" t="s">
        <v>178</v>
      </c>
      <c r="AZ55" s="25" t="s">
        <v>179</v>
      </c>
      <c r="BA55" s="42" t="s">
        <v>115</v>
      </c>
      <c r="BC55" s="38">
        <f>AW55+AX55</f>
        <v>0</v>
      </c>
      <c r="BD55" s="38">
        <f>H55/(100-BE55)*100</f>
        <v>0</v>
      </c>
      <c r="BE55" s="38">
        <v>0</v>
      </c>
      <c r="BF55" s="38">
        <f>M55</f>
        <v>0</v>
      </c>
      <c r="BH55" s="38">
        <f>G55*AO55</f>
        <v>0</v>
      </c>
      <c r="BI55" s="38">
        <f>G55*AP55</f>
        <v>0</v>
      </c>
      <c r="BJ55" s="38">
        <f>G55*H55</f>
        <v>0</v>
      </c>
      <c r="BK55" s="38"/>
      <c r="BL55" s="38">
        <v>93</v>
      </c>
    </row>
    <row r="56" spans="1:64" ht="15" customHeight="1" x14ac:dyDescent="0.25">
      <c r="A56" s="9" t="s">
        <v>53</v>
      </c>
      <c r="B56" s="53" t="s">
        <v>110</v>
      </c>
      <c r="C56" s="53" t="s">
        <v>189</v>
      </c>
      <c r="D56" s="78" t="s">
        <v>190</v>
      </c>
      <c r="E56" s="78"/>
      <c r="F56" s="27" t="s">
        <v>32</v>
      </c>
      <c r="G56" s="27" t="s">
        <v>32</v>
      </c>
      <c r="H56" s="27" t="s">
        <v>32</v>
      </c>
      <c r="I56" s="18">
        <f>SUM(I57:I57)</f>
        <v>0</v>
      </c>
      <c r="J56" s="18">
        <f>SUM(J57:J57)</f>
        <v>0</v>
      </c>
      <c r="K56" s="18">
        <f>SUM(K57:K57)</f>
        <v>0</v>
      </c>
      <c r="L56" s="42" t="s">
        <v>53</v>
      </c>
      <c r="M56" s="18">
        <f>SUM(M57:M57)</f>
        <v>0</v>
      </c>
      <c r="N56" s="34"/>
      <c r="AI56" s="42" t="s">
        <v>110</v>
      </c>
      <c r="AS56" s="18">
        <f>SUM(AJ57:AJ57)</f>
        <v>0</v>
      </c>
      <c r="AT56" s="18">
        <f>SUM(AK57:AK57)</f>
        <v>0</v>
      </c>
      <c r="AU56" s="18">
        <f>SUM(AL57:AL57)</f>
        <v>0</v>
      </c>
    </row>
    <row r="57" spans="1:64" ht="15" customHeight="1" x14ac:dyDescent="0.25">
      <c r="A57" s="35" t="s">
        <v>191</v>
      </c>
      <c r="B57" s="17" t="s">
        <v>110</v>
      </c>
      <c r="C57" s="70" t="s">
        <v>192</v>
      </c>
      <c r="D57" s="74" t="s">
        <v>193</v>
      </c>
      <c r="E57" s="74"/>
      <c r="F57" s="17" t="s">
        <v>146</v>
      </c>
      <c r="G57" s="32">
        <v>20</v>
      </c>
      <c r="H57" s="155"/>
      <c r="I57" s="32">
        <f>G57*AO57</f>
        <v>0</v>
      </c>
      <c r="J57" s="32">
        <f>G57*AP57</f>
        <v>0</v>
      </c>
      <c r="K57" s="32">
        <f>G57*H57</f>
        <v>0</v>
      </c>
      <c r="L57" s="32">
        <v>0</v>
      </c>
      <c r="M57" s="32">
        <f>G57*L57</f>
        <v>0</v>
      </c>
      <c r="N57" s="4"/>
      <c r="Z57" s="38">
        <f>IF(AQ57="5",BJ57,0)</f>
        <v>0</v>
      </c>
      <c r="AB57" s="38">
        <f>IF(AQ57="1",BH57,0)</f>
        <v>0</v>
      </c>
      <c r="AC57" s="38">
        <f>IF(AQ57="1",BI57,0)</f>
        <v>0</v>
      </c>
      <c r="AD57" s="38">
        <f>IF(AQ57="7",BH57,0)</f>
        <v>0</v>
      </c>
      <c r="AE57" s="38">
        <f>IF(AQ57="7",BI57,0)</f>
        <v>0</v>
      </c>
      <c r="AF57" s="38">
        <f>IF(AQ57="2",BH57,0)</f>
        <v>0</v>
      </c>
      <c r="AG57" s="38">
        <f>IF(AQ57="2",BI57,0)</f>
        <v>0</v>
      </c>
      <c r="AH57" s="38">
        <f>IF(AQ57="0",BJ57,0)</f>
        <v>0</v>
      </c>
      <c r="AI57" s="42" t="s">
        <v>110</v>
      </c>
      <c r="AJ57" s="38">
        <f>IF(AN57=0,K57,0)</f>
        <v>0</v>
      </c>
      <c r="AK57" s="38">
        <f>IF(AN57=15,K57,0)</f>
        <v>0</v>
      </c>
      <c r="AL57" s="38">
        <f>IF(AN57=21,K57,0)</f>
        <v>0</v>
      </c>
      <c r="AN57" s="38">
        <v>21</v>
      </c>
      <c r="AO57" s="38">
        <f>H57*0.00998699609882965</f>
        <v>0</v>
      </c>
      <c r="AP57" s="38">
        <f>H57*(1-0.00998699609882965)</f>
        <v>0</v>
      </c>
      <c r="AQ57" s="25" t="s">
        <v>80</v>
      </c>
      <c r="AV57" s="38">
        <f>AW57+AX57</f>
        <v>0</v>
      </c>
      <c r="AW57" s="38">
        <f>G57*AO57</f>
        <v>0</v>
      </c>
      <c r="AX57" s="38">
        <f>G57*AP57</f>
        <v>0</v>
      </c>
      <c r="AY57" s="25" t="s">
        <v>194</v>
      </c>
      <c r="AZ57" s="25" t="s">
        <v>179</v>
      </c>
      <c r="BA57" s="42" t="s">
        <v>115</v>
      </c>
      <c r="BC57" s="38">
        <f>AW57+AX57</f>
        <v>0</v>
      </c>
      <c r="BD57" s="38">
        <f>H57/(100-BE57)*100</f>
        <v>0</v>
      </c>
      <c r="BE57" s="38">
        <v>0</v>
      </c>
      <c r="BF57" s="38">
        <f>M57</f>
        <v>0</v>
      </c>
      <c r="BH57" s="38">
        <f>G57*AO57</f>
        <v>0</v>
      </c>
      <c r="BI57" s="38">
        <f>G57*AP57</f>
        <v>0</v>
      </c>
      <c r="BJ57" s="38">
        <f>G57*H57</f>
        <v>0</v>
      </c>
      <c r="BK57" s="38"/>
      <c r="BL57" s="38"/>
    </row>
    <row r="58" spans="1:64" ht="15" customHeight="1" x14ac:dyDescent="0.25">
      <c r="I58" s="75" t="s">
        <v>195</v>
      </c>
      <c r="J58" s="75"/>
      <c r="K58" s="30">
        <f>K13+K17+K20+K27+K31+K34+K36+K42+K44+K48+K51+K56</f>
        <v>1261030</v>
      </c>
    </row>
    <row r="59" spans="1:64" ht="15" customHeight="1" x14ac:dyDescent="0.25">
      <c r="A59" s="48" t="s">
        <v>196</v>
      </c>
      <c r="C59" s="73"/>
      <c r="E59" s="71" t="s">
        <v>197</v>
      </c>
    </row>
    <row r="60" spans="1:64" ht="12.75" customHeight="1" x14ac:dyDescent="0.25">
      <c r="A60" s="76" t="s">
        <v>53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</row>
    <row r="61" spans="1:64" ht="15" customHeight="1" x14ac:dyDescent="0.25">
      <c r="C61" s="71" t="s">
        <v>198</v>
      </c>
      <c r="E61" s="72" t="s">
        <v>199</v>
      </c>
    </row>
    <row r="62" spans="1:64" ht="15" customHeight="1" x14ac:dyDescent="0.25">
      <c r="C62" s="1"/>
      <c r="E62" s="71"/>
    </row>
    <row r="63" spans="1:64" ht="15" customHeight="1" x14ac:dyDescent="0.25">
      <c r="C63" s="71"/>
    </row>
    <row r="64" spans="1:64" ht="15" customHeight="1" x14ac:dyDescent="0.25">
      <c r="C64" s="71"/>
    </row>
  </sheetData>
  <sheetProtection algorithmName="SHA-512" hashValue="6/7Kf7nWj3UCIYzo4O5+gN7VhmtoRwUawvaSHkrS0eJpoHA0Dyrl0iPH3C3w1JkrBlEGEwrVDu5NMTnxqaXEpw==" saltValue="zvQE//Berx5EclFx/S19VA==" spinCount="100000" sheet="1" objects="1" scenarios="1"/>
  <mergeCells count="77">
    <mergeCell ref="H8:H9"/>
    <mergeCell ref="A1:N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D14:E14"/>
    <mergeCell ref="J2:N3"/>
    <mergeCell ref="J4:N5"/>
    <mergeCell ref="J6:N7"/>
    <mergeCell ref="J8:N9"/>
    <mergeCell ref="D10:E10"/>
    <mergeCell ref="I4:I5"/>
    <mergeCell ref="I6:I7"/>
    <mergeCell ref="I8:I9"/>
    <mergeCell ref="D2:E3"/>
    <mergeCell ref="D4:E5"/>
    <mergeCell ref="D6:E7"/>
    <mergeCell ref="D8:E9"/>
    <mergeCell ref="H2:H3"/>
    <mergeCell ref="H4:H5"/>
    <mergeCell ref="H6:H7"/>
    <mergeCell ref="D11:E11"/>
    <mergeCell ref="I10:K10"/>
    <mergeCell ref="L10:M10"/>
    <mergeCell ref="D12:E12"/>
    <mergeCell ref="D13:E13"/>
    <mergeCell ref="D26:E26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38:E38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50:E50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7:E57"/>
    <mergeCell ref="I58:J58"/>
    <mergeCell ref="A60:N60"/>
    <mergeCell ref="D51:E51"/>
    <mergeCell ref="D52:E52"/>
    <mergeCell ref="D53:E53"/>
    <mergeCell ref="D54:E54"/>
    <mergeCell ref="D55:E55"/>
    <mergeCell ref="D56:E56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H76"/>
  <sheetViews>
    <sheetView showOutlineSymbols="0" topLeftCell="E1" workbookViewId="0">
      <selection activeCell="F6" sqref="F6:H7"/>
    </sheetView>
  </sheetViews>
  <sheetFormatPr defaultColWidth="14.1640625" defaultRowHeight="15" customHeight="1" x14ac:dyDescent="0.25"/>
  <cols>
    <col min="1" max="2" width="10.6640625" customWidth="1"/>
    <col min="3" max="3" width="16.6640625" customWidth="1"/>
    <col min="4" max="4" width="50" customWidth="1"/>
    <col min="5" max="5" width="109.5" customWidth="1"/>
    <col min="6" max="6" width="28.1640625" customWidth="1"/>
    <col min="7" max="7" width="18.33203125" customWidth="1"/>
    <col min="8" max="8" width="23.33203125" customWidth="1"/>
  </cols>
  <sheetData>
    <row r="1" spans="1:8" ht="54.75" customHeight="1" x14ac:dyDescent="0.25">
      <c r="A1" s="96" t="s">
        <v>200</v>
      </c>
      <c r="B1" s="96"/>
      <c r="C1" s="96"/>
      <c r="D1" s="96"/>
      <c r="E1" s="96"/>
      <c r="F1" s="96"/>
      <c r="G1" s="96"/>
      <c r="H1" s="96"/>
    </row>
    <row r="2" spans="1:8" ht="15" customHeight="1" x14ac:dyDescent="0.25">
      <c r="A2" s="97" t="s">
        <v>1</v>
      </c>
      <c r="B2" s="87"/>
      <c r="C2" s="92" t="str">
        <f>'Stavební rozpočet'!D2</f>
        <v>VN Šlapanice - odstranění sedimentů</v>
      </c>
      <c r="D2" s="93"/>
      <c r="E2" s="86" t="s">
        <v>4</v>
      </c>
      <c r="F2" s="86" t="str">
        <f>'Stavební rozpočet'!J2</f>
        <v>Povodí Vltavy, státní podnik</v>
      </c>
      <c r="G2" s="87"/>
      <c r="H2" s="88"/>
    </row>
    <row r="3" spans="1:8" ht="15" customHeight="1" x14ac:dyDescent="0.25">
      <c r="A3" s="98"/>
      <c r="B3" s="77"/>
      <c r="C3" s="75"/>
      <c r="D3" s="75"/>
      <c r="E3" s="77"/>
      <c r="F3" s="77"/>
      <c r="G3" s="77"/>
      <c r="H3" s="89"/>
    </row>
    <row r="4" spans="1:8" ht="15" customHeight="1" x14ac:dyDescent="0.25">
      <c r="A4" s="99" t="s">
        <v>6</v>
      </c>
      <c r="B4" s="77"/>
      <c r="C4" s="76" t="str">
        <f>'Stavební rozpočet'!D4</f>
        <v>pročištění, oprava</v>
      </c>
      <c r="D4" s="77"/>
      <c r="E4" s="76" t="s">
        <v>9</v>
      </c>
      <c r="F4" s="76" t="str">
        <f>'Stavební rozpočet'!J4</f>
        <v>Ing. Zdeněk Viták</v>
      </c>
      <c r="G4" s="77"/>
      <c r="H4" s="89"/>
    </row>
    <row r="5" spans="1:8" ht="15" customHeight="1" x14ac:dyDescent="0.25">
      <c r="A5" s="98"/>
      <c r="B5" s="77"/>
      <c r="C5" s="77"/>
      <c r="D5" s="77"/>
      <c r="E5" s="77"/>
      <c r="F5" s="77"/>
      <c r="G5" s="77"/>
      <c r="H5" s="89"/>
    </row>
    <row r="6" spans="1:8" ht="15" customHeight="1" x14ac:dyDescent="0.25">
      <c r="A6" s="99" t="s">
        <v>11</v>
      </c>
      <c r="B6" s="77"/>
      <c r="C6" s="76" t="str">
        <f>'Stavební rozpočet'!D6</f>
        <v>k.ú.Šlapanice v Čechách</v>
      </c>
      <c r="D6" s="77"/>
      <c r="E6" s="76" t="s">
        <v>14</v>
      </c>
      <c r="F6" s="158">
        <f>'Stavební rozpočet'!J6</f>
        <v>0</v>
      </c>
      <c r="G6" s="156"/>
      <c r="H6" s="157"/>
    </row>
    <row r="7" spans="1:8" ht="15" customHeight="1" x14ac:dyDescent="0.25">
      <c r="A7" s="98"/>
      <c r="B7" s="77"/>
      <c r="C7" s="77"/>
      <c r="D7" s="77"/>
      <c r="E7" s="77"/>
      <c r="F7" s="156"/>
      <c r="G7" s="156"/>
      <c r="H7" s="157"/>
    </row>
    <row r="8" spans="1:8" ht="15" customHeight="1" x14ac:dyDescent="0.25">
      <c r="A8" s="99" t="s">
        <v>18</v>
      </c>
      <c r="B8" s="77"/>
      <c r="C8" s="76" t="str">
        <f>'Stavební rozpočet'!J8</f>
        <v>Ing. Viták Zdeněk</v>
      </c>
      <c r="D8" s="77"/>
      <c r="E8" s="76" t="s">
        <v>17</v>
      </c>
      <c r="F8" s="103">
        <v>45033</v>
      </c>
      <c r="G8" s="77"/>
      <c r="H8" s="89"/>
    </row>
    <row r="9" spans="1:8" ht="15" customHeight="1" x14ac:dyDescent="0.25">
      <c r="A9" s="98"/>
      <c r="B9" s="77"/>
      <c r="C9" s="77"/>
      <c r="D9" s="77"/>
      <c r="E9" s="77"/>
      <c r="F9" s="77"/>
      <c r="G9" s="77"/>
      <c r="H9" s="89"/>
    </row>
    <row r="10" spans="1:8" ht="15" customHeight="1" x14ac:dyDescent="0.25">
      <c r="A10" s="58" t="s">
        <v>20</v>
      </c>
      <c r="B10" s="24" t="s">
        <v>21</v>
      </c>
      <c r="C10" s="24" t="s">
        <v>22</v>
      </c>
      <c r="D10" s="104" t="s">
        <v>23</v>
      </c>
      <c r="E10" s="105"/>
      <c r="F10" s="24" t="s">
        <v>24</v>
      </c>
      <c r="G10" s="22" t="s">
        <v>25</v>
      </c>
      <c r="H10" s="49" t="s">
        <v>201</v>
      </c>
    </row>
    <row r="11" spans="1:8" ht="15" customHeight="1" x14ac:dyDescent="0.25">
      <c r="A11" s="43" t="s">
        <v>53</v>
      </c>
      <c r="B11" s="53" t="s">
        <v>54</v>
      </c>
      <c r="C11" s="53" t="s">
        <v>53</v>
      </c>
      <c r="D11" s="78" t="s">
        <v>55</v>
      </c>
      <c r="E11" s="78"/>
      <c r="F11" s="53" t="s">
        <v>53</v>
      </c>
      <c r="G11" s="42" t="s">
        <v>53</v>
      </c>
      <c r="H11" s="34" t="s">
        <v>53</v>
      </c>
    </row>
    <row r="12" spans="1:8" ht="15" customHeight="1" x14ac:dyDescent="0.25">
      <c r="A12" s="40" t="s">
        <v>58</v>
      </c>
      <c r="B12" s="3" t="s">
        <v>54</v>
      </c>
      <c r="C12" s="66" t="s">
        <v>59</v>
      </c>
      <c r="D12" s="77" t="s">
        <v>60</v>
      </c>
      <c r="E12" s="77"/>
      <c r="F12" s="3" t="s">
        <v>61</v>
      </c>
      <c r="G12" s="38">
        <v>1</v>
      </c>
      <c r="H12" s="19">
        <v>0</v>
      </c>
    </row>
    <row r="13" spans="1:8" ht="15" customHeight="1" x14ac:dyDescent="0.25">
      <c r="A13" s="40" t="s">
        <v>65</v>
      </c>
      <c r="B13" s="3" t="s">
        <v>54</v>
      </c>
      <c r="C13" s="3" t="s">
        <v>66</v>
      </c>
      <c r="D13" s="77" t="s">
        <v>67</v>
      </c>
      <c r="E13" s="77"/>
      <c r="F13" s="3" t="s">
        <v>68</v>
      </c>
      <c r="G13" s="38">
        <v>100.00000000000001</v>
      </c>
      <c r="H13" s="19">
        <v>0</v>
      </c>
    </row>
    <row r="14" spans="1:8" ht="15" customHeight="1" x14ac:dyDescent="0.25">
      <c r="A14" s="23"/>
      <c r="D14" s="28" t="s">
        <v>202</v>
      </c>
      <c r="E14" s="100" t="s">
        <v>203</v>
      </c>
      <c r="F14" s="100"/>
      <c r="G14" s="16">
        <v>0</v>
      </c>
      <c r="H14" s="51"/>
    </row>
    <row r="15" spans="1:8" ht="15" customHeight="1" x14ac:dyDescent="0.25">
      <c r="A15" s="40" t="s">
        <v>69</v>
      </c>
      <c r="B15" s="3" t="s">
        <v>54</v>
      </c>
      <c r="C15" s="3" t="s">
        <v>70</v>
      </c>
      <c r="D15" s="77" t="s">
        <v>71</v>
      </c>
      <c r="E15" s="77"/>
      <c r="F15" s="3" t="s">
        <v>68</v>
      </c>
      <c r="G15" s="38">
        <v>100.00000000000001</v>
      </c>
      <c r="H15" s="19">
        <v>0</v>
      </c>
    </row>
    <row r="16" spans="1:8" ht="15" customHeight="1" x14ac:dyDescent="0.25">
      <c r="A16" s="23"/>
      <c r="D16" s="28" t="s">
        <v>202</v>
      </c>
      <c r="E16" s="100" t="s">
        <v>203</v>
      </c>
      <c r="F16" s="100"/>
      <c r="G16" s="16">
        <v>0</v>
      </c>
      <c r="H16" s="51"/>
    </row>
    <row r="17" spans="1:8" ht="15" customHeight="1" x14ac:dyDescent="0.25">
      <c r="A17" s="40" t="s">
        <v>74</v>
      </c>
      <c r="B17" s="3" t="s">
        <v>54</v>
      </c>
      <c r="C17" s="66" t="s">
        <v>75</v>
      </c>
      <c r="D17" s="77" t="s">
        <v>76</v>
      </c>
      <c r="E17" s="77"/>
      <c r="F17" s="3" t="s">
        <v>77</v>
      </c>
      <c r="G17" s="38">
        <v>63051.500000000007</v>
      </c>
      <c r="H17" s="19">
        <v>0</v>
      </c>
    </row>
    <row r="18" spans="1:8" ht="15" customHeight="1" x14ac:dyDescent="0.25">
      <c r="A18" s="23"/>
      <c r="D18" s="28" t="s">
        <v>204</v>
      </c>
      <c r="E18" s="102" t="s">
        <v>205</v>
      </c>
      <c r="F18" s="100"/>
      <c r="G18" s="16">
        <v>0</v>
      </c>
      <c r="H18" s="51"/>
    </row>
    <row r="19" spans="1:8" ht="15" customHeight="1" x14ac:dyDescent="0.25">
      <c r="A19" s="40" t="s">
        <v>80</v>
      </c>
      <c r="B19" s="3" t="s">
        <v>54</v>
      </c>
      <c r="C19" s="3" t="s">
        <v>81</v>
      </c>
      <c r="D19" s="77" t="s">
        <v>82</v>
      </c>
      <c r="E19" s="77"/>
      <c r="F19" s="3" t="s">
        <v>77</v>
      </c>
      <c r="G19" s="38">
        <v>850.00000000000011</v>
      </c>
      <c r="H19" s="19">
        <v>0</v>
      </c>
    </row>
    <row r="20" spans="1:8" ht="15" customHeight="1" x14ac:dyDescent="0.25">
      <c r="A20" s="23"/>
      <c r="D20" s="28" t="s">
        <v>206</v>
      </c>
      <c r="E20" s="100" t="s">
        <v>53</v>
      </c>
      <c r="F20" s="100"/>
      <c r="G20" s="16">
        <v>0</v>
      </c>
      <c r="H20" s="51"/>
    </row>
    <row r="21" spans="1:8" ht="15" customHeight="1" x14ac:dyDescent="0.25">
      <c r="A21" s="40" t="s">
        <v>85</v>
      </c>
      <c r="B21" s="3" t="s">
        <v>54</v>
      </c>
      <c r="C21" s="3" t="s">
        <v>86</v>
      </c>
      <c r="D21" s="77" t="s">
        <v>87</v>
      </c>
      <c r="E21" s="77"/>
      <c r="F21" s="3" t="s">
        <v>68</v>
      </c>
      <c r="G21" s="38">
        <v>2000.0000000000002</v>
      </c>
      <c r="H21" s="19">
        <v>0</v>
      </c>
    </row>
    <row r="22" spans="1:8" ht="15" customHeight="1" x14ac:dyDescent="0.25">
      <c r="A22" s="23"/>
      <c r="D22" s="28" t="s">
        <v>202</v>
      </c>
      <c r="E22" s="100" t="s">
        <v>207</v>
      </c>
      <c r="F22" s="100"/>
      <c r="G22" s="16">
        <v>0</v>
      </c>
      <c r="H22" s="51"/>
    </row>
    <row r="23" spans="1:8" ht="15" customHeight="1" x14ac:dyDescent="0.25">
      <c r="A23" s="40" t="s">
        <v>89</v>
      </c>
      <c r="B23" s="3" t="s">
        <v>54</v>
      </c>
      <c r="C23" s="3" t="s">
        <v>90</v>
      </c>
      <c r="D23" s="77" t="s">
        <v>91</v>
      </c>
      <c r="E23" s="77"/>
      <c r="F23" s="3" t="s">
        <v>68</v>
      </c>
      <c r="G23" s="38">
        <v>2000.0000000000002</v>
      </c>
      <c r="H23" s="19">
        <v>0</v>
      </c>
    </row>
    <row r="24" spans="1:8" ht="15" customHeight="1" x14ac:dyDescent="0.25">
      <c r="A24" s="23"/>
      <c r="D24" s="28" t="s">
        <v>204</v>
      </c>
      <c r="E24" s="100" t="s">
        <v>207</v>
      </c>
      <c r="F24" s="100"/>
      <c r="G24" s="16">
        <v>0</v>
      </c>
      <c r="H24" s="51"/>
    </row>
    <row r="25" spans="1:8" ht="15" customHeight="1" x14ac:dyDescent="0.25">
      <c r="A25" s="40" t="s">
        <v>92</v>
      </c>
      <c r="B25" s="3" t="s">
        <v>54</v>
      </c>
      <c r="C25" s="3" t="s">
        <v>93</v>
      </c>
      <c r="D25" s="77" t="s">
        <v>94</v>
      </c>
      <c r="E25" s="77"/>
      <c r="F25" s="3" t="s">
        <v>68</v>
      </c>
      <c r="G25" s="38">
        <v>20</v>
      </c>
      <c r="H25" s="19">
        <v>0</v>
      </c>
    </row>
    <row r="26" spans="1:8" ht="15" customHeight="1" x14ac:dyDescent="0.25">
      <c r="A26" s="23"/>
      <c r="D26" s="28" t="s">
        <v>204</v>
      </c>
      <c r="E26" s="100" t="s">
        <v>53</v>
      </c>
      <c r="F26" s="100"/>
      <c r="G26" s="16">
        <v>0</v>
      </c>
      <c r="H26" s="51"/>
    </row>
    <row r="27" spans="1:8" ht="15" customHeight="1" x14ac:dyDescent="0.25">
      <c r="A27" s="40" t="s">
        <v>95</v>
      </c>
      <c r="B27" s="3" t="s">
        <v>54</v>
      </c>
      <c r="C27" s="3" t="s">
        <v>96</v>
      </c>
      <c r="D27" s="77" t="s">
        <v>97</v>
      </c>
      <c r="E27" s="77"/>
      <c r="F27" s="3" t="s">
        <v>68</v>
      </c>
      <c r="G27" s="38">
        <v>20</v>
      </c>
      <c r="H27" s="19">
        <v>0</v>
      </c>
    </row>
    <row r="28" spans="1:8" ht="15" customHeight="1" x14ac:dyDescent="0.25">
      <c r="A28" s="23"/>
      <c r="D28" s="28" t="s">
        <v>204</v>
      </c>
      <c r="E28" s="100" t="s">
        <v>53</v>
      </c>
      <c r="F28" s="100"/>
      <c r="G28" s="16">
        <v>0</v>
      </c>
      <c r="H28" s="51"/>
    </row>
    <row r="29" spans="1:8" ht="15" customHeight="1" x14ac:dyDescent="0.25">
      <c r="A29" s="40" t="s">
        <v>98</v>
      </c>
      <c r="B29" s="3" t="s">
        <v>54</v>
      </c>
      <c r="C29" s="66" t="s">
        <v>99</v>
      </c>
      <c r="D29" s="80" t="s">
        <v>100</v>
      </c>
      <c r="E29" s="77"/>
      <c r="F29" s="3" t="s">
        <v>77</v>
      </c>
      <c r="G29" s="38">
        <v>63051.500000000007</v>
      </c>
      <c r="H29" s="19">
        <v>0</v>
      </c>
    </row>
    <row r="30" spans="1:8" ht="15" customHeight="1" x14ac:dyDescent="0.25">
      <c r="A30" s="23"/>
      <c r="D30" s="28" t="s">
        <v>202</v>
      </c>
      <c r="E30" s="100" t="s">
        <v>208</v>
      </c>
      <c r="F30" s="100"/>
      <c r="G30" s="16">
        <v>0</v>
      </c>
      <c r="H30" s="51"/>
    </row>
    <row r="31" spans="1:8" ht="15" customHeight="1" x14ac:dyDescent="0.25">
      <c r="A31" s="43" t="s">
        <v>53</v>
      </c>
      <c r="B31" s="53" t="s">
        <v>101</v>
      </c>
      <c r="C31" s="53" t="s">
        <v>53</v>
      </c>
      <c r="D31" s="78" t="s">
        <v>102</v>
      </c>
      <c r="E31" s="78"/>
      <c r="F31" s="53" t="s">
        <v>53</v>
      </c>
      <c r="G31" s="42" t="s">
        <v>53</v>
      </c>
      <c r="H31" s="34" t="s">
        <v>53</v>
      </c>
    </row>
    <row r="32" spans="1:8" ht="15" customHeight="1" x14ac:dyDescent="0.25">
      <c r="A32" s="40" t="s">
        <v>56</v>
      </c>
      <c r="B32" s="3" t="s">
        <v>101</v>
      </c>
      <c r="C32" s="66" t="s">
        <v>103</v>
      </c>
      <c r="D32" s="77" t="s">
        <v>104</v>
      </c>
      <c r="E32" s="77"/>
      <c r="F32" s="3" t="s">
        <v>105</v>
      </c>
      <c r="G32" s="38">
        <v>4</v>
      </c>
      <c r="H32" s="19">
        <v>0</v>
      </c>
    </row>
    <row r="33" spans="1:8" ht="15" customHeight="1" x14ac:dyDescent="0.25">
      <c r="A33" s="23"/>
      <c r="D33" s="28" t="s">
        <v>204</v>
      </c>
      <c r="E33" s="102"/>
      <c r="F33" s="100"/>
      <c r="G33" s="16">
        <v>0</v>
      </c>
      <c r="H33" s="51"/>
    </row>
    <row r="34" spans="1:8" ht="15" customHeight="1" x14ac:dyDescent="0.25">
      <c r="A34" s="40" t="s">
        <v>72</v>
      </c>
      <c r="B34" s="3" t="s">
        <v>101</v>
      </c>
      <c r="C34" s="66" t="s">
        <v>108</v>
      </c>
      <c r="D34" s="77" t="s">
        <v>109</v>
      </c>
      <c r="E34" s="77"/>
      <c r="F34" s="3" t="s">
        <v>68</v>
      </c>
      <c r="G34" s="38">
        <v>1704.0000000000002</v>
      </c>
      <c r="H34" s="19">
        <v>0</v>
      </c>
    </row>
    <row r="35" spans="1:8" ht="15" customHeight="1" x14ac:dyDescent="0.25">
      <c r="A35" s="23"/>
      <c r="D35" s="28" t="s">
        <v>204</v>
      </c>
      <c r="E35" s="102" t="s">
        <v>209</v>
      </c>
      <c r="F35" s="100"/>
      <c r="G35" s="16">
        <v>0</v>
      </c>
      <c r="H35" s="51"/>
    </row>
    <row r="36" spans="1:8" ht="15" customHeight="1" x14ac:dyDescent="0.25">
      <c r="A36" s="43" t="s">
        <v>53</v>
      </c>
      <c r="B36" s="53" t="s">
        <v>110</v>
      </c>
      <c r="C36" s="53" t="s">
        <v>53</v>
      </c>
      <c r="D36" s="78" t="s">
        <v>111</v>
      </c>
      <c r="E36" s="78"/>
      <c r="F36" s="53" t="s">
        <v>53</v>
      </c>
      <c r="G36" s="42" t="s">
        <v>53</v>
      </c>
      <c r="H36" s="34" t="s">
        <v>53</v>
      </c>
    </row>
    <row r="37" spans="1:8" ht="15" customHeight="1" x14ac:dyDescent="0.25">
      <c r="A37" s="40" t="s">
        <v>112</v>
      </c>
      <c r="B37" s="3" t="s">
        <v>110</v>
      </c>
      <c r="C37" s="3" t="s">
        <v>66</v>
      </c>
      <c r="D37" s="77" t="s">
        <v>113</v>
      </c>
      <c r="E37" s="77"/>
      <c r="F37" s="3" t="s">
        <v>68</v>
      </c>
      <c r="G37" s="38">
        <v>5</v>
      </c>
      <c r="H37" s="19">
        <v>0</v>
      </c>
    </row>
    <row r="38" spans="1:8" ht="15" customHeight="1" x14ac:dyDescent="0.25">
      <c r="A38" s="23"/>
      <c r="D38" s="28" t="s">
        <v>53</v>
      </c>
      <c r="E38" s="100" t="s">
        <v>210</v>
      </c>
      <c r="F38" s="100"/>
      <c r="G38" s="16">
        <v>0</v>
      </c>
      <c r="H38" s="51"/>
    </row>
    <row r="39" spans="1:8" ht="15" customHeight="1" x14ac:dyDescent="0.25">
      <c r="A39" s="40" t="s">
        <v>116</v>
      </c>
      <c r="B39" s="3" t="s">
        <v>110</v>
      </c>
      <c r="C39" s="3" t="s">
        <v>70</v>
      </c>
      <c r="D39" s="77" t="s">
        <v>71</v>
      </c>
      <c r="E39" s="77"/>
      <c r="F39" s="3" t="s">
        <v>68</v>
      </c>
      <c r="G39" s="38">
        <v>5</v>
      </c>
      <c r="H39" s="19">
        <v>0</v>
      </c>
    </row>
    <row r="40" spans="1:8" ht="15" customHeight="1" x14ac:dyDescent="0.25">
      <c r="A40" s="23"/>
      <c r="D40" s="28" t="s">
        <v>53</v>
      </c>
      <c r="E40" s="100" t="s">
        <v>210</v>
      </c>
      <c r="F40" s="100"/>
      <c r="G40" s="16">
        <v>0</v>
      </c>
      <c r="H40" s="51"/>
    </row>
    <row r="41" spans="1:8" ht="15" customHeight="1" x14ac:dyDescent="0.25">
      <c r="A41" s="40" t="s">
        <v>119</v>
      </c>
      <c r="B41" s="3" t="s">
        <v>110</v>
      </c>
      <c r="C41" s="3" t="s">
        <v>120</v>
      </c>
      <c r="D41" s="77" t="s">
        <v>121</v>
      </c>
      <c r="E41" s="77"/>
      <c r="F41" s="3" t="s">
        <v>68</v>
      </c>
      <c r="G41" s="38">
        <v>36.830000000000005</v>
      </c>
      <c r="H41" s="19">
        <v>0</v>
      </c>
    </row>
    <row r="42" spans="1:8" ht="15" customHeight="1" x14ac:dyDescent="0.25">
      <c r="A42" s="23"/>
      <c r="D42" s="28" t="s">
        <v>211</v>
      </c>
      <c r="E42" s="100" t="s">
        <v>53</v>
      </c>
      <c r="F42" s="100"/>
      <c r="G42" s="16">
        <v>0</v>
      </c>
      <c r="H42" s="51"/>
    </row>
    <row r="43" spans="1:8" ht="15" customHeight="1" x14ac:dyDescent="0.25">
      <c r="A43" s="40" t="s">
        <v>126</v>
      </c>
      <c r="B43" s="3" t="s">
        <v>110</v>
      </c>
      <c r="C43" s="66" t="s">
        <v>127</v>
      </c>
      <c r="D43" s="77" t="s">
        <v>128</v>
      </c>
      <c r="E43" s="77"/>
      <c r="F43" s="3" t="s">
        <v>105</v>
      </c>
      <c r="G43" s="38">
        <v>4</v>
      </c>
      <c r="H43" s="19">
        <v>0</v>
      </c>
    </row>
    <row r="44" spans="1:8" ht="15" customHeight="1" x14ac:dyDescent="0.25">
      <c r="A44" s="23"/>
      <c r="D44" s="28" t="s">
        <v>212</v>
      </c>
      <c r="E44" s="100" t="s">
        <v>53</v>
      </c>
      <c r="F44" s="100"/>
      <c r="G44" s="16">
        <v>0</v>
      </c>
      <c r="H44" s="51"/>
    </row>
    <row r="45" spans="1:8" ht="15" customHeight="1" x14ac:dyDescent="0.25">
      <c r="A45" s="40" t="s">
        <v>130</v>
      </c>
      <c r="B45" s="3" t="s">
        <v>110</v>
      </c>
      <c r="C45" s="66" t="s">
        <v>131</v>
      </c>
      <c r="D45" s="77" t="s">
        <v>132</v>
      </c>
      <c r="E45" s="77"/>
      <c r="F45" s="3" t="s">
        <v>77</v>
      </c>
      <c r="G45" s="38">
        <v>5</v>
      </c>
      <c r="H45" s="19">
        <v>0</v>
      </c>
    </row>
    <row r="46" spans="1:8" ht="15" customHeight="1" x14ac:dyDescent="0.25">
      <c r="A46" s="23"/>
      <c r="D46" s="28" t="s">
        <v>204</v>
      </c>
      <c r="E46" s="100" t="s">
        <v>53</v>
      </c>
      <c r="F46" s="100"/>
      <c r="G46" s="16">
        <v>0</v>
      </c>
      <c r="H46" s="51"/>
    </row>
    <row r="47" spans="1:8" ht="15" customHeight="1" x14ac:dyDescent="0.25">
      <c r="A47" s="40" t="s">
        <v>83</v>
      </c>
      <c r="B47" s="3" t="s">
        <v>110</v>
      </c>
      <c r="C47" s="3" t="s">
        <v>133</v>
      </c>
      <c r="D47" s="77" t="s">
        <v>134</v>
      </c>
      <c r="E47" s="77"/>
      <c r="F47" s="3" t="s">
        <v>135</v>
      </c>
      <c r="G47" s="38">
        <v>5</v>
      </c>
      <c r="H47" s="19">
        <v>0</v>
      </c>
    </row>
    <row r="48" spans="1:8" ht="15" customHeight="1" x14ac:dyDescent="0.25">
      <c r="A48" s="23"/>
      <c r="D48" s="28" t="s">
        <v>204</v>
      </c>
      <c r="E48" s="100" t="s">
        <v>53</v>
      </c>
      <c r="F48" s="100"/>
      <c r="G48" s="16">
        <v>0</v>
      </c>
      <c r="H48" s="51"/>
    </row>
    <row r="49" spans="1:8" ht="15" customHeight="1" x14ac:dyDescent="0.25">
      <c r="A49" s="40" t="s">
        <v>136</v>
      </c>
      <c r="B49" s="3" t="s">
        <v>110</v>
      </c>
      <c r="C49" s="3" t="s">
        <v>137</v>
      </c>
      <c r="D49" s="77" t="s">
        <v>138</v>
      </c>
      <c r="E49" s="77"/>
      <c r="F49" s="3" t="s">
        <v>68</v>
      </c>
      <c r="G49" s="38">
        <v>20</v>
      </c>
      <c r="H49" s="19">
        <v>0</v>
      </c>
    </row>
    <row r="50" spans="1:8" ht="15" customHeight="1" x14ac:dyDescent="0.25">
      <c r="A50" s="23"/>
      <c r="D50" s="28" t="s">
        <v>204</v>
      </c>
      <c r="E50" s="100" t="s">
        <v>53</v>
      </c>
      <c r="F50" s="100"/>
      <c r="G50" s="16">
        <v>0</v>
      </c>
      <c r="H50" s="51"/>
    </row>
    <row r="51" spans="1:8" ht="15" customHeight="1" x14ac:dyDescent="0.25">
      <c r="A51" s="40" t="s">
        <v>139</v>
      </c>
      <c r="B51" s="3" t="s">
        <v>110</v>
      </c>
      <c r="C51" s="3" t="s">
        <v>140</v>
      </c>
      <c r="D51" s="77" t="s">
        <v>141</v>
      </c>
      <c r="E51" s="77"/>
      <c r="F51" s="3" t="s">
        <v>135</v>
      </c>
      <c r="G51" s="38">
        <v>5</v>
      </c>
      <c r="H51" s="19">
        <v>0</v>
      </c>
    </row>
    <row r="52" spans="1:8" ht="15" customHeight="1" x14ac:dyDescent="0.25">
      <c r="A52" s="23"/>
      <c r="D52" s="28" t="s">
        <v>202</v>
      </c>
      <c r="E52" s="100" t="s">
        <v>53</v>
      </c>
      <c r="F52" s="100"/>
      <c r="G52" s="16">
        <v>0</v>
      </c>
      <c r="H52" s="51"/>
    </row>
    <row r="53" spans="1:8" ht="15" customHeight="1" x14ac:dyDescent="0.25">
      <c r="A53" s="40" t="s">
        <v>117</v>
      </c>
      <c r="B53" s="3" t="s">
        <v>110</v>
      </c>
      <c r="C53" s="3" t="s">
        <v>144</v>
      </c>
      <c r="D53" s="77" t="s">
        <v>145</v>
      </c>
      <c r="E53" s="77"/>
      <c r="F53" s="3" t="s">
        <v>146</v>
      </c>
      <c r="G53" s="38">
        <v>30.059500000000003</v>
      </c>
      <c r="H53" s="19">
        <v>0</v>
      </c>
    </row>
    <row r="54" spans="1:8" ht="15" customHeight="1" x14ac:dyDescent="0.25">
      <c r="A54" s="40" t="s">
        <v>151</v>
      </c>
      <c r="B54" s="3" t="s">
        <v>110</v>
      </c>
      <c r="C54" s="3" t="s">
        <v>152</v>
      </c>
      <c r="D54" s="77" t="s">
        <v>153</v>
      </c>
      <c r="E54" s="77"/>
      <c r="F54" s="3" t="s">
        <v>77</v>
      </c>
      <c r="G54" s="38">
        <v>8</v>
      </c>
      <c r="H54" s="19">
        <v>0</v>
      </c>
    </row>
    <row r="55" spans="1:8" ht="15" customHeight="1" x14ac:dyDescent="0.25">
      <c r="A55" s="23"/>
      <c r="D55" s="28" t="s">
        <v>213</v>
      </c>
      <c r="E55" s="100" t="s">
        <v>53</v>
      </c>
      <c r="F55" s="100"/>
      <c r="G55" s="16">
        <v>0</v>
      </c>
      <c r="H55" s="51"/>
    </row>
    <row r="56" spans="1:8" ht="15" customHeight="1" x14ac:dyDescent="0.25">
      <c r="A56" s="40" t="s">
        <v>156</v>
      </c>
      <c r="B56" s="3" t="s">
        <v>110</v>
      </c>
      <c r="C56" s="3" t="s">
        <v>157</v>
      </c>
      <c r="D56" s="77" t="s">
        <v>158</v>
      </c>
      <c r="E56" s="77"/>
      <c r="F56" s="3" t="s">
        <v>68</v>
      </c>
      <c r="G56" s="38">
        <v>20</v>
      </c>
      <c r="H56" s="19">
        <v>0</v>
      </c>
    </row>
    <row r="57" spans="1:8" ht="15" customHeight="1" x14ac:dyDescent="0.25">
      <c r="A57" s="23"/>
      <c r="D57" s="28" t="s">
        <v>214</v>
      </c>
      <c r="E57" s="100" t="s">
        <v>53</v>
      </c>
      <c r="F57" s="100"/>
      <c r="G57" s="16">
        <v>0</v>
      </c>
      <c r="H57" s="51"/>
    </row>
    <row r="58" spans="1:8" ht="15" customHeight="1" x14ac:dyDescent="0.25">
      <c r="A58" s="40" t="s">
        <v>159</v>
      </c>
      <c r="B58" s="3" t="s">
        <v>110</v>
      </c>
      <c r="C58" s="3" t="s">
        <v>160</v>
      </c>
      <c r="D58" s="77" t="s">
        <v>161</v>
      </c>
      <c r="E58" s="77"/>
      <c r="F58" s="3" t="s">
        <v>68</v>
      </c>
      <c r="G58" s="38">
        <v>8.2000000000000011</v>
      </c>
      <c r="H58" s="19">
        <v>0</v>
      </c>
    </row>
    <row r="59" spans="1:8" ht="15" customHeight="1" x14ac:dyDescent="0.25">
      <c r="A59" s="23"/>
      <c r="D59" s="28" t="s">
        <v>215</v>
      </c>
      <c r="E59" s="100" t="s">
        <v>53</v>
      </c>
      <c r="F59" s="100"/>
      <c r="G59" s="16">
        <v>0</v>
      </c>
      <c r="H59" s="51"/>
    </row>
    <row r="60" spans="1:8" ht="15" customHeight="1" x14ac:dyDescent="0.25">
      <c r="A60" s="40" t="s">
        <v>164</v>
      </c>
      <c r="B60" s="3" t="s">
        <v>110</v>
      </c>
      <c r="C60" s="3" t="s">
        <v>165</v>
      </c>
      <c r="D60" s="77" t="s">
        <v>166</v>
      </c>
      <c r="E60" s="77"/>
      <c r="F60" s="3" t="s">
        <v>167</v>
      </c>
      <c r="G60" s="38">
        <v>1</v>
      </c>
      <c r="H60" s="19">
        <v>0</v>
      </c>
    </row>
    <row r="61" spans="1:8" ht="15" customHeight="1" x14ac:dyDescent="0.25">
      <c r="A61" s="23"/>
      <c r="D61" s="28" t="s">
        <v>216</v>
      </c>
      <c r="E61" s="100" t="s">
        <v>53</v>
      </c>
      <c r="F61" s="100"/>
      <c r="G61" s="16">
        <v>0</v>
      </c>
      <c r="H61" s="51"/>
    </row>
    <row r="62" spans="1:8" ht="15" customHeight="1" x14ac:dyDescent="0.25">
      <c r="A62" s="40" t="s">
        <v>170</v>
      </c>
      <c r="B62" s="3" t="s">
        <v>110</v>
      </c>
      <c r="C62" s="66" t="s">
        <v>171</v>
      </c>
      <c r="D62" s="77" t="s">
        <v>217</v>
      </c>
      <c r="E62" s="77"/>
      <c r="F62" s="3" t="s">
        <v>167</v>
      </c>
      <c r="G62" s="38">
        <v>1</v>
      </c>
      <c r="H62" s="19">
        <v>0</v>
      </c>
    </row>
    <row r="63" spans="1:8" ht="15" customHeight="1" x14ac:dyDescent="0.25">
      <c r="A63" s="23"/>
      <c r="D63" s="28" t="s">
        <v>216</v>
      </c>
      <c r="E63" s="100" t="s">
        <v>53</v>
      </c>
      <c r="F63" s="100"/>
      <c r="G63" s="16">
        <v>0</v>
      </c>
      <c r="H63" s="51"/>
    </row>
    <row r="64" spans="1:8" ht="15" customHeight="1" x14ac:dyDescent="0.25">
      <c r="A64" s="40" t="s">
        <v>175</v>
      </c>
      <c r="B64" s="3" t="s">
        <v>110</v>
      </c>
      <c r="C64" s="66" t="s">
        <v>176</v>
      </c>
      <c r="D64" s="77" t="s">
        <v>177</v>
      </c>
      <c r="E64" s="77"/>
      <c r="F64" s="3" t="s">
        <v>105</v>
      </c>
      <c r="G64" s="38">
        <v>12.000000000000002</v>
      </c>
      <c r="H64" s="19">
        <v>0</v>
      </c>
    </row>
    <row r="65" spans="1:8" ht="15" customHeight="1" x14ac:dyDescent="0.25">
      <c r="A65" s="23"/>
      <c r="D65" s="28" t="s">
        <v>218</v>
      </c>
      <c r="E65" s="100" t="s">
        <v>53</v>
      </c>
      <c r="F65" s="100"/>
      <c r="G65" s="16">
        <v>0</v>
      </c>
      <c r="H65" s="51"/>
    </row>
    <row r="66" spans="1:8" ht="15" customHeight="1" x14ac:dyDescent="0.25">
      <c r="A66" s="40" t="s">
        <v>124</v>
      </c>
      <c r="B66" s="3" t="s">
        <v>110</v>
      </c>
      <c r="C66" s="3" t="s">
        <v>180</v>
      </c>
      <c r="D66" s="77" t="s">
        <v>181</v>
      </c>
      <c r="E66" s="77"/>
      <c r="F66" s="3" t="s">
        <v>68</v>
      </c>
      <c r="G66" s="38">
        <v>8.2000000000000011</v>
      </c>
      <c r="H66" s="19">
        <v>0</v>
      </c>
    </row>
    <row r="67" spans="1:8" ht="15" customHeight="1" x14ac:dyDescent="0.25">
      <c r="A67" s="23"/>
      <c r="D67" s="28" t="s">
        <v>219</v>
      </c>
      <c r="E67" s="100" t="s">
        <v>53</v>
      </c>
      <c r="F67" s="100"/>
      <c r="G67" s="16">
        <v>0</v>
      </c>
      <c r="H67" s="51"/>
    </row>
    <row r="68" spans="1:8" ht="15" customHeight="1" x14ac:dyDescent="0.25">
      <c r="A68" s="40" t="s">
        <v>182</v>
      </c>
      <c r="B68" s="3" t="s">
        <v>110</v>
      </c>
      <c r="C68" s="3" t="s">
        <v>183</v>
      </c>
      <c r="D68" s="77" t="s">
        <v>184</v>
      </c>
      <c r="E68" s="77"/>
      <c r="F68" s="3" t="s">
        <v>135</v>
      </c>
      <c r="G68" s="38">
        <v>2.5</v>
      </c>
      <c r="H68" s="19">
        <v>0</v>
      </c>
    </row>
    <row r="69" spans="1:8" ht="15" customHeight="1" x14ac:dyDescent="0.25">
      <c r="A69" s="23"/>
      <c r="D69" s="28" t="s">
        <v>220</v>
      </c>
      <c r="E69" s="100" t="s">
        <v>53</v>
      </c>
      <c r="F69" s="100"/>
      <c r="G69" s="16">
        <v>0</v>
      </c>
      <c r="H69" s="51"/>
    </row>
    <row r="70" spans="1:8" ht="15" customHeight="1" x14ac:dyDescent="0.25">
      <c r="A70" s="40" t="s">
        <v>185</v>
      </c>
      <c r="B70" s="3" t="s">
        <v>110</v>
      </c>
      <c r="C70" s="3" t="s">
        <v>186</v>
      </c>
      <c r="D70" s="77" t="s">
        <v>187</v>
      </c>
      <c r="E70" s="77"/>
      <c r="F70" s="3" t="s">
        <v>188</v>
      </c>
      <c r="G70" s="38">
        <v>40</v>
      </c>
      <c r="H70" s="19">
        <v>0</v>
      </c>
    </row>
    <row r="71" spans="1:8" ht="15" customHeight="1" x14ac:dyDescent="0.25">
      <c r="A71" s="23"/>
      <c r="D71" s="28" t="s">
        <v>221</v>
      </c>
      <c r="E71" s="100" t="s">
        <v>53</v>
      </c>
      <c r="F71" s="100"/>
      <c r="G71" s="16">
        <v>0</v>
      </c>
      <c r="H71" s="51"/>
    </row>
    <row r="72" spans="1:8" ht="15" customHeight="1" x14ac:dyDescent="0.25">
      <c r="A72" s="40" t="s">
        <v>191</v>
      </c>
      <c r="B72" s="3" t="s">
        <v>110</v>
      </c>
      <c r="C72" s="66" t="s">
        <v>192</v>
      </c>
      <c r="D72" s="77" t="s">
        <v>193</v>
      </c>
      <c r="E72" s="77"/>
      <c r="F72" s="3" t="s">
        <v>146</v>
      </c>
      <c r="G72" s="38">
        <v>20</v>
      </c>
      <c r="H72" s="19">
        <v>0</v>
      </c>
    </row>
    <row r="73" spans="1:8" ht="15" customHeight="1" x14ac:dyDescent="0.25">
      <c r="A73" s="26"/>
      <c r="B73" s="61"/>
      <c r="C73" s="61"/>
      <c r="D73" s="37" t="s">
        <v>202</v>
      </c>
      <c r="E73" s="101" t="s">
        <v>53</v>
      </c>
      <c r="F73" s="101"/>
      <c r="G73" s="15">
        <v>0</v>
      </c>
      <c r="H73" s="10"/>
    </row>
    <row r="75" spans="1:8" ht="15" customHeight="1" x14ac:dyDescent="0.25">
      <c r="A75" s="48" t="s">
        <v>196</v>
      </c>
    </row>
    <row r="76" spans="1:8" ht="12.75" customHeight="1" x14ac:dyDescent="0.25">
      <c r="A76" s="76" t="s">
        <v>53</v>
      </c>
      <c r="B76" s="77"/>
      <c r="C76" s="77"/>
      <c r="D76" s="77"/>
      <c r="E76" s="77"/>
      <c r="F76" s="77"/>
      <c r="G76" s="77"/>
    </row>
  </sheetData>
  <sheetProtection algorithmName="SHA-512" hashValue="bQQ9lLkMuvjgJAFsBoJQw37iWxKFZv/mDJxhGx9eglvl+2F7HkDg6WDVVhvLeZ8omO1q7IXDKZBky5EO9AY9OA==" saltValue="px0U3w+brmoqIP47F3ro1Q==" spinCount="100000" sheet="1" objects="1" scenarios="1"/>
  <mergeCells count="82"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  <mergeCell ref="F8:H9"/>
    <mergeCell ref="D21:E21"/>
    <mergeCell ref="D10:E10"/>
    <mergeCell ref="D11:E11"/>
    <mergeCell ref="D12:E12"/>
    <mergeCell ref="D13:E13"/>
    <mergeCell ref="E14:F14"/>
    <mergeCell ref="D15:E15"/>
    <mergeCell ref="E16:F16"/>
    <mergeCell ref="D17:E17"/>
    <mergeCell ref="E18:F18"/>
    <mergeCell ref="D19:E19"/>
    <mergeCell ref="E20:F20"/>
    <mergeCell ref="E33:F33"/>
    <mergeCell ref="E22:F22"/>
    <mergeCell ref="D23:E23"/>
    <mergeCell ref="E24:F24"/>
    <mergeCell ref="D25:E25"/>
    <mergeCell ref="E26:F26"/>
    <mergeCell ref="D27:E27"/>
    <mergeCell ref="E28:F28"/>
    <mergeCell ref="D29:E29"/>
    <mergeCell ref="E30:F30"/>
    <mergeCell ref="D31:E31"/>
    <mergeCell ref="D32:E32"/>
    <mergeCell ref="D45:E45"/>
    <mergeCell ref="D34:E34"/>
    <mergeCell ref="E35:F35"/>
    <mergeCell ref="D36:E36"/>
    <mergeCell ref="D37:E37"/>
    <mergeCell ref="E38:F38"/>
    <mergeCell ref="D39:E39"/>
    <mergeCell ref="E40:F40"/>
    <mergeCell ref="D41:E41"/>
    <mergeCell ref="E42:F42"/>
    <mergeCell ref="D43:E43"/>
    <mergeCell ref="E44:F44"/>
    <mergeCell ref="E57:F57"/>
    <mergeCell ref="E46:F46"/>
    <mergeCell ref="D47:E47"/>
    <mergeCell ref="E48:F48"/>
    <mergeCell ref="D49:E49"/>
    <mergeCell ref="E50:F50"/>
    <mergeCell ref="D51:E51"/>
    <mergeCell ref="E52:F52"/>
    <mergeCell ref="D53:E53"/>
    <mergeCell ref="D54:E54"/>
    <mergeCell ref="E55:F55"/>
    <mergeCell ref="D56:E56"/>
    <mergeCell ref="E69:F69"/>
    <mergeCell ref="D58:E58"/>
    <mergeCell ref="E59:F59"/>
    <mergeCell ref="D60:E60"/>
    <mergeCell ref="E61:F61"/>
    <mergeCell ref="D62:E62"/>
    <mergeCell ref="E63:F63"/>
    <mergeCell ref="D64:E64"/>
    <mergeCell ref="E65:F65"/>
    <mergeCell ref="D66:E66"/>
    <mergeCell ref="E67:F67"/>
    <mergeCell ref="D68:E68"/>
    <mergeCell ref="D70:E70"/>
    <mergeCell ref="E71:F71"/>
    <mergeCell ref="D72:E72"/>
    <mergeCell ref="E73:F73"/>
    <mergeCell ref="A76:G76"/>
  </mergeCells>
  <pageMargins left="0.39400000000000002" right="0.39400000000000002" top="0.59099999999999997" bottom="0.59099999999999997" header="0" footer="0"/>
  <pageSetup paperSize="8" firstPageNumber="0" fitToHeight="0" orientation="landscape" useFirstPageNumber="1" horizontalDpi="4294967292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I37"/>
  <sheetViews>
    <sheetView showOutlineSymbols="0" workbookViewId="0">
      <selection activeCell="G43" sqref="G43"/>
    </sheetView>
  </sheetViews>
  <sheetFormatPr defaultColWidth="14.1640625" defaultRowHeight="15" customHeight="1" x14ac:dyDescent="0.25"/>
  <cols>
    <col min="1" max="1" width="10.6640625" customWidth="1"/>
    <col min="2" max="2" width="15" customWidth="1"/>
    <col min="3" max="3" width="31.6640625" customWidth="1"/>
    <col min="4" max="4" width="11.6640625" customWidth="1"/>
    <col min="5" max="5" width="16.33203125" customWidth="1"/>
    <col min="6" max="6" width="31.6640625" customWidth="1"/>
    <col min="7" max="7" width="10.6640625" customWidth="1"/>
    <col min="8" max="8" width="15" customWidth="1"/>
    <col min="9" max="9" width="31.6640625" customWidth="1"/>
  </cols>
  <sheetData>
    <row r="1" spans="1:9" ht="54.75" customHeight="1" x14ac:dyDescent="0.25">
      <c r="A1" s="135" t="s">
        <v>222</v>
      </c>
      <c r="B1" s="96"/>
      <c r="C1" s="96"/>
      <c r="D1" s="96"/>
      <c r="E1" s="96"/>
      <c r="F1" s="96"/>
      <c r="G1" s="96"/>
      <c r="H1" s="96"/>
      <c r="I1" s="96"/>
    </row>
    <row r="2" spans="1:9" ht="15" customHeight="1" x14ac:dyDescent="0.25">
      <c r="A2" s="97" t="s">
        <v>1</v>
      </c>
      <c r="B2" s="87"/>
      <c r="C2" s="92" t="str">
        <f>'Stavební rozpočet'!D2</f>
        <v>VN Šlapanice - odstranění sedimentů</v>
      </c>
      <c r="D2" s="93"/>
      <c r="E2" s="86" t="s">
        <v>4</v>
      </c>
      <c r="F2" s="86" t="str">
        <f>'Stavební rozpočet'!J2</f>
        <v>Povodí Vltavy, státní podnik</v>
      </c>
      <c r="G2" s="87"/>
      <c r="H2" s="86" t="s">
        <v>223</v>
      </c>
      <c r="I2" s="88" t="s">
        <v>224</v>
      </c>
    </row>
    <row r="3" spans="1:9" ht="15" customHeight="1" x14ac:dyDescent="0.25">
      <c r="A3" s="98"/>
      <c r="B3" s="77"/>
      <c r="C3" s="75"/>
      <c r="D3" s="75"/>
      <c r="E3" s="77"/>
      <c r="F3" s="77"/>
      <c r="G3" s="77"/>
      <c r="H3" s="77"/>
      <c r="I3" s="89"/>
    </row>
    <row r="4" spans="1:9" ht="15" customHeight="1" x14ac:dyDescent="0.25">
      <c r="A4" s="99" t="s">
        <v>6</v>
      </c>
      <c r="B4" s="77"/>
      <c r="C4" s="76" t="str">
        <f>'Stavební rozpočet'!D4</f>
        <v>pročištění, oprava</v>
      </c>
      <c r="D4" s="77"/>
      <c r="E4" s="76" t="s">
        <v>9</v>
      </c>
      <c r="F4" s="76" t="str">
        <f>'Stavební rozpočet'!J4</f>
        <v>Ing. Zdeněk Viták</v>
      </c>
      <c r="G4" s="77"/>
      <c r="H4" s="76" t="s">
        <v>223</v>
      </c>
      <c r="I4" s="89" t="s">
        <v>225</v>
      </c>
    </row>
    <row r="5" spans="1:9" ht="15" customHeight="1" x14ac:dyDescent="0.25">
      <c r="A5" s="98"/>
      <c r="B5" s="77"/>
      <c r="C5" s="77"/>
      <c r="D5" s="77"/>
      <c r="E5" s="77"/>
      <c r="F5" s="77"/>
      <c r="G5" s="77"/>
      <c r="H5" s="77"/>
      <c r="I5" s="89"/>
    </row>
    <row r="6" spans="1:9" ht="15" customHeight="1" x14ac:dyDescent="0.25">
      <c r="A6" s="99" t="s">
        <v>11</v>
      </c>
      <c r="B6" s="77"/>
      <c r="C6" s="76" t="str">
        <f>'Stavební rozpočet'!D6</f>
        <v>k.ú.Šlapanice v Čechách</v>
      </c>
      <c r="D6" s="77"/>
      <c r="E6" s="76" t="s">
        <v>14</v>
      </c>
      <c r="F6" s="158">
        <f>'Stavební rozpočet'!J6</f>
        <v>0</v>
      </c>
      <c r="G6" s="156"/>
      <c r="H6" s="76" t="s">
        <v>223</v>
      </c>
      <c r="I6" s="157" t="s">
        <v>53</v>
      </c>
    </row>
    <row r="7" spans="1:9" ht="15" customHeight="1" x14ac:dyDescent="0.25">
      <c r="A7" s="98"/>
      <c r="B7" s="77"/>
      <c r="C7" s="77"/>
      <c r="D7" s="77"/>
      <c r="E7" s="77"/>
      <c r="F7" s="156"/>
      <c r="G7" s="156"/>
      <c r="H7" s="77"/>
      <c r="I7" s="157"/>
    </row>
    <row r="8" spans="1:9" ht="15" customHeight="1" x14ac:dyDescent="0.25">
      <c r="A8" s="99" t="s">
        <v>8</v>
      </c>
      <c r="B8" s="77"/>
      <c r="C8" s="76"/>
      <c r="D8" s="77"/>
      <c r="E8" s="76" t="s">
        <v>13</v>
      </c>
      <c r="F8" s="76"/>
      <c r="G8" s="77"/>
      <c r="H8" s="77" t="s">
        <v>226</v>
      </c>
      <c r="I8" s="137">
        <v>31</v>
      </c>
    </row>
    <row r="9" spans="1:9" ht="15" customHeight="1" x14ac:dyDescent="0.25">
      <c r="A9" s="98"/>
      <c r="B9" s="77"/>
      <c r="C9" s="77"/>
      <c r="D9" s="77"/>
      <c r="E9" s="77"/>
      <c r="F9" s="77"/>
      <c r="G9" s="77"/>
      <c r="H9" s="77"/>
      <c r="I9" s="89"/>
    </row>
    <row r="10" spans="1:9" ht="15" customHeight="1" x14ac:dyDescent="0.25">
      <c r="A10" s="99" t="s">
        <v>15</v>
      </c>
      <c r="B10" s="77"/>
      <c r="C10" s="76" t="str">
        <f>'Stavební rozpočet'!D8</f>
        <v>833</v>
      </c>
      <c r="D10" s="77"/>
      <c r="E10" s="76" t="s">
        <v>18</v>
      </c>
      <c r="F10" s="76" t="str">
        <f>'Stavební rozpočet'!J8</f>
        <v>Ing. Viták Zdeněk</v>
      </c>
      <c r="G10" s="77"/>
      <c r="H10" s="77" t="s">
        <v>227</v>
      </c>
      <c r="I10" s="138">
        <v>45033</v>
      </c>
    </row>
    <row r="11" spans="1:9" ht="15" customHeight="1" x14ac:dyDescent="0.25">
      <c r="A11" s="136"/>
      <c r="B11" s="74"/>
      <c r="C11" s="74"/>
      <c r="D11" s="74"/>
      <c r="E11" s="74"/>
      <c r="F11" s="74"/>
      <c r="G11" s="74"/>
      <c r="H11" s="74"/>
      <c r="I11" s="139"/>
    </row>
    <row r="12" spans="1:9" ht="22.5" customHeight="1" x14ac:dyDescent="0.25">
      <c r="A12" s="134" t="s">
        <v>228</v>
      </c>
      <c r="B12" s="134"/>
      <c r="C12" s="134"/>
      <c r="D12" s="134"/>
      <c r="E12" s="134"/>
      <c r="F12" s="134"/>
      <c r="G12" s="134"/>
      <c r="H12" s="134"/>
      <c r="I12" s="134"/>
    </row>
    <row r="13" spans="1:9" ht="26.25" customHeight="1" x14ac:dyDescent="0.25">
      <c r="A13" s="20" t="s">
        <v>229</v>
      </c>
      <c r="B13" s="129" t="s">
        <v>230</v>
      </c>
      <c r="C13" s="130"/>
      <c r="D13" s="13" t="s">
        <v>231</v>
      </c>
      <c r="E13" s="129" t="s">
        <v>232</v>
      </c>
      <c r="F13" s="130"/>
      <c r="G13" s="13" t="s">
        <v>233</v>
      </c>
      <c r="H13" s="129" t="s">
        <v>234</v>
      </c>
      <c r="I13" s="130"/>
    </row>
    <row r="14" spans="1:9" ht="15" customHeight="1" x14ac:dyDescent="0.25">
      <c r="A14" s="12" t="s">
        <v>235</v>
      </c>
      <c r="B14" s="57" t="s">
        <v>236</v>
      </c>
      <c r="C14" s="55">
        <f>SUM('Stavební rozpočet'!AB12:AB57)</f>
        <v>0</v>
      </c>
      <c r="D14" s="121"/>
      <c r="E14" s="122"/>
      <c r="F14" s="55"/>
      <c r="G14" s="121" t="s">
        <v>237</v>
      </c>
      <c r="H14" s="122"/>
      <c r="I14" s="55">
        <f>VORN!I21</f>
        <v>0</v>
      </c>
    </row>
    <row r="15" spans="1:9" ht="15" customHeight="1" x14ac:dyDescent="0.25">
      <c r="A15" s="63" t="s">
        <v>53</v>
      </c>
      <c r="B15" s="57" t="s">
        <v>36</v>
      </c>
      <c r="C15" s="55">
        <f>SUM('Stavební rozpočet'!AC12:AC57)</f>
        <v>1261030</v>
      </c>
      <c r="D15" s="121"/>
      <c r="E15" s="122"/>
      <c r="F15" s="55"/>
      <c r="G15" s="121"/>
      <c r="H15" s="122"/>
      <c r="I15" s="55"/>
    </row>
    <row r="16" spans="1:9" ht="15" customHeight="1" x14ac:dyDescent="0.25">
      <c r="A16" s="12" t="s">
        <v>238</v>
      </c>
      <c r="B16" s="57" t="s">
        <v>236</v>
      </c>
      <c r="C16" s="55">
        <f>SUM('Stavební rozpočet'!AD12:AD57)</f>
        <v>0</v>
      </c>
      <c r="D16" s="121"/>
      <c r="E16" s="122"/>
      <c r="F16" s="55"/>
      <c r="G16" s="121"/>
      <c r="H16" s="122"/>
      <c r="I16" s="55"/>
    </row>
    <row r="17" spans="1:9" ht="15" customHeight="1" x14ac:dyDescent="0.25">
      <c r="A17" s="63" t="s">
        <v>53</v>
      </c>
      <c r="B17" s="57" t="s">
        <v>36</v>
      </c>
      <c r="C17" s="55">
        <f>SUM('Stavební rozpočet'!AE12:AE57)</f>
        <v>0</v>
      </c>
      <c r="D17" s="121"/>
      <c r="E17" s="122"/>
      <c r="F17" s="6"/>
      <c r="G17" s="121"/>
      <c r="H17" s="122"/>
      <c r="I17" s="55"/>
    </row>
    <row r="18" spans="1:9" ht="15" customHeight="1" x14ac:dyDescent="0.25">
      <c r="A18" s="12" t="s">
        <v>239</v>
      </c>
      <c r="B18" s="57" t="s">
        <v>236</v>
      </c>
      <c r="C18" s="55">
        <f>SUM('Stavební rozpočet'!AF12:AF57)</f>
        <v>0</v>
      </c>
      <c r="D18" s="121"/>
      <c r="E18" s="122"/>
      <c r="F18" s="6"/>
      <c r="G18" s="121"/>
      <c r="H18" s="122"/>
      <c r="I18" s="55"/>
    </row>
    <row r="19" spans="1:9" ht="15" customHeight="1" x14ac:dyDescent="0.25">
      <c r="A19" s="63" t="s">
        <v>53</v>
      </c>
      <c r="B19" s="57" t="s">
        <v>36</v>
      </c>
      <c r="C19" s="55">
        <f>SUM('Stavební rozpočet'!AG12:AG57)</f>
        <v>0</v>
      </c>
      <c r="D19" s="121"/>
      <c r="E19" s="122"/>
      <c r="F19" s="6"/>
      <c r="G19" s="121"/>
      <c r="H19" s="122"/>
      <c r="I19" s="55"/>
    </row>
    <row r="20" spans="1:9" ht="15" customHeight="1" x14ac:dyDescent="0.25">
      <c r="A20" s="128" t="s">
        <v>240</v>
      </c>
      <c r="B20" s="127"/>
      <c r="C20" s="55">
        <f>SUM('Stavební rozpočet'!AH12:AH57)</f>
        <v>0</v>
      </c>
      <c r="D20" s="121"/>
      <c r="E20" s="122"/>
      <c r="F20" s="6"/>
      <c r="G20" s="121" t="s">
        <v>53</v>
      </c>
      <c r="H20" s="122"/>
      <c r="I20" s="6" t="s">
        <v>53</v>
      </c>
    </row>
    <row r="21" spans="1:9" ht="15" customHeight="1" x14ac:dyDescent="0.25">
      <c r="A21" s="131" t="s">
        <v>241</v>
      </c>
      <c r="B21" s="132"/>
      <c r="C21" s="65">
        <f>SUM('Stavební rozpočet'!Z12:Z57)</f>
        <v>0</v>
      </c>
      <c r="D21" s="110"/>
      <c r="E21" s="123"/>
      <c r="F21" s="36"/>
      <c r="G21" s="110" t="s">
        <v>53</v>
      </c>
      <c r="H21" s="123"/>
      <c r="I21" s="36" t="s">
        <v>53</v>
      </c>
    </row>
    <row r="22" spans="1:9" ht="16.5" customHeight="1" x14ac:dyDescent="0.25">
      <c r="A22" s="133" t="s">
        <v>242</v>
      </c>
      <c r="B22" s="125"/>
      <c r="C22" s="44">
        <f>SUM(C14:C21)</f>
        <v>1261030</v>
      </c>
      <c r="D22" s="124"/>
      <c r="E22" s="125"/>
      <c r="F22" s="44"/>
      <c r="G22" s="124" t="s">
        <v>243</v>
      </c>
      <c r="H22" s="125"/>
      <c r="I22" s="44">
        <f>SUM(I14:I21)</f>
        <v>0</v>
      </c>
    </row>
    <row r="23" spans="1:9" ht="15" customHeight="1" x14ac:dyDescent="0.25">
      <c r="D23" s="128"/>
      <c r="E23" s="127"/>
      <c r="F23" s="41"/>
      <c r="G23" s="126" t="s">
        <v>244</v>
      </c>
      <c r="H23" s="127"/>
      <c r="I23" s="55"/>
    </row>
    <row r="24" spans="1:9" ht="15" customHeight="1" x14ac:dyDescent="0.25">
      <c r="G24" s="128" t="s">
        <v>245</v>
      </c>
      <c r="H24" s="127"/>
      <c r="I24" s="55">
        <f>vorn_sum</f>
        <v>0</v>
      </c>
    </row>
    <row r="25" spans="1:9" ht="15" customHeight="1" x14ac:dyDescent="0.25">
      <c r="G25" s="128" t="s">
        <v>246</v>
      </c>
      <c r="H25" s="127"/>
      <c r="I25" s="55">
        <v>0</v>
      </c>
    </row>
    <row r="27" spans="1:9" ht="15" customHeight="1" x14ac:dyDescent="0.25">
      <c r="A27" s="117" t="s">
        <v>247</v>
      </c>
      <c r="B27" s="118"/>
      <c r="C27" s="7">
        <f>SUM('Stavební rozpočet'!AJ12:AJ57)</f>
        <v>0</v>
      </c>
    </row>
    <row r="28" spans="1:9" ht="15" customHeight="1" x14ac:dyDescent="0.25">
      <c r="A28" s="119" t="s">
        <v>248</v>
      </c>
      <c r="B28" s="120"/>
      <c r="C28" s="39">
        <f>SUM('Stavební rozpočet'!AK12:AK57)</f>
        <v>0</v>
      </c>
      <c r="D28" s="118" t="s">
        <v>249</v>
      </c>
      <c r="E28" s="118"/>
      <c r="F28" s="7">
        <f>ROUND(C28*(15/100),2)</f>
        <v>0</v>
      </c>
      <c r="G28" s="118" t="s">
        <v>250</v>
      </c>
      <c r="H28" s="118"/>
      <c r="I28" s="7">
        <f>SUM(C27:C29)</f>
        <v>1261030</v>
      </c>
    </row>
    <row r="29" spans="1:9" ht="15" customHeight="1" x14ac:dyDescent="0.25">
      <c r="A29" s="119" t="s">
        <v>251</v>
      </c>
      <c r="B29" s="120"/>
      <c r="C29" s="39">
        <f>SUM('Stavební rozpočet'!AL12:AL57)+(F22+I22+F23+I23+I24+I25)</f>
        <v>1261030</v>
      </c>
      <c r="D29" s="120" t="s">
        <v>252</v>
      </c>
      <c r="E29" s="120"/>
      <c r="F29" s="39">
        <f>ROUND(C29*(21/100),2)</f>
        <v>264816.3</v>
      </c>
      <c r="G29" s="120" t="s">
        <v>253</v>
      </c>
      <c r="H29" s="120"/>
      <c r="I29" s="39">
        <f>SUM(F28:F29)+I28</f>
        <v>1525846.3</v>
      </c>
    </row>
    <row r="31" spans="1:9" ht="15" customHeight="1" x14ac:dyDescent="0.25">
      <c r="A31" s="106" t="s">
        <v>254</v>
      </c>
      <c r="B31" s="107"/>
      <c r="C31" s="108"/>
      <c r="D31" s="107" t="s">
        <v>255</v>
      </c>
      <c r="E31" s="107"/>
      <c r="F31" s="108"/>
      <c r="G31" s="107" t="s">
        <v>256</v>
      </c>
      <c r="H31" s="107"/>
      <c r="I31" s="108"/>
    </row>
    <row r="32" spans="1:9" ht="15" customHeight="1" x14ac:dyDescent="0.25">
      <c r="A32" s="109" t="s">
        <v>257</v>
      </c>
      <c r="B32" s="110"/>
      <c r="C32" s="111"/>
      <c r="D32" s="116" t="s">
        <v>5</v>
      </c>
      <c r="E32" s="110"/>
      <c r="F32" s="111"/>
      <c r="G32" s="159"/>
      <c r="H32" s="159"/>
      <c r="I32" s="160"/>
    </row>
    <row r="33" spans="1:9" ht="15" customHeight="1" x14ac:dyDescent="0.25">
      <c r="A33" s="112" t="s">
        <v>53</v>
      </c>
      <c r="B33" s="110"/>
      <c r="C33" s="111"/>
      <c r="D33" s="110" t="s">
        <v>53</v>
      </c>
      <c r="E33" s="110"/>
      <c r="F33" s="111"/>
      <c r="G33" s="159"/>
      <c r="H33" s="159"/>
      <c r="I33" s="160"/>
    </row>
    <row r="34" spans="1:9" ht="15" customHeight="1" x14ac:dyDescent="0.25">
      <c r="A34" s="112" t="s">
        <v>53</v>
      </c>
      <c r="B34" s="110"/>
      <c r="C34" s="111"/>
      <c r="D34" s="110" t="s">
        <v>53</v>
      </c>
      <c r="E34" s="110"/>
      <c r="F34" s="111"/>
      <c r="G34" s="159"/>
      <c r="H34" s="159"/>
      <c r="I34" s="160"/>
    </row>
    <row r="35" spans="1:9" ht="15" customHeight="1" x14ac:dyDescent="0.25">
      <c r="A35" s="113" t="s">
        <v>258</v>
      </c>
      <c r="B35" s="114"/>
      <c r="C35" s="115"/>
      <c r="D35" s="114" t="s">
        <v>258</v>
      </c>
      <c r="E35" s="114"/>
      <c r="F35" s="115"/>
      <c r="G35" s="114" t="s">
        <v>258</v>
      </c>
      <c r="H35" s="114"/>
      <c r="I35" s="115"/>
    </row>
    <row r="36" spans="1:9" ht="15" customHeight="1" x14ac:dyDescent="0.25">
      <c r="A36" s="48" t="s">
        <v>196</v>
      </c>
    </row>
    <row r="37" spans="1:9" ht="12.75" customHeight="1" x14ac:dyDescent="0.25">
      <c r="A37" s="76" t="s">
        <v>53</v>
      </c>
      <c r="B37" s="77"/>
      <c r="C37" s="77"/>
      <c r="D37" s="77"/>
      <c r="E37" s="77"/>
      <c r="F37" s="77"/>
      <c r="G37" s="77"/>
      <c r="H37" s="77"/>
      <c r="I37" s="77"/>
    </row>
  </sheetData>
  <sheetProtection algorithmName="SHA-512" hashValue="d7ShBenSmHn94OzYvXyzA2HKlAX55BzOoS8ecz3CRYP6WKgOdcTWiG4YwUI64vjGRsIQguPDO1VyDzAIPRkJkg==" saltValue="PQSckQra4JgjbIQWw+JrAw==" spinCount="100000" sheet="1" objects="1" scenarios="1"/>
  <mergeCells count="83">
    <mergeCell ref="C10:D11"/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I2:I3"/>
    <mergeCell ref="I4:I5"/>
    <mergeCell ref="I6:I7"/>
    <mergeCell ref="I8:I9"/>
    <mergeCell ref="I10:I11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E10:E11"/>
    <mergeCell ref="C2:D3"/>
    <mergeCell ref="C4:D5"/>
    <mergeCell ref="C6:D7"/>
    <mergeCell ref="C8:D9"/>
    <mergeCell ref="D22:E22"/>
    <mergeCell ref="D23:E23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G19:H19"/>
    <mergeCell ref="D18:E18"/>
    <mergeCell ref="D19:E19"/>
    <mergeCell ref="D20:E20"/>
    <mergeCell ref="D21:E21"/>
    <mergeCell ref="G14:H14"/>
    <mergeCell ref="G15:H15"/>
    <mergeCell ref="G16:H16"/>
    <mergeCell ref="G17:H17"/>
    <mergeCell ref="G18:H18"/>
    <mergeCell ref="G28:H28"/>
    <mergeCell ref="G29:H2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A37:I37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</mergeCells>
  <pageMargins left="0.39400000000000002" right="0.39400000000000002" top="0.59099999999999997" bottom="0.59099999999999997" header="0" footer="0"/>
  <pageSetup paperSize="0" firstPageNumber="0" orientation="landscape" useFirstPageNumber="1" horizontalDpi="0" verticalDpi="0" copies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I42"/>
  <sheetViews>
    <sheetView showOutlineSymbols="0" workbookViewId="0">
      <selection activeCell="F21" sqref="F21"/>
    </sheetView>
  </sheetViews>
  <sheetFormatPr defaultColWidth="14.1640625" defaultRowHeight="15" customHeight="1" x14ac:dyDescent="0.25"/>
  <cols>
    <col min="1" max="1" width="10.6640625" customWidth="1"/>
    <col min="2" max="2" width="15" customWidth="1"/>
    <col min="3" max="3" width="26.6640625" customWidth="1"/>
    <col min="4" max="4" width="11.6640625" customWidth="1"/>
    <col min="5" max="5" width="16.33203125" customWidth="1"/>
    <col min="6" max="6" width="26.6640625" customWidth="1"/>
    <col min="7" max="7" width="10.6640625" customWidth="1"/>
    <col min="8" max="8" width="20" customWidth="1"/>
    <col min="9" max="9" width="26.6640625" customWidth="1"/>
  </cols>
  <sheetData>
    <row r="1" spans="1:9" ht="54.75" customHeight="1" x14ac:dyDescent="0.25">
      <c r="A1" s="135" t="s">
        <v>259</v>
      </c>
      <c r="B1" s="96"/>
      <c r="C1" s="96"/>
      <c r="D1" s="96"/>
      <c r="E1" s="96"/>
      <c r="F1" s="96"/>
      <c r="G1" s="96"/>
      <c r="H1" s="96"/>
      <c r="I1" s="96"/>
    </row>
    <row r="2" spans="1:9" ht="15" customHeight="1" x14ac:dyDescent="0.25">
      <c r="A2" s="97" t="s">
        <v>1</v>
      </c>
      <c r="B2" s="87"/>
      <c r="C2" s="92" t="str">
        <f>'Stavební rozpočet'!D2</f>
        <v>VN Šlapanice - odstranění sedimentů</v>
      </c>
      <c r="D2" s="93"/>
      <c r="E2" s="86" t="s">
        <v>4</v>
      </c>
      <c r="F2" s="86" t="str">
        <f>'Stavební rozpočet'!J2</f>
        <v>Povodí Vltavy, státní podnik</v>
      </c>
      <c r="G2" s="87"/>
      <c r="H2" s="86" t="s">
        <v>223</v>
      </c>
      <c r="I2" s="88" t="s">
        <v>224</v>
      </c>
    </row>
    <row r="3" spans="1:9" ht="15" customHeight="1" x14ac:dyDescent="0.25">
      <c r="A3" s="98"/>
      <c r="B3" s="77"/>
      <c r="C3" s="75"/>
      <c r="D3" s="75"/>
      <c r="E3" s="77"/>
      <c r="F3" s="77"/>
      <c r="G3" s="77"/>
      <c r="H3" s="77"/>
      <c r="I3" s="89"/>
    </row>
    <row r="4" spans="1:9" ht="15" customHeight="1" x14ac:dyDescent="0.25">
      <c r="A4" s="99" t="s">
        <v>6</v>
      </c>
      <c r="B4" s="77"/>
      <c r="C4" s="76" t="str">
        <f>'Stavební rozpočet'!D4</f>
        <v>pročištění, oprava</v>
      </c>
      <c r="D4" s="77"/>
      <c r="E4" s="76" t="s">
        <v>9</v>
      </c>
      <c r="F4" s="76" t="str">
        <f>'Stavební rozpočet'!J4</f>
        <v>Ing. Zdeněk Viták</v>
      </c>
      <c r="G4" s="77"/>
      <c r="H4" s="76" t="s">
        <v>223</v>
      </c>
      <c r="I4" s="89" t="s">
        <v>225</v>
      </c>
    </row>
    <row r="5" spans="1:9" ht="15" customHeight="1" x14ac:dyDescent="0.25">
      <c r="A5" s="98"/>
      <c r="B5" s="77"/>
      <c r="C5" s="77"/>
      <c r="D5" s="77"/>
      <c r="E5" s="77"/>
      <c r="F5" s="77"/>
      <c r="G5" s="77"/>
      <c r="H5" s="77"/>
      <c r="I5" s="89"/>
    </row>
    <row r="6" spans="1:9" ht="15" customHeight="1" x14ac:dyDescent="0.25">
      <c r="A6" s="99" t="s">
        <v>11</v>
      </c>
      <c r="B6" s="77"/>
      <c r="C6" s="76" t="str">
        <f>'Stavební rozpočet'!D6</f>
        <v>k.ú.Šlapanice v Čechách</v>
      </c>
      <c r="D6" s="77"/>
      <c r="E6" s="76" t="s">
        <v>14</v>
      </c>
      <c r="F6" s="158">
        <f>'Stavební rozpočet'!J6</f>
        <v>0</v>
      </c>
      <c r="G6" s="156"/>
      <c r="H6" s="76" t="s">
        <v>223</v>
      </c>
      <c r="I6" s="157" t="s">
        <v>53</v>
      </c>
    </row>
    <row r="7" spans="1:9" ht="15" customHeight="1" x14ac:dyDescent="0.25">
      <c r="A7" s="98"/>
      <c r="B7" s="77"/>
      <c r="C7" s="77"/>
      <c r="D7" s="77"/>
      <c r="E7" s="77"/>
      <c r="F7" s="156"/>
      <c r="G7" s="156"/>
      <c r="H7" s="77"/>
      <c r="I7" s="157"/>
    </row>
    <row r="8" spans="1:9" ht="15" customHeight="1" x14ac:dyDescent="0.25">
      <c r="A8" s="99" t="s">
        <v>8</v>
      </c>
      <c r="B8" s="77"/>
      <c r="C8" s="76"/>
      <c r="D8" s="77"/>
      <c r="E8" s="76" t="s">
        <v>13</v>
      </c>
      <c r="F8" s="76"/>
      <c r="G8" s="77"/>
      <c r="H8" s="77" t="s">
        <v>226</v>
      </c>
      <c r="I8" s="137">
        <v>31</v>
      </c>
    </row>
    <row r="9" spans="1:9" ht="15" customHeight="1" x14ac:dyDescent="0.25">
      <c r="A9" s="98"/>
      <c r="B9" s="77"/>
      <c r="C9" s="77"/>
      <c r="D9" s="77"/>
      <c r="E9" s="77"/>
      <c r="F9" s="77"/>
      <c r="G9" s="77"/>
      <c r="H9" s="77"/>
      <c r="I9" s="89"/>
    </row>
    <row r="10" spans="1:9" ht="15" customHeight="1" x14ac:dyDescent="0.25">
      <c r="A10" s="99" t="s">
        <v>15</v>
      </c>
      <c r="B10" s="77"/>
      <c r="C10" s="76" t="str">
        <f>'Stavební rozpočet'!D8</f>
        <v>833</v>
      </c>
      <c r="D10" s="77"/>
      <c r="E10" s="76" t="s">
        <v>18</v>
      </c>
      <c r="F10" s="76" t="str">
        <f>'Stavební rozpočet'!J8</f>
        <v>Ing. Viták Zdeněk</v>
      </c>
      <c r="G10" s="77"/>
      <c r="H10" s="77" t="s">
        <v>227</v>
      </c>
      <c r="I10" s="153">
        <f>'Stavební rozpočet'!H8</f>
        <v>45033</v>
      </c>
    </row>
    <row r="11" spans="1:9" ht="15" customHeight="1" x14ac:dyDescent="0.25">
      <c r="A11" s="136"/>
      <c r="B11" s="74"/>
      <c r="C11" s="74"/>
      <c r="D11" s="74"/>
      <c r="E11" s="74"/>
      <c r="F11" s="74"/>
      <c r="G11" s="74"/>
      <c r="H11" s="74"/>
      <c r="I11" s="139"/>
    </row>
    <row r="13" spans="1:9" ht="15.75" customHeight="1" x14ac:dyDescent="0.25">
      <c r="A13" s="146" t="s">
        <v>260</v>
      </c>
      <c r="B13" s="146"/>
      <c r="C13" s="146"/>
      <c r="D13" s="146"/>
      <c r="E13" s="146"/>
    </row>
    <row r="14" spans="1:9" ht="15" customHeight="1" x14ac:dyDescent="0.25">
      <c r="A14" s="147"/>
      <c r="B14" s="148"/>
      <c r="C14" s="148"/>
      <c r="D14" s="148"/>
      <c r="E14" s="149"/>
      <c r="F14" s="54"/>
      <c r="G14" s="54"/>
      <c r="H14" s="54"/>
      <c r="I14" s="54"/>
    </row>
    <row r="15" spans="1:9" ht="15" customHeight="1" x14ac:dyDescent="0.25">
      <c r="A15" s="136"/>
      <c r="B15" s="74"/>
      <c r="C15" s="74"/>
      <c r="D15" s="74"/>
      <c r="E15" s="139"/>
      <c r="F15" s="11"/>
      <c r="G15" s="8"/>
      <c r="H15" s="8"/>
      <c r="I15" s="11"/>
    </row>
    <row r="16" spans="1:9" ht="15" customHeight="1" x14ac:dyDescent="0.25">
      <c r="A16" s="136"/>
      <c r="B16" s="74"/>
      <c r="C16" s="74"/>
      <c r="D16" s="74"/>
      <c r="E16" s="139"/>
      <c r="F16" s="11"/>
      <c r="G16" s="8"/>
      <c r="H16" s="8"/>
      <c r="I16" s="11"/>
    </row>
    <row r="17" spans="1:9" ht="15" customHeight="1" x14ac:dyDescent="0.25">
      <c r="A17" s="98"/>
      <c r="B17" s="77"/>
      <c r="C17" s="77"/>
      <c r="D17" s="77"/>
      <c r="E17" s="89"/>
      <c r="F17" s="19"/>
      <c r="G17" s="2"/>
      <c r="H17" s="2"/>
      <c r="I17" s="19"/>
    </row>
    <row r="18" spans="1:9" ht="15" customHeight="1" x14ac:dyDescent="0.25">
      <c r="A18" s="150"/>
      <c r="B18" s="104"/>
      <c r="C18" s="104"/>
      <c r="D18" s="104"/>
      <c r="E18" s="151"/>
      <c r="F18" s="50"/>
      <c r="G18" s="52"/>
      <c r="H18" s="52"/>
      <c r="I18" s="64"/>
    </row>
    <row r="20" spans="1:9" ht="15" customHeight="1" x14ac:dyDescent="0.25">
      <c r="A20" s="147" t="s">
        <v>234</v>
      </c>
      <c r="B20" s="148"/>
      <c r="C20" s="148"/>
      <c r="D20" s="148"/>
      <c r="E20" s="149"/>
      <c r="F20" s="54" t="s">
        <v>261</v>
      </c>
      <c r="G20" s="54"/>
      <c r="H20" s="54"/>
      <c r="I20" s="54" t="s">
        <v>261</v>
      </c>
    </row>
    <row r="21" spans="1:9" ht="15" customHeight="1" x14ac:dyDescent="0.25">
      <c r="A21" s="136" t="s">
        <v>237</v>
      </c>
      <c r="B21" s="74"/>
      <c r="C21" s="74"/>
      <c r="D21" s="74"/>
      <c r="E21" s="139"/>
      <c r="F21" s="161"/>
      <c r="G21" s="11"/>
      <c r="H21" s="11"/>
      <c r="I21" s="11">
        <f>F21</f>
        <v>0</v>
      </c>
    </row>
    <row r="22" spans="1:9" ht="15" customHeight="1" x14ac:dyDescent="0.25">
      <c r="A22" s="136"/>
      <c r="B22" s="74"/>
      <c r="C22" s="74"/>
      <c r="D22" s="74"/>
      <c r="E22" s="139"/>
      <c r="F22" s="11"/>
      <c r="G22" s="8"/>
      <c r="H22" s="8"/>
      <c r="I22" s="11"/>
    </row>
    <row r="23" spans="1:9" ht="15" customHeight="1" x14ac:dyDescent="0.25">
      <c r="A23" s="136"/>
      <c r="B23" s="74"/>
      <c r="C23" s="74"/>
      <c r="D23" s="74"/>
      <c r="E23" s="139"/>
      <c r="F23" s="11"/>
      <c r="G23" s="8"/>
      <c r="H23" s="8"/>
      <c r="I23" s="11"/>
    </row>
    <row r="24" spans="1:9" ht="15" customHeight="1" x14ac:dyDescent="0.25">
      <c r="A24" s="136"/>
      <c r="B24" s="74"/>
      <c r="C24" s="74"/>
      <c r="D24" s="74"/>
      <c r="E24" s="139"/>
      <c r="F24" s="11"/>
      <c r="G24" s="8"/>
      <c r="H24" s="8"/>
      <c r="I24" s="11"/>
    </row>
    <row r="25" spans="1:9" ht="15" customHeight="1" x14ac:dyDescent="0.25">
      <c r="A25" s="136"/>
      <c r="B25" s="74"/>
      <c r="C25" s="74"/>
      <c r="D25" s="74"/>
      <c r="E25" s="139"/>
      <c r="F25" s="11"/>
      <c r="G25" s="8"/>
      <c r="H25" s="8"/>
      <c r="I25" s="11"/>
    </row>
    <row r="26" spans="1:9" ht="15" customHeight="1" x14ac:dyDescent="0.25">
      <c r="A26" s="98"/>
      <c r="B26" s="77"/>
      <c r="C26" s="77"/>
      <c r="D26" s="77"/>
      <c r="E26" s="89"/>
      <c r="F26" s="19"/>
      <c r="G26" s="2"/>
      <c r="H26" s="2"/>
      <c r="I26" s="19"/>
    </row>
    <row r="27" spans="1:9" ht="15" customHeight="1" x14ac:dyDescent="0.25">
      <c r="A27" s="150" t="s">
        <v>262</v>
      </c>
      <c r="B27" s="104"/>
      <c r="C27" s="104"/>
      <c r="D27" s="104"/>
      <c r="E27" s="151"/>
      <c r="F27" s="50" t="s">
        <v>53</v>
      </c>
      <c r="G27" s="52" t="s">
        <v>53</v>
      </c>
      <c r="H27" s="52" t="s">
        <v>53</v>
      </c>
      <c r="I27" s="64">
        <f>SUM(I21:I26)</f>
        <v>0</v>
      </c>
    </row>
    <row r="29" spans="1:9" ht="15.75" customHeight="1" x14ac:dyDescent="0.25">
      <c r="A29" s="140" t="s">
        <v>263</v>
      </c>
      <c r="B29" s="141"/>
      <c r="C29" s="141"/>
      <c r="D29" s="141"/>
      <c r="E29" s="142"/>
      <c r="F29" s="143">
        <f>I18+I27</f>
        <v>0</v>
      </c>
      <c r="G29" s="144"/>
      <c r="H29" s="144"/>
      <c r="I29" s="145"/>
    </row>
    <row r="33" spans="1:9" ht="15.75" customHeight="1" x14ac:dyDescent="0.25">
      <c r="A33" s="146" t="s">
        <v>264</v>
      </c>
      <c r="B33" s="146"/>
      <c r="C33" s="146"/>
      <c r="D33" s="146"/>
      <c r="E33" s="146"/>
    </row>
    <row r="34" spans="1:9" ht="15" customHeight="1" x14ac:dyDescent="0.25">
      <c r="A34" s="147" t="s">
        <v>265</v>
      </c>
      <c r="B34" s="148"/>
      <c r="C34" s="148"/>
      <c r="D34" s="148"/>
      <c r="E34" s="149"/>
      <c r="F34" s="54" t="s">
        <v>261</v>
      </c>
      <c r="G34" s="54"/>
      <c r="H34" s="54"/>
      <c r="I34" s="54" t="s">
        <v>261</v>
      </c>
    </row>
    <row r="35" spans="1:9" ht="15" customHeight="1" x14ac:dyDescent="0.25">
      <c r="A35" s="136" t="s">
        <v>266</v>
      </c>
      <c r="B35" s="74"/>
      <c r="C35" s="74"/>
      <c r="D35" s="74"/>
      <c r="E35" s="139"/>
      <c r="F35" s="161"/>
      <c r="G35" s="8" t="s">
        <v>53</v>
      </c>
      <c r="H35" s="8" t="s">
        <v>53</v>
      </c>
      <c r="I35" s="11">
        <f t="shared" ref="I35:I41" si="0">F35</f>
        <v>0</v>
      </c>
    </row>
    <row r="36" spans="1:9" ht="15" customHeight="1" x14ac:dyDescent="0.25">
      <c r="A36" s="136" t="s">
        <v>267</v>
      </c>
      <c r="B36" s="74"/>
      <c r="C36" s="74"/>
      <c r="D36" s="74"/>
      <c r="E36" s="139"/>
      <c r="F36" s="161"/>
      <c r="G36" s="8" t="s">
        <v>53</v>
      </c>
      <c r="H36" s="8" t="s">
        <v>53</v>
      </c>
      <c r="I36" s="11">
        <f t="shared" si="0"/>
        <v>0</v>
      </c>
    </row>
    <row r="37" spans="1:9" ht="15" customHeight="1" x14ac:dyDescent="0.25">
      <c r="A37" s="136" t="s">
        <v>268</v>
      </c>
      <c r="B37" s="74"/>
      <c r="C37" s="74"/>
      <c r="D37" s="74"/>
      <c r="E37" s="139"/>
      <c r="F37" s="161"/>
      <c r="G37" s="8" t="s">
        <v>53</v>
      </c>
      <c r="H37" s="8" t="s">
        <v>53</v>
      </c>
      <c r="I37" s="11">
        <f t="shared" si="0"/>
        <v>0</v>
      </c>
    </row>
    <row r="38" spans="1:9" ht="15" customHeight="1" x14ac:dyDescent="0.25">
      <c r="A38" s="136" t="s">
        <v>269</v>
      </c>
      <c r="B38" s="74"/>
      <c r="C38" s="74"/>
      <c r="D38" s="74"/>
      <c r="E38" s="139"/>
      <c r="F38" s="161"/>
      <c r="G38" s="8" t="s">
        <v>53</v>
      </c>
      <c r="H38" s="8" t="s">
        <v>53</v>
      </c>
      <c r="I38" s="11">
        <f t="shared" si="0"/>
        <v>0</v>
      </c>
    </row>
    <row r="39" spans="1:9" ht="15" customHeight="1" x14ac:dyDescent="0.25">
      <c r="A39" s="136" t="s">
        <v>270</v>
      </c>
      <c r="B39" s="74"/>
      <c r="C39" s="74"/>
      <c r="D39" s="74"/>
      <c r="E39" s="139"/>
      <c r="F39" s="161"/>
      <c r="G39" s="8" t="s">
        <v>53</v>
      </c>
      <c r="H39" s="8" t="s">
        <v>53</v>
      </c>
      <c r="I39" s="11">
        <f t="shared" si="0"/>
        <v>0</v>
      </c>
    </row>
    <row r="40" spans="1:9" ht="15" customHeight="1" x14ac:dyDescent="0.25">
      <c r="A40" s="136" t="s">
        <v>271</v>
      </c>
      <c r="B40" s="74"/>
      <c r="C40" s="74"/>
      <c r="D40" s="74"/>
      <c r="E40" s="139"/>
      <c r="F40" s="161"/>
      <c r="G40" s="8" t="s">
        <v>53</v>
      </c>
      <c r="H40" s="8" t="s">
        <v>53</v>
      </c>
      <c r="I40" s="11">
        <f t="shared" si="0"/>
        <v>0</v>
      </c>
    </row>
    <row r="41" spans="1:9" ht="15" customHeight="1" x14ac:dyDescent="0.25">
      <c r="A41" s="152" t="s">
        <v>272</v>
      </c>
      <c r="B41" s="77"/>
      <c r="C41" s="77"/>
      <c r="D41" s="77"/>
      <c r="E41" s="89"/>
      <c r="F41" s="162"/>
      <c r="G41" s="2" t="s">
        <v>53</v>
      </c>
      <c r="H41" s="2" t="s">
        <v>53</v>
      </c>
      <c r="I41" s="19">
        <f t="shared" si="0"/>
        <v>0</v>
      </c>
    </row>
    <row r="42" spans="1:9" ht="15" customHeight="1" x14ac:dyDescent="0.25">
      <c r="A42" s="150" t="s">
        <v>273</v>
      </c>
      <c r="B42" s="104"/>
      <c r="C42" s="104"/>
      <c r="D42" s="104"/>
      <c r="E42" s="151"/>
      <c r="F42" s="50" t="s">
        <v>53</v>
      </c>
      <c r="G42" s="52" t="s">
        <v>53</v>
      </c>
      <c r="H42" s="52" t="s">
        <v>53</v>
      </c>
      <c r="I42" s="64">
        <f>SUM(I35:I41)</f>
        <v>0</v>
      </c>
    </row>
  </sheetData>
  <sheetProtection algorithmName="SHA-512" hashValue="u8soeGZZrWRsDos9ONrtjNfqt9wiIkn06utx6D0Nyg3amedDCqdWN7F1mzShzKn00oPYPhS9GTe93+cUmb/uow==" saltValue="OowsmO6VWsps30pOEAwkow==" spinCount="100000" sheet="1" objects="1" scenarios="1"/>
  <mergeCells count="57">
    <mergeCell ref="E2:E3"/>
    <mergeCell ref="E4:E5"/>
    <mergeCell ref="E6:E7"/>
    <mergeCell ref="A1:I1"/>
    <mergeCell ref="A2:B3"/>
    <mergeCell ref="A4:B5"/>
    <mergeCell ref="A6:B7"/>
    <mergeCell ref="F6:G7"/>
    <mergeCell ref="I2:I3"/>
    <mergeCell ref="I4:I5"/>
    <mergeCell ref="I6:I7"/>
    <mergeCell ref="F2:G3"/>
    <mergeCell ref="F4:G5"/>
    <mergeCell ref="C2:D3"/>
    <mergeCell ref="C4:D5"/>
    <mergeCell ref="C6:D7"/>
    <mergeCell ref="H2:H3"/>
    <mergeCell ref="H4:H5"/>
    <mergeCell ref="H6:H7"/>
    <mergeCell ref="H8:H9"/>
    <mergeCell ref="H10:H11"/>
    <mergeCell ref="A14:E14"/>
    <mergeCell ref="A10:B11"/>
    <mergeCell ref="E8:E9"/>
    <mergeCell ref="C10:D11"/>
    <mergeCell ref="I8:I9"/>
    <mergeCell ref="I10:I11"/>
    <mergeCell ref="A13:E13"/>
    <mergeCell ref="C8:D9"/>
    <mergeCell ref="F10:G11"/>
    <mergeCell ref="E10:E11"/>
    <mergeCell ref="A8:B9"/>
    <mergeCell ref="F8:G9"/>
    <mergeCell ref="A27:E27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42:E42"/>
    <mergeCell ref="A36:E36"/>
    <mergeCell ref="A37:E37"/>
    <mergeCell ref="A38:E38"/>
    <mergeCell ref="A39:E39"/>
    <mergeCell ref="A40:E40"/>
    <mergeCell ref="A41:E41"/>
    <mergeCell ref="A29:E29"/>
    <mergeCell ref="F29:I29"/>
    <mergeCell ref="A33:E33"/>
    <mergeCell ref="A34:E34"/>
    <mergeCell ref="A35:E35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7" ma:contentTypeDescription="Create a new document." ma:contentTypeScope="" ma:versionID="b71d5955d81df705eb4ff020ff22d288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479520d02773d81679298acbd821b721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  <MediaLengthInSeconds xmlns="29ed0e5a-0378-45b4-a990-92aa170f382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FFDA6E3-EC51-49D3-8670-AC7A1A967C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F45823-8868-4184-9960-8616DB46BE9B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customXml/itemProps3.xml><?xml version="1.0" encoding="utf-8"?>
<ds:datastoreItem xmlns:ds="http://schemas.openxmlformats.org/officeDocument/2006/customXml" ds:itemID="{D9E6A091-27E0-46FD-B49B-586D7EAE4D9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7EB5F33-5BA0-420B-B04A-6D3325DCFF50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Výkaz výměr</vt:lpstr>
      <vt:lpstr>Krycí list rozpočtu</vt:lpstr>
      <vt:lpstr>VORN</vt:lpstr>
      <vt:lpstr>vorn_sum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Bušek Jan</cp:lastModifiedBy>
  <cp:revision/>
  <dcterms:created xsi:type="dcterms:W3CDTF">2021-06-10T20:06:38Z</dcterms:created>
  <dcterms:modified xsi:type="dcterms:W3CDTF">2023-10-31T09:50:23Z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říznak">
    <vt:lpwstr/>
  </property>
  <property fmtid="{D5CDD505-2E9C-101B-9397-08002B2CF9AE}" pid="3" name="Poznámka">
    <vt:lpwstr/>
  </property>
  <property fmtid="{D5CDD505-2E9C-101B-9397-08002B2CF9AE}" pid="4" name="Stav">
    <vt:lpwstr/>
  </property>
  <property fmtid="{D5CDD505-2E9C-101B-9397-08002B2CF9AE}" pid="5" name="Financování">
    <vt:lpwstr/>
  </property>
  <property fmtid="{D5CDD505-2E9C-101B-9397-08002B2CF9AE}" pid="6" name="Technik">
    <vt:lpwstr/>
  </property>
  <property fmtid="{D5CDD505-2E9C-101B-9397-08002B2CF9AE}" pid="7" name="Do">
    <vt:lpwstr/>
  </property>
  <property fmtid="{D5CDD505-2E9C-101B-9397-08002B2CF9AE}" pid="8" name="IL">
    <vt:lpwstr/>
  </property>
  <property fmtid="{D5CDD505-2E9C-101B-9397-08002B2CF9AE}" pid="9" name="lcf76f155ced4ddcb4097134ff3c332f">
    <vt:lpwstr/>
  </property>
  <property fmtid="{D5CDD505-2E9C-101B-9397-08002B2CF9AE}" pid="10" name="O/I">
    <vt:lpwstr/>
  </property>
  <property fmtid="{D5CDD505-2E9C-101B-9397-08002B2CF9AE}" pid="11" name="OL">
    <vt:lpwstr/>
  </property>
  <property fmtid="{D5CDD505-2E9C-101B-9397-08002B2CF9AE}" pid="12" name="Od">
    <vt:lpwstr/>
  </property>
  <property fmtid="{D5CDD505-2E9C-101B-9397-08002B2CF9AE}" pid="13" name="Záměr">
    <vt:lpwstr/>
  </property>
  <property fmtid="{D5CDD505-2E9C-101B-9397-08002B2CF9AE}" pid="14" name="_dlc_DocId">
    <vt:lpwstr>QS62X3X5CS3J-870795370-141453</vt:lpwstr>
  </property>
  <property fmtid="{D5CDD505-2E9C-101B-9397-08002B2CF9AE}" pid="15" name="_dlc_DocIdItemGuid">
    <vt:lpwstr>69c011e5-385e-4056-aaba-3e806c4f4987</vt:lpwstr>
  </property>
  <property fmtid="{D5CDD505-2E9C-101B-9397-08002B2CF9AE}" pid="16" name="_dlc_DocIdUrl">
    <vt:lpwstr>https://pvlcz.sharepoint.com/sites/sekce500-Opravyainvestice/_layouts/15/DocIdRedir.aspx?ID=QS62X3X5CS3J-870795370-141453, QS62X3X5CS3J-870795370-141453</vt:lpwstr>
  </property>
  <property fmtid="{D5CDD505-2E9C-101B-9397-08002B2CF9AE}" pid="17" name="ContentTypeId">
    <vt:lpwstr>0x010100C65ECA69B4CC39459CF879808734A6B5</vt:lpwstr>
  </property>
  <property fmtid="{D5CDD505-2E9C-101B-9397-08002B2CF9AE}" pid="18" name="MediaServiceImageTags">
    <vt:lpwstr/>
  </property>
  <property fmtid="{D5CDD505-2E9C-101B-9397-08002B2CF9AE}" pid="19" name="Order">
    <vt:r8>14147200</vt:r8>
  </property>
  <property fmtid="{D5CDD505-2E9C-101B-9397-08002B2CF9AE}" pid="20" name="xd_Signature">
    <vt:bool>false</vt:bool>
  </property>
  <property fmtid="{D5CDD505-2E9C-101B-9397-08002B2CF9AE}" pid="21" name="xd_ProgID">
    <vt:lpwstr/>
  </property>
  <property fmtid="{D5CDD505-2E9C-101B-9397-08002B2CF9AE}" pid="22" name="ComplianceAssetId">
    <vt:lpwstr/>
  </property>
  <property fmtid="{D5CDD505-2E9C-101B-9397-08002B2CF9AE}" pid="23" name="TemplateUrl">
    <vt:lpwstr/>
  </property>
  <property fmtid="{D5CDD505-2E9C-101B-9397-08002B2CF9AE}" pid="24" name="_ExtendedDescription">
    <vt:lpwstr/>
  </property>
  <property fmtid="{D5CDD505-2E9C-101B-9397-08002B2CF9AE}" pid="25" name="TriggerFlowInfo">
    <vt:lpwstr/>
  </property>
</Properties>
</file>