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85" windowHeight="10725" activeTab="0"/>
  </bookViews>
  <sheets>
    <sheet name="Stavební rozpočet" sheetId="1" r:id="rId1"/>
    <sheet name="Stavební rozpočet - součet" sheetId="2" r:id="rId2"/>
    <sheet name="Krycí list rozpočtu" sheetId="3" r:id="rId3"/>
    <sheet name="VORN" sheetId="4" r:id="rId4"/>
  </sheets>
  <definedNames>
    <definedName name="vorn_sum">'VORN'!$I$35</definedName>
  </definedNames>
  <calcPr fullCalcOnLoad="1"/>
</workbook>
</file>

<file path=xl/sharedStrings.xml><?xml version="1.0" encoding="utf-8"?>
<sst xmlns="http://schemas.openxmlformats.org/spreadsheetml/2006/main" count="1317" uniqueCount="404">
  <si>
    <t>Doba výstavby:</t>
  </si>
  <si>
    <t>764391821R00</t>
  </si>
  <si>
    <t>Hloubené vykopávky</t>
  </si>
  <si>
    <t>Projektant</t>
  </si>
  <si>
    <t>919735113R00</t>
  </si>
  <si>
    <t>Otlučení omítek vnějších MVC v složit.1-4 do 10 %</t>
  </si>
  <si>
    <t>M22</t>
  </si>
  <si>
    <t>Základ 15%</t>
  </si>
  <si>
    <t>767392802R00</t>
  </si>
  <si>
    <t>783780010RAA</t>
  </si>
  <si>
    <t>210-012VD</t>
  </si>
  <si>
    <t>91</t>
  </si>
  <si>
    <t>difúzní pojistná hydroizolace DELTA-MAXX WD</t>
  </si>
  <si>
    <t>764348814R00</t>
  </si>
  <si>
    <t>Základ 21%</t>
  </si>
  <si>
    <t>Přesun hmot, pozemní komunikace, kryt živičný</t>
  </si>
  <si>
    <t>Dodávka</t>
  </si>
  <si>
    <t>NUS celkem z obj.</t>
  </si>
  <si>
    <t>Náklady (Kč) - celkem</t>
  </si>
  <si>
    <t>762341811R00</t>
  </si>
  <si>
    <t>72_</t>
  </si>
  <si>
    <t>Název stavby:</t>
  </si>
  <si>
    <t>Přesun hmot pro klempířské konstr., výšky do 12 m</t>
  </si>
  <si>
    <t>Ostatní materiál</t>
  </si>
  <si>
    <t>Demontáž lemování komínů v ploše, hl. kryt, do 45°</t>
  </si>
  <si>
    <t>Č</t>
  </si>
  <si>
    <t>Demontáž úžlabí, rš 500 mm, sklon do 45°</t>
  </si>
  <si>
    <t>764</t>
  </si>
  <si>
    <t>941941191R00</t>
  </si>
  <si>
    <t>Poznámka:</t>
  </si>
  <si>
    <t>Lokalita:</t>
  </si>
  <si>
    <t>16</t>
  </si>
  <si>
    <t>765312771R00</t>
  </si>
  <si>
    <t>PSV</t>
  </si>
  <si>
    <t>764367201R00</t>
  </si>
  <si>
    <t>Bez pevné podl.</t>
  </si>
  <si>
    <t>Celkem</t>
  </si>
  <si>
    <t>Zařízení staveniště</t>
  </si>
  <si>
    <t>Falcované tabule Classic, tl. 0,5 mm, na dřevo</t>
  </si>
  <si>
    <t>Hák protisněhový C-380</t>
  </si>
  <si>
    <t>998011002R00</t>
  </si>
  <si>
    <t>11_</t>
  </si>
  <si>
    <t>1_</t>
  </si>
  <si>
    <t>4</t>
  </si>
  <si>
    <t>97</t>
  </si>
  <si>
    <t>94</t>
  </si>
  <si>
    <t>Větrací mřížka okapní 5000 x 100 mm</t>
  </si>
  <si>
    <t>Nátěr lazurovací tesařských konstr. Dixol 2x lak</t>
  </si>
  <si>
    <t>577141122R00</t>
  </si>
  <si>
    <t>Základní rozpočtové náklady</t>
  </si>
  <si>
    <t>767134802R00</t>
  </si>
  <si>
    <t>6_</t>
  </si>
  <si>
    <t>764554404R00</t>
  </si>
  <si>
    <t>Konstrukce ze zemin</t>
  </si>
  <si>
    <t>Konstrukce klempířské</t>
  </si>
  <si>
    <t>Demontáž bednění střech rovných z prken hrubých</t>
  </si>
  <si>
    <t>Celkem bez DPH</t>
  </si>
  <si>
    <t>60515795</t>
  </si>
  <si>
    <t>Vedlejší a ostatní rozpočtové náklady</t>
  </si>
  <si>
    <t>M21</t>
  </si>
  <si>
    <t>721_</t>
  </si>
  <si>
    <t>6</t>
  </si>
  <si>
    <t>Rozpočtové náklady v Kč</t>
  </si>
  <si>
    <t>Stavební a konstrukční řešení</t>
  </si>
  <si>
    <t>979990101R00</t>
  </si>
  <si>
    <t>včetně drátu FeZn 10 mm</t>
  </si>
  <si>
    <t>210220401RT1</t>
  </si>
  <si>
    <t>767846111R00</t>
  </si>
  <si>
    <t>B</t>
  </si>
  <si>
    <t>Náklady na umístění stavby (NUS)</t>
  </si>
  <si>
    <t>764339831R00</t>
  </si>
  <si>
    <t>210220372RT1</t>
  </si>
  <si>
    <t>Montáž</t>
  </si>
  <si>
    <t>764292441R00</t>
  </si>
  <si>
    <t>Datum, razítko a podpis</t>
  </si>
  <si>
    <t>Odstranění podkladu pl. 50 m2,kam.těžené tl.27 cm</t>
  </si>
  <si>
    <t>ZRN celkem</t>
  </si>
  <si>
    <t>Úžlabí z Ti Zn plechu, rš 500 mm, klínové těsnění</t>
  </si>
  <si>
    <t>17_</t>
  </si>
  <si>
    <t>979082121R00</t>
  </si>
  <si>
    <t>765_</t>
  </si>
  <si>
    <t>Úžlabí z bobrovek vykrývané, nokové</t>
  </si>
  <si>
    <t>DPH 15%</t>
  </si>
  <si>
    <t>Krycí list slepého rozpočtu</t>
  </si>
  <si>
    <t>783_</t>
  </si>
  <si>
    <t>Vikýř univerzální pro pálenou krytinu 45 x 55 cm</t>
  </si>
  <si>
    <t>Základna</t>
  </si>
  <si>
    <t>kus</t>
  </si>
  <si>
    <t>764252401R00</t>
  </si>
  <si>
    <t>Demontáž střeš.vikýřů, sklon střechy nad 15°</t>
  </si>
  <si>
    <t>Deska zemnicí ZD 02 1000 x 500 mm se svorkou</t>
  </si>
  <si>
    <t>Dodávky</t>
  </si>
  <si>
    <t>soustava</t>
  </si>
  <si>
    <t>765311572R00</t>
  </si>
  <si>
    <t>Tvarování montážního dílu jímače, ochr.trubky,úhel</t>
  </si>
  <si>
    <t>Demont. a likvidace střeš. části hromosvod. soustavy</t>
  </si>
  <si>
    <t>Demontáž lešení, prostor. lehké, 200 kPa, H 10 m</t>
  </si>
  <si>
    <t>60510990</t>
  </si>
  <si>
    <t>Vnitrostaveništní doprava suti do 10 m</t>
  </si>
  <si>
    <t>Ostatní mat.</t>
  </si>
  <si>
    <t>113107327R00</t>
  </si>
  <si>
    <t>Cenová</t>
  </si>
  <si>
    <t>765</t>
  </si>
  <si>
    <t>Příplatek za sklon od 30° do 45°,fólie na bednění</t>
  </si>
  <si>
    <t>Revize</t>
  </si>
  <si>
    <t>764252407R00</t>
  </si>
  <si>
    <t>HSV prac</t>
  </si>
  <si>
    <t>767_</t>
  </si>
  <si>
    <t>Přesun hmot pro krytiny tvrdé, výšky do 12 m</t>
  </si>
  <si>
    <t>13</t>
  </si>
  <si>
    <t>765311511RU1</t>
  </si>
  <si>
    <t>"M"</t>
  </si>
  <si>
    <t>Konstrukce doplňkové stavební (zámečnické)</t>
  </si>
  <si>
    <t>dvojnásobná Karbolínem</t>
  </si>
  <si>
    <t>97_</t>
  </si>
  <si>
    <t>Cena/MJ</t>
  </si>
  <si>
    <t>Montáž lešení prostorové lehké, do 200kg, H 10 m</t>
  </si>
  <si>
    <t>Zakončení štítových hran bobrovkou s ozubem</t>
  </si>
  <si>
    <t>Konec výstavby:</t>
  </si>
  <si>
    <t>762342206R00</t>
  </si>
  <si>
    <t>Přesun hmot pro budovy zděné výšky do 12 m</t>
  </si>
  <si>
    <t>979990112R00</t>
  </si>
  <si>
    <t>764239430R00</t>
  </si>
  <si>
    <t>Montáž fólie na krokve přibitím se slepením spojů</t>
  </si>
  <si>
    <t>Kód</t>
  </si>
  <si>
    <t>S</t>
  </si>
  <si>
    <t>Demontáž kotlíku kónického, sklon do 45°</t>
  </si>
  <si>
    <t>Demontáž lešení leh.řad.s podlahami,š.1 m, H 10 m</t>
  </si>
  <si>
    <t>MJ</t>
  </si>
  <si>
    <t>998765102R00</t>
  </si>
  <si>
    <t>včetně dodávky svorky SP kovových částí d 3-12 mm</t>
  </si>
  <si>
    <t>9_</t>
  </si>
  <si>
    <t>Celkem ORN</t>
  </si>
  <si>
    <t>M21001</t>
  </si>
  <si>
    <t>Doplňující konstrukce a práce na pozemních komunikacích a zpevněných plochách</t>
  </si>
  <si>
    <t>zabezpečení proti pádu osob</t>
  </si>
  <si>
    <t>Doplňkové náklady</t>
  </si>
  <si>
    <t>PSV prac</t>
  </si>
  <si>
    <t>HSV</t>
  </si>
  <si>
    <t>979990161R00</t>
  </si>
  <si>
    <t>Vedlejší rozpočtové náklady VRN</t>
  </si>
  <si>
    <t>Montáž laťování střech, vzdálenost latí do 22 cm</t>
  </si>
  <si>
    <t>včetně dodávky drátu AlMgSi T/4 8 mm</t>
  </si>
  <si>
    <t>764454802R00</t>
  </si>
  <si>
    <t>9</t>
  </si>
  <si>
    <t>Ventilační stříšky z Ti Zn plechu, D do 200 mm</t>
  </si>
  <si>
    <t>762354804R00</t>
  </si>
  <si>
    <t>721242117R00</t>
  </si>
  <si>
    <t>Prkno šířkově netříděné omítané bok SM tl. 17 - 25 mm, 3 - 6 m</t>
  </si>
  <si>
    <t>Zakrývání provizorní plachtou 12x15m,vč.odstranění</t>
  </si>
  <si>
    <t>15</t>
  </si>
  <si>
    <t>Vyřezání části střešní vazby do 224 cm2,do dl.3 m</t>
  </si>
  <si>
    <t>pro uložení hrom. soustavy</t>
  </si>
  <si>
    <t>ISWORK</t>
  </si>
  <si>
    <t>57_</t>
  </si>
  <si>
    <t>Celkem včetně DPH</t>
  </si>
  <si>
    <t>Celkem NUS</t>
  </si>
  <si>
    <t>Základ 0%</t>
  </si>
  <si>
    <t>S_</t>
  </si>
  <si>
    <t>998764102R00</t>
  </si>
  <si>
    <t>Příplatek za každý měsíc použití lešení k pol.1031</t>
  </si>
  <si>
    <t>po odřezání přesahu krovu a bednění a uložení nových krokví</t>
  </si>
  <si>
    <t>Přesuny sutí</t>
  </si>
  <si>
    <t>Mont prac</t>
  </si>
  <si>
    <t>Vedení uzemňovací na povrchu FeZn D 10 mm</t>
  </si>
  <si>
    <t>783726700R00</t>
  </si>
  <si>
    <t>Příplatek k odvozu za každý další 1 km</t>
  </si>
  <si>
    <t>78_</t>
  </si>
  <si>
    <t>Úhelník ochranný nebo trubka s držáky do zdiva</t>
  </si>
  <si>
    <t>62_</t>
  </si>
  <si>
    <t>h</t>
  </si>
  <si>
    <t>Lapač střešních splavenin litinový, DN 150 mm</t>
  </si>
  <si>
    <t>Lať surová SM jakost I-II 60 x 60 mm, 4 m</t>
  </si>
  <si>
    <t>943943298R00</t>
  </si>
  <si>
    <t>767</t>
  </si>
  <si>
    <t>941941031R00</t>
  </si>
  <si>
    <t>t</t>
  </si>
  <si>
    <t>Montáž bednění střech rovných, prkna hrubá na sraz</t>
  </si>
  <si>
    <t> </t>
  </si>
  <si>
    <t>Montáž kontralatí na vruty, s těsnicí páskou</t>
  </si>
  <si>
    <t>577131111R00</t>
  </si>
  <si>
    <t>JKSO:</t>
  </si>
  <si>
    <t>Příplatek k vnitrost. dopravě suti za dalších 5 m</t>
  </si>
  <si>
    <t>210220211RT1</t>
  </si>
  <si>
    <t>765311561RU1</t>
  </si>
  <si>
    <t>Náklady (Kč) - dodávka</t>
  </si>
  <si>
    <t>762342811R00</t>
  </si>
  <si>
    <t>762341210R00</t>
  </si>
  <si>
    <t>Střešní hák zalomený pro taškovou krytinu</t>
  </si>
  <si>
    <t>784011111R00</t>
  </si>
  <si>
    <t>M21001_</t>
  </si>
  <si>
    <t>Kryty pozemních komunikací, letišť a ploch z kameniva nebo živičné</t>
  </si>
  <si>
    <t>Impregnace tesařských konstrukcí</t>
  </si>
  <si>
    <t>Varianta:</t>
  </si>
  <si>
    <t>DN celkem</t>
  </si>
  <si>
    <t>Oprava krovu a střešního pláště objektu stájí ve Slavicích</t>
  </si>
  <si>
    <t>765311551RT1</t>
  </si>
  <si>
    <t>Zásyp jam, rýh, šachet se zhutněním</t>
  </si>
  <si>
    <t>GROUPCODE</t>
  </si>
  <si>
    <t>Montáže sdělovací a zabezpečovací techniky</t>
  </si>
  <si>
    <t>Provozní vlivy</t>
  </si>
  <si>
    <t>5</t>
  </si>
  <si>
    <t>76_</t>
  </si>
  <si>
    <t>762-002VD</t>
  </si>
  <si>
    <t>762332120R00</t>
  </si>
  <si>
    <t>Druh stavby:</t>
  </si>
  <si>
    <t>Přípravné a přidružené práce</t>
  </si>
  <si>
    <t>564671111R00</t>
  </si>
  <si>
    <t>sjednocení fasády po opravách</t>
  </si>
  <si>
    <t>Zpracováno dne:</t>
  </si>
  <si>
    <t>131201110R00</t>
  </si>
  <si>
    <t>Hranol stavební SM/BO do 160 x 160 mm, 4 - 6 m</t>
  </si>
  <si>
    <t>783</t>
  </si>
  <si>
    <t>622471317R00</t>
  </si>
  <si>
    <t>10</t>
  </si>
  <si>
    <t>včetně dodávky štítku</t>
  </si>
  <si>
    <t>762088113R00</t>
  </si>
  <si>
    <t>Poplatek za uložení suti - obal. kamenivo, asfalt, skupina odpadu 170302</t>
  </si>
  <si>
    <t>14</t>
  </si>
  <si>
    <t>943943221R00</t>
  </si>
  <si>
    <t>765799311RO8</t>
  </si>
  <si>
    <t>Bobrovka kulatý řez režná větrací</t>
  </si>
  <si>
    <t>Množství</t>
  </si>
  <si>
    <t>5_</t>
  </si>
  <si>
    <t>762331921R00</t>
  </si>
  <si>
    <t>Typ skupiny</t>
  </si>
  <si>
    <t>Pronájem - příplatek za každý den používání prostorového lešení</t>
  </si>
  <si>
    <t>762</t>
  </si>
  <si>
    <t>Oprášení/ometení podkladu</t>
  </si>
  <si>
    <t>762_</t>
  </si>
  <si>
    <t>56</t>
  </si>
  <si>
    <t>210220351RT2</t>
  </si>
  <si>
    <t>C</t>
  </si>
  <si>
    <t>Žlaby Ti Zn plech, podokapní půlkruhové, rš 250 mm</t>
  </si>
  <si>
    <t>Demontáž oplechování střešního vikýře, do 45°</t>
  </si>
  <si>
    <t>764352811R00</t>
  </si>
  <si>
    <t>Náklady (Kč)</t>
  </si>
  <si>
    <t>721</t>
  </si>
  <si>
    <t>Svorka hromosvodová nad 2 šrouby /ST, SJ, SR, atd/</t>
  </si>
  <si>
    <t>IČO/DIČ:</t>
  </si>
  <si>
    <t>Ostatní</t>
  </si>
  <si>
    <t>979081121R00</t>
  </si>
  <si>
    <t>59660027</t>
  </si>
  <si>
    <t>Zpracoval:</t>
  </si>
  <si>
    <t>210220301RT1</t>
  </si>
  <si>
    <t>Podkladní vrstvy komunikací, letišť a ploch</t>
  </si>
  <si>
    <t>943943821R00</t>
  </si>
  <si>
    <t>Zhotovitel</t>
  </si>
  <si>
    <t>2</t>
  </si>
  <si>
    <t>Projektant:</t>
  </si>
  <si>
    <t>ORN celkem</t>
  </si>
  <si>
    <t>Zkrácený popis / Varianta</t>
  </si>
  <si>
    <t>Demontáž laťování střech, rozteč latí do 22 cm</t>
  </si>
  <si>
    <t/>
  </si>
  <si>
    <t>17</t>
  </si>
  <si>
    <t>Lešení a stavební výtahy</t>
  </si>
  <si>
    <t>včetně dodávky svorky SO</t>
  </si>
  <si>
    <t>979081111R00</t>
  </si>
  <si>
    <t>Práce přesčas</t>
  </si>
  <si>
    <t>622422121R00</t>
  </si>
  <si>
    <t>765311546R00</t>
  </si>
  <si>
    <t>174101101R00</t>
  </si>
  <si>
    <t>včetně ochran.úhelníku + 2 držáky do zdi</t>
  </si>
  <si>
    <t>Podklad z kameniva drceného 63-125 mm, tl. 25 cm</t>
  </si>
  <si>
    <t>12</t>
  </si>
  <si>
    <t>Kulturní památka</t>
  </si>
  <si>
    <t>Odvoz suti a vybour. hmot na skládku do 1 km</t>
  </si>
  <si>
    <t>765311723R00</t>
  </si>
  <si>
    <t>DPH 21%</t>
  </si>
  <si>
    <t>včetně dodávky řeziva, latě 4/6 cm</t>
  </si>
  <si>
    <t>Krytina z bobrovek, střech jedn.,šupinová,na sucho</t>
  </si>
  <si>
    <t>Elektromontáže</t>
  </si>
  <si>
    <t>998762102R00</t>
  </si>
  <si>
    <t>_</t>
  </si>
  <si>
    <t>kpl</t>
  </si>
  <si>
    <t>ORN celkem z obj.</t>
  </si>
  <si>
    <t>721-02VD</t>
  </si>
  <si>
    <t>Nároží bobrovka, hřebenáči č.4 dráž. pás olovo/cín</t>
  </si>
  <si>
    <t>764392841R00</t>
  </si>
  <si>
    <t>Přesuny</t>
  </si>
  <si>
    <t>MAT</t>
  </si>
  <si>
    <t>Hřeben bobrovka, hřebenáč č.4, větr.pás hliník</t>
  </si>
  <si>
    <t>Demontáž odpadních trub kruhových, D 120 mm</t>
  </si>
  <si>
    <t>8</t>
  </si>
  <si>
    <t>Celkem:</t>
  </si>
  <si>
    <t>762342202RT4</t>
  </si>
  <si>
    <t>Mimostav. doprava</t>
  </si>
  <si>
    <t>boky budníku</t>
  </si>
  <si>
    <t>Nátěry</t>
  </si>
  <si>
    <t>18</t>
  </si>
  <si>
    <t>DN celkem z obj.</t>
  </si>
  <si>
    <t>Vodiče svodové FeZn D do 10,Al 10,Cu 8 +podpěry</t>
  </si>
  <si>
    <t>764_</t>
  </si>
  <si>
    <t>210220301RT3</t>
  </si>
  <si>
    <t>Demontáž krytin střech z plechů, šroubovaných</t>
  </si>
  <si>
    <t>Úprava povrchů vnější</t>
  </si>
  <si>
    <t>113108310R00</t>
  </si>
  <si>
    <t>Hloubení nezapaž. jam hor.3 do 50 m3</t>
  </si>
  <si>
    <t>Tyč jímací s upev. na stř.hřeben do 2 m, do dřeva</t>
  </si>
  <si>
    <t>Poplatek za likvidaci (spalovna) - dřevo, skupina odpadu 170201</t>
  </si>
  <si>
    <t>m</t>
  </si>
  <si>
    <t>Slepý stavební rozpočet - rekapitulace</t>
  </si>
  <si>
    <t>11</t>
  </si>
  <si>
    <t>RTS II / 2022</t>
  </si>
  <si>
    <t>Odstranění asfaltové vrstvy pl. do 50 m2, tl.10 cm</t>
  </si>
  <si>
    <t>Objednatel:</t>
  </si>
  <si>
    <t>PSV mat</t>
  </si>
  <si>
    <t>Odpadní trouby z Ti Zn plechu, kruhové, D 75 mm</t>
  </si>
  <si>
    <t>Svorka hromosvodová do 2 šroubů /SS, SZ, SO/</t>
  </si>
  <si>
    <t>Krytina tvrdá</t>
  </si>
  <si>
    <t>765311539R00</t>
  </si>
  <si>
    <t>3</t>
  </si>
  <si>
    <t>Montáž vázaných krovů pravidelných do 224 cm2</t>
  </si>
  <si>
    <t>Zhotovitel:</t>
  </si>
  <si>
    <t>%</t>
  </si>
  <si>
    <t>Hoblování tesařských prvků - ručně</t>
  </si>
  <si>
    <t>Začátek výstavby:</t>
  </si>
  <si>
    <t>Odpadní trouby z Ti Zn plechu, kruhové, D 150 mm</t>
  </si>
  <si>
    <t>764259411R00</t>
  </si>
  <si>
    <t>Montáž lešení leh.řad.s podlahami,š.do 1 m, H 10 m</t>
  </si>
  <si>
    <t>A</t>
  </si>
  <si>
    <t>Mont mat</t>
  </si>
  <si>
    <t>13_</t>
  </si>
  <si>
    <t>Demontáž sněhového zachytače, sklon do 45°</t>
  </si>
  <si>
    <t>bobrovka okrajová</t>
  </si>
  <si>
    <t>Slepý stavební rozpočet</t>
  </si>
  <si>
    <t>včetně dodávky jímací tyče + 2 držáků</t>
  </si>
  <si>
    <t>Beton asfalt. ACL 16+ ložný, š. do 3 m, tl. 5 cm</t>
  </si>
  <si>
    <t>Lemování z Ti Zn komínů, hladká krytina, v ploše</t>
  </si>
  <si>
    <t>Nátěr nebo nástřik stěn vnějších, složitost 1 - 2</t>
  </si>
  <si>
    <t>Označení svodu štítky, smaltované, umělá hmota</t>
  </si>
  <si>
    <t>Žlaby Ti Zn plech, podokapní půlkruhové, rš 500 mm</t>
  </si>
  <si>
    <t xml:space="preserve"> </t>
  </si>
  <si>
    <t>764554401R00</t>
  </si>
  <si>
    <t>764367801R00</t>
  </si>
  <si>
    <t>Objednatel</t>
  </si>
  <si>
    <t>57</t>
  </si>
  <si>
    <t>764359811R00</t>
  </si>
  <si>
    <t>(Kč)</t>
  </si>
  <si>
    <t>Územní vlivy</t>
  </si>
  <si>
    <t>m3</t>
  </si>
  <si>
    <t>Trubková vedení, krabice, svorkovnice</t>
  </si>
  <si>
    <t>Demontáž žlabů půlkruh. rovných, rš 330 mm, do 45°</t>
  </si>
  <si>
    <t>Datum:</t>
  </si>
  <si>
    <t>91_</t>
  </si>
  <si>
    <t>Kotlík kónický z pl.Ti-Zn pro trouby D do 150 mm</t>
  </si>
  <si>
    <t>m2</t>
  </si>
  <si>
    <t>Oplechování vikýře z Pz, plochy do 6 m2, do 45°</t>
  </si>
  <si>
    <t>Přesun hmot a sutí</t>
  </si>
  <si>
    <t>NUS z rozpočtu</t>
  </si>
  <si>
    <t>762085153R00</t>
  </si>
  <si>
    <t>998225111R00</t>
  </si>
  <si>
    <t>1</t>
  </si>
  <si>
    <t>210220002RT2</t>
  </si>
  <si>
    <t>7</t>
  </si>
  <si>
    <t>Rozměry</t>
  </si>
  <si>
    <t>210220302RT6</t>
  </si>
  <si>
    <t>Položek:</t>
  </si>
  <si>
    <t>NUS celkem</t>
  </si>
  <si>
    <t>WORK</t>
  </si>
  <si>
    <t>979082111R00</t>
  </si>
  <si>
    <t>režné tašky kulatý řez, vč. doplňkových tašek</t>
  </si>
  <si>
    <t>Řezání stávajícího živičného krytu tl. 10 - 15 cm</t>
  </si>
  <si>
    <t>Demontáž oplechování stěn plechy šroubovanými</t>
  </si>
  <si>
    <t>Ostatní rozpočtové náklady ORN</t>
  </si>
  <si>
    <t>HSV mat</t>
  </si>
  <si>
    <t>Kč</t>
  </si>
  <si>
    <t>M21_</t>
  </si>
  <si>
    <t>Demontáž závětrné lišty, rš 250 a 330 mm, do 45°</t>
  </si>
  <si>
    <t>56_</t>
  </si>
  <si>
    <t>Celkem VRN</t>
  </si>
  <si>
    <t>Konstrukce tesařské</t>
  </si>
  <si>
    <t>Ostatní rozpočtové náklady (ORN)</t>
  </si>
  <si>
    <t>Celkem DN</t>
  </si>
  <si>
    <t>včetně dodávky desky ZD 02</t>
  </si>
  <si>
    <t>tašky kulatý řez, režná</t>
  </si>
  <si>
    <t>764892310R00</t>
  </si>
  <si>
    <t>Přesun hmot pro tesařské konstrukce, výšky do 12 m</t>
  </si>
  <si>
    <t>Zkrácený popis</t>
  </si>
  <si>
    <t>220890202R00</t>
  </si>
  <si>
    <t>Poplatek za uložení směsi betonu a cihel skupina 170101 a 170102</t>
  </si>
  <si>
    <t>210220431R00</t>
  </si>
  <si>
    <t>Úprava napojení svodů na dešťovou kanalizaci</t>
  </si>
  <si>
    <t>CELK</t>
  </si>
  <si>
    <t>M22_</t>
  </si>
  <si>
    <t>94_</t>
  </si>
  <si>
    <t>Beton asfalt. ACO 11+ obrusný, š. do 3 m, tl. 4 cm</t>
  </si>
  <si>
    <t>Prorážení otvorů a ostatní bourací práce</t>
  </si>
  <si>
    <t>62</t>
  </si>
  <si>
    <t>Doplňkové náklady DN</t>
  </si>
  <si>
    <t>978015221R00</t>
  </si>
  <si>
    <t>Oprava vnějších omítek vápen. štuk. II, do 10 %</t>
  </si>
  <si>
    <t>210220101RU2</t>
  </si>
  <si>
    <t>764247440R00</t>
  </si>
  <si>
    <t>941941831R00</t>
  </si>
  <si>
    <t>765799315R00</t>
  </si>
  <si>
    <t>Náklady (Kč) - Montáž</t>
  </si>
  <si>
    <t>včetně dodávky svorky SZ</t>
  </si>
  <si>
    <t>Vnitřní kanalizace</t>
  </si>
  <si>
    <t>Projektový servis Chrudim, spol. s r. o.</t>
  </si>
  <si>
    <t>72048972/CZ72048972</t>
  </si>
  <si>
    <t>46504401/CZ46504401</t>
  </si>
  <si>
    <t>Národní hřebčín Kladruby nad Labem</t>
  </si>
  <si>
    <t>kat. úz. Licibořice parc. č. st. 39, 786/12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</si>
</sst>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  <numFmt numFmtId="172" formatCode="[$-405]dddd\ d\.\ mmmm\ yyyy"/>
  </numFmts>
  <fonts count="58">
    <font>
      <sz val="8"/>
      <name val="Arial"/>
      <family val="0"/>
    </font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b/>
      <sz val="12"/>
      <color indexed="8"/>
      <name val="Arial"/>
      <family val="0"/>
    </font>
    <font>
      <b/>
      <sz val="20"/>
      <color indexed="8"/>
      <name val="Arial"/>
      <family val="0"/>
    </font>
    <font>
      <i/>
      <sz val="8"/>
      <color indexed="8"/>
      <name val="Arial"/>
      <family val="0"/>
    </font>
    <font>
      <i/>
      <sz val="10"/>
      <color indexed="8"/>
      <name val="Arial"/>
      <family val="0"/>
    </font>
    <font>
      <sz val="18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2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800000"/>
      <name val="Arial"/>
      <family val="0"/>
    </font>
    <font>
      <b/>
      <sz val="12"/>
      <color rgb="FF000000"/>
      <name val="Arial"/>
      <family val="0"/>
    </font>
    <font>
      <b/>
      <sz val="20"/>
      <color rgb="FF000000"/>
      <name val="Arial"/>
      <family val="0"/>
    </font>
    <font>
      <i/>
      <sz val="8"/>
      <color rgb="FF000000"/>
      <name val="Arial"/>
      <family val="0"/>
    </font>
    <font>
      <i/>
      <sz val="10"/>
      <color rgb="FF000000"/>
      <name val="Arial"/>
      <family val="0"/>
    </font>
    <font>
      <sz val="18"/>
      <color rgb="FF000000"/>
      <name val="Arial"/>
      <family val="0"/>
    </font>
    <font>
      <b/>
      <sz val="18"/>
      <color rgb="FF000000"/>
      <name val="Arial"/>
      <family val="0"/>
    </font>
    <font>
      <b/>
      <sz val="11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/>
      <bottom style="medium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>
        <color rgb="FF000000"/>
      </top>
      <bottom/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6">
    <xf numFmtId="0" fontId="1" fillId="0" borderId="0" xfId="0" applyNumberFormat="1" applyFont="1" applyFill="1" applyBorder="1" applyAlignment="1" applyProtection="1">
      <alignment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4" fontId="48" fillId="0" borderId="11" xfId="0" applyNumberFormat="1" applyFont="1" applyFill="1" applyBorder="1" applyAlignment="1" applyProtection="1">
      <alignment horizontal="right" vertical="center"/>
      <protection/>
    </xf>
    <xf numFmtId="4" fontId="48" fillId="0" borderId="12" xfId="0" applyNumberFormat="1" applyFont="1" applyFill="1" applyBorder="1" applyAlignment="1" applyProtection="1">
      <alignment horizontal="right" vertical="center"/>
      <protection/>
    </xf>
    <xf numFmtId="4" fontId="49" fillId="0" borderId="0" xfId="0" applyNumberFormat="1" applyFont="1" applyFill="1" applyBorder="1" applyAlignment="1" applyProtection="1">
      <alignment horizontal="right" vertical="center"/>
      <protection/>
    </xf>
    <xf numFmtId="4" fontId="49" fillId="0" borderId="13" xfId="0" applyNumberFormat="1" applyFont="1" applyFill="1" applyBorder="1" applyAlignment="1" applyProtection="1">
      <alignment horizontal="right" vertical="center"/>
      <protection/>
    </xf>
    <xf numFmtId="4" fontId="48" fillId="0" borderId="14" xfId="0" applyNumberFormat="1" applyFont="1" applyFill="1" applyBorder="1" applyAlignment="1" applyProtection="1">
      <alignment horizontal="right" vertical="center"/>
      <protection/>
    </xf>
    <xf numFmtId="4" fontId="50" fillId="0" borderId="15" xfId="0" applyNumberFormat="1" applyFont="1" applyFill="1" applyBorder="1" applyAlignment="1" applyProtection="1">
      <alignment horizontal="right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16" xfId="0" applyNumberFormat="1" applyFont="1" applyFill="1" applyBorder="1" applyAlignment="1" applyProtection="1">
      <alignment horizontal="center" vertical="center"/>
      <protection/>
    </xf>
    <xf numFmtId="0" fontId="51" fillId="0" borderId="17" xfId="0" applyNumberFormat="1" applyFont="1" applyFill="1" applyBorder="1" applyAlignment="1" applyProtection="1">
      <alignment horizontal="left" vertical="center"/>
      <protection/>
    </xf>
    <xf numFmtId="0" fontId="50" fillId="0" borderId="12" xfId="0" applyNumberFormat="1" applyFont="1" applyFill="1" applyBorder="1" applyAlignment="1" applyProtection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18" xfId="0" applyNumberFormat="1" applyFont="1" applyFill="1" applyBorder="1" applyAlignment="1" applyProtection="1">
      <alignment horizontal="center" vertical="center"/>
      <protection/>
    </xf>
    <xf numFmtId="0" fontId="50" fillId="0" borderId="19" xfId="0" applyNumberFormat="1" applyFont="1" applyFill="1" applyBorder="1" applyAlignment="1" applyProtection="1">
      <alignment horizontal="left" vertical="center"/>
      <protection/>
    </xf>
    <xf numFmtId="0" fontId="49" fillId="0" borderId="20" xfId="0" applyNumberFormat="1" applyFont="1" applyFill="1" applyBorder="1" applyAlignment="1" applyProtection="1">
      <alignment horizontal="center" vertical="center"/>
      <protection/>
    </xf>
    <xf numFmtId="4" fontId="51" fillId="33" borderId="14" xfId="0" applyNumberFormat="1" applyFont="1" applyFill="1" applyBorder="1" applyAlignment="1" applyProtection="1">
      <alignment horizontal="right" vertical="center"/>
      <protection/>
    </xf>
    <xf numFmtId="0" fontId="51" fillId="0" borderId="21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right" vertical="center"/>
      <protection/>
    </xf>
    <xf numFmtId="0" fontId="50" fillId="0" borderId="14" xfId="0" applyNumberFormat="1" applyFont="1" applyFill="1" applyBorder="1" applyAlignment="1" applyProtection="1">
      <alignment horizontal="right" vertical="center"/>
      <protection/>
    </xf>
    <xf numFmtId="0" fontId="49" fillId="0" borderId="22" xfId="0" applyNumberFormat="1" applyFont="1" applyFill="1" applyBorder="1" applyAlignment="1" applyProtection="1">
      <alignment horizontal="center" vertical="center"/>
      <protection/>
    </xf>
    <xf numFmtId="0" fontId="50" fillId="0" borderId="23" xfId="0" applyNumberFormat="1" applyFont="1" applyFill="1" applyBorder="1" applyAlignment="1" applyProtection="1">
      <alignment horizontal="left" vertical="center"/>
      <protection/>
    </xf>
    <xf numFmtId="4" fontId="47" fillId="0" borderId="12" xfId="0" applyNumberFormat="1" applyFont="1" applyFill="1" applyBorder="1" applyAlignment="1" applyProtection="1">
      <alignment horizontal="right" vertical="center"/>
      <protection/>
    </xf>
    <xf numFmtId="0" fontId="47" fillId="0" borderId="12" xfId="0" applyNumberFormat="1" applyFont="1" applyFill="1" applyBorder="1" applyAlignment="1" applyProtection="1">
      <alignment horizontal="right" vertical="center"/>
      <protection/>
    </xf>
    <xf numFmtId="0" fontId="48" fillId="0" borderId="12" xfId="0" applyNumberFormat="1" applyFont="1" applyFill="1" applyBorder="1" applyAlignment="1" applyProtection="1">
      <alignment horizontal="right" vertical="center"/>
      <protection/>
    </xf>
    <xf numFmtId="0" fontId="52" fillId="33" borderId="11" xfId="0" applyNumberFormat="1" applyFont="1" applyFill="1" applyBorder="1" applyAlignment="1" applyProtection="1">
      <alignment horizontal="center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4" fontId="48" fillId="0" borderId="10" xfId="0" applyNumberFormat="1" applyFont="1" applyFill="1" applyBorder="1" applyAlignment="1" applyProtection="1">
      <alignment horizontal="right" vertical="center"/>
      <protection/>
    </xf>
    <xf numFmtId="0" fontId="49" fillId="0" borderId="24" xfId="0" applyNumberFormat="1" applyFont="1" applyFill="1" applyBorder="1" applyAlignment="1" applyProtection="1">
      <alignment horizontal="right" vertical="center"/>
      <protection/>
    </xf>
    <xf numFmtId="0" fontId="49" fillId="33" borderId="12" xfId="0" applyNumberFormat="1" applyFont="1" applyFill="1" applyBorder="1" applyAlignment="1" applyProtection="1">
      <alignment horizontal="right" vertical="center"/>
      <protection/>
    </xf>
    <xf numFmtId="4" fontId="47" fillId="0" borderId="14" xfId="0" applyNumberFormat="1" applyFont="1" applyFill="1" applyBorder="1" applyAlignment="1" applyProtection="1">
      <alignment horizontal="right" vertical="center"/>
      <protection/>
    </xf>
    <xf numFmtId="4" fontId="50" fillId="0" borderId="0" xfId="0" applyNumberFormat="1" applyFont="1" applyFill="1" applyBorder="1" applyAlignment="1" applyProtection="1">
      <alignment horizontal="right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25" xfId="0" applyNumberFormat="1" applyFont="1" applyFill="1" applyBorder="1" applyAlignment="1" applyProtection="1">
      <alignment horizontal="left" vertical="center"/>
      <protection/>
    </xf>
    <xf numFmtId="0" fontId="49" fillId="0" borderId="13" xfId="0" applyNumberFormat="1" applyFont="1" applyFill="1" applyBorder="1" applyAlignment="1" applyProtection="1">
      <alignment horizontal="right" vertical="center"/>
      <protection/>
    </xf>
    <xf numFmtId="4" fontId="49" fillId="33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26" xfId="0" applyNumberFormat="1" applyFont="1" applyFill="1" applyBorder="1" applyAlignment="1" applyProtection="1">
      <alignment horizontal="center" vertical="center"/>
      <protection/>
    </xf>
    <xf numFmtId="0" fontId="52" fillId="33" borderId="27" xfId="0" applyNumberFormat="1" applyFont="1" applyFill="1" applyBorder="1" applyAlignment="1" applyProtection="1">
      <alignment horizontal="center" vertical="center"/>
      <protection/>
    </xf>
    <xf numFmtId="0" fontId="49" fillId="33" borderId="0" xfId="0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" fontId="51" fillId="33" borderId="11" xfId="0" applyNumberFormat="1" applyFont="1" applyFill="1" applyBorder="1" applyAlignment="1" applyProtection="1">
      <alignment horizontal="right" vertical="center"/>
      <protection/>
    </xf>
    <xf numFmtId="0" fontId="49" fillId="0" borderId="28" xfId="0" applyNumberFormat="1" applyFont="1" applyFill="1" applyBorder="1" applyAlignment="1" applyProtection="1">
      <alignment horizontal="center" vertical="center"/>
      <protection/>
    </xf>
    <xf numFmtId="0" fontId="47" fillId="33" borderId="19" xfId="0" applyNumberFormat="1" applyFont="1" applyFill="1" applyBorder="1" applyAlignment="1" applyProtection="1">
      <alignment horizontal="left" vertical="center"/>
      <protection/>
    </xf>
    <xf numFmtId="0" fontId="47" fillId="0" borderId="19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49" fillId="0" borderId="28" xfId="0" applyNumberFormat="1" applyFont="1" applyFill="1" applyBorder="1" applyAlignment="1" applyProtection="1">
      <alignment horizontal="lef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9" fillId="0" borderId="13" xfId="0" applyNumberFormat="1" applyFont="1" applyFill="1" applyBorder="1" applyAlignment="1" applyProtection="1">
      <alignment horizontal="left" vertical="center"/>
      <protection/>
    </xf>
    <xf numFmtId="0" fontId="49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49" fillId="0" borderId="31" xfId="0" applyNumberFormat="1" applyFont="1" applyFill="1" applyBorder="1" applyAlignment="1" applyProtection="1">
      <alignment horizontal="center" vertical="center"/>
      <protection/>
    </xf>
    <xf numFmtId="0" fontId="49" fillId="0" borderId="29" xfId="0" applyNumberFormat="1" applyFont="1" applyFill="1" applyBorder="1" applyAlignment="1" applyProtection="1">
      <alignment horizontal="center" vertical="center"/>
      <protection/>
    </xf>
    <xf numFmtId="0" fontId="49" fillId="0" borderId="32" xfId="0" applyNumberFormat="1" applyFont="1" applyFill="1" applyBorder="1" applyAlignment="1" applyProtection="1">
      <alignment horizontal="center" vertical="center"/>
      <protection/>
    </xf>
    <xf numFmtId="4" fontId="50" fillId="0" borderId="0" xfId="0" applyNumberFormat="1" applyFont="1" applyFill="1" applyBorder="1" applyAlignment="1" applyProtection="1">
      <alignment horizontal="right" vertical="center"/>
      <protection locked="0"/>
    </xf>
    <xf numFmtId="4" fontId="47" fillId="0" borderId="0" xfId="0" applyNumberFormat="1" applyFont="1" applyFill="1" applyBorder="1" applyAlignment="1" applyProtection="1">
      <alignment horizontal="right" vertical="center"/>
      <protection locked="0"/>
    </xf>
    <xf numFmtId="4" fontId="50" fillId="0" borderId="15" xfId="0" applyNumberFormat="1" applyFont="1" applyFill="1" applyBorder="1" applyAlignment="1" applyProtection="1">
      <alignment horizontal="right" vertical="center"/>
      <protection locked="0"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33" xfId="0" applyNumberFormat="1" applyFont="1" applyFill="1" applyBorder="1" applyAlignment="1" applyProtection="1">
      <alignment horizontal="left" vertical="center" wrapText="1"/>
      <protection/>
    </xf>
    <xf numFmtId="0" fontId="47" fillId="0" borderId="34" xfId="0" applyNumberFormat="1" applyFont="1" applyFill="1" applyBorder="1" applyAlignment="1" applyProtection="1">
      <alignment horizontal="left" vertical="center"/>
      <protection/>
    </xf>
    <xf numFmtId="0" fontId="47" fillId="0" borderId="19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9" xfId="0" applyNumberFormat="1" applyFont="1" applyFill="1" applyBorder="1" applyAlignment="1" applyProtection="1">
      <alignment horizontal="left" vertical="center" wrapText="1"/>
      <protection/>
    </xf>
    <xf numFmtId="0" fontId="47" fillId="0" borderId="34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14" fontId="47" fillId="0" borderId="34" xfId="0" applyNumberFormat="1" applyFont="1" applyFill="1" applyBorder="1" applyAlignment="1" applyProtection="1">
      <alignment horizontal="left" vertical="center"/>
      <protection/>
    </xf>
    <xf numFmtId="14" fontId="47" fillId="0" borderId="0" xfId="0" applyNumberFormat="1" applyFont="1" applyFill="1" applyBorder="1" applyAlignment="1" applyProtection="1">
      <alignment horizontal="left" vertical="center"/>
      <protection/>
    </xf>
    <xf numFmtId="14" fontId="47" fillId="0" borderId="0" xfId="0" applyNumberFormat="1" applyFont="1" applyFill="1" applyBorder="1" applyAlignment="1" applyProtection="1">
      <alignment horizontal="left" vertical="center"/>
      <protection locked="0"/>
    </xf>
    <xf numFmtId="0" fontId="47" fillId="0" borderId="34" xfId="0" applyNumberFormat="1" applyFont="1" applyFill="1" applyBorder="1" applyAlignment="1" applyProtection="1">
      <alignment horizontal="left" vertical="center" wrapText="1"/>
      <protection/>
    </xf>
    <xf numFmtId="0" fontId="47" fillId="0" borderId="35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0" xfId="0" applyNumberFormat="1" applyFont="1" applyFill="1" applyBorder="1" applyAlignment="1" applyProtection="1">
      <alignment horizontal="left" vertical="center"/>
      <protection locked="0"/>
    </xf>
    <xf numFmtId="0" fontId="47" fillId="0" borderId="12" xfId="0" applyNumberFormat="1" applyFont="1" applyFill="1" applyBorder="1" applyAlignment="1" applyProtection="1">
      <alignment horizontal="left" vertical="center"/>
      <protection locked="0"/>
    </xf>
    <xf numFmtId="0" fontId="49" fillId="0" borderId="26" xfId="0" applyNumberFormat="1" applyFont="1" applyFill="1" applyBorder="1" applyAlignment="1" applyProtection="1">
      <alignment horizontal="left" vertical="center"/>
      <protection/>
    </xf>
    <xf numFmtId="0" fontId="49" fillId="0" borderId="28" xfId="0" applyNumberFormat="1" applyFont="1" applyFill="1" applyBorder="1" applyAlignment="1" applyProtection="1">
      <alignment horizontal="left" vertical="center"/>
      <protection/>
    </xf>
    <xf numFmtId="0" fontId="49" fillId="0" borderId="34" xfId="0" applyNumberFormat="1" applyFont="1" applyFill="1" applyBorder="1" applyAlignment="1" applyProtection="1">
      <alignment horizontal="left" vertical="center" wrapText="1"/>
      <protection/>
    </xf>
    <xf numFmtId="0" fontId="49" fillId="0" borderId="34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36" xfId="0" applyNumberFormat="1" applyFont="1" applyFill="1" applyBorder="1" applyAlignment="1" applyProtection="1">
      <alignment horizontal="center" vertical="center"/>
      <protection/>
    </xf>
    <xf numFmtId="0" fontId="49" fillId="0" borderId="37" xfId="0" applyNumberFormat="1" applyFont="1" applyFill="1" applyBorder="1" applyAlignment="1" applyProtection="1">
      <alignment horizontal="center" vertical="center"/>
      <protection/>
    </xf>
    <xf numFmtId="0" fontId="49" fillId="0" borderId="24" xfId="0" applyNumberFormat="1" applyFont="1" applyFill="1" applyBorder="1" applyAlignment="1" applyProtection="1">
      <alignment horizontal="center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/>
      <protection/>
    </xf>
    <xf numFmtId="0" fontId="54" fillId="0" borderId="12" xfId="0" applyNumberFormat="1" applyFont="1" applyFill="1" applyBorder="1" applyAlignment="1" applyProtection="1">
      <alignment horizontal="left" vertical="center"/>
      <protection/>
    </xf>
    <xf numFmtId="0" fontId="50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35" xfId="0" applyNumberFormat="1" applyFont="1" applyFill="1" applyBorder="1" applyAlignment="1" applyProtection="1">
      <alignment horizontal="left" vertical="center" wrapText="1"/>
      <protection/>
    </xf>
    <xf numFmtId="0" fontId="47" fillId="0" borderId="12" xfId="0" applyNumberFormat="1" applyFont="1" applyFill="1" applyBorder="1" applyAlignment="1" applyProtection="1">
      <alignment horizontal="left" vertical="center" wrapText="1"/>
      <protection/>
    </xf>
    <xf numFmtId="0" fontId="49" fillId="0" borderId="38" xfId="0" applyNumberFormat="1" applyFont="1" applyFill="1" applyBorder="1" applyAlignment="1" applyProtection="1">
      <alignment horizontal="left" vertical="center"/>
      <protection/>
    </xf>
    <xf numFmtId="0" fontId="49" fillId="0" borderId="29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23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14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35" xfId="0" applyNumberFormat="1" applyFont="1" applyFill="1" applyBorder="1" applyAlignment="1" applyProtection="1">
      <alignment horizontal="lef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1" fontId="47" fillId="0" borderId="12" xfId="0" applyNumberFormat="1" applyFont="1" applyFill="1" applyBorder="1" applyAlignment="1" applyProtection="1">
      <alignment horizontal="left" vertical="center"/>
      <protection/>
    </xf>
    <xf numFmtId="14" fontId="47" fillId="0" borderId="12" xfId="0" applyNumberFormat="1" applyFont="1" applyFill="1" applyBorder="1" applyAlignment="1" applyProtection="1">
      <alignment horizontal="left" vertical="center" wrapText="1"/>
      <protection/>
    </xf>
    <xf numFmtId="14" fontId="47" fillId="0" borderId="14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39" xfId="0" applyNumberFormat="1" applyFont="1" applyFill="1" applyBorder="1" applyAlignment="1" applyProtection="1">
      <alignment horizontal="left" vertical="center"/>
      <protection/>
    </xf>
    <xf numFmtId="0" fontId="57" fillId="0" borderId="11" xfId="0" applyNumberFormat="1" applyFont="1" applyFill="1" applyBorder="1" applyAlignment="1" applyProtection="1">
      <alignment horizontal="left" vertical="center"/>
      <protection/>
    </xf>
    <xf numFmtId="0" fontId="51" fillId="0" borderId="23" xfId="0" applyNumberFormat="1" applyFont="1" applyFill="1" applyBorder="1" applyAlignment="1" applyProtection="1">
      <alignment horizontal="left" vertical="center"/>
      <protection/>
    </xf>
    <xf numFmtId="0" fontId="51" fillId="0" borderId="14" xfId="0" applyNumberFormat="1" applyFont="1" applyFill="1" applyBorder="1" applyAlignment="1" applyProtection="1">
      <alignment horizontal="left" vertical="center"/>
      <protection/>
    </xf>
    <xf numFmtId="0" fontId="51" fillId="0" borderId="19" xfId="0" applyNumberFormat="1" applyFont="1" applyFill="1" applyBorder="1" applyAlignment="1" applyProtection="1">
      <alignment horizontal="left" vertical="center"/>
      <protection/>
    </xf>
    <xf numFmtId="0" fontId="51" fillId="0" borderId="12" xfId="0" applyNumberFormat="1" applyFont="1" applyFill="1" applyBorder="1" applyAlignment="1" applyProtection="1">
      <alignment horizontal="left" vertical="center"/>
      <protection/>
    </xf>
    <xf numFmtId="0" fontId="51" fillId="0" borderId="40" xfId="0" applyNumberFormat="1" applyFont="1" applyFill="1" applyBorder="1" applyAlignment="1" applyProtection="1">
      <alignment horizontal="left" vertical="center"/>
      <protection/>
    </xf>
    <xf numFmtId="0" fontId="51" fillId="0" borderId="11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12" xfId="0" applyNumberFormat="1" applyFont="1" applyFill="1" applyBorder="1" applyAlignment="1" applyProtection="1">
      <alignment horizontal="left" vertical="center"/>
      <protection/>
    </xf>
    <xf numFmtId="0" fontId="51" fillId="0" borderId="39" xfId="0" applyNumberFormat="1" applyFont="1" applyFill="1" applyBorder="1" applyAlignment="1" applyProtection="1">
      <alignment horizontal="left" vertical="center"/>
      <protection/>
    </xf>
    <xf numFmtId="0" fontId="51" fillId="0" borderId="15" xfId="0" applyNumberFormat="1" applyFont="1" applyFill="1" applyBorder="1" applyAlignment="1" applyProtection="1">
      <alignment horizontal="left" vertical="center"/>
      <protection/>
    </xf>
    <xf numFmtId="0" fontId="51" fillId="33" borderId="40" xfId="0" applyNumberFormat="1" applyFont="1" applyFill="1" applyBorder="1" applyAlignment="1" applyProtection="1">
      <alignment horizontal="left" vertical="center"/>
      <protection/>
    </xf>
    <xf numFmtId="0" fontId="51" fillId="33" borderId="39" xfId="0" applyNumberFormat="1" applyFont="1" applyFill="1" applyBorder="1" applyAlignment="1" applyProtection="1">
      <alignment horizontal="left" vertical="center"/>
      <protection/>
    </xf>
    <xf numFmtId="0" fontId="51" fillId="33" borderId="23" xfId="0" applyNumberFormat="1" applyFont="1" applyFill="1" applyBorder="1" applyAlignment="1" applyProtection="1">
      <alignment horizontal="left" vertical="center"/>
      <protection/>
    </xf>
    <xf numFmtId="0" fontId="51" fillId="33" borderId="15" xfId="0" applyNumberFormat="1" applyFont="1" applyFill="1" applyBorder="1" applyAlignment="1" applyProtection="1">
      <alignment horizontal="left" vertical="center"/>
      <protection/>
    </xf>
    <xf numFmtId="0" fontId="48" fillId="0" borderId="41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22" xfId="0" applyNumberFormat="1" applyFont="1" applyFill="1" applyBorder="1" applyAlignment="1" applyProtection="1">
      <alignment horizontal="left" vertical="center"/>
      <protection/>
    </xf>
    <xf numFmtId="0" fontId="48" fillId="0" borderId="26" xfId="0" applyNumberFormat="1" applyFont="1" applyFill="1" applyBorder="1" applyAlignment="1" applyProtection="1">
      <alignment horizontal="left" vertical="center"/>
      <protection/>
    </xf>
    <xf numFmtId="0" fontId="48" fillId="0" borderId="18" xfId="0" applyNumberFormat="1" applyFont="1" applyFill="1" applyBorder="1" applyAlignment="1" applyProtection="1">
      <alignment horizontal="left" vertical="center"/>
      <protection/>
    </xf>
    <xf numFmtId="0" fontId="48" fillId="0" borderId="42" xfId="0" applyNumberFormat="1" applyFont="1" applyFill="1" applyBorder="1" applyAlignment="1" applyProtection="1">
      <alignment horizontal="left" vertical="center"/>
      <protection/>
    </xf>
    <xf numFmtId="0" fontId="48" fillId="0" borderId="43" xfId="0" applyNumberFormat="1" applyFont="1" applyFill="1" applyBorder="1" applyAlignment="1" applyProtection="1">
      <alignment horizontal="left" vertical="center"/>
      <protection/>
    </xf>
    <xf numFmtId="0" fontId="48" fillId="0" borderId="44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36" xfId="0" applyNumberFormat="1" applyFont="1" applyFill="1" applyBorder="1" applyAlignment="1" applyProtection="1">
      <alignment horizontal="left" vertical="center"/>
      <protection/>
    </xf>
    <xf numFmtId="0" fontId="49" fillId="0" borderId="37" xfId="0" applyNumberFormat="1" applyFont="1" applyFill="1" applyBorder="1" applyAlignment="1" applyProtection="1">
      <alignment horizontal="left" vertical="center"/>
      <protection/>
    </xf>
    <xf numFmtId="0" fontId="49" fillId="0" borderId="24" xfId="0" applyNumberFormat="1" applyFont="1" applyFill="1" applyBorder="1" applyAlignment="1" applyProtection="1">
      <alignment horizontal="left" vertical="center"/>
      <protection/>
    </xf>
    <xf numFmtId="0" fontId="49" fillId="0" borderId="45" xfId="0" applyNumberFormat="1" applyFont="1" applyFill="1" applyBorder="1" applyAlignment="1" applyProtection="1">
      <alignment horizontal="left" vertical="center"/>
      <protection/>
    </xf>
    <xf numFmtId="0" fontId="49" fillId="0" borderId="46" xfId="0" applyNumberFormat="1" applyFont="1" applyFill="1" applyBorder="1" applyAlignment="1" applyProtection="1">
      <alignment horizontal="left" vertical="center"/>
      <protection/>
    </xf>
    <xf numFmtId="0" fontId="49" fillId="0" borderId="13" xfId="0" applyNumberFormat="1" applyFont="1" applyFill="1" applyBorder="1" applyAlignment="1" applyProtection="1">
      <alignment horizontal="left" vertical="center"/>
      <protection/>
    </xf>
    <xf numFmtId="0" fontId="51" fillId="0" borderId="45" xfId="0" applyNumberFormat="1" applyFont="1" applyFill="1" applyBorder="1" applyAlignment="1" applyProtection="1">
      <alignment horizontal="left" vertical="center"/>
      <protection/>
    </xf>
    <xf numFmtId="0" fontId="51" fillId="0" borderId="46" xfId="0" applyNumberFormat="1" applyFont="1" applyFill="1" applyBorder="1" applyAlignment="1" applyProtection="1">
      <alignment horizontal="left" vertical="center"/>
      <protection/>
    </xf>
    <xf numFmtId="0" fontId="51" fillId="0" borderId="13" xfId="0" applyNumberFormat="1" applyFont="1" applyFill="1" applyBorder="1" applyAlignment="1" applyProtection="1">
      <alignment horizontal="left" vertical="center"/>
      <protection/>
    </xf>
    <xf numFmtId="4" fontId="51" fillId="0" borderId="46" xfId="0" applyNumberFormat="1" applyFont="1" applyFill="1" applyBorder="1" applyAlignment="1" applyProtection="1">
      <alignment horizontal="right" vertical="center"/>
      <protection/>
    </xf>
    <xf numFmtId="0" fontId="51" fillId="0" borderId="46" xfId="0" applyNumberFormat="1" applyFont="1" applyFill="1" applyBorder="1" applyAlignment="1" applyProtection="1">
      <alignment horizontal="right" vertical="center"/>
      <protection/>
    </xf>
    <xf numFmtId="0" fontId="51" fillId="0" borderId="13" xfId="0" applyNumberFormat="1" applyFont="1" applyFill="1" applyBorder="1" applyAlignment="1" applyProtection="1">
      <alignment horizontal="righ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0</xdr:row>
      <xdr:rowOff>666750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57150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6"/>
  <sheetViews>
    <sheetView tabSelected="1" showOutlineSymbols="0" zoomScalePageLayoutView="0" workbookViewId="0" topLeftCell="A1">
      <pane ySplit="11" topLeftCell="A12" activePane="bottomLeft" state="frozen"/>
      <selection pane="topLeft" activeCell="A150" sqref="A150:M150"/>
      <selection pane="bottomLeft" activeCell="J6" sqref="J6:M7"/>
    </sheetView>
  </sheetViews>
  <sheetFormatPr defaultColWidth="14.16015625" defaultRowHeight="15" customHeight="1"/>
  <cols>
    <col min="1" max="1" width="4.66015625" style="0" customWidth="1"/>
    <col min="2" max="2" width="20.83203125" style="0" customWidth="1"/>
    <col min="3" max="3" width="1.66796875" style="0" customWidth="1"/>
    <col min="4" max="4" width="69.5" style="0" customWidth="1"/>
    <col min="5" max="6" width="14.16015625" style="0" customWidth="1"/>
    <col min="7" max="7" width="5" style="0" customWidth="1"/>
    <col min="8" max="8" width="15" style="0" customWidth="1"/>
    <col min="9" max="9" width="14" style="0" customWidth="1"/>
    <col min="10" max="12" width="18.33203125" style="0" customWidth="1"/>
    <col min="13" max="13" width="13.66015625" style="0" customWidth="1"/>
    <col min="14" max="24" width="14.16015625" style="0" customWidth="1"/>
    <col min="25" max="64" width="14.16015625" style="0" hidden="1" customWidth="1"/>
  </cols>
  <sheetData>
    <row r="1" spans="1:13" ht="54.75" customHeight="1">
      <c r="A1" s="67" t="s">
        <v>325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" customHeight="1">
      <c r="A2" s="68" t="s">
        <v>21</v>
      </c>
      <c r="B2" s="69"/>
      <c r="C2" s="88" t="s">
        <v>195</v>
      </c>
      <c r="D2" s="89"/>
      <c r="E2" s="69" t="s">
        <v>0</v>
      </c>
      <c r="F2" s="69"/>
      <c r="G2" s="76" t="s">
        <v>332</v>
      </c>
      <c r="H2" s="76"/>
      <c r="I2" s="73" t="s">
        <v>305</v>
      </c>
      <c r="J2" s="79" t="s">
        <v>402</v>
      </c>
      <c r="K2" s="69"/>
      <c r="L2" s="69"/>
      <c r="M2" s="80"/>
    </row>
    <row r="3" spans="1:13" ht="15" customHeight="1">
      <c r="A3" s="70"/>
      <c r="B3" s="71"/>
      <c r="C3" s="90"/>
      <c r="D3" s="90"/>
      <c r="E3" s="71"/>
      <c r="F3" s="71"/>
      <c r="G3" s="77"/>
      <c r="H3" s="77"/>
      <c r="I3" s="71"/>
      <c r="J3" s="71"/>
      <c r="K3" s="71"/>
      <c r="L3" s="71"/>
      <c r="M3" s="81"/>
    </row>
    <row r="4" spans="1:13" ht="15" customHeight="1">
      <c r="A4" s="72" t="s">
        <v>205</v>
      </c>
      <c r="B4" s="71"/>
      <c r="C4" s="74" t="s">
        <v>63</v>
      </c>
      <c r="D4" s="71"/>
      <c r="E4" s="71" t="s">
        <v>316</v>
      </c>
      <c r="F4" s="71"/>
      <c r="G4" s="77"/>
      <c r="H4" s="77"/>
      <c r="I4" s="74" t="s">
        <v>249</v>
      </c>
      <c r="J4" s="82" t="s">
        <v>399</v>
      </c>
      <c r="K4" s="71"/>
      <c r="L4" s="71"/>
      <c r="M4" s="81"/>
    </row>
    <row r="5" spans="1:13" ht="15" customHeight="1">
      <c r="A5" s="70"/>
      <c r="B5" s="71"/>
      <c r="C5" s="71"/>
      <c r="D5" s="71"/>
      <c r="E5" s="71"/>
      <c r="F5" s="71"/>
      <c r="G5" s="77"/>
      <c r="H5" s="77"/>
      <c r="I5" s="71"/>
      <c r="J5" s="71"/>
      <c r="K5" s="71"/>
      <c r="L5" s="71"/>
      <c r="M5" s="81"/>
    </row>
    <row r="6" spans="1:13" ht="15" customHeight="1">
      <c r="A6" s="72" t="s">
        <v>30</v>
      </c>
      <c r="B6" s="71"/>
      <c r="C6" s="75" t="s">
        <v>403</v>
      </c>
      <c r="D6" s="71"/>
      <c r="E6" s="71" t="s">
        <v>118</v>
      </c>
      <c r="F6" s="71"/>
      <c r="G6" s="77" t="s">
        <v>332</v>
      </c>
      <c r="H6" s="77"/>
      <c r="I6" s="74" t="s">
        <v>313</v>
      </c>
      <c r="J6" s="83"/>
      <c r="K6" s="84"/>
      <c r="L6" s="84"/>
      <c r="M6" s="85"/>
    </row>
    <row r="7" spans="1:13" ht="15" customHeight="1">
      <c r="A7" s="70"/>
      <c r="B7" s="71"/>
      <c r="C7" s="71"/>
      <c r="D7" s="71"/>
      <c r="E7" s="71"/>
      <c r="F7" s="71"/>
      <c r="G7" s="77"/>
      <c r="H7" s="77"/>
      <c r="I7" s="71"/>
      <c r="J7" s="84"/>
      <c r="K7" s="84"/>
      <c r="L7" s="84"/>
      <c r="M7" s="85"/>
    </row>
    <row r="8" spans="1:13" ht="15" customHeight="1">
      <c r="A8" s="72" t="s">
        <v>181</v>
      </c>
      <c r="B8" s="71"/>
      <c r="C8" s="74" t="s">
        <v>332</v>
      </c>
      <c r="D8" s="71"/>
      <c r="E8" s="71" t="s">
        <v>209</v>
      </c>
      <c r="F8" s="71"/>
      <c r="G8" s="78"/>
      <c r="H8" s="78"/>
      <c r="I8" s="74" t="s">
        <v>243</v>
      </c>
      <c r="J8" s="71" t="s">
        <v>178</v>
      </c>
      <c r="K8" s="71"/>
      <c r="L8" s="71"/>
      <c r="M8" s="81"/>
    </row>
    <row r="9" spans="1:13" ht="15" customHeight="1">
      <c r="A9" s="70"/>
      <c r="B9" s="71"/>
      <c r="C9" s="71"/>
      <c r="D9" s="71"/>
      <c r="E9" s="71"/>
      <c r="F9" s="71"/>
      <c r="G9" s="78"/>
      <c r="H9" s="78"/>
      <c r="I9" s="71"/>
      <c r="J9" s="71"/>
      <c r="K9" s="71"/>
      <c r="L9" s="71"/>
      <c r="M9" s="81"/>
    </row>
    <row r="10" spans="1:64" ht="15" customHeight="1">
      <c r="A10" s="34" t="s">
        <v>25</v>
      </c>
      <c r="B10" s="52" t="s">
        <v>124</v>
      </c>
      <c r="C10" s="86" t="s">
        <v>251</v>
      </c>
      <c r="D10" s="86"/>
      <c r="E10" s="86"/>
      <c r="F10" s="87"/>
      <c r="G10" s="52" t="s">
        <v>128</v>
      </c>
      <c r="H10" s="46" t="s">
        <v>222</v>
      </c>
      <c r="I10" s="40" t="s">
        <v>115</v>
      </c>
      <c r="J10" s="93" t="s">
        <v>236</v>
      </c>
      <c r="K10" s="94"/>
      <c r="L10" s="95"/>
      <c r="M10" s="13" t="s">
        <v>101</v>
      </c>
      <c r="BK10" s="42" t="s">
        <v>153</v>
      </c>
      <c r="BL10" s="37" t="s">
        <v>198</v>
      </c>
    </row>
    <row r="11" spans="1:62" ht="15" customHeight="1">
      <c r="A11" s="38" t="s">
        <v>332</v>
      </c>
      <c r="B11" s="1" t="s">
        <v>332</v>
      </c>
      <c r="C11" s="91" t="s">
        <v>355</v>
      </c>
      <c r="D11" s="91"/>
      <c r="E11" s="91"/>
      <c r="F11" s="92"/>
      <c r="G11" s="1" t="s">
        <v>332</v>
      </c>
      <c r="H11" s="1" t="s">
        <v>332</v>
      </c>
      <c r="I11" s="9" t="s">
        <v>338</v>
      </c>
      <c r="J11" s="15" t="s">
        <v>16</v>
      </c>
      <c r="K11" s="39" t="s">
        <v>72</v>
      </c>
      <c r="L11" s="20" t="s">
        <v>36</v>
      </c>
      <c r="M11" s="20" t="s">
        <v>92</v>
      </c>
      <c r="Z11" s="42" t="s">
        <v>279</v>
      </c>
      <c r="AA11" s="42" t="s">
        <v>225</v>
      </c>
      <c r="AB11" s="42" t="s">
        <v>365</v>
      </c>
      <c r="AC11" s="42" t="s">
        <v>106</v>
      </c>
      <c r="AD11" s="42" t="s">
        <v>306</v>
      </c>
      <c r="AE11" s="42" t="s">
        <v>137</v>
      </c>
      <c r="AF11" s="42" t="s">
        <v>321</v>
      </c>
      <c r="AG11" s="42" t="s">
        <v>163</v>
      </c>
      <c r="AH11" s="42" t="s">
        <v>99</v>
      </c>
      <c r="BH11" s="42" t="s">
        <v>280</v>
      </c>
      <c r="BI11" s="42" t="s">
        <v>359</v>
      </c>
      <c r="BJ11" s="42" t="s">
        <v>383</v>
      </c>
    </row>
    <row r="12" spans="1:47" ht="15" customHeight="1">
      <c r="A12" s="47" t="s">
        <v>253</v>
      </c>
      <c r="B12" s="53" t="s">
        <v>302</v>
      </c>
      <c r="C12" s="96" t="s">
        <v>206</v>
      </c>
      <c r="D12" s="96"/>
      <c r="E12" s="96"/>
      <c r="F12" s="96"/>
      <c r="G12" s="32" t="s">
        <v>332</v>
      </c>
      <c r="H12" s="32" t="s">
        <v>332</v>
      </c>
      <c r="I12" s="32" t="s">
        <v>332</v>
      </c>
      <c r="J12" s="36">
        <f>SUM(J13:J15)</f>
        <v>0</v>
      </c>
      <c r="K12" s="36">
        <f>SUM(K13:K15)</f>
        <v>0</v>
      </c>
      <c r="L12" s="36">
        <f>SUM(L13:L15)</f>
        <v>0</v>
      </c>
      <c r="M12" s="29" t="s">
        <v>253</v>
      </c>
      <c r="AI12" s="42" t="s">
        <v>253</v>
      </c>
      <c r="AS12" s="36">
        <f>SUM(AJ13:AJ15)</f>
        <v>0</v>
      </c>
      <c r="AT12" s="36">
        <f>SUM(AK13:AK15)</f>
        <v>0</v>
      </c>
      <c r="AU12" s="36">
        <f>SUM(AL13:AL15)</f>
        <v>0</v>
      </c>
    </row>
    <row r="13" spans="1:64" ht="15" customHeight="1">
      <c r="A13" s="14" t="s">
        <v>352</v>
      </c>
      <c r="B13" s="54" t="s">
        <v>296</v>
      </c>
      <c r="C13" s="97" t="s">
        <v>304</v>
      </c>
      <c r="D13" s="97"/>
      <c r="E13" s="97"/>
      <c r="F13" s="97"/>
      <c r="G13" s="54" t="s">
        <v>346</v>
      </c>
      <c r="H13" s="31">
        <v>1.2</v>
      </c>
      <c r="I13" s="64">
        <v>0</v>
      </c>
      <c r="J13" s="31">
        <f>H13*AO13</f>
        <v>0</v>
      </c>
      <c r="K13" s="31">
        <f>H13*AP13</f>
        <v>0</v>
      </c>
      <c r="L13" s="31">
        <f>H13*I13</f>
        <v>0</v>
      </c>
      <c r="M13" s="11" t="s">
        <v>303</v>
      </c>
      <c r="Z13" s="8">
        <f>IF(AQ13="5",BJ13,0)</f>
        <v>0</v>
      </c>
      <c r="AB13" s="8">
        <f>IF(AQ13="1",BH13,0)</f>
        <v>0</v>
      </c>
      <c r="AC13" s="8">
        <f>IF(AQ13="1",BI13,0)</f>
        <v>0</v>
      </c>
      <c r="AD13" s="8">
        <f>IF(AQ13="7",BH13,0)</f>
        <v>0</v>
      </c>
      <c r="AE13" s="8">
        <f>IF(AQ13="7",BI13,0)</f>
        <v>0</v>
      </c>
      <c r="AF13" s="8">
        <f>IF(AQ13="2",BH13,0)</f>
        <v>0</v>
      </c>
      <c r="AG13" s="8">
        <f>IF(AQ13="2",BI13,0)</f>
        <v>0</v>
      </c>
      <c r="AH13" s="8">
        <f>IF(AQ13="0",BJ13,0)</f>
        <v>0</v>
      </c>
      <c r="AI13" s="42" t="s">
        <v>253</v>
      </c>
      <c r="AJ13" s="31">
        <f>IF(AN13=0,L13,0)</f>
        <v>0</v>
      </c>
      <c r="AK13" s="31">
        <f>IF(AN13=15,L13,0)</f>
        <v>0</v>
      </c>
      <c r="AL13" s="31">
        <f>IF(AN13=21,L13,0)</f>
        <v>0</v>
      </c>
      <c r="AN13" s="8">
        <v>21</v>
      </c>
      <c r="AO13" s="8">
        <f>I13*0</f>
        <v>0</v>
      </c>
      <c r="AP13" s="8">
        <f>I13*(1-0)</f>
        <v>0</v>
      </c>
      <c r="AQ13" s="33" t="s">
        <v>352</v>
      </c>
      <c r="AV13" s="8">
        <f>AW13+AX13</f>
        <v>0</v>
      </c>
      <c r="AW13" s="8">
        <f>H13*AO13</f>
        <v>0</v>
      </c>
      <c r="AX13" s="8">
        <f>H13*AP13</f>
        <v>0</v>
      </c>
      <c r="AY13" s="12" t="s">
        <v>41</v>
      </c>
      <c r="AZ13" s="12" t="s">
        <v>42</v>
      </c>
      <c r="BA13" s="42" t="s">
        <v>273</v>
      </c>
      <c r="BC13" s="8">
        <f>AW13+AX13</f>
        <v>0</v>
      </c>
      <c r="BD13" s="8">
        <f>I13/(100-BE13)*100</f>
        <v>0</v>
      </c>
      <c r="BE13" s="8">
        <v>0</v>
      </c>
      <c r="BF13" s="8">
        <f>13</f>
        <v>13</v>
      </c>
      <c r="BH13" s="31">
        <f>H13*AO13</f>
        <v>0</v>
      </c>
      <c r="BI13" s="31">
        <f>H13*AP13</f>
        <v>0</v>
      </c>
      <c r="BJ13" s="31">
        <f>H13*I13</f>
        <v>0</v>
      </c>
      <c r="BK13" s="31"/>
      <c r="BL13" s="8">
        <v>11</v>
      </c>
    </row>
    <row r="14" spans="1:13" ht="13.5" customHeight="1">
      <c r="A14" s="44"/>
      <c r="B14" s="43" t="s">
        <v>29</v>
      </c>
      <c r="C14" s="98" t="s">
        <v>152</v>
      </c>
      <c r="D14" s="99"/>
      <c r="E14" s="99"/>
      <c r="F14" s="99"/>
      <c r="G14" s="99"/>
      <c r="H14" s="99"/>
      <c r="I14" s="99"/>
      <c r="J14" s="99"/>
      <c r="K14" s="99"/>
      <c r="L14" s="99"/>
      <c r="M14" s="100"/>
    </row>
    <row r="15" spans="1:64" ht="15" customHeight="1">
      <c r="A15" s="14" t="s">
        <v>248</v>
      </c>
      <c r="B15" s="54" t="s">
        <v>100</v>
      </c>
      <c r="C15" s="97" t="s">
        <v>75</v>
      </c>
      <c r="D15" s="97"/>
      <c r="E15" s="97"/>
      <c r="F15" s="97"/>
      <c r="G15" s="54" t="s">
        <v>346</v>
      </c>
      <c r="H15" s="31">
        <v>1.2</v>
      </c>
      <c r="I15" s="64">
        <v>0</v>
      </c>
      <c r="J15" s="31">
        <f>H15*AO15</f>
        <v>0</v>
      </c>
      <c r="K15" s="31">
        <f>H15*AP15</f>
        <v>0</v>
      </c>
      <c r="L15" s="31">
        <f>H15*I15</f>
        <v>0</v>
      </c>
      <c r="M15" s="11" t="s">
        <v>303</v>
      </c>
      <c r="Z15" s="8">
        <f>IF(AQ15="5",BJ15,0)</f>
        <v>0</v>
      </c>
      <c r="AB15" s="8">
        <f>IF(AQ15="1",BH15,0)</f>
        <v>0</v>
      </c>
      <c r="AC15" s="8">
        <f>IF(AQ15="1",BI15,0)</f>
        <v>0</v>
      </c>
      <c r="AD15" s="8">
        <f>IF(AQ15="7",BH15,0)</f>
        <v>0</v>
      </c>
      <c r="AE15" s="8">
        <f>IF(AQ15="7",BI15,0)</f>
        <v>0</v>
      </c>
      <c r="AF15" s="8">
        <f>IF(AQ15="2",BH15,0)</f>
        <v>0</v>
      </c>
      <c r="AG15" s="8">
        <f>IF(AQ15="2",BI15,0)</f>
        <v>0</v>
      </c>
      <c r="AH15" s="8">
        <f>IF(AQ15="0",BJ15,0)</f>
        <v>0</v>
      </c>
      <c r="AI15" s="42" t="s">
        <v>253</v>
      </c>
      <c r="AJ15" s="31">
        <f>IF(AN15=0,L15,0)</f>
        <v>0</v>
      </c>
      <c r="AK15" s="31">
        <f>IF(AN15=15,L15,0)</f>
        <v>0</v>
      </c>
      <c r="AL15" s="31">
        <f>IF(AN15=21,L15,0)</f>
        <v>0</v>
      </c>
      <c r="AN15" s="8">
        <v>21</v>
      </c>
      <c r="AO15" s="8">
        <f>I15*0</f>
        <v>0</v>
      </c>
      <c r="AP15" s="8">
        <f>I15*(1-0)</f>
        <v>0</v>
      </c>
      <c r="AQ15" s="33" t="s">
        <v>352</v>
      </c>
      <c r="AV15" s="8">
        <f>AW15+AX15</f>
        <v>0</v>
      </c>
      <c r="AW15" s="8">
        <f>H15*AO15</f>
        <v>0</v>
      </c>
      <c r="AX15" s="8">
        <f>H15*AP15</f>
        <v>0</v>
      </c>
      <c r="AY15" s="12" t="s">
        <v>41</v>
      </c>
      <c r="AZ15" s="12" t="s">
        <v>42</v>
      </c>
      <c r="BA15" s="42" t="s">
        <v>273</v>
      </c>
      <c r="BC15" s="8">
        <f>AW15+AX15</f>
        <v>0</v>
      </c>
      <c r="BD15" s="8">
        <f>I15/(100-BE15)*100</f>
        <v>0</v>
      </c>
      <c r="BE15" s="8">
        <v>0</v>
      </c>
      <c r="BF15" s="8">
        <f>15</f>
        <v>15</v>
      </c>
      <c r="BH15" s="31">
        <f>H15*AO15</f>
        <v>0</v>
      </c>
      <c r="BI15" s="31">
        <f>H15*AP15</f>
        <v>0</v>
      </c>
      <c r="BJ15" s="31">
        <f>H15*I15</f>
        <v>0</v>
      </c>
      <c r="BK15" s="31"/>
      <c r="BL15" s="8">
        <v>11</v>
      </c>
    </row>
    <row r="16" spans="1:47" ht="15" customHeight="1">
      <c r="A16" s="47" t="s">
        <v>253</v>
      </c>
      <c r="B16" s="53" t="s">
        <v>109</v>
      </c>
      <c r="C16" s="96" t="s">
        <v>2</v>
      </c>
      <c r="D16" s="96"/>
      <c r="E16" s="96"/>
      <c r="F16" s="96"/>
      <c r="G16" s="32" t="s">
        <v>332</v>
      </c>
      <c r="H16" s="32" t="s">
        <v>332</v>
      </c>
      <c r="I16" s="32" t="s">
        <v>332</v>
      </c>
      <c r="J16" s="36">
        <f>SUM(J17:J17)</f>
        <v>0</v>
      </c>
      <c r="K16" s="36">
        <f>SUM(K17:K17)</f>
        <v>0</v>
      </c>
      <c r="L16" s="36">
        <f>SUM(L17:L17)</f>
        <v>0</v>
      </c>
      <c r="M16" s="29" t="s">
        <v>253</v>
      </c>
      <c r="AI16" s="42" t="s">
        <v>253</v>
      </c>
      <c r="AS16" s="36">
        <f>SUM(AJ17:AJ17)</f>
        <v>0</v>
      </c>
      <c r="AT16" s="36">
        <f>SUM(AK17:AK17)</f>
        <v>0</v>
      </c>
      <c r="AU16" s="36">
        <f>SUM(AL17:AL17)</f>
        <v>0</v>
      </c>
    </row>
    <row r="17" spans="1:64" ht="15" customHeight="1">
      <c r="A17" s="14" t="s">
        <v>311</v>
      </c>
      <c r="B17" s="54" t="s">
        <v>210</v>
      </c>
      <c r="C17" s="97" t="s">
        <v>297</v>
      </c>
      <c r="D17" s="97"/>
      <c r="E17" s="97"/>
      <c r="F17" s="97"/>
      <c r="G17" s="54" t="s">
        <v>340</v>
      </c>
      <c r="H17" s="31">
        <v>1.1</v>
      </c>
      <c r="I17" s="64">
        <v>0</v>
      </c>
      <c r="J17" s="31">
        <f>H17*AO17</f>
        <v>0</v>
      </c>
      <c r="K17" s="31">
        <f>H17*AP17</f>
        <v>0</v>
      </c>
      <c r="L17" s="31">
        <f>H17*I17</f>
        <v>0</v>
      </c>
      <c r="M17" s="11" t="s">
        <v>303</v>
      </c>
      <c r="Z17" s="8">
        <f>IF(AQ17="5",BJ17,0)</f>
        <v>0</v>
      </c>
      <c r="AB17" s="8">
        <f>IF(AQ17="1",BH17,0)</f>
        <v>0</v>
      </c>
      <c r="AC17" s="8">
        <f>IF(AQ17="1",BI17,0)</f>
        <v>0</v>
      </c>
      <c r="AD17" s="8">
        <f>IF(AQ17="7",BH17,0)</f>
        <v>0</v>
      </c>
      <c r="AE17" s="8">
        <f>IF(AQ17="7",BI17,0)</f>
        <v>0</v>
      </c>
      <c r="AF17" s="8">
        <f>IF(AQ17="2",BH17,0)</f>
        <v>0</v>
      </c>
      <c r="AG17" s="8">
        <f>IF(AQ17="2",BI17,0)</f>
        <v>0</v>
      </c>
      <c r="AH17" s="8">
        <f>IF(AQ17="0",BJ17,0)</f>
        <v>0</v>
      </c>
      <c r="AI17" s="42" t="s">
        <v>253</v>
      </c>
      <c r="AJ17" s="31">
        <f>IF(AN17=0,L17,0)</f>
        <v>0</v>
      </c>
      <c r="AK17" s="31">
        <f>IF(AN17=15,L17,0)</f>
        <v>0</v>
      </c>
      <c r="AL17" s="31">
        <f>IF(AN17=21,L17,0)</f>
        <v>0</v>
      </c>
      <c r="AN17" s="8">
        <v>21</v>
      </c>
      <c r="AO17" s="8">
        <f>I17*0</f>
        <v>0</v>
      </c>
      <c r="AP17" s="8">
        <f>I17*(1-0)</f>
        <v>0</v>
      </c>
      <c r="AQ17" s="33" t="s">
        <v>352</v>
      </c>
      <c r="AV17" s="8">
        <f>AW17+AX17</f>
        <v>0</v>
      </c>
      <c r="AW17" s="8">
        <f>H17*AO17</f>
        <v>0</v>
      </c>
      <c r="AX17" s="8">
        <f>H17*AP17</f>
        <v>0</v>
      </c>
      <c r="AY17" s="12" t="s">
        <v>322</v>
      </c>
      <c r="AZ17" s="12" t="s">
        <v>42</v>
      </c>
      <c r="BA17" s="42" t="s">
        <v>273</v>
      </c>
      <c r="BC17" s="8">
        <f>AW17+AX17</f>
        <v>0</v>
      </c>
      <c r="BD17" s="8">
        <f>I17/(100-BE17)*100</f>
        <v>0</v>
      </c>
      <c r="BE17" s="8">
        <v>0</v>
      </c>
      <c r="BF17" s="8">
        <f>17</f>
        <v>17</v>
      </c>
      <c r="BH17" s="31">
        <f>H17*AO17</f>
        <v>0</v>
      </c>
      <c r="BI17" s="31">
        <f>H17*AP17</f>
        <v>0</v>
      </c>
      <c r="BJ17" s="31">
        <f>H17*I17</f>
        <v>0</v>
      </c>
      <c r="BK17" s="31"/>
      <c r="BL17" s="8">
        <v>13</v>
      </c>
    </row>
    <row r="18" spans="1:13" ht="13.5" customHeight="1">
      <c r="A18" s="44"/>
      <c r="B18" s="43" t="s">
        <v>29</v>
      </c>
      <c r="C18" s="98" t="s">
        <v>152</v>
      </c>
      <c r="D18" s="99"/>
      <c r="E18" s="99"/>
      <c r="F18" s="99"/>
      <c r="G18" s="99"/>
      <c r="H18" s="99"/>
      <c r="I18" s="99"/>
      <c r="J18" s="99"/>
      <c r="K18" s="99"/>
      <c r="L18" s="99"/>
      <c r="M18" s="100"/>
    </row>
    <row r="19" spans="1:47" ht="15" customHeight="1">
      <c r="A19" s="47" t="s">
        <v>253</v>
      </c>
      <c r="B19" s="53" t="s">
        <v>254</v>
      </c>
      <c r="C19" s="96" t="s">
        <v>53</v>
      </c>
      <c r="D19" s="96"/>
      <c r="E19" s="96"/>
      <c r="F19" s="96"/>
      <c r="G19" s="32" t="s">
        <v>332</v>
      </c>
      <c r="H19" s="32" t="s">
        <v>332</v>
      </c>
      <c r="I19" s="32" t="s">
        <v>332</v>
      </c>
      <c r="J19" s="36">
        <f>SUM(J20:J20)</f>
        <v>0</v>
      </c>
      <c r="K19" s="36">
        <f>SUM(K20:K20)</f>
        <v>0</v>
      </c>
      <c r="L19" s="36">
        <f>SUM(L20:L20)</f>
        <v>0</v>
      </c>
      <c r="M19" s="29" t="s">
        <v>253</v>
      </c>
      <c r="AI19" s="42" t="s">
        <v>253</v>
      </c>
      <c r="AS19" s="36">
        <f>SUM(AJ20:AJ20)</f>
        <v>0</v>
      </c>
      <c r="AT19" s="36">
        <f>SUM(AK20:AK20)</f>
        <v>0</v>
      </c>
      <c r="AU19" s="36">
        <f>SUM(AL20:AL20)</f>
        <v>0</v>
      </c>
    </row>
    <row r="20" spans="1:64" ht="15" customHeight="1">
      <c r="A20" s="14" t="s">
        <v>43</v>
      </c>
      <c r="B20" s="54" t="s">
        <v>261</v>
      </c>
      <c r="C20" s="97" t="s">
        <v>197</v>
      </c>
      <c r="D20" s="97"/>
      <c r="E20" s="97"/>
      <c r="F20" s="97"/>
      <c r="G20" s="54" t="s">
        <v>340</v>
      </c>
      <c r="H20" s="31">
        <v>1.1</v>
      </c>
      <c r="I20" s="64">
        <v>0</v>
      </c>
      <c r="J20" s="31">
        <f>H20*AO20</f>
        <v>0</v>
      </c>
      <c r="K20" s="31">
        <f>H20*AP20</f>
        <v>0</v>
      </c>
      <c r="L20" s="31">
        <f>H20*I20</f>
        <v>0</v>
      </c>
      <c r="M20" s="11" t="s">
        <v>303</v>
      </c>
      <c r="Z20" s="8">
        <f>IF(AQ20="5",BJ20,0)</f>
        <v>0</v>
      </c>
      <c r="AB20" s="8">
        <f>IF(AQ20="1",BH20,0)</f>
        <v>0</v>
      </c>
      <c r="AC20" s="8">
        <f>IF(AQ20="1",BI20,0)</f>
        <v>0</v>
      </c>
      <c r="AD20" s="8">
        <f>IF(AQ20="7",BH20,0)</f>
        <v>0</v>
      </c>
      <c r="AE20" s="8">
        <f>IF(AQ20="7",BI20,0)</f>
        <v>0</v>
      </c>
      <c r="AF20" s="8">
        <f>IF(AQ20="2",BH20,0)</f>
        <v>0</v>
      </c>
      <c r="AG20" s="8">
        <f>IF(AQ20="2",BI20,0)</f>
        <v>0</v>
      </c>
      <c r="AH20" s="8">
        <f>IF(AQ20="0",BJ20,0)</f>
        <v>0</v>
      </c>
      <c r="AI20" s="42" t="s">
        <v>253</v>
      </c>
      <c r="AJ20" s="31">
        <f>IF(AN20=0,L20,0)</f>
        <v>0</v>
      </c>
      <c r="AK20" s="31">
        <f>IF(AN20=15,L20,0)</f>
        <v>0</v>
      </c>
      <c r="AL20" s="31">
        <f>IF(AN20=21,L20,0)</f>
        <v>0</v>
      </c>
      <c r="AN20" s="8">
        <v>21</v>
      </c>
      <c r="AO20" s="8">
        <f>I20*0</f>
        <v>0</v>
      </c>
      <c r="AP20" s="8">
        <f>I20*(1-0)</f>
        <v>0</v>
      </c>
      <c r="AQ20" s="33" t="s">
        <v>352</v>
      </c>
      <c r="AV20" s="8">
        <f>AW20+AX20</f>
        <v>0</v>
      </c>
      <c r="AW20" s="8">
        <f>H20*AO20</f>
        <v>0</v>
      </c>
      <c r="AX20" s="8">
        <f>H20*AP20</f>
        <v>0</v>
      </c>
      <c r="AY20" s="12" t="s">
        <v>78</v>
      </c>
      <c r="AZ20" s="12" t="s">
        <v>42</v>
      </c>
      <c r="BA20" s="42" t="s">
        <v>273</v>
      </c>
      <c r="BC20" s="8">
        <f>AW20+AX20</f>
        <v>0</v>
      </c>
      <c r="BD20" s="8">
        <f>I20/(100-BE20)*100</f>
        <v>0</v>
      </c>
      <c r="BE20" s="8">
        <v>0</v>
      </c>
      <c r="BF20" s="8">
        <f>20</f>
        <v>20</v>
      </c>
      <c r="BH20" s="31">
        <f>H20*AO20</f>
        <v>0</v>
      </c>
      <c r="BI20" s="31">
        <f>H20*AP20</f>
        <v>0</v>
      </c>
      <c r="BJ20" s="31">
        <f>H20*I20</f>
        <v>0</v>
      </c>
      <c r="BK20" s="31"/>
      <c r="BL20" s="8">
        <v>17</v>
      </c>
    </row>
    <row r="21" spans="1:47" ht="15" customHeight="1">
      <c r="A21" s="47" t="s">
        <v>253</v>
      </c>
      <c r="B21" s="53" t="s">
        <v>230</v>
      </c>
      <c r="C21" s="96" t="s">
        <v>245</v>
      </c>
      <c r="D21" s="96"/>
      <c r="E21" s="96"/>
      <c r="F21" s="96"/>
      <c r="G21" s="32" t="s">
        <v>332</v>
      </c>
      <c r="H21" s="32" t="s">
        <v>332</v>
      </c>
      <c r="I21" s="32" t="s">
        <v>332</v>
      </c>
      <c r="J21" s="36">
        <f>SUM(J22:J22)</f>
        <v>0</v>
      </c>
      <c r="K21" s="36">
        <f>SUM(K22:K22)</f>
        <v>0</v>
      </c>
      <c r="L21" s="36">
        <f>SUM(L22:L22)</f>
        <v>0</v>
      </c>
      <c r="M21" s="29" t="s">
        <v>253</v>
      </c>
      <c r="AI21" s="42" t="s">
        <v>253</v>
      </c>
      <c r="AS21" s="36">
        <f>SUM(AJ22:AJ22)</f>
        <v>0</v>
      </c>
      <c r="AT21" s="36">
        <f>SUM(AK22:AK22)</f>
        <v>0</v>
      </c>
      <c r="AU21" s="36">
        <f>SUM(AL22:AL22)</f>
        <v>0</v>
      </c>
    </row>
    <row r="22" spans="1:64" ht="15" customHeight="1">
      <c r="A22" s="14" t="s">
        <v>201</v>
      </c>
      <c r="B22" s="54" t="s">
        <v>207</v>
      </c>
      <c r="C22" s="97" t="s">
        <v>263</v>
      </c>
      <c r="D22" s="97"/>
      <c r="E22" s="97"/>
      <c r="F22" s="97"/>
      <c r="G22" s="54" t="s">
        <v>346</v>
      </c>
      <c r="H22" s="31">
        <v>1.2</v>
      </c>
      <c r="I22" s="64">
        <v>0</v>
      </c>
      <c r="J22" s="31">
        <f>H22*AO22</f>
        <v>0</v>
      </c>
      <c r="K22" s="31">
        <f>H22*AP22</f>
        <v>0</v>
      </c>
      <c r="L22" s="31">
        <f>H22*I22</f>
        <v>0</v>
      </c>
      <c r="M22" s="11" t="s">
        <v>303</v>
      </c>
      <c r="Z22" s="8">
        <f>IF(AQ22="5",BJ22,0)</f>
        <v>0</v>
      </c>
      <c r="AB22" s="8">
        <f>IF(AQ22="1",BH22,0)</f>
        <v>0</v>
      </c>
      <c r="AC22" s="8">
        <f>IF(AQ22="1",BI22,0)</f>
        <v>0</v>
      </c>
      <c r="AD22" s="8">
        <f>IF(AQ22="7",BH22,0)</f>
        <v>0</v>
      </c>
      <c r="AE22" s="8">
        <f>IF(AQ22="7",BI22,0)</f>
        <v>0</v>
      </c>
      <c r="AF22" s="8">
        <f>IF(AQ22="2",BH22,0)</f>
        <v>0</v>
      </c>
      <c r="AG22" s="8">
        <f>IF(AQ22="2",BI22,0)</f>
        <v>0</v>
      </c>
      <c r="AH22" s="8">
        <f>IF(AQ22="0",BJ22,0)</f>
        <v>0</v>
      </c>
      <c r="AI22" s="42" t="s">
        <v>253</v>
      </c>
      <c r="AJ22" s="31">
        <f>IF(AN22=0,L22,0)</f>
        <v>0</v>
      </c>
      <c r="AK22" s="31">
        <f>IF(AN22=15,L22,0)</f>
        <v>0</v>
      </c>
      <c r="AL22" s="31">
        <f>IF(AN22=21,L22,0)</f>
        <v>0</v>
      </c>
      <c r="AN22" s="8">
        <v>21</v>
      </c>
      <c r="AO22" s="8">
        <f>I22*0.902034482758621</f>
        <v>0</v>
      </c>
      <c r="AP22" s="8">
        <f>I22*(1-0.902034482758621)</f>
        <v>0</v>
      </c>
      <c r="AQ22" s="33" t="s">
        <v>352</v>
      </c>
      <c r="AV22" s="8">
        <f>AW22+AX22</f>
        <v>0</v>
      </c>
      <c r="AW22" s="8">
        <f>H22*AO22</f>
        <v>0</v>
      </c>
      <c r="AX22" s="8">
        <f>H22*AP22</f>
        <v>0</v>
      </c>
      <c r="AY22" s="12" t="s">
        <v>369</v>
      </c>
      <c r="AZ22" s="12" t="s">
        <v>223</v>
      </c>
      <c r="BA22" s="42" t="s">
        <v>273</v>
      </c>
      <c r="BC22" s="8">
        <f>AW22+AX22</f>
        <v>0</v>
      </c>
      <c r="BD22" s="8">
        <f>I22/(100-BE22)*100</f>
        <v>0</v>
      </c>
      <c r="BE22" s="8">
        <v>0</v>
      </c>
      <c r="BF22" s="8">
        <f>22</f>
        <v>22</v>
      </c>
      <c r="BH22" s="31">
        <f>H22*AO22</f>
        <v>0</v>
      </c>
      <c r="BI22" s="31">
        <f>H22*AP22</f>
        <v>0</v>
      </c>
      <c r="BJ22" s="31">
        <f>H22*I22</f>
        <v>0</v>
      </c>
      <c r="BK22" s="31"/>
      <c r="BL22" s="8">
        <v>56</v>
      </c>
    </row>
    <row r="23" spans="1:47" ht="15" customHeight="1">
      <c r="A23" s="47" t="s">
        <v>253</v>
      </c>
      <c r="B23" s="53" t="s">
        <v>336</v>
      </c>
      <c r="C23" s="96" t="s">
        <v>191</v>
      </c>
      <c r="D23" s="96"/>
      <c r="E23" s="96"/>
      <c r="F23" s="96"/>
      <c r="G23" s="32" t="s">
        <v>332</v>
      </c>
      <c r="H23" s="32" t="s">
        <v>332</v>
      </c>
      <c r="I23" s="32" t="s">
        <v>332</v>
      </c>
      <c r="J23" s="36">
        <f>SUM(J24:J25)</f>
        <v>0</v>
      </c>
      <c r="K23" s="36">
        <f>SUM(K24:K25)</f>
        <v>0</v>
      </c>
      <c r="L23" s="36">
        <f>SUM(L24:L25)</f>
        <v>0</v>
      </c>
      <c r="M23" s="29" t="s">
        <v>253</v>
      </c>
      <c r="AI23" s="42" t="s">
        <v>253</v>
      </c>
      <c r="AS23" s="36">
        <f>SUM(AJ24:AJ25)</f>
        <v>0</v>
      </c>
      <c r="AT23" s="36">
        <f>SUM(AK24:AK25)</f>
        <v>0</v>
      </c>
      <c r="AU23" s="36">
        <f>SUM(AL24:AL25)</f>
        <v>0</v>
      </c>
    </row>
    <row r="24" spans="1:64" ht="15" customHeight="1">
      <c r="A24" s="14" t="s">
        <v>61</v>
      </c>
      <c r="B24" s="54" t="s">
        <v>180</v>
      </c>
      <c r="C24" s="97" t="s">
        <v>386</v>
      </c>
      <c r="D24" s="97"/>
      <c r="E24" s="97"/>
      <c r="F24" s="97"/>
      <c r="G24" s="54" t="s">
        <v>346</v>
      </c>
      <c r="H24" s="31">
        <v>1.2</v>
      </c>
      <c r="I24" s="64">
        <v>0</v>
      </c>
      <c r="J24" s="31">
        <f>H24*AO24</f>
        <v>0</v>
      </c>
      <c r="K24" s="31">
        <f>H24*AP24</f>
        <v>0</v>
      </c>
      <c r="L24" s="31">
        <f>H24*I24</f>
        <v>0</v>
      </c>
      <c r="M24" s="11" t="s">
        <v>303</v>
      </c>
      <c r="Z24" s="8">
        <f>IF(AQ24="5",BJ24,0)</f>
        <v>0</v>
      </c>
      <c r="AB24" s="8">
        <f>IF(AQ24="1",BH24,0)</f>
        <v>0</v>
      </c>
      <c r="AC24" s="8">
        <f>IF(AQ24="1",BI24,0)</f>
        <v>0</v>
      </c>
      <c r="AD24" s="8">
        <f>IF(AQ24="7",BH24,0)</f>
        <v>0</v>
      </c>
      <c r="AE24" s="8">
        <f>IF(AQ24="7",BI24,0)</f>
        <v>0</v>
      </c>
      <c r="AF24" s="8">
        <f>IF(AQ24="2",BH24,0)</f>
        <v>0</v>
      </c>
      <c r="AG24" s="8">
        <f>IF(AQ24="2",BI24,0)</f>
        <v>0</v>
      </c>
      <c r="AH24" s="8">
        <f>IF(AQ24="0",BJ24,0)</f>
        <v>0</v>
      </c>
      <c r="AI24" s="42" t="s">
        <v>253</v>
      </c>
      <c r="AJ24" s="31">
        <f>IF(AN24=0,L24,0)</f>
        <v>0</v>
      </c>
      <c r="AK24" s="31">
        <f>IF(AN24=15,L24,0)</f>
        <v>0</v>
      </c>
      <c r="AL24" s="31">
        <f>IF(AN24=21,L24,0)</f>
        <v>0</v>
      </c>
      <c r="AN24" s="8">
        <v>21</v>
      </c>
      <c r="AO24" s="8">
        <f>I24*0.749860465116279</f>
        <v>0</v>
      </c>
      <c r="AP24" s="8">
        <f>I24*(1-0.749860465116279)</f>
        <v>0</v>
      </c>
      <c r="AQ24" s="33" t="s">
        <v>352</v>
      </c>
      <c r="AV24" s="8">
        <f>AW24+AX24</f>
        <v>0</v>
      </c>
      <c r="AW24" s="8">
        <f>H24*AO24</f>
        <v>0</v>
      </c>
      <c r="AX24" s="8">
        <f>H24*AP24</f>
        <v>0</v>
      </c>
      <c r="AY24" s="12" t="s">
        <v>154</v>
      </c>
      <c r="AZ24" s="12" t="s">
        <v>223</v>
      </c>
      <c r="BA24" s="42" t="s">
        <v>273</v>
      </c>
      <c r="BC24" s="8">
        <f>AW24+AX24</f>
        <v>0</v>
      </c>
      <c r="BD24" s="8">
        <f>I24/(100-BE24)*100</f>
        <v>0</v>
      </c>
      <c r="BE24" s="8">
        <v>0</v>
      </c>
      <c r="BF24" s="8">
        <f>24</f>
        <v>24</v>
      </c>
      <c r="BH24" s="31">
        <f>H24*AO24</f>
        <v>0</v>
      </c>
      <c r="BI24" s="31">
        <f>H24*AP24</f>
        <v>0</v>
      </c>
      <c r="BJ24" s="31">
        <f>H24*I24</f>
        <v>0</v>
      </c>
      <c r="BK24" s="31"/>
      <c r="BL24" s="8">
        <v>57</v>
      </c>
    </row>
    <row r="25" spans="1:64" ht="15" customHeight="1">
      <c r="A25" s="14" t="s">
        <v>354</v>
      </c>
      <c r="B25" s="54" t="s">
        <v>48</v>
      </c>
      <c r="C25" s="97" t="s">
        <v>327</v>
      </c>
      <c r="D25" s="97"/>
      <c r="E25" s="97"/>
      <c r="F25" s="97"/>
      <c r="G25" s="54" t="s">
        <v>346</v>
      </c>
      <c r="H25" s="31">
        <v>1.2</v>
      </c>
      <c r="I25" s="64">
        <v>0</v>
      </c>
      <c r="J25" s="31">
        <f>H25*AO25</f>
        <v>0</v>
      </c>
      <c r="K25" s="31">
        <f>H25*AP25</f>
        <v>0</v>
      </c>
      <c r="L25" s="31">
        <f>H25*I25</f>
        <v>0</v>
      </c>
      <c r="M25" s="11" t="s">
        <v>303</v>
      </c>
      <c r="Z25" s="8">
        <f>IF(AQ25="5",BJ25,0)</f>
        <v>0</v>
      </c>
      <c r="AB25" s="8">
        <f>IF(AQ25="1",BH25,0)</f>
        <v>0</v>
      </c>
      <c r="AC25" s="8">
        <f>IF(AQ25="1",BI25,0)</f>
        <v>0</v>
      </c>
      <c r="AD25" s="8">
        <f>IF(AQ25="7",BH25,0)</f>
        <v>0</v>
      </c>
      <c r="AE25" s="8">
        <f>IF(AQ25="7",BI25,0)</f>
        <v>0</v>
      </c>
      <c r="AF25" s="8">
        <f>IF(AQ25="2",BH25,0)</f>
        <v>0</v>
      </c>
      <c r="AG25" s="8">
        <f>IF(AQ25="2",BI25,0)</f>
        <v>0</v>
      </c>
      <c r="AH25" s="8">
        <f>IF(AQ25="0",BJ25,0)</f>
        <v>0</v>
      </c>
      <c r="AI25" s="42" t="s">
        <v>253</v>
      </c>
      <c r="AJ25" s="31">
        <f>IF(AN25=0,L25,0)</f>
        <v>0</v>
      </c>
      <c r="AK25" s="31">
        <f>IF(AN25=15,L25,0)</f>
        <v>0</v>
      </c>
      <c r="AL25" s="31">
        <f>IF(AN25=21,L25,0)</f>
        <v>0</v>
      </c>
      <c r="AN25" s="8">
        <v>21</v>
      </c>
      <c r="AO25" s="8">
        <f>I25*0.770527704485488</f>
        <v>0</v>
      </c>
      <c r="AP25" s="8">
        <f>I25*(1-0.770527704485488)</f>
        <v>0</v>
      </c>
      <c r="AQ25" s="33" t="s">
        <v>352</v>
      </c>
      <c r="AV25" s="8">
        <f>AW25+AX25</f>
        <v>0</v>
      </c>
      <c r="AW25" s="8">
        <f>H25*AO25</f>
        <v>0</v>
      </c>
      <c r="AX25" s="8">
        <f>H25*AP25</f>
        <v>0</v>
      </c>
      <c r="AY25" s="12" t="s">
        <v>154</v>
      </c>
      <c r="AZ25" s="12" t="s">
        <v>223</v>
      </c>
      <c r="BA25" s="42" t="s">
        <v>273</v>
      </c>
      <c r="BC25" s="8">
        <f>AW25+AX25</f>
        <v>0</v>
      </c>
      <c r="BD25" s="8">
        <f>I25/(100-BE25)*100</f>
        <v>0</v>
      </c>
      <c r="BE25" s="8">
        <v>0</v>
      </c>
      <c r="BF25" s="8">
        <f>25</f>
        <v>25</v>
      </c>
      <c r="BH25" s="31">
        <f>H25*AO25</f>
        <v>0</v>
      </c>
      <c r="BI25" s="31">
        <f>H25*AP25</f>
        <v>0</v>
      </c>
      <c r="BJ25" s="31">
        <f>H25*I25</f>
        <v>0</v>
      </c>
      <c r="BK25" s="31"/>
      <c r="BL25" s="8">
        <v>57</v>
      </c>
    </row>
    <row r="26" spans="1:47" ht="15" customHeight="1">
      <c r="A26" s="47" t="s">
        <v>253</v>
      </c>
      <c r="B26" s="53" t="s">
        <v>388</v>
      </c>
      <c r="C26" s="96" t="s">
        <v>295</v>
      </c>
      <c r="D26" s="96"/>
      <c r="E26" s="96"/>
      <c r="F26" s="96"/>
      <c r="G26" s="32" t="s">
        <v>332</v>
      </c>
      <c r="H26" s="32" t="s">
        <v>332</v>
      </c>
      <c r="I26" s="32" t="s">
        <v>332</v>
      </c>
      <c r="J26" s="36">
        <f>SUM(J27:J29)</f>
        <v>0</v>
      </c>
      <c r="K26" s="36">
        <f>SUM(K27:K29)</f>
        <v>0</v>
      </c>
      <c r="L26" s="36">
        <f>SUM(L27:L29)</f>
        <v>0</v>
      </c>
      <c r="M26" s="29" t="s">
        <v>253</v>
      </c>
      <c r="AI26" s="42" t="s">
        <v>253</v>
      </c>
      <c r="AS26" s="36">
        <f>SUM(AJ27:AJ29)</f>
        <v>0</v>
      </c>
      <c r="AT26" s="36">
        <f>SUM(AK27:AK29)</f>
        <v>0</v>
      </c>
      <c r="AU26" s="36">
        <f>SUM(AL27:AL29)</f>
        <v>0</v>
      </c>
    </row>
    <row r="27" spans="1:64" ht="15" customHeight="1">
      <c r="A27" s="14" t="s">
        <v>283</v>
      </c>
      <c r="B27" s="54" t="s">
        <v>259</v>
      </c>
      <c r="C27" s="97" t="s">
        <v>391</v>
      </c>
      <c r="D27" s="97"/>
      <c r="E27" s="97"/>
      <c r="F27" s="97"/>
      <c r="G27" s="54" t="s">
        <v>346</v>
      </c>
      <c r="H27" s="31">
        <v>1054.236</v>
      </c>
      <c r="I27" s="64">
        <v>0</v>
      </c>
      <c r="J27" s="31">
        <f>H27*AO27</f>
        <v>0</v>
      </c>
      <c r="K27" s="31">
        <f>H27*AP27</f>
        <v>0</v>
      </c>
      <c r="L27" s="31">
        <f>H27*I27</f>
        <v>0</v>
      </c>
      <c r="M27" s="11" t="s">
        <v>303</v>
      </c>
      <c r="Z27" s="8">
        <f>IF(AQ27="5",BJ27,0)</f>
        <v>0</v>
      </c>
      <c r="AB27" s="8">
        <f>IF(AQ27="1",BH27,0)</f>
        <v>0</v>
      </c>
      <c r="AC27" s="8">
        <f>IF(AQ27="1",BI27,0)</f>
        <v>0</v>
      </c>
      <c r="AD27" s="8">
        <f>IF(AQ27="7",BH27,0)</f>
        <v>0</v>
      </c>
      <c r="AE27" s="8">
        <f>IF(AQ27="7",BI27,0)</f>
        <v>0</v>
      </c>
      <c r="AF27" s="8">
        <f>IF(AQ27="2",BH27,0)</f>
        <v>0</v>
      </c>
      <c r="AG27" s="8">
        <f>IF(AQ27="2",BI27,0)</f>
        <v>0</v>
      </c>
      <c r="AH27" s="8">
        <f>IF(AQ27="0",BJ27,0)</f>
        <v>0</v>
      </c>
      <c r="AI27" s="42" t="s">
        <v>253</v>
      </c>
      <c r="AJ27" s="31">
        <f>IF(AN27=0,L27,0)</f>
        <v>0</v>
      </c>
      <c r="AK27" s="31">
        <f>IF(AN27=15,L27,0)</f>
        <v>0</v>
      </c>
      <c r="AL27" s="31">
        <f>IF(AN27=21,L27,0)</f>
        <v>0</v>
      </c>
      <c r="AN27" s="8">
        <v>21</v>
      </c>
      <c r="AO27" s="8">
        <f>I27*0.218702283741955</f>
        <v>0</v>
      </c>
      <c r="AP27" s="8">
        <f>I27*(1-0.218702283741955)</f>
        <v>0</v>
      </c>
      <c r="AQ27" s="33" t="s">
        <v>352</v>
      </c>
      <c r="AV27" s="8">
        <f>AW27+AX27</f>
        <v>0</v>
      </c>
      <c r="AW27" s="8">
        <f>H27*AO27</f>
        <v>0</v>
      </c>
      <c r="AX27" s="8">
        <f>H27*AP27</f>
        <v>0</v>
      </c>
      <c r="AY27" s="12" t="s">
        <v>169</v>
      </c>
      <c r="AZ27" s="12" t="s">
        <v>51</v>
      </c>
      <c r="BA27" s="42" t="s">
        <v>273</v>
      </c>
      <c r="BC27" s="8">
        <f>AW27+AX27</f>
        <v>0</v>
      </c>
      <c r="BD27" s="8">
        <f>I27/(100-BE27)*100</f>
        <v>0</v>
      </c>
      <c r="BE27" s="8">
        <v>0</v>
      </c>
      <c r="BF27" s="8">
        <f>27</f>
        <v>27</v>
      </c>
      <c r="BH27" s="31">
        <f>H27*AO27</f>
        <v>0</v>
      </c>
      <c r="BI27" s="31">
        <f>H27*AP27</f>
        <v>0</v>
      </c>
      <c r="BJ27" s="31">
        <f>H27*I27</f>
        <v>0</v>
      </c>
      <c r="BK27" s="31"/>
      <c r="BL27" s="8">
        <v>62</v>
      </c>
    </row>
    <row r="28" spans="1:13" ht="13.5" customHeight="1">
      <c r="A28" s="44"/>
      <c r="B28" s="43" t="s">
        <v>29</v>
      </c>
      <c r="C28" s="98" t="s">
        <v>161</v>
      </c>
      <c r="D28" s="99"/>
      <c r="E28" s="99"/>
      <c r="F28" s="99"/>
      <c r="G28" s="99"/>
      <c r="H28" s="99"/>
      <c r="I28" s="99"/>
      <c r="J28" s="99"/>
      <c r="K28" s="99"/>
      <c r="L28" s="99"/>
      <c r="M28" s="100"/>
    </row>
    <row r="29" spans="1:64" ht="15" customHeight="1">
      <c r="A29" s="14" t="s">
        <v>144</v>
      </c>
      <c r="B29" s="54" t="s">
        <v>213</v>
      </c>
      <c r="C29" s="97" t="s">
        <v>329</v>
      </c>
      <c r="D29" s="97"/>
      <c r="E29" s="97"/>
      <c r="F29" s="97"/>
      <c r="G29" s="54" t="s">
        <v>346</v>
      </c>
      <c r="H29" s="31">
        <v>1054.236</v>
      </c>
      <c r="I29" s="64">
        <v>0</v>
      </c>
      <c r="J29" s="31">
        <f>H29*AO29</f>
        <v>0</v>
      </c>
      <c r="K29" s="31">
        <f>H29*AP29</f>
        <v>0</v>
      </c>
      <c r="L29" s="31">
        <f>H29*I29</f>
        <v>0</v>
      </c>
      <c r="M29" s="11" t="s">
        <v>303</v>
      </c>
      <c r="Z29" s="8">
        <f>IF(AQ29="5",BJ29,0)</f>
        <v>0</v>
      </c>
      <c r="AB29" s="8">
        <f>IF(AQ29="1",BH29,0)</f>
        <v>0</v>
      </c>
      <c r="AC29" s="8">
        <f>IF(AQ29="1",BI29,0)</f>
        <v>0</v>
      </c>
      <c r="AD29" s="8">
        <f>IF(AQ29="7",BH29,0)</f>
        <v>0</v>
      </c>
      <c r="AE29" s="8">
        <f>IF(AQ29="7",BI29,0)</f>
        <v>0</v>
      </c>
      <c r="AF29" s="8">
        <f>IF(AQ29="2",BH29,0)</f>
        <v>0</v>
      </c>
      <c r="AG29" s="8">
        <f>IF(AQ29="2",BI29,0)</f>
        <v>0</v>
      </c>
      <c r="AH29" s="8">
        <f>IF(AQ29="0",BJ29,0)</f>
        <v>0</v>
      </c>
      <c r="AI29" s="42" t="s">
        <v>253</v>
      </c>
      <c r="AJ29" s="31">
        <f>IF(AN29=0,L29,0)</f>
        <v>0</v>
      </c>
      <c r="AK29" s="31">
        <f>IF(AN29=15,L29,0)</f>
        <v>0</v>
      </c>
      <c r="AL29" s="31">
        <f>IF(AN29=21,L29,0)</f>
        <v>0</v>
      </c>
      <c r="AN29" s="8">
        <v>21</v>
      </c>
      <c r="AO29" s="8">
        <f>I29*0.542942354115471</f>
        <v>0</v>
      </c>
      <c r="AP29" s="8">
        <f>I29*(1-0.542942354115471)</f>
        <v>0</v>
      </c>
      <c r="AQ29" s="33" t="s">
        <v>352</v>
      </c>
      <c r="AV29" s="8">
        <f>AW29+AX29</f>
        <v>0</v>
      </c>
      <c r="AW29" s="8">
        <f>H29*AO29</f>
        <v>0</v>
      </c>
      <c r="AX29" s="8">
        <f>H29*AP29</f>
        <v>0</v>
      </c>
      <c r="AY29" s="12" t="s">
        <v>169</v>
      </c>
      <c r="AZ29" s="12" t="s">
        <v>51</v>
      </c>
      <c r="BA29" s="42" t="s">
        <v>273</v>
      </c>
      <c r="BC29" s="8">
        <f>AW29+AX29</f>
        <v>0</v>
      </c>
      <c r="BD29" s="8">
        <f>I29/(100-BE29)*100</f>
        <v>0</v>
      </c>
      <c r="BE29" s="8">
        <v>0</v>
      </c>
      <c r="BF29" s="8">
        <f>29</f>
        <v>29</v>
      </c>
      <c r="BH29" s="31">
        <f>H29*AO29</f>
        <v>0</v>
      </c>
      <c r="BI29" s="31">
        <f>H29*AP29</f>
        <v>0</v>
      </c>
      <c r="BJ29" s="31">
        <f>H29*I29</f>
        <v>0</v>
      </c>
      <c r="BK29" s="31"/>
      <c r="BL29" s="8">
        <v>62</v>
      </c>
    </row>
    <row r="30" spans="1:13" ht="13.5" customHeight="1">
      <c r="A30" s="44"/>
      <c r="B30" s="43" t="s">
        <v>29</v>
      </c>
      <c r="C30" s="98" t="s">
        <v>208</v>
      </c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1:47" ht="15" customHeight="1">
      <c r="A31" s="47" t="s">
        <v>253</v>
      </c>
      <c r="B31" s="53" t="s">
        <v>11</v>
      </c>
      <c r="C31" s="96" t="s">
        <v>134</v>
      </c>
      <c r="D31" s="96"/>
      <c r="E31" s="96"/>
      <c r="F31" s="96"/>
      <c r="G31" s="32" t="s">
        <v>332</v>
      </c>
      <c r="H31" s="32" t="s">
        <v>332</v>
      </c>
      <c r="I31" s="32" t="s">
        <v>332</v>
      </c>
      <c r="J31" s="36">
        <f>SUM(J32:J32)</f>
        <v>0</v>
      </c>
      <c r="K31" s="36">
        <f>SUM(K32:K32)</f>
        <v>0</v>
      </c>
      <c r="L31" s="36">
        <f>SUM(L32:L32)</f>
        <v>0</v>
      </c>
      <c r="M31" s="29" t="s">
        <v>253</v>
      </c>
      <c r="AI31" s="42" t="s">
        <v>253</v>
      </c>
      <c r="AS31" s="36">
        <f>SUM(AJ32:AJ32)</f>
        <v>0</v>
      </c>
      <c r="AT31" s="36">
        <f>SUM(AK32:AK32)</f>
        <v>0</v>
      </c>
      <c r="AU31" s="36">
        <f>SUM(AL32:AL32)</f>
        <v>0</v>
      </c>
    </row>
    <row r="32" spans="1:64" ht="15" customHeight="1">
      <c r="A32" s="14" t="s">
        <v>214</v>
      </c>
      <c r="B32" s="54" t="s">
        <v>4</v>
      </c>
      <c r="C32" s="97" t="s">
        <v>362</v>
      </c>
      <c r="D32" s="97"/>
      <c r="E32" s="97"/>
      <c r="F32" s="97"/>
      <c r="G32" s="54" t="s">
        <v>300</v>
      </c>
      <c r="H32" s="31">
        <v>6</v>
      </c>
      <c r="I32" s="64">
        <v>0</v>
      </c>
      <c r="J32" s="31">
        <f>H32*AO32</f>
        <v>0</v>
      </c>
      <c r="K32" s="31">
        <f>H32*AP32</f>
        <v>0</v>
      </c>
      <c r="L32" s="31">
        <f>H32*I32</f>
        <v>0</v>
      </c>
      <c r="M32" s="11" t="s">
        <v>303</v>
      </c>
      <c r="Z32" s="8">
        <f>IF(AQ32="5",BJ32,0)</f>
        <v>0</v>
      </c>
      <c r="AB32" s="8">
        <f>IF(AQ32="1",BH32,0)</f>
        <v>0</v>
      </c>
      <c r="AC32" s="8">
        <f>IF(AQ32="1",BI32,0)</f>
        <v>0</v>
      </c>
      <c r="AD32" s="8">
        <f>IF(AQ32="7",BH32,0)</f>
        <v>0</v>
      </c>
      <c r="AE32" s="8">
        <f>IF(AQ32="7",BI32,0)</f>
        <v>0</v>
      </c>
      <c r="AF32" s="8">
        <f>IF(AQ32="2",BH32,0)</f>
        <v>0</v>
      </c>
      <c r="AG32" s="8">
        <f>IF(AQ32="2",BI32,0)</f>
        <v>0</v>
      </c>
      <c r="AH32" s="8">
        <f>IF(AQ32="0",BJ32,0)</f>
        <v>0</v>
      </c>
      <c r="AI32" s="42" t="s">
        <v>253</v>
      </c>
      <c r="AJ32" s="31">
        <f>IF(AN32=0,L32,0)</f>
        <v>0</v>
      </c>
      <c r="AK32" s="31">
        <f>IF(AN32=15,L32,0)</f>
        <v>0</v>
      </c>
      <c r="AL32" s="31">
        <f>IF(AN32=21,L32,0)</f>
        <v>0</v>
      </c>
      <c r="AN32" s="8">
        <v>21</v>
      </c>
      <c r="AO32" s="8">
        <f>I32*0.566901110075417</f>
        <v>0</v>
      </c>
      <c r="AP32" s="8">
        <f>I32*(1-0.566901110075417)</f>
        <v>0</v>
      </c>
      <c r="AQ32" s="33" t="s">
        <v>352</v>
      </c>
      <c r="AV32" s="8">
        <f>AW32+AX32</f>
        <v>0</v>
      </c>
      <c r="AW32" s="8">
        <f>H32*AO32</f>
        <v>0</v>
      </c>
      <c r="AX32" s="8">
        <f>H32*AP32</f>
        <v>0</v>
      </c>
      <c r="AY32" s="12" t="s">
        <v>344</v>
      </c>
      <c r="AZ32" s="12" t="s">
        <v>131</v>
      </c>
      <c r="BA32" s="42" t="s">
        <v>273</v>
      </c>
      <c r="BC32" s="8">
        <f>AW32+AX32</f>
        <v>0</v>
      </c>
      <c r="BD32" s="8">
        <f>I32/(100-BE32)*100</f>
        <v>0</v>
      </c>
      <c r="BE32" s="8">
        <v>0</v>
      </c>
      <c r="BF32" s="8">
        <f>32</f>
        <v>32</v>
      </c>
      <c r="BH32" s="31">
        <f>H32*AO32</f>
        <v>0</v>
      </c>
      <c r="BI32" s="31">
        <f>H32*AP32</f>
        <v>0</v>
      </c>
      <c r="BJ32" s="31">
        <f>H32*I32</f>
        <v>0</v>
      </c>
      <c r="BK32" s="31"/>
      <c r="BL32" s="8">
        <v>91</v>
      </c>
    </row>
    <row r="33" spans="1:47" ht="15" customHeight="1">
      <c r="A33" s="47" t="s">
        <v>253</v>
      </c>
      <c r="B33" s="53" t="s">
        <v>45</v>
      </c>
      <c r="C33" s="96" t="s">
        <v>255</v>
      </c>
      <c r="D33" s="96"/>
      <c r="E33" s="96"/>
      <c r="F33" s="96"/>
      <c r="G33" s="32" t="s">
        <v>332</v>
      </c>
      <c r="H33" s="32" t="s">
        <v>332</v>
      </c>
      <c r="I33" s="32" t="s">
        <v>332</v>
      </c>
      <c r="J33" s="36">
        <f>SUM(J34:J41)</f>
        <v>0</v>
      </c>
      <c r="K33" s="36">
        <f>SUM(K34:K41)</f>
        <v>0</v>
      </c>
      <c r="L33" s="36">
        <f>SUM(L34:L41)</f>
        <v>0</v>
      </c>
      <c r="M33" s="29" t="s">
        <v>253</v>
      </c>
      <c r="AI33" s="42" t="s">
        <v>253</v>
      </c>
      <c r="AS33" s="36">
        <f>SUM(AJ34:AJ41)</f>
        <v>0</v>
      </c>
      <c r="AT33" s="36">
        <f>SUM(AK34:AK41)</f>
        <v>0</v>
      </c>
      <c r="AU33" s="36">
        <f>SUM(AL34:AL41)</f>
        <v>0</v>
      </c>
    </row>
    <row r="34" spans="1:64" ht="15" customHeight="1">
      <c r="A34" s="14" t="s">
        <v>302</v>
      </c>
      <c r="B34" s="54" t="s">
        <v>219</v>
      </c>
      <c r="C34" s="97" t="s">
        <v>116</v>
      </c>
      <c r="D34" s="97"/>
      <c r="E34" s="97"/>
      <c r="F34" s="97"/>
      <c r="G34" s="54" t="s">
        <v>340</v>
      </c>
      <c r="H34" s="31">
        <v>3711.46</v>
      </c>
      <c r="I34" s="64">
        <v>0</v>
      </c>
      <c r="J34" s="31">
        <f aca="true" t="shared" si="0" ref="J34:J41">H34*AO34</f>
        <v>0</v>
      </c>
      <c r="K34" s="31">
        <f aca="true" t="shared" si="1" ref="K34:K41">H34*AP34</f>
        <v>0</v>
      </c>
      <c r="L34" s="31">
        <f aca="true" t="shared" si="2" ref="L34:L41">H34*I34</f>
        <v>0</v>
      </c>
      <c r="M34" s="11" t="s">
        <v>303</v>
      </c>
      <c r="Z34" s="8">
        <f aca="true" t="shared" si="3" ref="Z34:Z41">IF(AQ34="5",BJ34,0)</f>
        <v>0</v>
      </c>
      <c r="AB34" s="8">
        <f aca="true" t="shared" si="4" ref="AB34:AB41">IF(AQ34="1",BH34,0)</f>
        <v>0</v>
      </c>
      <c r="AC34" s="8">
        <f aca="true" t="shared" si="5" ref="AC34:AC41">IF(AQ34="1",BI34,0)</f>
        <v>0</v>
      </c>
      <c r="AD34" s="8">
        <f aca="true" t="shared" si="6" ref="AD34:AD41">IF(AQ34="7",BH34,0)</f>
        <v>0</v>
      </c>
      <c r="AE34" s="8">
        <f aca="true" t="shared" si="7" ref="AE34:AE41">IF(AQ34="7",BI34,0)</f>
        <v>0</v>
      </c>
      <c r="AF34" s="8">
        <f aca="true" t="shared" si="8" ref="AF34:AF41">IF(AQ34="2",BH34,0)</f>
        <v>0</v>
      </c>
      <c r="AG34" s="8">
        <f aca="true" t="shared" si="9" ref="AG34:AG41">IF(AQ34="2",BI34,0)</f>
        <v>0</v>
      </c>
      <c r="AH34" s="8">
        <f aca="true" t="shared" si="10" ref="AH34:AH41">IF(AQ34="0",BJ34,0)</f>
        <v>0</v>
      </c>
      <c r="AI34" s="42" t="s">
        <v>253</v>
      </c>
      <c r="AJ34" s="31">
        <f aca="true" t="shared" si="11" ref="AJ34:AJ41">IF(AN34=0,L34,0)</f>
        <v>0</v>
      </c>
      <c r="AK34" s="31">
        <f aca="true" t="shared" si="12" ref="AK34:AK41">IF(AN34=15,L34,0)</f>
        <v>0</v>
      </c>
      <c r="AL34" s="31">
        <f aca="true" t="shared" si="13" ref="AL34:AL41">IF(AN34=21,L34,0)</f>
        <v>0</v>
      </c>
      <c r="AN34" s="8">
        <v>21</v>
      </c>
      <c r="AO34" s="8">
        <f>I34*0.000903614472497954</f>
        <v>0</v>
      </c>
      <c r="AP34" s="8">
        <f>I34*(1-0.000903614472497954)</f>
        <v>0</v>
      </c>
      <c r="AQ34" s="33" t="s">
        <v>352</v>
      </c>
      <c r="AV34" s="8">
        <f aca="true" t="shared" si="14" ref="AV34:AV41">AW34+AX34</f>
        <v>0</v>
      </c>
      <c r="AW34" s="8">
        <f aca="true" t="shared" si="15" ref="AW34:AW41">H34*AO34</f>
        <v>0</v>
      </c>
      <c r="AX34" s="8">
        <f aca="true" t="shared" si="16" ref="AX34:AX41">H34*AP34</f>
        <v>0</v>
      </c>
      <c r="AY34" s="12" t="s">
        <v>385</v>
      </c>
      <c r="AZ34" s="12" t="s">
        <v>131</v>
      </c>
      <c r="BA34" s="42" t="s">
        <v>273</v>
      </c>
      <c r="BC34" s="8">
        <f aca="true" t="shared" si="17" ref="BC34:BC41">AW34+AX34</f>
        <v>0</v>
      </c>
      <c r="BD34" s="8">
        <f aca="true" t="shared" si="18" ref="BD34:BD41">I34/(100-BE34)*100</f>
        <v>0</v>
      </c>
      <c r="BE34" s="8">
        <v>0</v>
      </c>
      <c r="BF34" s="8">
        <f>34</f>
        <v>34</v>
      </c>
      <c r="BH34" s="31">
        <f aca="true" t="shared" si="19" ref="BH34:BH41">H34*AO34</f>
        <v>0</v>
      </c>
      <c r="BI34" s="31">
        <f aca="true" t="shared" si="20" ref="BI34:BI41">H34*AP34</f>
        <v>0</v>
      </c>
      <c r="BJ34" s="31">
        <f aca="true" t="shared" si="21" ref="BJ34:BJ41">H34*I34</f>
        <v>0</v>
      </c>
      <c r="BK34" s="31"/>
      <c r="BL34" s="8">
        <v>94</v>
      </c>
    </row>
    <row r="35" spans="1:64" ht="15" customHeight="1">
      <c r="A35" s="14" t="s">
        <v>264</v>
      </c>
      <c r="B35" s="54" t="s">
        <v>173</v>
      </c>
      <c r="C35" s="97" t="s">
        <v>226</v>
      </c>
      <c r="D35" s="97"/>
      <c r="E35" s="97"/>
      <c r="F35" s="97"/>
      <c r="G35" s="54" t="s">
        <v>340</v>
      </c>
      <c r="H35" s="31">
        <v>3711.46</v>
      </c>
      <c r="I35" s="64">
        <v>0</v>
      </c>
      <c r="J35" s="31">
        <f t="shared" si="0"/>
        <v>0</v>
      </c>
      <c r="K35" s="31">
        <f t="shared" si="1"/>
        <v>0</v>
      </c>
      <c r="L35" s="31">
        <f t="shared" si="2"/>
        <v>0</v>
      </c>
      <c r="M35" s="11" t="s">
        <v>303</v>
      </c>
      <c r="Z35" s="8">
        <f t="shared" si="3"/>
        <v>0</v>
      </c>
      <c r="AB35" s="8">
        <f t="shared" si="4"/>
        <v>0</v>
      </c>
      <c r="AC35" s="8">
        <f t="shared" si="5"/>
        <v>0</v>
      </c>
      <c r="AD35" s="8">
        <f t="shared" si="6"/>
        <v>0</v>
      </c>
      <c r="AE35" s="8">
        <f t="shared" si="7"/>
        <v>0</v>
      </c>
      <c r="AF35" s="8">
        <f t="shared" si="8"/>
        <v>0</v>
      </c>
      <c r="AG35" s="8">
        <f t="shared" si="9"/>
        <v>0</v>
      </c>
      <c r="AH35" s="8">
        <f t="shared" si="10"/>
        <v>0</v>
      </c>
      <c r="AI35" s="42" t="s">
        <v>253</v>
      </c>
      <c r="AJ35" s="31">
        <f t="shared" si="11"/>
        <v>0</v>
      </c>
      <c r="AK35" s="31">
        <f t="shared" si="12"/>
        <v>0</v>
      </c>
      <c r="AL35" s="31">
        <f t="shared" si="13"/>
        <v>0</v>
      </c>
      <c r="AN35" s="8">
        <v>21</v>
      </c>
      <c r="AO35" s="8">
        <f>I35*0</f>
        <v>0</v>
      </c>
      <c r="AP35" s="8">
        <f>I35*(1-0)</f>
        <v>0</v>
      </c>
      <c r="AQ35" s="33" t="s">
        <v>352</v>
      </c>
      <c r="AV35" s="8">
        <f t="shared" si="14"/>
        <v>0</v>
      </c>
      <c r="AW35" s="8">
        <f t="shared" si="15"/>
        <v>0</v>
      </c>
      <c r="AX35" s="8">
        <f t="shared" si="16"/>
        <v>0</v>
      </c>
      <c r="AY35" s="12" t="s">
        <v>385</v>
      </c>
      <c r="AZ35" s="12" t="s">
        <v>131</v>
      </c>
      <c r="BA35" s="42" t="s">
        <v>273</v>
      </c>
      <c r="BC35" s="8">
        <f t="shared" si="17"/>
        <v>0</v>
      </c>
      <c r="BD35" s="8">
        <f t="shared" si="18"/>
        <v>0</v>
      </c>
      <c r="BE35" s="8">
        <v>0</v>
      </c>
      <c r="BF35" s="8">
        <f>35</f>
        <v>35</v>
      </c>
      <c r="BH35" s="31">
        <f t="shared" si="19"/>
        <v>0</v>
      </c>
      <c r="BI35" s="31">
        <f t="shared" si="20"/>
        <v>0</v>
      </c>
      <c r="BJ35" s="31">
        <f t="shared" si="21"/>
        <v>0</v>
      </c>
      <c r="BK35" s="31"/>
      <c r="BL35" s="8">
        <v>94</v>
      </c>
    </row>
    <row r="36" spans="1:64" ht="15" customHeight="1">
      <c r="A36" s="14" t="s">
        <v>109</v>
      </c>
      <c r="B36" s="54" t="s">
        <v>246</v>
      </c>
      <c r="C36" s="97" t="s">
        <v>96</v>
      </c>
      <c r="D36" s="97"/>
      <c r="E36" s="97"/>
      <c r="F36" s="97"/>
      <c r="G36" s="54" t="s">
        <v>340</v>
      </c>
      <c r="H36" s="31">
        <v>3711.46</v>
      </c>
      <c r="I36" s="64">
        <v>0</v>
      </c>
      <c r="J36" s="31">
        <f t="shared" si="0"/>
        <v>0</v>
      </c>
      <c r="K36" s="31">
        <f t="shared" si="1"/>
        <v>0</v>
      </c>
      <c r="L36" s="31">
        <f t="shared" si="2"/>
        <v>0</v>
      </c>
      <c r="M36" s="11" t="s">
        <v>303</v>
      </c>
      <c r="Z36" s="8">
        <f t="shared" si="3"/>
        <v>0</v>
      </c>
      <c r="AB36" s="8">
        <f t="shared" si="4"/>
        <v>0</v>
      </c>
      <c r="AC36" s="8">
        <f t="shared" si="5"/>
        <v>0</v>
      </c>
      <c r="AD36" s="8">
        <f t="shared" si="6"/>
        <v>0</v>
      </c>
      <c r="AE36" s="8">
        <f t="shared" si="7"/>
        <v>0</v>
      </c>
      <c r="AF36" s="8">
        <f t="shared" si="8"/>
        <v>0</v>
      </c>
      <c r="AG36" s="8">
        <f t="shared" si="9"/>
        <v>0</v>
      </c>
      <c r="AH36" s="8">
        <f t="shared" si="10"/>
        <v>0</v>
      </c>
      <c r="AI36" s="42" t="s">
        <v>253</v>
      </c>
      <c r="AJ36" s="31">
        <f t="shared" si="11"/>
        <v>0</v>
      </c>
      <c r="AK36" s="31">
        <f t="shared" si="12"/>
        <v>0</v>
      </c>
      <c r="AL36" s="31">
        <f t="shared" si="13"/>
        <v>0</v>
      </c>
      <c r="AN36" s="8">
        <v>21</v>
      </c>
      <c r="AO36" s="8">
        <f>I36*0</f>
        <v>0</v>
      </c>
      <c r="AP36" s="8">
        <f>I36*(1-0)</f>
        <v>0</v>
      </c>
      <c r="AQ36" s="33" t="s">
        <v>352</v>
      </c>
      <c r="AV36" s="8">
        <f t="shared" si="14"/>
        <v>0</v>
      </c>
      <c r="AW36" s="8">
        <f t="shared" si="15"/>
        <v>0</v>
      </c>
      <c r="AX36" s="8">
        <f t="shared" si="16"/>
        <v>0</v>
      </c>
      <c r="AY36" s="12" t="s">
        <v>385</v>
      </c>
      <c r="AZ36" s="12" t="s">
        <v>131</v>
      </c>
      <c r="BA36" s="42" t="s">
        <v>273</v>
      </c>
      <c r="BC36" s="8">
        <f t="shared" si="17"/>
        <v>0</v>
      </c>
      <c r="BD36" s="8">
        <f t="shared" si="18"/>
        <v>0</v>
      </c>
      <c r="BE36" s="8">
        <v>0</v>
      </c>
      <c r="BF36" s="8">
        <f>36</f>
        <v>36</v>
      </c>
      <c r="BH36" s="31">
        <f t="shared" si="19"/>
        <v>0</v>
      </c>
      <c r="BI36" s="31">
        <f t="shared" si="20"/>
        <v>0</v>
      </c>
      <c r="BJ36" s="31">
        <f t="shared" si="21"/>
        <v>0</v>
      </c>
      <c r="BK36" s="31"/>
      <c r="BL36" s="8">
        <v>94</v>
      </c>
    </row>
    <row r="37" spans="1:64" ht="15" customHeight="1">
      <c r="A37" s="14" t="s">
        <v>218</v>
      </c>
      <c r="B37" s="54" t="s">
        <v>175</v>
      </c>
      <c r="C37" s="97" t="s">
        <v>319</v>
      </c>
      <c r="D37" s="97"/>
      <c r="E37" s="97"/>
      <c r="F37" s="97"/>
      <c r="G37" s="54" t="s">
        <v>346</v>
      </c>
      <c r="H37" s="31">
        <v>1379.74</v>
      </c>
      <c r="I37" s="64">
        <v>0</v>
      </c>
      <c r="J37" s="31">
        <f t="shared" si="0"/>
        <v>0</v>
      </c>
      <c r="K37" s="31">
        <f t="shared" si="1"/>
        <v>0</v>
      </c>
      <c r="L37" s="31">
        <f t="shared" si="2"/>
        <v>0</v>
      </c>
      <c r="M37" s="11" t="s">
        <v>303</v>
      </c>
      <c r="Z37" s="8">
        <f t="shared" si="3"/>
        <v>0</v>
      </c>
      <c r="AB37" s="8">
        <f t="shared" si="4"/>
        <v>0</v>
      </c>
      <c r="AC37" s="8">
        <f t="shared" si="5"/>
        <v>0</v>
      </c>
      <c r="AD37" s="8">
        <f t="shared" si="6"/>
        <v>0</v>
      </c>
      <c r="AE37" s="8">
        <f t="shared" si="7"/>
        <v>0</v>
      </c>
      <c r="AF37" s="8">
        <f t="shared" si="8"/>
        <v>0</v>
      </c>
      <c r="AG37" s="8">
        <f t="shared" si="9"/>
        <v>0</v>
      </c>
      <c r="AH37" s="8">
        <f t="shared" si="10"/>
        <v>0</v>
      </c>
      <c r="AI37" s="42" t="s">
        <v>253</v>
      </c>
      <c r="AJ37" s="31">
        <f t="shared" si="11"/>
        <v>0</v>
      </c>
      <c r="AK37" s="31">
        <f t="shared" si="12"/>
        <v>0</v>
      </c>
      <c r="AL37" s="31">
        <f t="shared" si="13"/>
        <v>0</v>
      </c>
      <c r="AN37" s="8">
        <v>21</v>
      </c>
      <c r="AO37" s="8">
        <f>I37*0.00056425447069347</f>
        <v>0</v>
      </c>
      <c r="AP37" s="8">
        <f>I37*(1-0.00056425447069347)</f>
        <v>0</v>
      </c>
      <c r="AQ37" s="33" t="s">
        <v>352</v>
      </c>
      <c r="AV37" s="8">
        <f t="shared" si="14"/>
        <v>0</v>
      </c>
      <c r="AW37" s="8">
        <f t="shared" si="15"/>
        <v>0</v>
      </c>
      <c r="AX37" s="8">
        <f t="shared" si="16"/>
        <v>0</v>
      </c>
      <c r="AY37" s="12" t="s">
        <v>385</v>
      </c>
      <c r="AZ37" s="12" t="s">
        <v>131</v>
      </c>
      <c r="BA37" s="42" t="s">
        <v>273</v>
      </c>
      <c r="BC37" s="8">
        <f t="shared" si="17"/>
        <v>0</v>
      </c>
      <c r="BD37" s="8">
        <f t="shared" si="18"/>
        <v>0</v>
      </c>
      <c r="BE37" s="8">
        <v>0</v>
      </c>
      <c r="BF37" s="8">
        <f>37</f>
        <v>37</v>
      </c>
      <c r="BH37" s="31">
        <f t="shared" si="19"/>
        <v>0</v>
      </c>
      <c r="BI37" s="31">
        <f t="shared" si="20"/>
        <v>0</v>
      </c>
      <c r="BJ37" s="31">
        <f t="shared" si="21"/>
        <v>0</v>
      </c>
      <c r="BK37" s="31"/>
      <c r="BL37" s="8">
        <v>94</v>
      </c>
    </row>
    <row r="38" spans="1:64" ht="15" customHeight="1">
      <c r="A38" s="14" t="s">
        <v>150</v>
      </c>
      <c r="B38" s="54" t="s">
        <v>28</v>
      </c>
      <c r="C38" s="97" t="s">
        <v>160</v>
      </c>
      <c r="D38" s="97"/>
      <c r="E38" s="97"/>
      <c r="F38" s="97"/>
      <c r="G38" s="54" t="s">
        <v>346</v>
      </c>
      <c r="H38" s="31">
        <v>1379.74</v>
      </c>
      <c r="I38" s="64">
        <v>0</v>
      </c>
      <c r="J38" s="31">
        <f t="shared" si="0"/>
        <v>0</v>
      </c>
      <c r="K38" s="31">
        <f t="shared" si="1"/>
        <v>0</v>
      </c>
      <c r="L38" s="31">
        <f t="shared" si="2"/>
        <v>0</v>
      </c>
      <c r="M38" s="11" t="s">
        <v>303</v>
      </c>
      <c r="Z38" s="8">
        <f t="shared" si="3"/>
        <v>0</v>
      </c>
      <c r="AB38" s="8">
        <f t="shared" si="4"/>
        <v>0</v>
      </c>
      <c r="AC38" s="8">
        <f t="shared" si="5"/>
        <v>0</v>
      </c>
      <c r="AD38" s="8">
        <f t="shared" si="6"/>
        <v>0</v>
      </c>
      <c r="AE38" s="8">
        <f t="shared" si="7"/>
        <v>0</v>
      </c>
      <c r="AF38" s="8">
        <f t="shared" si="8"/>
        <v>0</v>
      </c>
      <c r="AG38" s="8">
        <f t="shared" si="9"/>
        <v>0</v>
      </c>
      <c r="AH38" s="8">
        <f t="shared" si="10"/>
        <v>0</v>
      </c>
      <c r="AI38" s="42" t="s">
        <v>253</v>
      </c>
      <c r="AJ38" s="31">
        <f t="shared" si="11"/>
        <v>0</v>
      </c>
      <c r="AK38" s="31">
        <f t="shared" si="12"/>
        <v>0</v>
      </c>
      <c r="AL38" s="31">
        <f t="shared" si="13"/>
        <v>0</v>
      </c>
      <c r="AN38" s="8">
        <v>21</v>
      </c>
      <c r="AO38" s="8">
        <f>I38*0.950447177899132</f>
        <v>0</v>
      </c>
      <c r="AP38" s="8">
        <f>I38*(1-0.950447177899132)</f>
        <v>0</v>
      </c>
      <c r="AQ38" s="33" t="s">
        <v>352</v>
      </c>
      <c r="AV38" s="8">
        <f t="shared" si="14"/>
        <v>0</v>
      </c>
      <c r="AW38" s="8">
        <f t="shared" si="15"/>
        <v>0</v>
      </c>
      <c r="AX38" s="8">
        <f t="shared" si="16"/>
        <v>0</v>
      </c>
      <c r="AY38" s="12" t="s">
        <v>385</v>
      </c>
      <c r="AZ38" s="12" t="s">
        <v>131</v>
      </c>
      <c r="BA38" s="42" t="s">
        <v>273</v>
      </c>
      <c r="BC38" s="8">
        <f t="shared" si="17"/>
        <v>0</v>
      </c>
      <c r="BD38" s="8">
        <f t="shared" si="18"/>
        <v>0</v>
      </c>
      <c r="BE38" s="8">
        <v>0</v>
      </c>
      <c r="BF38" s="8">
        <f>38</f>
        <v>38</v>
      </c>
      <c r="BH38" s="31">
        <f t="shared" si="19"/>
        <v>0</v>
      </c>
      <c r="BI38" s="31">
        <f t="shared" si="20"/>
        <v>0</v>
      </c>
      <c r="BJ38" s="31">
        <f t="shared" si="21"/>
        <v>0</v>
      </c>
      <c r="BK38" s="31"/>
      <c r="BL38" s="8">
        <v>94</v>
      </c>
    </row>
    <row r="39" spans="1:64" ht="15" customHeight="1">
      <c r="A39" s="14" t="s">
        <v>31</v>
      </c>
      <c r="B39" s="54" t="s">
        <v>394</v>
      </c>
      <c r="C39" s="97" t="s">
        <v>127</v>
      </c>
      <c r="D39" s="97"/>
      <c r="E39" s="97"/>
      <c r="F39" s="97"/>
      <c r="G39" s="54" t="s">
        <v>346</v>
      </c>
      <c r="H39" s="31">
        <v>1379.74</v>
      </c>
      <c r="I39" s="64">
        <v>0</v>
      </c>
      <c r="J39" s="31">
        <f t="shared" si="0"/>
        <v>0</v>
      </c>
      <c r="K39" s="31">
        <f t="shared" si="1"/>
        <v>0</v>
      </c>
      <c r="L39" s="31">
        <f t="shared" si="2"/>
        <v>0</v>
      </c>
      <c r="M39" s="11" t="s">
        <v>303</v>
      </c>
      <c r="Z39" s="8">
        <f t="shared" si="3"/>
        <v>0</v>
      </c>
      <c r="AB39" s="8">
        <f t="shared" si="4"/>
        <v>0</v>
      </c>
      <c r="AC39" s="8">
        <f t="shared" si="5"/>
        <v>0</v>
      </c>
      <c r="AD39" s="8">
        <f t="shared" si="6"/>
        <v>0</v>
      </c>
      <c r="AE39" s="8">
        <f t="shared" si="7"/>
        <v>0</v>
      </c>
      <c r="AF39" s="8">
        <f t="shared" si="8"/>
        <v>0</v>
      </c>
      <c r="AG39" s="8">
        <f t="shared" si="9"/>
        <v>0</v>
      </c>
      <c r="AH39" s="8">
        <f t="shared" si="10"/>
        <v>0</v>
      </c>
      <c r="AI39" s="42" t="s">
        <v>253</v>
      </c>
      <c r="AJ39" s="31">
        <f t="shared" si="11"/>
        <v>0</v>
      </c>
      <c r="AK39" s="31">
        <f t="shared" si="12"/>
        <v>0</v>
      </c>
      <c r="AL39" s="31">
        <f t="shared" si="13"/>
        <v>0</v>
      </c>
      <c r="AN39" s="8">
        <v>21</v>
      </c>
      <c r="AO39" s="8">
        <f>I39*0</f>
        <v>0</v>
      </c>
      <c r="AP39" s="8">
        <f>I39*(1-0)</f>
        <v>0</v>
      </c>
      <c r="AQ39" s="33" t="s">
        <v>352</v>
      </c>
      <c r="AV39" s="8">
        <f t="shared" si="14"/>
        <v>0</v>
      </c>
      <c r="AW39" s="8">
        <f t="shared" si="15"/>
        <v>0</v>
      </c>
      <c r="AX39" s="8">
        <f t="shared" si="16"/>
        <v>0</v>
      </c>
      <c r="AY39" s="12" t="s">
        <v>385</v>
      </c>
      <c r="AZ39" s="12" t="s">
        <v>131</v>
      </c>
      <c r="BA39" s="42" t="s">
        <v>273</v>
      </c>
      <c r="BC39" s="8">
        <f t="shared" si="17"/>
        <v>0</v>
      </c>
      <c r="BD39" s="8">
        <f t="shared" si="18"/>
        <v>0</v>
      </c>
      <c r="BE39" s="8">
        <v>0</v>
      </c>
      <c r="BF39" s="8">
        <f>39</f>
        <v>39</v>
      </c>
      <c r="BH39" s="31">
        <f t="shared" si="19"/>
        <v>0</v>
      </c>
      <c r="BI39" s="31">
        <f t="shared" si="20"/>
        <v>0</v>
      </c>
      <c r="BJ39" s="31">
        <f t="shared" si="21"/>
        <v>0</v>
      </c>
      <c r="BK39" s="31"/>
      <c r="BL39" s="8">
        <v>94</v>
      </c>
    </row>
    <row r="40" spans="1:64" ht="15" customHeight="1">
      <c r="A40" s="14" t="s">
        <v>254</v>
      </c>
      <c r="B40" s="54" t="s">
        <v>40</v>
      </c>
      <c r="C40" s="97" t="s">
        <v>120</v>
      </c>
      <c r="D40" s="97"/>
      <c r="E40" s="97"/>
      <c r="F40" s="97"/>
      <c r="G40" s="54" t="s">
        <v>176</v>
      </c>
      <c r="H40" s="31">
        <v>67.37965</v>
      </c>
      <c r="I40" s="64">
        <v>0</v>
      </c>
      <c r="J40" s="31">
        <f t="shared" si="0"/>
        <v>0</v>
      </c>
      <c r="K40" s="31">
        <f t="shared" si="1"/>
        <v>0</v>
      </c>
      <c r="L40" s="31">
        <f t="shared" si="2"/>
        <v>0</v>
      </c>
      <c r="M40" s="11" t="s">
        <v>303</v>
      </c>
      <c r="Z40" s="8">
        <f t="shared" si="3"/>
        <v>0</v>
      </c>
      <c r="AB40" s="8">
        <f t="shared" si="4"/>
        <v>0</v>
      </c>
      <c r="AC40" s="8">
        <f t="shared" si="5"/>
        <v>0</v>
      </c>
      <c r="AD40" s="8">
        <f t="shared" si="6"/>
        <v>0</v>
      </c>
      <c r="AE40" s="8">
        <f t="shared" si="7"/>
        <v>0</v>
      </c>
      <c r="AF40" s="8">
        <f t="shared" si="8"/>
        <v>0</v>
      </c>
      <c r="AG40" s="8">
        <f t="shared" si="9"/>
        <v>0</v>
      </c>
      <c r="AH40" s="8">
        <f t="shared" si="10"/>
        <v>0</v>
      </c>
      <c r="AI40" s="42" t="s">
        <v>253</v>
      </c>
      <c r="AJ40" s="31">
        <f t="shared" si="11"/>
        <v>0</v>
      </c>
      <c r="AK40" s="31">
        <f t="shared" si="12"/>
        <v>0</v>
      </c>
      <c r="AL40" s="31">
        <f t="shared" si="13"/>
        <v>0</v>
      </c>
      <c r="AN40" s="8">
        <v>21</v>
      </c>
      <c r="AO40" s="8">
        <f>I40*0</f>
        <v>0</v>
      </c>
      <c r="AP40" s="8">
        <f>I40*(1-0)</f>
        <v>0</v>
      </c>
      <c r="AQ40" s="33" t="s">
        <v>201</v>
      </c>
      <c r="AV40" s="8">
        <f t="shared" si="14"/>
        <v>0</v>
      </c>
      <c r="AW40" s="8">
        <f t="shared" si="15"/>
        <v>0</v>
      </c>
      <c r="AX40" s="8">
        <f t="shared" si="16"/>
        <v>0</v>
      </c>
      <c r="AY40" s="12" t="s">
        <v>385</v>
      </c>
      <c r="AZ40" s="12" t="s">
        <v>131</v>
      </c>
      <c r="BA40" s="42" t="s">
        <v>273</v>
      </c>
      <c r="BC40" s="8">
        <f t="shared" si="17"/>
        <v>0</v>
      </c>
      <c r="BD40" s="8">
        <f t="shared" si="18"/>
        <v>0</v>
      </c>
      <c r="BE40" s="8">
        <v>0</v>
      </c>
      <c r="BF40" s="8">
        <f>40</f>
        <v>40</v>
      </c>
      <c r="BH40" s="31">
        <f t="shared" si="19"/>
        <v>0</v>
      </c>
      <c r="BI40" s="31">
        <f t="shared" si="20"/>
        <v>0</v>
      </c>
      <c r="BJ40" s="31">
        <f t="shared" si="21"/>
        <v>0</v>
      </c>
      <c r="BK40" s="31"/>
      <c r="BL40" s="8">
        <v>94</v>
      </c>
    </row>
    <row r="41" spans="1:64" ht="15" customHeight="1">
      <c r="A41" s="14" t="s">
        <v>289</v>
      </c>
      <c r="B41" s="54" t="s">
        <v>351</v>
      </c>
      <c r="C41" s="97" t="s">
        <v>15</v>
      </c>
      <c r="D41" s="97"/>
      <c r="E41" s="97"/>
      <c r="F41" s="97"/>
      <c r="G41" s="54" t="s">
        <v>176</v>
      </c>
      <c r="H41" s="31">
        <v>0.92507</v>
      </c>
      <c r="I41" s="64">
        <v>0</v>
      </c>
      <c r="J41" s="31">
        <f t="shared" si="0"/>
        <v>0</v>
      </c>
      <c r="K41" s="31">
        <f t="shared" si="1"/>
        <v>0</v>
      </c>
      <c r="L41" s="31">
        <f t="shared" si="2"/>
        <v>0</v>
      </c>
      <c r="M41" s="11" t="s">
        <v>303</v>
      </c>
      <c r="Z41" s="8">
        <f t="shared" si="3"/>
        <v>0</v>
      </c>
      <c r="AB41" s="8">
        <f t="shared" si="4"/>
        <v>0</v>
      </c>
      <c r="AC41" s="8">
        <f t="shared" si="5"/>
        <v>0</v>
      </c>
      <c r="AD41" s="8">
        <f t="shared" si="6"/>
        <v>0</v>
      </c>
      <c r="AE41" s="8">
        <f t="shared" si="7"/>
        <v>0</v>
      </c>
      <c r="AF41" s="8">
        <f t="shared" si="8"/>
        <v>0</v>
      </c>
      <c r="AG41" s="8">
        <f t="shared" si="9"/>
        <v>0</v>
      </c>
      <c r="AH41" s="8">
        <f t="shared" si="10"/>
        <v>0</v>
      </c>
      <c r="AI41" s="42" t="s">
        <v>253</v>
      </c>
      <c r="AJ41" s="31">
        <f t="shared" si="11"/>
        <v>0</v>
      </c>
      <c r="AK41" s="31">
        <f t="shared" si="12"/>
        <v>0</v>
      </c>
      <c r="AL41" s="31">
        <f t="shared" si="13"/>
        <v>0</v>
      </c>
      <c r="AN41" s="8">
        <v>21</v>
      </c>
      <c r="AO41" s="8">
        <f>I41*0</f>
        <v>0</v>
      </c>
      <c r="AP41" s="8">
        <f>I41*(1-0)</f>
        <v>0</v>
      </c>
      <c r="AQ41" s="33" t="s">
        <v>201</v>
      </c>
      <c r="AV41" s="8">
        <f t="shared" si="14"/>
        <v>0</v>
      </c>
      <c r="AW41" s="8">
        <f t="shared" si="15"/>
        <v>0</v>
      </c>
      <c r="AX41" s="8">
        <f t="shared" si="16"/>
        <v>0</v>
      </c>
      <c r="AY41" s="12" t="s">
        <v>385</v>
      </c>
      <c r="AZ41" s="12" t="s">
        <v>131</v>
      </c>
      <c r="BA41" s="42" t="s">
        <v>273</v>
      </c>
      <c r="BC41" s="8">
        <f t="shared" si="17"/>
        <v>0</v>
      </c>
      <c r="BD41" s="8">
        <f t="shared" si="18"/>
        <v>0</v>
      </c>
      <c r="BE41" s="8">
        <v>0</v>
      </c>
      <c r="BF41" s="8">
        <f>41</f>
        <v>41</v>
      </c>
      <c r="BH41" s="31">
        <f t="shared" si="19"/>
        <v>0</v>
      </c>
      <c r="BI41" s="31">
        <f t="shared" si="20"/>
        <v>0</v>
      </c>
      <c r="BJ41" s="31">
        <f t="shared" si="21"/>
        <v>0</v>
      </c>
      <c r="BK41" s="31"/>
      <c r="BL41" s="8">
        <v>94</v>
      </c>
    </row>
    <row r="42" spans="1:47" ht="15" customHeight="1">
      <c r="A42" s="47" t="s">
        <v>253</v>
      </c>
      <c r="B42" s="53" t="s">
        <v>44</v>
      </c>
      <c r="C42" s="96" t="s">
        <v>387</v>
      </c>
      <c r="D42" s="96"/>
      <c r="E42" s="96"/>
      <c r="F42" s="96"/>
      <c r="G42" s="32" t="s">
        <v>332</v>
      </c>
      <c r="H42" s="32" t="s">
        <v>332</v>
      </c>
      <c r="I42" s="32" t="s">
        <v>332</v>
      </c>
      <c r="J42" s="36">
        <f>SUM(J43:J43)</f>
        <v>0</v>
      </c>
      <c r="K42" s="36">
        <f>SUM(K43:K43)</f>
        <v>0</v>
      </c>
      <c r="L42" s="36">
        <f>SUM(L43:L43)</f>
        <v>0</v>
      </c>
      <c r="M42" s="29" t="s">
        <v>253</v>
      </c>
      <c r="AI42" s="42" t="s">
        <v>253</v>
      </c>
      <c r="AS42" s="36">
        <f>SUM(AJ43:AJ43)</f>
        <v>0</v>
      </c>
      <c r="AT42" s="36">
        <f>SUM(AK43:AK43)</f>
        <v>0</v>
      </c>
      <c r="AU42" s="36">
        <f>SUM(AL43:AL43)</f>
        <v>0</v>
      </c>
    </row>
    <row r="43" spans="1:64" ht="15" customHeight="1">
      <c r="A43" s="14">
        <v>19</v>
      </c>
      <c r="B43" s="54" t="s">
        <v>390</v>
      </c>
      <c r="C43" s="97" t="s">
        <v>5</v>
      </c>
      <c r="D43" s="97"/>
      <c r="E43" s="97"/>
      <c r="F43" s="97"/>
      <c r="G43" s="54" t="s">
        <v>346</v>
      </c>
      <c r="H43" s="31">
        <v>1054.236</v>
      </c>
      <c r="I43" s="64">
        <v>0</v>
      </c>
      <c r="J43" s="31">
        <f>H43*AO43</f>
        <v>0</v>
      </c>
      <c r="K43" s="31">
        <f>H43*AP43</f>
        <v>0</v>
      </c>
      <c r="L43" s="31">
        <f>H43*I43</f>
        <v>0</v>
      </c>
      <c r="M43" s="11" t="s">
        <v>303</v>
      </c>
      <c r="Z43" s="8">
        <f>IF(AQ43="5",BJ43,0)</f>
        <v>0</v>
      </c>
      <c r="AB43" s="8">
        <f>IF(AQ43="1",BH43,0)</f>
        <v>0</v>
      </c>
      <c r="AC43" s="8">
        <f>IF(AQ43="1",BI43,0)</f>
        <v>0</v>
      </c>
      <c r="AD43" s="8">
        <f>IF(AQ43="7",BH43,0)</f>
        <v>0</v>
      </c>
      <c r="AE43" s="8">
        <f>IF(AQ43="7",BI43,0)</f>
        <v>0</v>
      </c>
      <c r="AF43" s="8">
        <f>IF(AQ43="2",BH43,0)</f>
        <v>0</v>
      </c>
      <c r="AG43" s="8">
        <f>IF(AQ43="2",BI43,0)</f>
        <v>0</v>
      </c>
      <c r="AH43" s="8">
        <f>IF(AQ43="0",BJ43,0)</f>
        <v>0</v>
      </c>
      <c r="AI43" s="42" t="s">
        <v>253</v>
      </c>
      <c r="AJ43" s="31">
        <f>IF(AN43=0,L43,0)</f>
        <v>0</v>
      </c>
      <c r="AK43" s="31">
        <f>IF(AN43=15,L43,0)</f>
        <v>0</v>
      </c>
      <c r="AL43" s="31">
        <f>IF(AN43=21,L43,0)</f>
        <v>0</v>
      </c>
      <c r="AN43" s="8">
        <v>21</v>
      </c>
      <c r="AO43" s="8">
        <f>I43*0</f>
        <v>0</v>
      </c>
      <c r="AP43" s="8">
        <f>I43*(1-0)</f>
        <v>0</v>
      </c>
      <c r="AQ43" s="33" t="s">
        <v>352</v>
      </c>
      <c r="AV43" s="8">
        <f>AW43+AX43</f>
        <v>0</v>
      </c>
      <c r="AW43" s="8">
        <f>H43*AO43</f>
        <v>0</v>
      </c>
      <c r="AX43" s="8">
        <f>H43*AP43</f>
        <v>0</v>
      </c>
      <c r="AY43" s="12" t="s">
        <v>114</v>
      </c>
      <c r="AZ43" s="12" t="s">
        <v>131</v>
      </c>
      <c r="BA43" s="42" t="s">
        <v>273</v>
      </c>
      <c r="BC43" s="8">
        <f>AW43+AX43</f>
        <v>0</v>
      </c>
      <c r="BD43" s="8">
        <f>I43/(100-BE43)*100</f>
        <v>0</v>
      </c>
      <c r="BE43" s="8">
        <v>0</v>
      </c>
      <c r="BF43" s="8">
        <f>46</f>
        <v>46</v>
      </c>
      <c r="BH43" s="31">
        <f>H43*AO43</f>
        <v>0</v>
      </c>
      <c r="BI43" s="31">
        <f>H43*AP43</f>
        <v>0</v>
      </c>
      <c r="BJ43" s="31">
        <f>H43*I43</f>
        <v>0</v>
      </c>
      <c r="BK43" s="31"/>
      <c r="BL43" s="8">
        <v>97</v>
      </c>
    </row>
    <row r="44" spans="1:13" ht="13.5" customHeight="1">
      <c r="A44" s="44"/>
      <c r="B44" s="43" t="s">
        <v>29</v>
      </c>
      <c r="C44" s="98" t="s">
        <v>161</v>
      </c>
      <c r="D44" s="99"/>
      <c r="E44" s="99"/>
      <c r="F44" s="99"/>
      <c r="G44" s="99"/>
      <c r="H44" s="99"/>
      <c r="I44" s="99"/>
      <c r="J44" s="99"/>
      <c r="K44" s="99"/>
      <c r="L44" s="99"/>
      <c r="M44" s="100"/>
    </row>
    <row r="45" spans="1:47" ht="15" customHeight="1">
      <c r="A45" s="47" t="s">
        <v>253</v>
      </c>
      <c r="B45" s="53" t="s">
        <v>125</v>
      </c>
      <c r="C45" s="96" t="s">
        <v>162</v>
      </c>
      <c r="D45" s="96"/>
      <c r="E45" s="96"/>
      <c r="F45" s="96"/>
      <c r="G45" s="32" t="s">
        <v>332</v>
      </c>
      <c r="H45" s="32" t="s">
        <v>332</v>
      </c>
      <c r="I45" s="32" t="s">
        <v>332</v>
      </c>
      <c r="J45" s="36">
        <f>SUM(J46:J52)</f>
        <v>0</v>
      </c>
      <c r="K45" s="36">
        <f>SUM(K46:K52)</f>
        <v>0</v>
      </c>
      <c r="L45" s="36">
        <f>SUM(L46:L52)</f>
        <v>0</v>
      </c>
      <c r="M45" s="29" t="s">
        <v>253</v>
      </c>
      <c r="AI45" s="42" t="s">
        <v>253</v>
      </c>
      <c r="AS45" s="36">
        <f>SUM(AJ46:AJ52)</f>
        <v>0</v>
      </c>
      <c r="AT45" s="36">
        <f>SUM(AK46:AK52)</f>
        <v>0</v>
      </c>
      <c r="AU45" s="36">
        <f>SUM(AL46:AL52)</f>
        <v>0</v>
      </c>
    </row>
    <row r="46" spans="1:64" ht="15" customHeight="1">
      <c r="A46" s="14">
        <v>20</v>
      </c>
      <c r="B46" s="54" t="s">
        <v>257</v>
      </c>
      <c r="C46" s="97" t="s">
        <v>266</v>
      </c>
      <c r="D46" s="97"/>
      <c r="E46" s="97"/>
      <c r="F46" s="97"/>
      <c r="G46" s="54" t="s">
        <v>176</v>
      </c>
      <c r="H46" s="31">
        <v>40.707</v>
      </c>
      <c r="I46" s="64">
        <v>0</v>
      </c>
      <c r="J46" s="31">
        <f aca="true" t="shared" si="22" ref="J46:J52">H46*AO46</f>
        <v>0</v>
      </c>
      <c r="K46" s="31">
        <f aca="true" t="shared" si="23" ref="K46:K52">H46*AP46</f>
        <v>0</v>
      </c>
      <c r="L46" s="31">
        <f aca="true" t="shared" si="24" ref="L46:L52">H46*I46</f>
        <v>0</v>
      </c>
      <c r="M46" s="11" t="s">
        <v>303</v>
      </c>
      <c r="Z46" s="8">
        <f aca="true" t="shared" si="25" ref="Z46:Z52">IF(AQ46="5",BJ46,0)</f>
        <v>0</v>
      </c>
      <c r="AB46" s="8">
        <f aca="true" t="shared" si="26" ref="AB46:AB52">IF(AQ46="1",BH46,0)</f>
        <v>0</v>
      </c>
      <c r="AC46" s="8">
        <f aca="true" t="shared" si="27" ref="AC46:AC52">IF(AQ46="1",BI46,0)</f>
        <v>0</v>
      </c>
      <c r="AD46" s="8">
        <f aca="true" t="shared" si="28" ref="AD46:AD52">IF(AQ46="7",BH46,0)</f>
        <v>0</v>
      </c>
      <c r="AE46" s="8">
        <f aca="true" t="shared" si="29" ref="AE46:AE52">IF(AQ46="7",BI46,0)</f>
        <v>0</v>
      </c>
      <c r="AF46" s="8">
        <f aca="true" t="shared" si="30" ref="AF46:AF52">IF(AQ46="2",BH46,0)</f>
        <v>0</v>
      </c>
      <c r="AG46" s="8">
        <f aca="true" t="shared" si="31" ref="AG46:AG52">IF(AQ46="2",BI46,0)</f>
        <v>0</v>
      </c>
      <c r="AH46" s="8">
        <f aca="true" t="shared" si="32" ref="AH46:AH52">IF(AQ46="0",BJ46,0)</f>
        <v>0</v>
      </c>
      <c r="AI46" s="42" t="s">
        <v>253</v>
      </c>
      <c r="AJ46" s="31">
        <f aca="true" t="shared" si="33" ref="AJ46:AJ52">IF(AN46=0,L46,0)</f>
        <v>0</v>
      </c>
      <c r="AK46" s="31">
        <f aca="true" t="shared" si="34" ref="AK46:AK52">IF(AN46=15,L46,0)</f>
        <v>0</v>
      </c>
      <c r="AL46" s="31">
        <f aca="true" t="shared" si="35" ref="AL46:AL52">IF(AN46=21,L46,0)</f>
        <v>0</v>
      </c>
      <c r="AN46" s="8">
        <v>21</v>
      </c>
      <c r="AO46" s="8">
        <f aca="true" t="shared" si="36" ref="AO46:AO52">I46*0</f>
        <v>0</v>
      </c>
      <c r="AP46" s="8">
        <f aca="true" t="shared" si="37" ref="AP46:AP52">I46*(1-0)</f>
        <v>0</v>
      </c>
      <c r="AQ46" s="33" t="s">
        <v>201</v>
      </c>
      <c r="AV46" s="8">
        <f aca="true" t="shared" si="38" ref="AV46:AV52">AW46+AX46</f>
        <v>0</v>
      </c>
      <c r="AW46" s="8">
        <f aca="true" t="shared" si="39" ref="AW46:AW52">H46*AO46</f>
        <v>0</v>
      </c>
      <c r="AX46" s="8">
        <f aca="true" t="shared" si="40" ref="AX46:AX52">H46*AP46</f>
        <v>0</v>
      </c>
      <c r="AY46" s="12" t="s">
        <v>158</v>
      </c>
      <c r="AZ46" s="12" t="s">
        <v>131</v>
      </c>
      <c r="BA46" s="42" t="s">
        <v>273</v>
      </c>
      <c r="BC46" s="8">
        <f aca="true" t="shared" si="41" ref="BC46:BC52">AW46+AX46</f>
        <v>0</v>
      </c>
      <c r="BD46" s="8">
        <f aca="true" t="shared" si="42" ref="BD46:BD52">I46/(100-BE46)*100</f>
        <v>0</v>
      </c>
      <c r="BE46" s="8">
        <v>0</v>
      </c>
      <c r="BF46" s="8">
        <f>49</f>
        <v>49</v>
      </c>
      <c r="BH46" s="31">
        <f aca="true" t="shared" si="43" ref="BH46:BH52">H46*AO46</f>
        <v>0</v>
      </c>
      <c r="BI46" s="31">
        <f aca="true" t="shared" si="44" ref="BI46:BI52">H46*AP46</f>
        <v>0</v>
      </c>
      <c r="BJ46" s="31">
        <f aca="true" t="shared" si="45" ref="BJ46:BJ52">H46*I46</f>
        <v>0</v>
      </c>
      <c r="BK46" s="31"/>
      <c r="BL46" s="8"/>
    </row>
    <row r="47" spans="1:64" ht="15" customHeight="1">
      <c r="A47" s="14">
        <v>21</v>
      </c>
      <c r="B47" s="54" t="s">
        <v>241</v>
      </c>
      <c r="C47" s="97" t="s">
        <v>166</v>
      </c>
      <c r="D47" s="97"/>
      <c r="E47" s="97"/>
      <c r="F47" s="97"/>
      <c r="G47" s="54" t="s">
        <v>176</v>
      </c>
      <c r="H47" s="31">
        <v>610.605</v>
      </c>
      <c r="I47" s="64">
        <v>0</v>
      </c>
      <c r="J47" s="31">
        <f t="shared" si="22"/>
        <v>0</v>
      </c>
      <c r="K47" s="31">
        <f t="shared" si="23"/>
        <v>0</v>
      </c>
      <c r="L47" s="31">
        <f t="shared" si="24"/>
        <v>0</v>
      </c>
      <c r="M47" s="11" t="s">
        <v>303</v>
      </c>
      <c r="Z47" s="8">
        <f t="shared" si="25"/>
        <v>0</v>
      </c>
      <c r="AB47" s="8">
        <f t="shared" si="26"/>
        <v>0</v>
      </c>
      <c r="AC47" s="8">
        <f t="shared" si="27"/>
        <v>0</v>
      </c>
      <c r="AD47" s="8">
        <f t="shared" si="28"/>
        <v>0</v>
      </c>
      <c r="AE47" s="8">
        <f t="shared" si="29"/>
        <v>0</v>
      </c>
      <c r="AF47" s="8">
        <f t="shared" si="30"/>
        <v>0</v>
      </c>
      <c r="AG47" s="8">
        <f t="shared" si="31"/>
        <v>0</v>
      </c>
      <c r="AH47" s="8">
        <f t="shared" si="32"/>
        <v>0</v>
      </c>
      <c r="AI47" s="42" t="s">
        <v>253</v>
      </c>
      <c r="AJ47" s="31">
        <f t="shared" si="33"/>
        <v>0</v>
      </c>
      <c r="AK47" s="31">
        <f t="shared" si="34"/>
        <v>0</v>
      </c>
      <c r="AL47" s="31">
        <f t="shared" si="35"/>
        <v>0</v>
      </c>
      <c r="AN47" s="8">
        <v>21</v>
      </c>
      <c r="AO47" s="8">
        <f t="shared" si="36"/>
        <v>0</v>
      </c>
      <c r="AP47" s="8">
        <f t="shared" si="37"/>
        <v>0</v>
      </c>
      <c r="AQ47" s="33" t="s">
        <v>201</v>
      </c>
      <c r="AV47" s="8">
        <f t="shared" si="38"/>
        <v>0</v>
      </c>
      <c r="AW47" s="8">
        <f t="shared" si="39"/>
        <v>0</v>
      </c>
      <c r="AX47" s="8">
        <f t="shared" si="40"/>
        <v>0</v>
      </c>
      <c r="AY47" s="12" t="s">
        <v>158</v>
      </c>
      <c r="AZ47" s="12" t="s">
        <v>131</v>
      </c>
      <c r="BA47" s="42" t="s">
        <v>273</v>
      </c>
      <c r="BC47" s="8">
        <f t="shared" si="41"/>
        <v>0</v>
      </c>
      <c r="BD47" s="8">
        <f t="shared" si="42"/>
        <v>0</v>
      </c>
      <c r="BE47" s="8">
        <v>0</v>
      </c>
      <c r="BF47" s="8">
        <f>50</f>
        <v>50</v>
      </c>
      <c r="BH47" s="31">
        <f t="shared" si="43"/>
        <v>0</v>
      </c>
      <c r="BI47" s="31">
        <f t="shared" si="44"/>
        <v>0</v>
      </c>
      <c r="BJ47" s="31">
        <f t="shared" si="45"/>
        <v>0</v>
      </c>
      <c r="BK47" s="31"/>
      <c r="BL47" s="8"/>
    </row>
    <row r="48" spans="1:64" ht="15" customHeight="1">
      <c r="A48" s="14">
        <v>22</v>
      </c>
      <c r="B48" s="54" t="s">
        <v>360</v>
      </c>
      <c r="C48" s="97" t="s">
        <v>98</v>
      </c>
      <c r="D48" s="97"/>
      <c r="E48" s="97"/>
      <c r="F48" s="97"/>
      <c r="G48" s="54" t="s">
        <v>176</v>
      </c>
      <c r="H48" s="31">
        <v>40.707</v>
      </c>
      <c r="I48" s="64">
        <v>0</v>
      </c>
      <c r="J48" s="31">
        <f t="shared" si="22"/>
        <v>0</v>
      </c>
      <c r="K48" s="31">
        <f t="shared" si="23"/>
        <v>0</v>
      </c>
      <c r="L48" s="31">
        <f t="shared" si="24"/>
        <v>0</v>
      </c>
      <c r="M48" s="11" t="s">
        <v>303</v>
      </c>
      <c r="Z48" s="8">
        <f t="shared" si="25"/>
        <v>0</v>
      </c>
      <c r="AB48" s="8">
        <f t="shared" si="26"/>
        <v>0</v>
      </c>
      <c r="AC48" s="8">
        <f t="shared" si="27"/>
        <v>0</v>
      </c>
      <c r="AD48" s="8">
        <f t="shared" si="28"/>
        <v>0</v>
      </c>
      <c r="AE48" s="8">
        <f t="shared" si="29"/>
        <v>0</v>
      </c>
      <c r="AF48" s="8">
        <f t="shared" si="30"/>
        <v>0</v>
      </c>
      <c r="AG48" s="8">
        <f t="shared" si="31"/>
        <v>0</v>
      </c>
      <c r="AH48" s="8">
        <f t="shared" si="32"/>
        <v>0</v>
      </c>
      <c r="AI48" s="42" t="s">
        <v>253</v>
      </c>
      <c r="AJ48" s="31">
        <f t="shared" si="33"/>
        <v>0</v>
      </c>
      <c r="AK48" s="31">
        <f t="shared" si="34"/>
        <v>0</v>
      </c>
      <c r="AL48" s="31">
        <f t="shared" si="35"/>
        <v>0</v>
      </c>
      <c r="AN48" s="8">
        <v>21</v>
      </c>
      <c r="AO48" s="8">
        <f t="shared" si="36"/>
        <v>0</v>
      </c>
      <c r="AP48" s="8">
        <f t="shared" si="37"/>
        <v>0</v>
      </c>
      <c r="AQ48" s="33" t="s">
        <v>201</v>
      </c>
      <c r="AV48" s="8">
        <f t="shared" si="38"/>
        <v>0</v>
      </c>
      <c r="AW48" s="8">
        <f t="shared" si="39"/>
        <v>0</v>
      </c>
      <c r="AX48" s="8">
        <f t="shared" si="40"/>
        <v>0</v>
      </c>
      <c r="AY48" s="12" t="s">
        <v>158</v>
      </c>
      <c r="AZ48" s="12" t="s">
        <v>131</v>
      </c>
      <c r="BA48" s="42" t="s">
        <v>273</v>
      </c>
      <c r="BC48" s="8">
        <f t="shared" si="41"/>
        <v>0</v>
      </c>
      <c r="BD48" s="8">
        <f t="shared" si="42"/>
        <v>0</v>
      </c>
      <c r="BE48" s="8">
        <v>0</v>
      </c>
      <c r="BF48" s="8">
        <f>51</f>
        <v>51</v>
      </c>
      <c r="BH48" s="31">
        <f t="shared" si="43"/>
        <v>0</v>
      </c>
      <c r="BI48" s="31">
        <f t="shared" si="44"/>
        <v>0</v>
      </c>
      <c r="BJ48" s="31">
        <f t="shared" si="45"/>
        <v>0</v>
      </c>
      <c r="BK48" s="31"/>
      <c r="BL48" s="8"/>
    </row>
    <row r="49" spans="1:64" ht="15" customHeight="1">
      <c r="A49" s="14">
        <v>23</v>
      </c>
      <c r="B49" s="54" t="s">
        <v>79</v>
      </c>
      <c r="C49" s="97" t="s">
        <v>182</v>
      </c>
      <c r="D49" s="97"/>
      <c r="E49" s="97"/>
      <c r="F49" s="97"/>
      <c r="G49" s="54" t="s">
        <v>176</v>
      </c>
      <c r="H49" s="31">
        <v>407.07</v>
      </c>
      <c r="I49" s="64">
        <v>0</v>
      </c>
      <c r="J49" s="31">
        <f t="shared" si="22"/>
        <v>0</v>
      </c>
      <c r="K49" s="31">
        <f t="shared" si="23"/>
        <v>0</v>
      </c>
      <c r="L49" s="31">
        <f t="shared" si="24"/>
        <v>0</v>
      </c>
      <c r="M49" s="11" t="s">
        <v>303</v>
      </c>
      <c r="Z49" s="8">
        <f t="shared" si="25"/>
        <v>0</v>
      </c>
      <c r="AB49" s="8">
        <f t="shared" si="26"/>
        <v>0</v>
      </c>
      <c r="AC49" s="8">
        <f t="shared" si="27"/>
        <v>0</v>
      </c>
      <c r="AD49" s="8">
        <f t="shared" si="28"/>
        <v>0</v>
      </c>
      <c r="AE49" s="8">
        <f t="shared" si="29"/>
        <v>0</v>
      </c>
      <c r="AF49" s="8">
        <f t="shared" si="30"/>
        <v>0</v>
      </c>
      <c r="AG49" s="8">
        <f t="shared" si="31"/>
        <v>0</v>
      </c>
      <c r="AH49" s="8">
        <f t="shared" si="32"/>
        <v>0</v>
      </c>
      <c r="AI49" s="42" t="s">
        <v>253</v>
      </c>
      <c r="AJ49" s="31">
        <f t="shared" si="33"/>
        <v>0</v>
      </c>
      <c r="AK49" s="31">
        <f t="shared" si="34"/>
        <v>0</v>
      </c>
      <c r="AL49" s="31">
        <f t="shared" si="35"/>
        <v>0</v>
      </c>
      <c r="AN49" s="8">
        <v>21</v>
      </c>
      <c r="AO49" s="8">
        <f t="shared" si="36"/>
        <v>0</v>
      </c>
      <c r="AP49" s="8">
        <f t="shared" si="37"/>
        <v>0</v>
      </c>
      <c r="AQ49" s="33" t="s">
        <v>201</v>
      </c>
      <c r="AV49" s="8">
        <f t="shared" si="38"/>
        <v>0</v>
      </c>
      <c r="AW49" s="8">
        <f t="shared" si="39"/>
        <v>0</v>
      </c>
      <c r="AX49" s="8">
        <f t="shared" si="40"/>
        <v>0</v>
      </c>
      <c r="AY49" s="12" t="s">
        <v>158</v>
      </c>
      <c r="AZ49" s="12" t="s">
        <v>131</v>
      </c>
      <c r="BA49" s="42" t="s">
        <v>273</v>
      </c>
      <c r="BC49" s="8">
        <f t="shared" si="41"/>
        <v>0</v>
      </c>
      <c r="BD49" s="8">
        <f t="shared" si="42"/>
        <v>0</v>
      </c>
      <c r="BE49" s="8">
        <v>0</v>
      </c>
      <c r="BF49" s="8">
        <f>52</f>
        <v>52</v>
      </c>
      <c r="BH49" s="31">
        <f t="shared" si="43"/>
        <v>0</v>
      </c>
      <c r="BI49" s="31">
        <f t="shared" si="44"/>
        <v>0</v>
      </c>
      <c r="BJ49" s="31">
        <f t="shared" si="45"/>
        <v>0</v>
      </c>
      <c r="BK49" s="31"/>
      <c r="BL49" s="8"/>
    </row>
    <row r="50" spans="1:64" ht="15" customHeight="1">
      <c r="A50" s="14">
        <v>24</v>
      </c>
      <c r="B50" s="54" t="s">
        <v>64</v>
      </c>
      <c r="C50" s="97" t="s">
        <v>380</v>
      </c>
      <c r="D50" s="97"/>
      <c r="E50" s="97"/>
      <c r="F50" s="97"/>
      <c r="G50" s="54" t="s">
        <v>176</v>
      </c>
      <c r="H50" s="31">
        <v>8.9975</v>
      </c>
      <c r="I50" s="64">
        <v>0</v>
      </c>
      <c r="J50" s="31">
        <f t="shared" si="22"/>
        <v>0</v>
      </c>
      <c r="K50" s="31">
        <f t="shared" si="23"/>
        <v>0</v>
      </c>
      <c r="L50" s="31">
        <f t="shared" si="24"/>
        <v>0</v>
      </c>
      <c r="M50" s="11" t="s">
        <v>303</v>
      </c>
      <c r="Z50" s="8">
        <f t="shared" si="25"/>
        <v>0</v>
      </c>
      <c r="AB50" s="8">
        <f t="shared" si="26"/>
        <v>0</v>
      </c>
      <c r="AC50" s="8">
        <f t="shared" si="27"/>
        <v>0</v>
      </c>
      <c r="AD50" s="8">
        <f t="shared" si="28"/>
        <v>0</v>
      </c>
      <c r="AE50" s="8">
        <f t="shared" si="29"/>
        <v>0</v>
      </c>
      <c r="AF50" s="8">
        <f t="shared" si="30"/>
        <v>0</v>
      </c>
      <c r="AG50" s="8">
        <f t="shared" si="31"/>
        <v>0</v>
      </c>
      <c r="AH50" s="8">
        <f t="shared" si="32"/>
        <v>0</v>
      </c>
      <c r="AI50" s="42" t="s">
        <v>253</v>
      </c>
      <c r="AJ50" s="31">
        <f t="shared" si="33"/>
        <v>0</v>
      </c>
      <c r="AK50" s="31">
        <f t="shared" si="34"/>
        <v>0</v>
      </c>
      <c r="AL50" s="31">
        <f t="shared" si="35"/>
        <v>0</v>
      </c>
      <c r="AN50" s="8">
        <v>21</v>
      </c>
      <c r="AO50" s="8">
        <f t="shared" si="36"/>
        <v>0</v>
      </c>
      <c r="AP50" s="8">
        <f t="shared" si="37"/>
        <v>0</v>
      </c>
      <c r="AQ50" s="33" t="s">
        <v>201</v>
      </c>
      <c r="AV50" s="8">
        <f t="shared" si="38"/>
        <v>0</v>
      </c>
      <c r="AW50" s="8">
        <f t="shared" si="39"/>
        <v>0</v>
      </c>
      <c r="AX50" s="8">
        <f t="shared" si="40"/>
        <v>0</v>
      </c>
      <c r="AY50" s="12" t="s">
        <v>158</v>
      </c>
      <c r="AZ50" s="12" t="s">
        <v>131</v>
      </c>
      <c r="BA50" s="42" t="s">
        <v>273</v>
      </c>
      <c r="BC50" s="8">
        <f t="shared" si="41"/>
        <v>0</v>
      </c>
      <c r="BD50" s="8">
        <f t="shared" si="42"/>
        <v>0</v>
      </c>
      <c r="BE50" s="8">
        <v>0</v>
      </c>
      <c r="BF50" s="8">
        <f>54</f>
        <v>54</v>
      </c>
      <c r="BH50" s="31">
        <f t="shared" si="43"/>
        <v>0</v>
      </c>
      <c r="BI50" s="31">
        <f t="shared" si="44"/>
        <v>0</v>
      </c>
      <c r="BJ50" s="31">
        <f t="shared" si="45"/>
        <v>0</v>
      </c>
      <c r="BK50" s="31"/>
      <c r="BL50" s="8"/>
    </row>
    <row r="51" spans="1:64" ht="15" customHeight="1">
      <c r="A51" s="14">
        <v>25</v>
      </c>
      <c r="B51" s="54" t="s">
        <v>139</v>
      </c>
      <c r="C51" s="97" t="s">
        <v>299</v>
      </c>
      <c r="D51" s="97"/>
      <c r="E51" s="97"/>
      <c r="F51" s="97"/>
      <c r="G51" s="54" t="s">
        <v>176</v>
      </c>
      <c r="H51" s="31">
        <v>17.0966</v>
      </c>
      <c r="I51" s="64">
        <v>0</v>
      </c>
      <c r="J51" s="31">
        <f t="shared" si="22"/>
        <v>0</v>
      </c>
      <c r="K51" s="31">
        <f t="shared" si="23"/>
        <v>0</v>
      </c>
      <c r="L51" s="31">
        <f t="shared" si="24"/>
        <v>0</v>
      </c>
      <c r="M51" s="11" t="s">
        <v>303</v>
      </c>
      <c r="Z51" s="8">
        <f t="shared" si="25"/>
        <v>0</v>
      </c>
      <c r="AB51" s="8">
        <f t="shared" si="26"/>
        <v>0</v>
      </c>
      <c r="AC51" s="8">
        <f t="shared" si="27"/>
        <v>0</v>
      </c>
      <c r="AD51" s="8">
        <f t="shared" si="28"/>
        <v>0</v>
      </c>
      <c r="AE51" s="8">
        <f t="shared" si="29"/>
        <v>0</v>
      </c>
      <c r="AF51" s="8">
        <f t="shared" si="30"/>
        <v>0</v>
      </c>
      <c r="AG51" s="8">
        <f t="shared" si="31"/>
        <v>0</v>
      </c>
      <c r="AH51" s="8">
        <f t="shared" si="32"/>
        <v>0</v>
      </c>
      <c r="AI51" s="42" t="s">
        <v>253</v>
      </c>
      <c r="AJ51" s="31">
        <f t="shared" si="33"/>
        <v>0</v>
      </c>
      <c r="AK51" s="31">
        <f t="shared" si="34"/>
        <v>0</v>
      </c>
      <c r="AL51" s="31">
        <f t="shared" si="35"/>
        <v>0</v>
      </c>
      <c r="AN51" s="8">
        <v>21</v>
      </c>
      <c r="AO51" s="8">
        <f t="shared" si="36"/>
        <v>0</v>
      </c>
      <c r="AP51" s="8">
        <f t="shared" si="37"/>
        <v>0</v>
      </c>
      <c r="AQ51" s="33" t="s">
        <v>201</v>
      </c>
      <c r="AV51" s="8">
        <f t="shared" si="38"/>
        <v>0</v>
      </c>
      <c r="AW51" s="8">
        <f t="shared" si="39"/>
        <v>0</v>
      </c>
      <c r="AX51" s="8">
        <f t="shared" si="40"/>
        <v>0</v>
      </c>
      <c r="AY51" s="12" t="s">
        <v>158</v>
      </c>
      <c r="AZ51" s="12" t="s">
        <v>131</v>
      </c>
      <c r="BA51" s="42" t="s">
        <v>273</v>
      </c>
      <c r="BC51" s="8">
        <f t="shared" si="41"/>
        <v>0</v>
      </c>
      <c r="BD51" s="8">
        <f t="shared" si="42"/>
        <v>0</v>
      </c>
      <c r="BE51" s="8">
        <v>0</v>
      </c>
      <c r="BF51" s="8">
        <f>55</f>
        <v>55</v>
      </c>
      <c r="BH51" s="31">
        <f t="shared" si="43"/>
        <v>0</v>
      </c>
      <c r="BI51" s="31">
        <f t="shared" si="44"/>
        <v>0</v>
      </c>
      <c r="BJ51" s="31">
        <f t="shared" si="45"/>
        <v>0</v>
      </c>
      <c r="BK51" s="31"/>
      <c r="BL51" s="8"/>
    </row>
    <row r="52" spans="1:64" ht="15" customHeight="1">
      <c r="A52" s="14">
        <v>26</v>
      </c>
      <c r="B52" s="54" t="s">
        <v>121</v>
      </c>
      <c r="C52" s="97" t="s">
        <v>217</v>
      </c>
      <c r="D52" s="97"/>
      <c r="E52" s="97"/>
      <c r="F52" s="97"/>
      <c r="G52" s="54" t="s">
        <v>176</v>
      </c>
      <c r="H52" s="31">
        <v>0.9768</v>
      </c>
      <c r="I52" s="64">
        <v>0</v>
      </c>
      <c r="J52" s="31">
        <f t="shared" si="22"/>
        <v>0</v>
      </c>
      <c r="K52" s="31">
        <f t="shared" si="23"/>
        <v>0</v>
      </c>
      <c r="L52" s="31">
        <f t="shared" si="24"/>
        <v>0</v>
      </c>
      <c r="M52" s="11" t="s">
        <v>303</v>
      </c>
      <c r="Z52" s="8">
        <f t="shared" si="25"/>
        <v>0</v>
      </c>
      <c r="AB52" s="8">
        <f t="shared" si="26"/>
        <v>0</v>
      </c>
      <c r="AC52" s="8">
        <f t="shared" si="27"/>
        <v>0</v>
      </c>
      <c r="AD52" s="8">
        <f t="shared" si="28"/>
        <v>0</v>
      </c>
      <c r="AE52" s="8">
        <f t="shared" si="29"/>
        <v>0</v>
      </c>
      <c r="AF52" s="8">
        <f t="shared" si="30"/>
        <v>0</v>
      </c>
      <c r="AG52" s="8">
        <f t="shared" si="31"/>
        <v>0</v>
      </c>
      <c r="AH52" s="8">
        <f t="shared" si="32"/>
        <v>0</v>
      </c>
      <c r="AI52" s="42" t="s">
        <v>253</v>
      </c>
      <c r="AJ52" s="31">
        <f t="shared" si="33"/>
        <v>0</v>
      </c>
      <c r="AK52" s="31">
        <f t="shared" si="34"/>
        <v>0</v>
      </c>
      <c r="AL52" s="31">
        <f t="shared" si="35"/>
        <v>0</v>
      </c>
      <c r="AN52" s="8">
        <v>21</v>
      </c>
      <c r="AO52" s="8">
        <f t="shared" si="36"/>
        <v>0</v>
      </c>
      <c r="AP52" s="8">
        <f t="shared" si="37"/>
        <v>0</v>
      </c>
      <c r="AQ52" s="33" t="s">
        <v>201</v>
      </c>
      <c r="AV52" s="8">
        <f t="shared" si="38"/>
        <v>0</v>
      </c>
      <c r="AW52" s="8">
        <f t="shared" si="39"/>
        <v>0</v>
      </c>
      <c r="AX52" s="8">
        <f t="shared" si="40"/>
        <v>0</v>
      </c>
      <c r="AY52" s="12" t="s">
        <v>158</v>
      </c>
      <c r="AZ52" s="12" t="s">
        <v>131</v>
      </c>
      <c r="BA52" s="42" t="s">
        <v>273</v>
      </c>
      <c r="BC52" s="8">
        <f t="shared" si="41"/>
        <v>0</v>
      </c>
      <c r="BD52" s="8">
        <f t="shared" si="42"/>
        <v>0</v>
      </c>
      <c r="BE52" s="8">
        <v>0</v>
      </c>
      <c r="BF52" s="8">
        <f>56</f>
        <v>56</v>
      </c>
      <c r="BH52" s="31">
        <f t="shared" si="43"/>
        <v>0</v>
      </c>
      <c r="BI52" s="31">
        <f t="shared" si="44"/>
        <v>0</v>
      </c>
      <c r="BJ52" s="31">
        <f t="shared" si="45"/>
        <v>0</v>
      </c>
      <c r="BK52" s="31"/>
      <c r="BL52" s="8"/>
    </row>
    <row r="53" spans="1:47" ht="15" customHeight="1">
      <c r="A53" s="47" t="s">
        <v>253</v>
      </c>
      <c r="B53" s="53" t="s">
        <v>237</v>
      </c>
      <c r="C53" s="96" t="s">
        <v>398</v>
      </c>
      <c r="D53" s="96"/>
      <c r="E53" s="96"/>
      <c r="F53" s="96"/>
      <c r="G53" s="32" t="s">
        <v>332</v>
      </c>
      <c r="H53" s="32" t="s">
        <v>332</v>
      </c>
      <c r="I53" s="32" t="s">
        <v>332</v>
      </c>
      <c r="J53" s="36">
        <f>SUM(J54:J55)</f>
        <v>0</v>
      </c>
      <c r="K53" s="36">
        <f>SUM(K54:K55)</f>
        <v>0</v>
      </c>
      <c r="L53" s="36">
        <f>SUM(L54:L55)</f>
        <v>0</v>
      </c>
      <c r="M53" s="29" t="s">
        <v>253</v>
      </c>
      <c r="AI53" s="42" t="s">
        <v>253</v>
      </c>
      <c r="AS53" s="36">
        <f>SUM(AJ54:AJ55)</f>
        <v>0</v>
      </c>
      <c r="AT53" s="36">
        <f>SUM(AK54:AK55)</f>
        <v>0</v>
      </c>
      <c r="AU53" s="36">
        <f>SUM(AL54:AL55)</f>
        <v>0</v>
      </c>
    </row>
    <row r="54" spans="1:64" ht="15" customHeight="1">
      <c r="A54" s="14">
        <v>27</v>
      </c>
      <c r="B54" s="54" t="s">
        <v>147</v>
      </c>
      <c r="C54" s="97" t="s">
        <v>171</v>
      </c>
      <c r="D54" s="97"/>
      <c r="E54" s="97"/>
      <c r="F54" s="97"/>
      <c r="G54" s="54" t="s">
        <v>87</v>
      </c>
      <c r="H54" s="31">
        <v>9</v>
      </c>
      <c r="I54" s="64">
        <v>0</v>
      </c>
      <c r="J54" s="31">
        <f>H54*AO54</f>
        <v>0</v>
      </c>
      <c r="K54" s="31">
        <f>H54*AP54</f>
        <v>0</v>
      </c>
      <c r="L54" s="31">
        <f>H54*I54</f>
        <v>0</v>
      </c>
      <c r="M54" s="11" t="s">
        <v>303</v>
      </c>
      <c r="Z54" s="8">
        <f>IF(AQ54="5",BJ54,0)</f>
        <v>0</v>
      </c>
      <c r="AB54" s="8">
        <f>IF(AQ54="1",BH54,0)</f>
        <v>0</v>
      </c>
      <c r="AC54" s="8">
        <f>IF(AQ54="1",BI54,0)</f>
        <v>0</v>
      </c>
      <c r="AD54" s="8">
        <f>IF(AQ54="7",BH54,0)</f>
        <v>0</v>
      </c>
      <c r="AE54" s="8">
        <f>IF(AQ54="7",BI54,0)</f>
        <v>0</v>
      </c>
      <c r="AF54" s="8">
        <f>IF(AQ54="2",BH54,0)</f>
        <v>0</v>
      </c>
      <c r="AG54" s="8">
        <f>IF(AQ54="2",BI54,0)</f>
        <v>0</v>
      </c>
      <c r="AH54" s="8">
        <f>IF(AQ54="0",BJ54,0)</f>
        <v>0</v>
      </c>
      <c r="AI54" s="42" t="s">
        <v>253</v>
      </c>
      <c r="AJ54" s="31">
        <f>IF(AN54=0,L54,0)</f>
        <v>0</v>
      </c>
      <c r="AK54" s="31">
        <f>IF(AN54=15,L54,0)</f>
        <v>0</v>
      </c>
      <c r="AL54" s="31">
        <f>IF(AN54=21,L54,0)</f>
        <v>0</v>
      </c>
      <c r="AN54" s="8">
        <v>21</v>
      </c>
      <c r="AO54" s="8">
        <f>I54*0.903577878103837</f>
        <v>0</v>
      </c>
      <c r="AP54" s="8">
        <f>I54*(1-0.903577878103837)</f>
        <v>0</v>
      </c>
      <c r="AQ54" s="33" t="s">
        <v>354</v>
      </c>
      <c r="AV54" s="8">
        <f>AW54+AX54</f>
        <v>0</v>
      </c>
      <c r="AW54" s="8">
        <f>H54*AO54</f>
        <v>0</v>
      </c>
      <c r="AX54" s="8">
        <f>H54*AP54</f>
        <v>0</v>
      </c>
      <c r="AY54" s="12" t="s">
        <v>60</v>
      </c>
      <c r="AZ54" s="12" t="s">
        <v>20</v>
      </c>
      <c r="BA54" s="42" t="s">
        <v>273</v>
      </c>
      <c r="BC54" s="8">
        <f>AW54+AX54</f>
        <v>0</v>
      </c>
      <c r="BD54" s="8">
        <f>I54/(100-BE54)*100</f>
        <v>0</v>
      </c>
      <c r="BE54" s="8">
        <v>0</v>
      </c>
      <c r="BF54" s="8">
        <f>58</f>
        <v>58</v>
      </c>
      <c r="BH54" s="31">
        <f>H54*AO54</f>
        <v>0</v>
      </c>
      <c r="BI54" s="31">
        <f>H54*AP54</f>
        <v>0</v>
      </c>
      <c r="BJ54" s="31">
        <f>H54*I54</f>
        <v>0</v>
      </c>
      <c r="BK54" s="31"/>
      <c r="BL54" s="8">
        <v>721</v>
      </c>
    </row>
    <row r="55" spans="1:64" ht="15" customHeight="1">
      <c r="A55" s="14">
        <v>28</v>
      </c>
      <c r="B55" s="54" t="s">
        <v>276</v>
      </c>
      <c r="C55" s="97" t="s">
        <v>382</v>
      </c>
      <c r="D55" s="97"/>
      <c r="E55" s="97"/>
      <c r="F55" s="97"/>
      <c r="G55" s="54" t="s">
        <v>87</v>
      </c>
      <c r="H55" s="31">
        <v>9</v>
      </c>
      <c r="I55" s="64">
        <v>0</v>
      </c>
      <c r="J55" s="31">
        <f>H55*AO55</f>
        <v>0</v>
      </c>
      <c r="K55" s="31">
        <f>H55*AP55</f>
        <v>0</v>
      </c>
      <c r="L55" s="31">
        <f>H55*I55</f>
        <v>0</v>
      </c>
      <c r="M55" s="11" t="s">
        <v>253</v>
      </c>
      <c r="Z55" s="8">
        <f>IF(AQ55="5",BJ55,0)</f>
        <v>0</v>
      </c>
      <c r="AB55" s="8">
        <f>IF(AQ55="1",BH55,0)</f>
        <v>0</v>
      </c>
      <c r="AC55" s="8">
        <f>IF(AQ55="1",BI55,0)</f>
        <v>0</v>
      </c>
      <c r="AD55" s="8">
        <f>IF(AQ55="7",BH55,0)</f>
        <v>0</v>
      </c>
      <c r="AE55" s="8">
        <f>IF(AQ55="7",BI55,0)</f>
        <v>0</v>
      </c>
      <c r="AF55" s="8">
        <f>IF(AQ55="2",BH55,0)</f>
        <v>0</v>
      </c>
      <c r="AG55" s="8">
        <f>IF(AQ55="2",BI55,0)</f>
        <v>0</v>
      </c>
      <c r="AH55" s="8">
        <f>IF(AQ55="0",BJ55,0)</f>
        <v>0</v>
      </c>
      <c r="AI55" s="42" t="s">
        <v>253</v>
      </c>
      <c r="AJ55" s="31">
        <f>IF(AN55=0,L55,0)</f>
        <v>0</v>
      </c>
      <c r="AK55" s="31">
        <f>IF(AN55=15,L55,0)</f>
        <v>0</v>
      </c>
      <c r="AL55" s="31">
        <f>IF(AN55=21,L55,0)</f>
        <v>0</v>
      </c>
      <c r="AN55" s="8">
        <v>21</v>
      </c>
      <c r="AO55" s="8">
        <f>I55*0</f>
        <v>0</v>
      </c>
      <c r="AP55" s="8">
        <f>I55*(1-0)</f>
        <v>0</v>
      </c>
      <c r="AQ55" s="33" t="s">
        <v>354</v>
      </c>
      <c r="AV55" s="8">
        <f>AW55+AX55</f>
        <v>0</v>
      </c>
      <c r="AW55" s="8">
        <f>H55*AO55</f>
        <v>0</v>
      </c>
      <c r="AX55" s="8">
        <f>H55*AP55</f>
        <v>0</v>
      </c>
      <c r="AY55" s="12" t="s">
        <v>60</v>
      </c>
      <c r="AZ55" s="12" t="s">
        <v>20</v>
      </c>
      <c r="BA55" s="42" t="s">
        <v>273</v>
      </c>
      <c r="BC55" s="8">
        <f>AW55+AX55</f>
        <v>0</v>
      </c>
      <c r="BD55" s="8">
        <f>I55/(100-BE55)*100</f>
        <v>0</v>
      </c>
      <c r="BE55" s="8">
        <v>0</v>
      </c>
      <c r="BF55" s="8">
        <f>59</f>
        <v>59</v>
      </c>
      <c r="BH55" s="31">
        <f>H55*AO55</f>
        <v>0</v>
      </c>
      <c r="BI55" s="31">
        <f>H55*AP55</f>
        <v>0</v>
      </c>
      <c r="BJ55" s="31">
        <f>H55*I55</f>
        <v>0</v>
      </c>
      <c r="BK55" s="31"/>
      <c r="BL55" s="8">
        <v>721</v>
      </c>
    </row>
    <row r="56" spans="1:47" ht="15" customHeight="1">
      <c r="A56" s="47" t="s">
        <v>253</v>
      </c>
      <c r="B56" s="53" t="s">
        <v>227</v>
      </c>
      <c r="C56" s="96" t="s">
        <v>371</v>
      </c>
      <c r="D56" s="96"/>
      <c r="E56" s="96"/>
      <c r="F56" s="96"/>
      <c r="G56" s="32" t="s">
        <v>332</v>
      </c>
      <c r="H56" s="32" t="s">
        <v>332</v>
      </c>
      <c r="I56" s="32" t="s">
        <v>332</v>
      </c>
      <c r="J56" s="36">
        <f>SUM(J57:J71)</f>
        <v>0</v>
      </c>
      <c r="K56" s="36">
        <f>SUM(K57:K71)</f>
        <v>0</v>
      </c>
      <c r="L56" s="36">
        <f>SUM(L57:L71)</f>
        <v>0</v>
      </c>
      <c r="M56" s="29" t="s">
        <v>253</v>
      </c>
      <c r="AI56" s="42" t="s">
        <v>253</v>
      </c>
      <c r="AS56" s="36">
        <f>SUM(AJ57:AJ71)</f>
        <v>0</v>
      </c>
      <c r="AT56" s="36">
        <f>SUM(AK57:AK71)</f>
        <v>0</v>
      </c>
      <c r="AU56" s="36">
        <f>SUM(AL57:AL71)</f>
        <v>0</v>
      </c>
    </row>
    <row r="57" spans="1:64" ht="15" customHeight="1">
      <c r="A57" s="14">
        <v>29</v>
      </c>
      <c r="B57" s="54" t="s">
        <v>204</v>
      </c>
      <c r="C57" s="97" t="s">
        <v>312</v>
      </c>
      <c r="D57" s="97"/>
      <c r="E57" s="97"/>
      <c r="F57" s="97"/>
      <c r="G57" s="54" t="s">
        <v>300</v>
      </c>
      <c r="H57" s="31">
        <v>1032.1</v>
      </c>
      <c r="I57" s="64">
        <v>0</v>
      </c>
      <c r="J57" s="31">
        <f>H57*AO57</f>
        <v>0</v>
      </c>
      <c r="K57" s="31">
        <f>H57*AP57</f>
        <v>0</v>
      </c>
      <c r="L57" s="31">
        <f>H57*I57</f>
        <v>0</v>
      </c>
      <c r="M57" s="11" t="s">
        <v>303</v>
      </c>
      <c r="Z57" s="8">
        <f>IF(AQ57="5",BJ57,0)</f>
        <v>0</v>
      </c>
      <c r="AB57" s="8">
        <f>IF(AQ57="1",BH57,0)</f>
        <v>0</v>
      </c>
      <c r="AC57" s="8">
        <f>IF(AQ57="1",BI57,0)</f>
        <v>0</v>
      </c>
      <c r="AD57" s="8">
        <f>IF(AQ57="7",BH57,0)</f>
        <v>0</v>
      </c>
      <c r="AE57" s="8">
        <f>IF(AQ57="7",BI57,0)</f>
        <v>0</v>
      </c>
      <c r="AF57" s="8">
        <f>IF(AQ57="2",BH57,0)</f>
        <v>0</v>
      </c>
      <c r="AG57" s="8">
        <f>IF(AQ57="2",BI57,0)</f>
        <v>0</v>
      </c>
      <c r="AH57" s="8">
        <f>IF(AQ57="0",BJ57,0)</f>
        <v>0</v>
      </c>
      <c r="AI57" s="42" t="s">
        <v>253</v>
      </c>
      <c r="AJ57" s="31">
        <f>IF(AN57=0,L57,0)</f>
        <v>0</v>
      </c>
      <c r="AK57" s="31">
        <f>IF(AN57=15,L57,0)</f>
        <v>0</v>
      </c>
      <c r="AL57" s="31">
        <f>IF(AN57=21,L57,0)</f>
        <v>0</v>
      </c>
      <c r="AN57" s="8">
        <v>21</v>
      </c>
      <c r="AO57" s="8">
        <f>I57*0.061761443803432</f>
        <v>0</v>
      </c>
      <c r="AP57" s="8">
        <f>I57*(1-0.061761443803432)</f>
        <v>0</v>
      </c>
      <c r="AQ57" s="33" t="s">
        <v>354</v>
      </c>
      <c r="AV57" s="8">
        <f>AW57+AX57</f>
        <v>0</v>
      </c>
      <c r="AW57" s="8">
        <f>H57*AO57</f>
        <v>0</v>
      </c>
      <c r="AX57" s="8">
        <f>H57*AP57</f>
        <v>0</v>
      </c>
      <c r="AY57" s="12" t="s">
        <v>229</v>
      </c>
      <c r="AZ57" s="12" t="s">
        <v>202</v>
      </c>
      <c r="BA57" s="42" t="s">
        <v>273</v>
      </c>
      <c r="BC57" s="8">
        <f>AW57+AX57</f>
        <v>0</v>
      </c>
      <c r="BD57" s="8">
        <f>I57/(100-BE57)*100</f>
        <v>0</v>
      </c>
      <c r="BE57" s="8">
        <v>0</v>
      </c>
      <c r="BF57" s="8">
        <f>61</f>
        <v>61</v>
      </c>
      <c r="BH57" s="31">
        <f>H57*AO57</f>
        <v>0</v>
      </c>
      <c r="BI57" s="31">
        <f>H57*AP57</f>
        <v>0</v>
      </c>
      <c r="BJ57" s="31">
        <f>H57*I57</f>
        <v>0</v>
      </c>
      <c r="BK57" s="31"/>
      <c r="BL57" s="8">
        <v>762</v>
      </c>
    </row>
    <row r="58" spans="1:64" ht="15" customHeight="1">
      <c r="A58" s="14">
        <v>30</v>
      </c>
      <c r="B58" s="49" t="s">
        <v>57</v>
      </c>
      <c r="C58" s="71" t="s">
        <v>211</v>
      </c>
      <c r="D58" s="71"/>
      <c r="E58" s="71"/>
      <c r="F58" s="71"/>
      <c r="G58" s="49" t="s">
        <v>340</v>
      </c>
      <c r="H58" s="8">
        <v>14.45</v>
      </c>
      <c r="I58" s="65">
        <v>0</v>
      </c>
      <c r="J58" s="8">
        <f>H58*AO58</f>
        <v>0</v>
      </c>
      <c r="K58" s="8">
        <f>H58*AP58</f>
        <v>0</v>
      </c>
      <c r="L58" s="8">
        <f>H58*I58</f>
        <v>0</v>
      </c>
      <c r="M58" s="23" t="s">
        <v>303</v>
      </c>
      <c r="Z58" s="8">
        <f>IF(AQ58="5",BJ58,0)</f>
        <v>0</v>
      </c>
      <c r="AB58" s="8">
        <f>IF(AQ58="1",BH58,0)</f>
        <v>0</v>
      </c>
      <c r="AC58" s="8">
        <f>IF(AQ58="1",BI58,0)</f>
        <v>0</v>
      </c>
      <c r="AD58" s="8">
        <f>IF(AQ58="7",BH58,0)</f>
        <v>0</v>
      </c>
      <c r="AE58" s="8">
        <f>IF(AQ58="7",BI58,0)</f>
        <v>0</v>
      </c>
      <c r="AF58" s="8">
        <f>IF(AQ58="2",BH58,0)</f>
        <v>0</v>
      </c>
      <c r="AG58" s="8">
        <f>IF(AQ58="2",BI58,0)</f>
        <v>0</v>
      </c>
      <c r="AH58" s="8">
        <f>IF(AQ58="0",BJ58,0)</f>
        <v>0</v>
      </c>
      <c r="AI58" s="42" t="s">
        <v>253</v>
      </c>
      <c r="AJ58" s="8">
        <f>IF(AN58=0,L58,0)</f>
        <v>0</v>
      </c>
      <c r="AK58" s="8">
        <f>IF(AN58=15,L58,0)</f>
        <v>0</v>
      </c>
      <c r="AL58" s="8">
        <f>IF(AN58=21,L58,0)</f>
        <v>0</v>
      </c>
      <c r="AN58" s="8">
        <v>21</v>
      </c>
      <c r="AO58" s="8">
        <f>I58*1</f>
        <v>0</v>
      </c>
      <c r="AP58" s="8">
        <f>I58*(1-1)</f>
        <v>0</v>
      </c>
      <c r="AQ58" s="12" t="s">
        <v>354</v>
      </c>
      <c r="AV58" s="8">
        <f>AW58+AX58</f>
        <v>0</v>
      </c>
      <c r="AW58" s="8">
        <f>H58*AO58</f>
        <v>0</v>
      </c>
      <c r="AX58" s="8">
        <f>H58*AP58</f>
        <v>0</v>
      </c>
      <c r="AY58" s="12" t="s">
        <v>229</v>
      </c>
      <c r="AZ58" s="12" t="s">
        <v>202</v>
      </c>
      <c r="BA58" s="42" t="s">
        <v>273</v>
      </c>
      <c r="BC58" s="8">
        <f>AW58+AX58</f>
        <v>0</v>
      </c>
      <c r="BD58" s="8">
        <f>I58/(100-BE58)*100</f>
        <v>0</v>
      </c>
      <c r="BE58" s="8">
        <v>0</v>
      </c>
      <c r="BF58" s="8">
        <f>62</f>
        <v>62</v>
      </c>
      <c r="BH58" s="8">
        <f>H58*AO58</f>
        <v>0</v>
      </c>
      <c r="BI58" s="8">
        <f>H58*AP58</f>
        <v>0</v>
      </c>
      <c r="BJ58" s="8">
        <f>H58*I58</f>
        <v>0</v>
      </c>
      <c r="BK58" s="8"/>
      <c r="BL58" s="8">
        <v>762</v>
      </c>
    </row>
    <row r="59" spans="1:64" ht="15" customHeight="1">
      <c r="A59" s="14">
        <v>31</v>
      </c>
      <c r="B59" s="54" t="s">
        <v>285</v>
      </c>
      <c r="C59" s="97" t="s">
        <v>141</v>
      </c>
      <c r="D59" s="97"/>
      <c r="E59" s="97"/>
      <c r="F59" s="97"/>
      <c r="G59" s="54" t="s">
        <v>346</v>
      </c>
      <c r="H59" s="31">
        <v>1417.494</v>
      </c>
      <c r="I59" s="64">
        <v>0</v>
      </c>
      <c r="J59" s="31">
        <f>H59*AO59</f>
        <v>0</v>
      </c>
      <c r="K59" s="31">
        <f>H59*AP59</f>
        <v>0</v>
      </c>
      <c r="L59" s="31">
        <f>H59*I59</f>
        <v>0</v>
      </c>
      <c r="M59" s="11" t="s">
        <v>303</v>
      </c>
      <c r="Z59" s="8">
        <f>IF(AQ59="5",BJ59,0)</f>
        <v>0</v>
      </c>
      <c r="AB59" s="8">
        <f>IF(AQ59="1",BH59,0)</f>
        <v>0</v>
      </c>
      <c r="AC59" s="8">
        <f>IF(AQ59="1",BI59,0)</f>
        <v>0</v>
      </c>
      <c r="AD59" s="8">
        <f>IF(AQ59="7",BH59,0)</f>
        <v>0</v>
      </c>
      <c r="AE59" s="8">
        <f>IF(AQ59="7",BI59,0)</f>
        <v>0</v>
      </c>
      <c r="AF59" s="8">
        <f>IF(AQ59="2",BH59,0)</f>
        <v>0</v>
      </c>
      <c r="AG59" s="8">
        <f>IF(AQ59="2",BI59,0)</f>
        <v>0</v>
      </c>
      <c r="AH59" s="8">
        <f>IF(AQ59="0",BJ59,0)</f>
        <v>0</v>
      </c>
      <c r="AI59" s="42" t="s">
        <v>253</v>
      </c>
      <c r="AJ59" s="31">
        <f>IF(AN59=0,L59,0)</f>
        <v>0</v>
      </c>
      <c r="AK59" s="31">
        <f>IF(AN59=15,L59,0)</f>
        <v>0</v>
      </c>
      <c r="AL59" s="31">
        <f>IF(AN59=21,L59,0)</f>
        <v>0</v>
      </c>
      <c r="AN59" s="8">
        <v>21</v>
      </c>
      <c r="AO59" s="8">
        <f>I59*0.510041651291143</f>
        <v>0</v>
      </c>
      <c r="AP59" s="8">
        <f>I59*(1-0.510041651291143)</f>
        <v>0</v>
      </c>
      <c r="AQ59" s="33" t="s">
        <v>354</v>
      </c>
      <c r="AV59" s="8">
        <f>AW59+AX59</f>
        <v>0</v>
      </c>
      <c r="AW59" s="8">
        <f>H59*AO59</f>
        <v>0</v>
      </c>
      <c r="AX59" s="8">
        <f>H59*AP59</f>
        <v>0</v>
      </c>
      <c r="AY59" s="12" t="s">
        <v>229</v>
      </c>
      <c r="AZ59" s="12" t="s">
        <v>202</v>
      </c>
      <c r="BA59" s="42" t="s">
        <v>273</v>
      </c>
      <c r="BC59" s="8">
        <f>AW59+AX59</f>
        <v>0</v>
      </c>
      <c r="BD59" s="8">
        <f>I59/(100-BE59)*100</f>
        <v>0</v>
      </c>
      <c r="BE59" s="8">
        <v>0</v>
      </c>
      <c r="BF59" s="8">
        <f>63</f>
        <v>63</v>
      </c>
      <c r="BH59" s="31">
        <f>H59*AO59</f>
        <v>0</v>
      </c>
      <c r="BI59" s="31">
        <f>H59*AP59</f>
        <v>0</v>
      </c>
      <c r="BJ59" s="31">
        <f>H59*I59</f>
        <v>0</v>
      </c>
      <c r="BK59" s="31"/>
      <c r="BL59" s="8">
        <v>762</v>
      </c>
    </row>
    <row r="60" spans="1:13" ht="13.5" customHeight="1">
      <c r="A60" s="44"/>
      <c r="B60" s="43" t="s">
        <v>193</v>
      </c>
      <c r="C60" s="98" t="s">
        <v>269</v>
      </c>
      <c r="D60" s="99"/>
      <c r="E60" s="99"/>
      <c r="F60" s="99"/>
      <c r="G60" s="99"/>
      <c r="H60" s="99"/>
      <c r="I60" s="99"/>
      <c r="J60" s="99"/>
      <c r="K60" s="99"/>
      <c r="L60" s="99"/>
      <c r="M60" s="100"/>
    </row>
    <row r="61" spans="1:64" ht="15" customHeight="1">
      <c r="A61" s="14">
        <v>32</v>
      </c>
      <c r="B61" s="54" t="s">
        <v>119</v>
      </c>
      <c r="C61" s="97" t="s">
        <v>179</v>
      </c>
      <c r="D61" s="97"/>
      <c r="E61" s="97"/>
      <c r="F61" s="97"/>
      <c r="G61" s="54" t="s">
        <v>346</v>
      </c>
      <c r="H61" s="31">
        <v>1417.494</v>
      </c>
      <c r="I61" s="64">
        <v>0</v>
      </c>
      <c r="J61" s="31">
        <f aca="true" t="shared" si="46" ref="J61:J71">H61*AO61</f>
        <v>0</v>
      </c>
      <c r="K61" s="31">
        <f aca="true" t="shared" si="47" ref="K61:K71">H61*AP61</f>
        <v>0</v>
      </c>
      <c r="L61" s="31">
        <f aca="true" t="shared" si="48" ref="L61:L71">H61*I61</f>
        <v>0</v>
      </c>
      <c r="M61" s="11" t="s">
        <v>303</v>
      </c>
      <c r="Z61" s="8">
        <f aca="true" t="shared" si="49" ref="Z61:Z71">IF(AQ61="5",BJ61,0)</f>
        <v>0</v>
      </c>
      <c r="AB61" s="8">
        <f aca="true" t="shared" si="50" ref="AB61:AB71">IF(AQ61="1",BH61,0)</f>
        <v>0</v>
      </c>
      <c r="AC61" s="8">
        <f aca="true" t="shared" si="51" ref="AC61:AC71">IF(AQ61="1",BI61,0)</f>
        <v>0</v>
      </c>
      <c r="AD61" s="8">
        <f aca="true" t="shared" si="52" ref="AD61:AD71">IF(AQ61="7",BH61,0)</f>
        <v>0</v>
      </c>
      <c r="AE61" s="8">
        <f aca="true" t="shared" si="53" ref="AE61:AE71">IF(AQ61="7",BI61,0)</f>
        <v>0</v>
      </c>
      <c r="AF61" s="8">
        <f aca="true" t="shared" si="54" ref="AF61:AF71">IF(AQ61="2",BH61,0)</f>
        <v>0</v>
      </c>
      <c r="AG61" s="8">
        <f aca="true" t="shared" si="55" ref="AG61:AG71">IF(AQ61="2",BI61,0)</f>
        <v>0</v>
      </c>
      <c r="AH61" s="8">
        <f aca="true" t="shared" si="56" ref="AH61:AH71">IF(AQ61="0",BJ61,0)</f>
        <v>0</v>
      </c>
      <c r="AI61" s="42" t="s">
        <v>253</v>
      </c>
      <c r="AJ61" s="31">
        <f aca="true" t="shared" si="57" ref="AJ61:AJ71">IF(AN61=0,L61,0)</f>
        <v>0</v>
      </c>
      <c r="AK61" s="31">
        <f aca="true" t="shared" si="58" ref="AK61:AK71">IF(AN61=15,L61,0)</f>
        <v>0</v>
      </c>
      <c r="AL61" s="31">
        <f aca="true" t="shared" si="59" ref="AL61:AL71">IF(AN61=21,L61,0)</f>
        <v>0</v>
      </c>
      <c r="AN61" s="8">
        <v>21</v>
      </c>
      <c r="AO61" s="8">
        <f>I61*0.472949609200004</f>
        <v>0</v>
      </c>
      <c r="AP61" s="8">
        <f>I61*(1-0.472949609200004)</f>
        <v>0</v>
      </c>
      <c r="AQ61" s="33" t="s">
        <v>354</v>
      </c>
      <c r="AV61" s="8">
        <f aca="true" t="shared" si="60" ref="AV61:AV71">AW61+AX61</f>
        <v>0</v>
      </c>
      <c r="AW61" s="8">
        <f aca="true" t="shared" si="61" ref="AW61:AW71">H61*AO61</f>
        <v>0</v>
      </c>
      <c r="AX61" s="8">
        <f aca="true" t="shared" si="62" ref="AX61:AX71">H61*AP61</f>
        <v>0</v>
      </c>
      <c r="AY61" s="12" t="s">
        <v>229</v>
      </c>
      <c r="AZ61" s="12" t="s">
        <v>202</v>
      </c>
      <c r="BA61" s="42" t="s">
        <v>273</v>
      </c>
      <c r="BC61" s="8">
        <f aca="true" t="shared" si="63" ref="BC61:BC71">AW61+AX61</f>
        <v>0</v>
      </c>
      <c r="BD61" s="8">
        <f aca="true" t="shared" si="64" ref="BD61:BD71">I61/(100-BE61)*100</f>
        <v>0</v>
      </c>
      <c r="BE61" s="8">
        <v>0</v>
      </c>
      <c r="BF61" s="8">
        <f>65</f>
        <v>65</v>
      </c>
      <c r="BH61" s="31">
        <f aca="true" t="shared" si="65" ref="BH61:BH71">H61*AO61</f>
        <v>0</v>
      </c>
      <c r="BI61" s="31">
        <f aca="true" t="shared" si="66" ref="BI61:BI71">H61*AP61</f>
        <v>0</v>
      </c>
      <c r="BJ61" s="31">
        <f aca="true" t="shared" si="67" ref="BJ61:BJ71">H61*I61</f>
        <v>0</v>
      </c>
      <c r="BK61" s="31"/>
      <c r="BL61" s="8">
        <v>762</v>
      </c>
    </row>
    <row r="62" spans="1:64" ht="15" customHeight="1">
      <c r="A62" s="14">
        <v>33</v>
      </c>
      <c r="B62" s="49" t="s">
        <v>203</v>
      </c>
      <c r="C62" s="71" t="s">
        <v>172</v>
      </c>
      <c r="D62" s="71"/>
      <c r="E62" s="71"/>
      <c r="F62" s="71"/>
      <c r="G62" s="49" t="s">
        <v>300</v>
      </c>
      <c r="H62" s="8">
        <v>1717</v>
      </c>
      <c r="I62" s="65">
        <v>0</v>
      </c>
      <c r="J62" s="8">
        <f t="shared" si="46"/>
        <v>0</v>
      </c>
      <c r="K62" s="8">
        <f t="shared" si="47"/>
        <v>0</v>
      </c>
      <c r="L62" s="8">
        <f t="shared" si="48"/>
        <v>0</v>
      </c>
      <c r="M62" s="23" t="s">
        <v>253</v>
      </c>
      <c r="Z62" s="8">
        <f t="shared" si="49"/>
        <v>0</v>
      </c>
      <c r="AB62" s="8">
        <f t="shared" si="50"/>
        <v>0</v>
      </c>
      <c r="AC62" s="8">
        <f t="shared" si="51"/>
        <v>0</v>
      </c>
      <c r="AD62" s="8">
        <f t="shared" si="52"/>
        <v>0</v>
      </c>
      <c r="AE62" s="8">
        <f t="shared" si="53"/>
        <v>0</v>
      </c>
      <c r="AF62" s="8">
        <f t="shared" si="54"/>
        <v>0</v>
      </c>
      <c r="AG62" s="8">
        <f t="shared" si="55"/>
        <v>0</v>
      </c>
      <c r="AH62" s="8">
        <f t="shared" si="56"/>
        <v>0</v>
      </c>
      <c r="AI62" s="42" t="s">
        <v>253</v>
      </c>
      <c r="AJ62" s="8">
        <f t="shared" si="57"/>
        <v>0</v>
      </c>
      <c r="AK62" s="8">
        <f t="shared" si="58"/>
        <v>0</v>
      </c>
      <c r="AL62" s="8">
        <f t="shared" si="59"/>
        <v>0</v>
      </c>
      <c r="AN62" s="8">
        <v>21</v>
      </c>
      <c r="AO62" s="8">
        <f>I62*1</f>
        <v>0</v>
      </c>
      <c r="AP62" s="8">
        <f>I62*(1-1)</f>
        <v>0</v>
      </c>
      <c r="AQ62" s="12" t="s">
        <v>354</v>
      </c>
      <c r="AV62" s="8">
        <f t="shared" si="60"/>
        <v>0</v>
      </c>
      <c r="AW62" s="8">
        <f t="shared" si="61"/>
        <v>0</v>
      </c>
      <c r="AX62" s="8">
        <f t="shared" si="62"/>
        <v>0</v>
      </c>
      <c r="AY62" s="12" t="s">
        <v>229</v>
      </c>
      <c r="AZ62" s="12" t="s">
        <v>202</v>
      </c>
      <c r="BA62" s="42" t="s">
        <v>273</v>
      </c>
      <c r="BC62" s="8">
        <f t="shared" si="63"/>
        <v>0</v>
      </c>
      <c r="BD62" s="8">
        <f t="shared" si="64"/>
        <v>0</v>
      </c>
      <c r="BE62" s="8">
        <v>0</v>
      </c>
      <c r="BF62" s="8">
        <f>66</f>
        <v>66</v>
      </c>
      <c r="BH62" s="8">
        <f t="shared" si="65"/>
        <v>0</v>
      </c>
      <c r="BI62" s="8">
        <f t="shared" si="66"/>
        <v>0</v>
      </c>
      <c r="BJ62" s="8">
        <f t="shared" si="67"/>
        <v>0</v>
      </c>
      <c r="BK62" s="8"/>
      <c r="BL62" s="8">
        <v>762</v>
      </c>
    </row>
    <row r="63" spans="1:64" ht="15" customHeight="1">
      <c r="A63" s="14">
        <v>34</v>
      </c>
      <c r="B63" s="54" t="s">
        <v>187</v>
      </c>
      <c r="C63" s="97" t="s">
        <v>177</v>
      </c>
      <c r="D63" s="97"/>
      <c r="E63" s="97"/>
      <c r="F63" s="97"/>
      <c r="G63" s="54" t="s">
        <v>346</v>
      </c>
      <c r="H63" s="31">
        <v>278.866</v>
      </c>
      <c r="I63" s="64">
        <v>0</v>
      </c>
      <c r="J63" s="31">
        <f t="shared" si="46"/>
        <v>0</v>
      </c>
      <c r="K63" s="31">
        <f t="shared" si="47"/>
        <v>0</v>
      </c>
      <c r="L63" s="31">
        <f t="shared" si="48"/>
        <v>0</v>
      </c>
      <c r="M63" s="11" t="s">
        <v>303</v>
      </c>
      <c r="Z63" s="8">
        <f t="shared" si="49"/>
        <v>0</v>
      </c>
      <c r="AB63" s="8">
        <f t="shared" si="50"/>
        <v>0</v>
      </c>
      <c r="AC63" s="8">
        <f t="shared" si="51"/>
        <v>0</v>
      </c>
      <c r="AD63" s="8">
        <f t="shared" si="52"/>
        <v>0</v>
      </c>
      <c r="AE63" s="8">
        <f t="shared" si="53"/>
        <v>0</v>
      </c>
      <c r="AF63" s="8">
        <f t="shared" si="54"/>
        <v>0</v>
      </c>
      <c r="AG63" s="8">
        <f t="shared" si="55"/>
        <v>0</v>
      </c>
      <c r="AH63" s="8">
        <f t="shared" si="56"/>
        <v>0</v>
      </c>
      <c r="AI63" s="42" t="s">
        <v>253</v>
      </c>
      <c r="AJ63" s="31">
        <f t="shared" si="57"/>
        <v>0</v>
      </c>
      <c r="AK63" s="31">
        <f t="shared" si="58"/>
        <v>0</v>
      </c>
      <c r="AL63" s="31">
        <f t="shared" si="59"/>
        <v>0</v>
      </c>
      <c r="AN63" s="8">
        <v>21</v>
      </c>
      <c r="AO63" s="8">
        <f>I63*0</f>
        <v>0</v>
      </c>
      <c r="AP63" s="8">
        <f>I63*(1-0)</f>
        <v>0</v>
      </c>
      <c r="AQ63" s="33" t="s">
        <v>354</v>
      </c>
      <c r="AV63" s="8">
        <f t="shared" si="60"/>
        <v>0</v>
      </c>
      <c r="AW63" s="8">
        <f t="shared" si="61"/>
        <v>0</v>
      </c>
      <c r="AX63" s="8">
        <f t="shared" si="62"/>
        <v>0</v>
      </c>
      <c r="AY63" s="12" t="s">
        <v>229</v>
      </c>
      <c r="AZ63" s="12" t="s">
        <v>202</v>
      </c>
      <c r="BA63" s="42" t="s">
        <v>273</v>
      </c>
      <c r="BC63" s="8">
        <f t="shared" si="63"/>
        <v>0</v>
      </c>
      <c r="BD63" s="8">
        <f t="shared" si="64"/>
        <v>0</v>
      </c>
      <c r="BE63" s="8">
        <v>0</v>
      </c>
      <c r="BF63" s="8">
        <f>67</f>
        <v>67</v>
      </c>
      <c r="BH63" s="31">
        <f t="shared" si="65"/>
        <v>0</v>
      </c>
      <c r="BI63" s="31">
        <f t="shared" si="66"/>
        <v>0</v>
      </c>
      <c r="BJ63" s="31">
        <f t="shared" si="67"/>
        <v>0</v>
      </c>
      <c r="BK63" s="31"/>
      <c r="BL63" s="8">
        <v>762</v>
      </c>
    </row>
    <row r="64" spans="1:64" ht="15" customHeight="1">
      <c r="A64" s="14">
        <v>35</v>
      </c>
      <c r="B64" s="49" t="s">
        <v>97</v>
      </c>
      <c r="C64" s="71" t="s">
        <v>148</v>
      </c>
      <c r="D64" s="71"/>
      <c r="E64" s="71"/>
      <c r="F64" s="71"/>
      <c r="G64" s="49" t="s">
        <v>340</v>
      </c>
      <c r="H64" s="8">
        <v>5.02</v>
      </c>
      <c r="I64" s="65">
        <v>0</v>
      </c>
      <c r="J64" s="8">
        <f t="shared" si="46"/>
        <v>0</v>
      </c>
      <c r="K64" s="8">
        <f t="shared" si="47"/>
        <v>0</v>
      </c>
      <c r="L64" s="8">
        <f t="shared" si="48"/>
        <v>0</v>
      </c>
      <c r="M64" s="23" t="s">
        <v>303</v>
      </c>
      <c r="Z64" s="8">
        <f t="shared" si="49"/>
        <v>0</v>
      </c>
      <c r="AB64" s="8">
        <f t="shared" si="50"/>
        <v>0</v>
      </c>
      <c r="AC64" s="8">
        <f t="shared" si="51"/>
        <v>0</v>
      </c>
      <c r="AD64" s="8">
        <f t="shared" si="52"/>
        <v>0</v>
      </c>
      <c r="AE64" s="8">
        <f t="shared" si="53"/>
        <v>0</v>
      </c>
      <c r="AF64" s="8">
        <f t="shared" si="54"/>
        <v>0</v>
      </c>
      <c r="AG64" s="8">
        <f t="shared" si="55"/>
        <v>0</v>
      </c>
      <c r="AH64" s="8">
        <f t="shared" si="56"/>
        <v>0</v>
      </c>
      <c r="AI64" s="42" t="s">
        <v>253</v>
      </c>
      <c r="AJ64" s="8">
        <f t="shared" si="57"/>
        <v>0</v>
      </c>
      <c r="AK64" s="8">
        <f t="shared" si="58"/>
        <v>0</v>
      </c>
      <c r="AL64" s="8">
        <f t="shared" si="59"/>
        <v>0</v>
      </c>
      <c r="AN64" s="8">
        <v>21</v>
      </c>
      <c r="AO64" s="8">
        <f>I64*1</f>
        <v>0</v>
      </c>
      <c r="AP64" s="8">
        <f>I64*(1-1)</f>
        <v>0</v>
      </c>
      <c r="AQ64" s="12" t="s">
        <v>354</v>
      </c>
      <c r="AV64" s="8">
        <f t="shared" si="60"/>
        <v>0</v>
      </c>
      <c r="AW64" s="8">
        <f t="shared" si="61"/>
        <v>0</v>
      </c>
      <c r="AX64" s="8">
        <f t="shared" si="62"/>
        <v>0</v>
      </c>
      <c r="AY64" s="12" t="s">
        <v>229</v>
      </c>
      <c r="AZ64" s="12" t="s">
        <v>202</v>
      </c>
      <c r="BA64" s="42" t="s">
        <v>273</v>
      </c>
      <c r="BC64" s="8">
        <f t="shared" si="63"/>
        <v>0</v>
      </c>
      <c r="BD64" s="8">
        <f t="shared" si="64"/>
        <v>0</v>
      </c>
      <c r="BE64" s="8">
        <v>0</v>
      </c>
      <c r="BF64" s="8">
        <f>68</f>
        <v>68</v>
      </c>
      <c r="BH64" s="8">
        <f t="shared" si="65"/>
        <v>0</v>
      </c>
      <c r="BI64" s="8">
        <f t="shared" si="66"/>
        <v>0</v>
      </c>
      <c r="BJ64" s="8">
        <f t="shared" si="67"/>
        <v>0</v>
      </c>
      <c r="BK64" s="8"/>
      <c r="BL64" s="8">
        <v>762</v>
      </c>
    </row>
    <row r="65" spans="1:64" ht="15" customHeight="1">
      <c r="A65" s="14">
        <v>36</v>
      </c>
      <c r="B65" s="54" t="s">
        <v>350</v>
      </c>
      <c r="C65" s="97" t="s">
        <v>315</v>
      </c>
      <c r="D65" s="97"/>
      <c r="E65" s="97"/>
      <c r="F65" s="97"/>
      <c r="G65" s="54" t="s">
        <v>346</v>
      </c>
      <c r="H65" s="31">
        <v>354.266</v>
      </c>
      <c r="I65" s="64">
        <v>0</v>
      </c>
      <c r="J65" s="31">
        <f t="shared" si="46"/>
        <v>0</v>
      </c>
      <c r="K65" s="31">
        <f t="shared" si="47"/>
        <v>0</v>
      </c>
      <c r="L65" s="31">
        <f t="shared" si="48"/>
        <v>0</v>
      </c>
      <c r="M65" s="11" t="s">
        <v>303</v>
      </c>
      <c r="Z65" s="8">
        <f t="shared" si="49"/>
        <v>0</v>
      </c>
      <c r="AB65" s="8">
        <f t="shared" si="50"/>
        <v>0</v>
      </c>
      <c r="AC65" s="8">
        <f t="shared" si="51"/>
        <v>0</v>
      </c>
      <c r="AD65" s="8">
        <f t="shared" si="52"/>
        <v>0</v>
      </c>
      <c r="AE65" s="8">
        <f t="shared" si="53"/>
        <v>0</v>
      </c>
      <c r="AF65" s="8">
        <f t="shared" si="54"/>
        <v>0</v>
      </c>
      <c r="AG65" s="8">
        <f t="shared" si="55"/>
        <v>0</v>
      </c>
      <c r="AH65" s="8">
        <f t="shared" si="56"/>
        <v>0</v>
      </c>
      <c r="AI65" s="42" t="s">
        <v>253</v>
      </c>
      <c r="AJ65" s="31">
        <f t="shared" si="57"/>
        <v>0</v>
      </c>
      <c r="AK65" s="31">
        <f t="shared" si="58"/>
        <v>0</v>
      </c>
      <c r="AL65" s="31">
        <f t="shared" si="59"/>
        <v>0</v>
      </c>
      <c r="AN65" s="8">
        <v>21</v>
      </c>
      <c r="AO65" s="8">
        <f>I65*0</f>
        <v>0</v>
      </c>
      <c r="AP65" s="8">
        <f>I65*(1-0)</f>
        <v>0</v>
      </c>
      <c r="AQ65" s="33" t="s">
        <v>354</v>
      </c>
      <c r="AV65" s="8">
        <f t="shared" si="60"/>
        <v>0</v>
      </c>
      <c r="AW65" s="8">
        <f t="shared" si="61"/>
        <v>0</v>
      </c>
      <c r="AX65" s="8">
        <f t="shared" si="62"/>
        <v>0</v>
      </c>
      <c r="AY65" s="12" t="s">
        <v>229</v>
      </c>
      <c r="AZ65" s="12" t="s">
        <v>202</v>
      </c>
      <c r="BA65" s="42" t="s">
        <v>273</v>
      </c>
      <c r="BC65" s="8">
        <f t="shared" si="63"/>
        <v>0</v>
      </c>
      <c r="BD65" s="8">
        <f t="shared" si="64"/>
        <v>0</v>
      </c>
      <c r="BE65" s="8">
        <v>0</v>
      </c>
      <c r="BF65" s="8">
        <f>69</f>
        <v>69</v>
      </c>
      <c r="BH65" s="31">
        <f t="shared" si="65"/>
        <v>0</v>
      </c>
      <c r="BI65" s="31">
        <f t="shared" si="66"/>
        <v>0</v>
      </c>
      <c r="BJ65" s="31">
        <f t="shared" si="67"/>
        <v>0</v>
      </c>
      <c r="BK65" s="31"/>
      <c r="BL65" s="8">
        <v>762</v>
      </c>
    </row>
    <row r="66" spans="1:64" ht="15" customHeight="1">
      <c r="A66" s="14">
        <v>37</v>
      </c>
      <c r="B66" s="54" t="s">
        <v>216</v>
      </c>
      <c r="C66" s="97" t="s">
        <v>149</v>
      </c>
      <c r="D66" s="97"/>
      <c r="E66" s="97"/>
      <c r="F66" s="97"/>
      <c r="G66" s="54" t="s">
        <v>87</v>
      </c>
      <c r="H66" s="31">
        <v>8</v>
      </c>
      <c r="I66" s="64">
        <v>0</v>
      </c>
      <c r="J66" s="31">
        <f t="shared" si="46"/>
        <v>0</v>
      </c>
      <c r="K66" s="31">
        <f t="shared" si="47"/>
        <v>0</v>
      </c>
      <c r="L66" s="31">
        <f t="shared" si="48"/>
        <v>0</v>
      </c>
      <c r="M66" s="11" t="s">
        <v>303</v>
      </c>
      <c r="Z66" s="8">
        <f t="shared" si="49"/>
        <v>0</v>
      </c>
      <c r="AB66" s="8">
        <f t="shared" si="50"/>
        <v>0</v>
      </c>
      <c r="AC66" s="8">
        <f t="shared" si="51"/>
        <v>0</v>
      </c>
      <c r="AD66" s="8">
        <f t="shared" si="52"/>
        <v>0</v>
      </c>
      <c r="AE66" s="8">
        <f t="shared" si="53"/>
        <v>0</v>
      </c>
      <c r="AF66" s="8">
        <f t="shared" si="54"/>
        <v>0</v>
      </c>
      <c r="AG66" s="8">
        <f t="shared" si="55"/>
        <v>0</v>
      </c>
      <c r="AH66" s="8">
        <f t="shared" si="56"/>
        <v>0</v>
      </c>
      <c r="AI66" s="42" t="s">
        <v>253</v>
      </c>
      <c r="AJ66" s="31">
        <f t="shared" si="57"/>
        <v>0</v>
      </c>
      <c r="AK66" s="31">
        <f t="shared" si="58"/>
        <v>0</v>
      </c>
      <c r="AL66" s="31">
        <f t="shared" si="59"/>
        <v>0</v>
      </c>
      <c r="AN66" s="8">
        <v>21</v>
      </c>
      <c r="AO66" s="8">
        <f>I66*0.115425938117182</f>
        <v>0</v>
      </c>
      <c r="AP66" s="8">
        <f>I66*(1-0.115425938117182)</f>
        <v>0</v>
      </c>
      <c r="AQ66" s="33" t="s">
        <v>354</v>
      </c>
      <c r="AV66" s="8">
        <f t="shared" si="60"/>
        <v>0</v>
      </c>
      <c r="AW66" s="8">
        <f t="shared" si="61"/>
        <v>0</v>
      </c>
      <c r="AX66" s="8">
        <f t="shared" si="62"/>
        <v>0</v>
      </c>
      <c r="AY66" s="12" t="s">
        <v>229</v>
      </c>
      <c r="AZ66" s="12" t="s">
        <v>202</v>
      </c>
      <c r="BA66" s="42" t="s">
        <v>273</v>
      </c>
      <c r="BC66" s="8">
        <f t="shared" si="63"/>
        <v>0</v>
      </c>
      <c r="BD66" s="8">
        <f t="shared" si="64"/>
        <v>0</v>
      </c>
      <c r="BE66" s="8">
        <v>0</v>
      </c>
      <c r="BF66" s="8">
        <f>70</f>
        <v>70</v>
      </c>
      <c r="BH66" s="31">
        <f t="shared" si="65"/>
        <v>0</v>
      </c>
      <c r="BI66" s="31">
        <f t="shared" si="66"/>
        <v>0</v>
      </c>
      <c r="BJ66" s="31">
        <f t="shared" si="67"/>
        <v>0</v>
      </c>
      <c r="BK66" s="31"/>
      <c r="BL66" s="8">
        <v>762</v>
      </c>
    </row>
    <row r="67" spans="1:64" ht="15" customHeight="1">
      <c r="A67" s="14">
        <v>38</v>
      </c>
      <c r="B67" s="54" t="s">
        <v>272</v>
      </c>
      <c r="C67" s="97" t="s">
        <v>377</v>
      </c>
      <c r="D67" s="97"/>
      <c r="E67" s="97"/>
      <c r="F67" s="97"/>
      <c r="G67" s="54" t="s">
        <v>176</v>
      </c>
      <c r="H67" s="31">
        <v>23.51789</v>
      </c>
      <c r="I67" s="64">
        <v>0</v>
      </c>
      <c r="J67" s="31">
        <f t="shared" si="46"/>
        <v>0</v>
      </c>
      <c r="K67" s="31">
        <f t="shared" si="47"/>
        <v>0</v>
      </c>
      <c r="L67" s="31">
        <f t="shared" si="48"/>
        <v>0</v>
      </c>
      <c r="M67" s="11" t="s">
        <v>303</v>
      </c>
      <c r="Z67" s="8">
        <f t="shared" si="49"/>
        <v>0</v>
      </c>
      <c r="AB67" s="8">
        <f t="shared" si="50"/>
        <v>0</v>
      </c>
      <c r="AC67" s="8">
        <f t="shared" si="51"/>
        <v>0</v>
      </c>
      <c r="AD67" s="8">
        <f t="shared" si="52"/>
        <v>0</v>
      </c>
      <c r="AE67" s="8">
        <f t="shared" si="53"/>
        <v>0</v>
      </c>
      <c r="AF67" s="8">
        <f t="shared" si="54"/>
        <v>0</v>
      </c>
      <c r="AG67" s="8">
        <f t="shared" si="55"/>
        <v>0</v>
      </c>
      <c r="AH67" s="8">
        <f t="shared" si="56"/>
        <v>0</v>
      </c>
      <c r="AI67" s="42" t="s">
        <v>253</v>
      </c>
      <c r="AJ67" s="31">
        <f t="shared" si="57"/>
        <v>0</v>
      </c>
      <c r="AK67" s="31">
        <f t="shared" si="58"/>
        <v>0</v>
      </c>
      <c r="AL67" s="31">
        <f t="shared" si="59"/>
        <v>0</v>
      </c>
      <c r="AN67" s="8">
        <v>21</v>
      </c>
      <c r="AO67" s="8">
        <f>I67*0</f>
        <v>0</v>
      </c>
      <c r="AP67" s="8">
        <f>I67*(1-0)</f>
        <v>0</v>
      </c>
      <c r="AQ67" s="33" t="s">
        <v>201</v>
      </c>
      <c r="AV67" s="8">
        <f t="shared" si="60"/>
        <v>0</v>
      </c>
      <c r="AW67" s="8">
        <f t="shared" si="61"/>
        <v>0</v>
      </c>
      <c r="AX67" s="8">
        <f t="shared" si="62"/>
        <v>0</v>
      </c>
      <c r="AY67" s="12" t="s">
        <v>229</v>
      </c>
      <c r="AZ67" s="12" t="s">
        <v>202</v>
      </c>
      <c r="BA67" s="42" t="s">
        <v>273</v>
      </c>
      <c r="BC67" s="8">
        <f t="shared" si="63"/>
        <v>0</v>
      </c>
      <c r="BD67" s="8">
        <f t="shared" si="64"/>
        <v>0</v>
      </c>
      <c r="BE67" s="8">
        <v>0</v>
      </c>
      <c r="BF67" s="8">
        <f>71</f>
        <v>71</v>
      </c>
      <c r="BH67" s="31">
        <f t="shared" si="65"/>
        <v>0</v>
      </c>
      <c r="BI67" s="31">
        <f t="shared" si="66"/>
        <v>0</v>
      </c>
      <c r="BJ67" s="31">
        <f t="shared" si="67"/>
        <v>0</v>
      </c>
      <c r="BK67" s="31"/>
      <c r="BL67" s="8">
        <v>762</v>
      </c>
    </row>
    <row r="68" spans="1:64" ht="15" customHeight="1">
      <c r="A68" s="14">
        <v>39</v>
      </c>
      <c r="B68" s="54" t="s">
        <v>19</v>
      </c>
      <c r="C68" s="97" t="s">
        <v>55</v>
      </c>
      <c r="D68" s="97"/>
      <c r="E68" s="97"/>
      <c r="F68" s="97"/>
      <c r="G68" s="54" t="s">
        <v>346</v>
      </c>
      <c r="H68" s="31">
        <v>270.706</v>
      </c>
      <c r="I68" s="64">
        <v>0</v>
      </c>
      <c r="J68" s="31">
        <f t="shared" si="46"/>
        <v>0</v>
      </c>
      <c r="K68" s="31">
        <f t="shared" si="47"/>
        <v>0</v>
      </c>
      <c r="L68" s="31">
        <f t="shared" si="48"/>
        <v>0</v>
      </c>
      <c r="M68" s="11" t="s">
        <v>303</v>
      </c>
      <c r="Z68" s="8">
        <f t="shared" si="49"/>
        <v>0</v>
      </c>
      <c r="AB68" s="8">
        <f t="shared" si="50"/>
        <v>0</v>
      </c>
      <c r="AC68" s="8">
        <f t="shared" si="51"/>
        <v>0</v>
      </c>
      <c r="AD68" s="8">
        <f t="shared" si="52"/>
        <v>0</v>
      </c>
      <c r="AE68" s="8">
        <f t="shared" si="53"/>
        <v>0</v>
      </c>
      <c r="AF68" s="8">
        <f t="shared" si="54"/>
        <v>0</v>
      </c>
      <c r="AG68" s="8">
        <f t="shared" si="55"/>
        <v>0</v>
      </c>
      <c r="AH68" s="8">
        <f t="shared" si="56"/>
        <v>0</v>
      </c>
      <c r="AI68" s="42" t="s">
        <v>253</v>
      </c>
      <c r="AJ68" s="31">
        <f t="shared" si="57"/>
        <v>0</v>
      </c>
      <c r="AK68" s="31">
        <f t="shared" si="58"/>
        <v>0</v>
      </c>
      <c r="AL68" s="31">
        <f t="shared" si="59"/>
        <v>0</v>
      </c>
      <c r="AN68" s="8">
        <v>21</v>
      </c>
      <c r="AO68" s="8">
        <f>I68*0</f>
        <v>0</v>
      </c>
      <c r="AP68" s="8">
        <f>I68*(1-0)</f>
        <v>0</v>
      </c>
      <c r="AQ68" s="33" t="s">
        <v>354</v>
      </c>
      <c r="AV68" s="8">
        <f t="shared" si="60"/>
        <v>0</v>
      </c>
      <c r="AW68" s="8">
        <f t="shared" si="61"/>
        <v>0</v>
      </c>
      <c r="AX68" s="8">
        <f t="shared" si="62"/>
        <v>0</v>
      </c>
      <c r="AY68" s="12" t="s">
        <v>229</v>
      </c>
      <c r="AZ68" s="12" t="s">
        <v>202</v>
      </c>
      <c r="BA68" s="42" t="s">
        <v>273</v>
      </c>
      <c r="BC68" s="8">
        <f t="shared" si="63"/>
        <v>0</v>
      </c>
      <c r="BD68" s="8">
        <f t="shared" si="64"/>
        <v>0</v>
      </c>
      <c r="BE68" s="8">
        <v>0</v>
      </c>
      <c r="BF68" s="8">
        <f>72</f>
        <v>72</v>
      </c>
      <c r="BH68" s="31">
        <f t="shared" si="65"/>
        <v>0</v>
      </c>
      <c r="BI68" s="31">
        <f t="shared" si="66"/>
        <v>0</v>
      </c>
      <c r="BJ68" s="31">
        <f t="shared" si="67"/>
        <v>0</v>
      </c>
      <c r="BK68" s="31"/>
      <c r="BL68" s="8">
        <v>762</v>
      </c>
    </row>
    <row r="69" spans="1:64" ht="15" customHeight="1">
      <c r="A69" s="14">
        <v>40</v>
      </c>
      <c r="B69" s="54" t="s">
        <v>224</v>
      </c>
      <c r="C69" s="97" t="s">
        <v>151</v>
      </c>
      <c r="D69" s="97"/>
      <c r="E69" s="97"/>
      <c r="F69" s="97"/>
      <c r="G69" s="54" t="s">
        <v>300</v>
      </c>
      <c r="H69" s="31">
        <v>249.48</v>
      </c>
      <c r="I69" s="64">
        <v>0</v>
      </c>
      <c r="J69" s="31">
        <f t="shared" si="46"/>
        <v>0</v>
      </c>
      <c r="K69" s="31">
        <f t="shared" si="47"/>
        <v>0</v>
      </c>
      <c r="L69" s="31">
        <f t="shared" si="48"/>
        <v>0</v>
      </c>
      <c r="M69" s="11" t="s">
        <v>303</v>
      </c>
      <c r="Z69" s="8">
        <f t="shared" si="49"/>
        <v>0</v>
      </c>
      <c r="AB69" s="8">
        <f t="shared" si="50"/>
        <v>0</v>
      </c>
      <c r="AC69" s="8">
        <f t="shared" si="51"/>
        <v>0</v>
      </c>
      <c r="AD69" s="8">
        <f t="shared" si="52"/>
        <v>0</v>
      </c>
      <c r="AE69" s="8">
        <f t="shared" si="53"/>
        <v>0</v>
      </c>
      <c r="AF69" s="8">
        <f t="shared" si="54"/>
        <v>0</v>
      </c>
      <c r="AG69" s="8">
        <f t="shared" si="55"/>
        <v>0</v>
      </c>
      <c r="AH69" s="8">
        <f t="shared" si="56"/>
        <v>0</v>
      </c>
      <c r="AI69" s="42" t="s">
        <v>253</v>
      </c>
      <c r="AJ69" s="31">
        <f t="shared" si="57"/>
        <v>0</v>
      </c>
      <c r="AK69" s="31">
        <f t="shared" si="58"/>
        <v>0</v>
      </c>
      <c r="AL69" s="31">
        <f t="shared" si="59"/>
        <v>0</v>
      </c>
      <c r="AN69" s="8">
        <v>21</v>
      </c>
      <c r="AO69" s="8">
        <f>I69*0.0219626168224299</f>
        <v>0</v>
      </c>
      <c r="AP69" s="8">
        <f>I69*(1-0.0219626168224299)</f>
        <v>0</v>
      </c>
      <c r="AQ69" s="33" t="s">
        <v>354</v>
      </c>
      <c r="AV69" s="8">
        <f t="shared" si="60"/>
        <v>0</v>
      </c>
      <c r="AW69" s="8">
        <f t="shared" si="61"/>
        <v>0</v>
      </c>
      <c r="AX69" s="8">
        <f t="shared" si="62"/>
        <v>0</v>
      </c>
      <c r="AY69" s="12" t="s">
        <v>229</v>
      </c>
      <c r="AZ69" s="12" t="s">
        <v>202</v>
      </c>
      <c r="BA69" s="42" t="s">
        <v>273</v>
      </c>
      <c r="BC69" s="8">
        <f t="shared" si="63"/>
        <v>0</v>
      </c>
      <c r="BD69" s="8">
        <f t="shared" si="64"/>
        <v>0</v>
      </c>
      <c r="BE69" s="8">
        <v>0</v>
      </c>
      <c r="BF69" s="8">
        <f>73</f>
        <v>73</v>
      </c>
      <c r="BH69" s="31">
        <f t="shared" si="65"/>
        <v>0</v>
      </c>
      <c r="BI69" s="31">
        <f t="shared" si="66"/>
        <v>0</v>
      </c>
      <c r="BJ69" s="31">
        <f t="shared" si="67"/>
        <v>0</v>
      </c>
      <c r="BK69" s="31"/>
      <c r="BL69" s="8">
        <v>762</v>
      </c>
    </row>
    <row r="70" spans="1:64" ht="15" customHeight="1">
      <c r="A70" s="14">
        <v>41</v>
      </c>
      <c r="B70" s="54" t="s">
        <v>186</v>
      </c>
      <c r="C70" s="97" t="s">
        <v>252</v>
      </c>
      <c r="D70" s="97"/>
      <c r="E70" s="97"/>
      <c r="F70" s="97"/>
      <c r="G70" s="54" t="s">
        <v>346</v>
      </c>
      <c r="H70" s="31">
        <v>1417.494</v>
      </c>
      <c r="I70" s="64">
        <v>0</v>
      </c>
      <c r="J70" s="31">
        <f t="shared" si="46"/>
        <v>0</v>
      </c>
      <c r="K70" s="31">
        <f t="shared" si="47"/>
        <v>0</v>
      </c>
      <c r="L70" s="31">
        <f t="shared" si="48"/>
        <v>0</v>
      </c>
      <c r="M70" s="11" t="s">
        <v>303</v>
      </c>
      <c r="Z70" s="8">
        <f t="shared" si="49"/>
        <v>0</v>
      </c>
      <c r="AB70" s="8">
        <f t="shared" si="50"/>
        <v>0</v>
      </c>
      <c r="AC70" s="8">
        <f t="shared" si="51"/>
        <v>0</v>
      </c>
      <c r="AD70" s="8">
        <f t="shared" si="52"/>
        <v>0</v>
      </c>
      <c r="AE70" s="8">
        <f t="shared" si="53"/>
        <v>0</v>
      </c>
      <c r="AF70" s="8">
        <f t="shared" si="54"/>
        <v>0</v>
      </c>
      <c r="AG70" s="8">
        <f t="shared" si="55"/>
        <v>0</v>
      </c>
      <c r="AH70" s="8">
        <f t="shared" si="56"/>
        <v>0</v>
      </c>
      <c r="AI70" s="42" t="s">
        <v>253</v>
      </c>
      <c r="AJ70" s="31">
        <f t="shared" si="57"/>
        <v>0</v>
      </c>
      <c r="AK70" s="31">
        <f t="shared" si="58"/>
        <v>0</v>
      </c>
      <c r="AL70" s="31">
        <f t="shared" si="59"/>
        <v>0</v>
      </c>
      <c r="AN70" s="8">
        <v>21</v>
      </c>
      <c r="AO70" s="8">
        <f>I70*0</f>
        <v>0</v>
      </c>
      <c r="AP70" s="8">
        <f>I70*(1-0)</f>
        <v>0</v>
      </c>
      <c r="AQ70" s="33" t="s">
        <v>354</v>
      </c>
      <c r="AV70" s="8">
        <f t="shared" si="60"/>
        <v>0</v>
      </c>
      <c r="AW70" s="8">
        <f t="shared" si="61"/>
        <v>0</v>
      </c>
      <c r="AX70" s="8">
        <f t="shared" si="62"/>
        <v>0</v>
      </c>
      <c r="AY70" s="12" t="s">
        <v>229</v>
      </c>
      <c r="AZ70" s="12" t="s">
        <v>202</v>
      </c>
      <c r="BA70" s="42" t="s">
        <v>273</v>
      </c>
      <c r="BC70" s="8">
        <f t="shared" si="63"/>
        <v>0</v>
      </c>
      <c r="BD70" s="8">
        <f t="shared" si="64"/>
        <v>0</v>
      </c>
      <c r="BE70" s="8">
        <v>0</v>
      </c>
      <c r="BF70" s="8">
        <f>74</f>
        <v>74</v>
      </c>
      <c r="BH70" s="31">
        <f t="shared" si="65"/>
        <v>0</v>
      </c>
      <c r="BI70" s="31">
        <f t="shared" si="66"/>
        <v>0</v>
      </c>
      <c r="BJ70" s="31">
        <f t="shared" si="67"/>
        <v>0</v>
      </c>
      <c r="BK70" s="31"/>
      <c r="BL70" s="8">
        <v>762</v>
      </c>
    </row>
    <row r="71" spans="1:64" ht="15" customHeight="1">
      <c r="A71" s="14">
        <v>42</v>
      </c>
      <c r="B71" s="54" t="s">
        <v>146</v>
      </c>
      <c r="C71" s="97" t="s">
        <v>89</v>
      </c>
      <c r="D71" s="97"/>
      <c r="E71" s="97"/>
      <c r="F71" s="97"/>
      <c r="G71" s="54" t="s">
        <v>87</v>
      </c>
      <c r="H71" s="31">
        <v>15</v>
      </c>
      <c r="I71" s="64">
        <v>0</v>
      </c>
      <c r="J71" s="31">
        <f t="shared" si="46"/>
        <v>0</v>
      </c>
      <c r="K71" s="31">
        <f t="shared" si="47"/>
        <v>0</v>
      </c>
      <c r="L71" s="31">
        <f t="shared" si="48"/>
        <v>0</v>
      </c>
      <c r="M71" s="11" t="s">
        <v>303</v>
      </c>
      <c r="Z71" s="8">
        <f t="shared" si="49"/>
        <v>0</v>
      </c>
      <c r="AB71" s="8">
        <f t="shared" si="50"/>
        <v>0</v>
      </c>
      <c r="AC71" s="8">
        <f t="shared" si="51"/>
        <v>0</v>
      </c>
      <c r="AD71" s="8">
        <f t="shared" si="52"/>
        <v>0</v>
      </c>
      <c r="AE71" s="8">
        <f t="shared" si="53"/>
        <v>0</v>
      </c>
      <c r="AF71" s="8">
        <f t="shared" si="54"/>
        <v>0</v>
      </c>
      <c r="AG71" s="8">
        <f t="shared" si="55"/>
        <v>0</v>
      </c>
      <c r="AH71" s="8">
        <f t="shared" si="56"/>
        <v>0</v>
      </c>
      <c r="AI71" s="42" t="s">
        <v>253</v>
      </c>
      <c r="AJ71" s="31">
        <f t="shared" si="57"/>
        <v>0</v>
      </c>
      <c r="AK71" s="31">
        <f t="shared" si="58"/>
        <v>0</v>
      </c>
      <c r="AL71" s="31">
        <f t="shared" si="59"/>
        <v>0</v>
      </c>
      <c r="AN71" s="8">
        <v>21</v>
      </c>
      <c r="AO71" s="8">
        <f>I71*0</f>
        <v>0</v>
      </c>
      <c r="AP71" s="8">
        <f>I71*(1-0)</f>
        <v>0</v>
      </c>
      <c r="AQ71" s="33" t="s">
        <v>354</v>
      </c>
      <c r="AV71" s="8">
        <f t="shared" si="60"/>
        <v>0</v>
      </c>
      <c r="AW71" s="8">
        <f t="shared" si="61"/>
        <v>0</v>
      </c>
      <c r="AX71" s="8">
        <f t="shared" si="62"/>
        <v>0</v>
      </c>
      <c r="AY71" s="12" t="s">
        <v>229</v>
      </c>
      <c r="AZ71" s="12" t="s">
        <v>202</v>
      </c>
      <c r="BA71" s="42" t="s">
        <v>273</v>
      </c>
      <c r="BC71" s="8">
        <f t="shared" si="63"/>
        <v>0</v>
      </c>
      <c r="BD71" s="8">
        <f t="shared" si="64"/>
        <v>0</v>
      </c>
      <c r="BE71" s="8">
        <v>0</v>
      </c>
      <c r="BF71" s="8">
        <f>75</f>
        <v>75</v>
      </c>
      <c r="BH71" s="31">
        <f t="shared" si="65"/>
        <v>0</v>
      </c>
      <c r="BI71" s="31">
        <f t="shared" si="66"/>
        <v>0</v>
      </c>
      <c r="BJ71" s="31">
        <f t="shared" si="67"/>
        <v>0</v>
      </c>
      <c r="BK71" s="31"/>
      <c r="BL71" s="8">
        <v>762</v>
      </c>
    </row>
    <row r="72" spans="1:47" ht="15" customHeight="1">
      <c r="A72" s="47" t="s">
        <v>253</v>
      </c>
      <c r="B72" s="53" t="s">
        <v>27</v>
      </c>
      <c r="C72" s="96" t="s">
        <v>54</v>
      </c>
      <c r="D72" s="96"/>
      <c r="E72" s="96"/>
      <c r="F72" s="96"/>
      <c r="G72" s="32" t="s">
        <v>332</v>
      </c>
      <c r="H72" s="32" t="s">
        <v>332</v>
      </c>
      <c r="I72" s="32" t="s">
        <v>332</v>
      </c>
      <c r="J72" s="36">
        <f>SUM(J73:J91)</f>
        <v>0</v>
      </c>
      <c r="K72" s="36">
        <f>SUM(K73:K91)</f>
        <v>0</v>
      </c>
      <c r="L72" s="36">
        <f>SUM(L73:L91)</f>
        <v>0</v>
      </c>
      <c r="M72" s="29" t="s">
        <v>253</v>
      </c>
      <c r="AI72" s="42" t="s">
        <v>253</v>
      </c>
      <c r="AS72" s="36">
        <f>SUM(AJ73:AJ91)</f>
        <v>0</v>
      </c>
      <c r="AT72" s="36">
        <f>SUM(AK73:AK91)</f>
        <v>0</v>
      </c>
      <c r="AU72" s="36">
        <f>SUM(AL73:AL91)</f>
        <v>0</v>
      </c>
    </row>
    <row r="73" spans="1:64" ht="15" customHeight="1">
      <c r="A73" s="14">
        <v>43</v>
      </c>
      <c r="B73" s="54" t="s">
        <v>376</v>
      </c>
      <c r="C73" s="97" t="s">
        <v>38</v>
      </c>
      <c r="D73" s="97"/>
      <c r="E73" s="97"/>
      <c r="F73" s="97"/>
      <c r="G73" s="54" t="s">
        <v>346</v>
      </c>
      <c r="H73" s="31">
        <v>13.96</v>
      </c>
      <c r="I73" s="64">
        <v>0</v>
      </c>
      <c r="J73" s="31">
        <f aca="true" t="shared" si="68" ref="J73:J91">H73*AO73</f>
        <v>0</v>
      </c>
      <c r="K73" s="31">
        <f aca="true" t="shared" si="69" ref="K73:K91">H73*AP73</f>
        <v>0</v>
      </c>
      <c r="L73" s="31">
        <f aca="true" t="shared" si="70" ref="L73:L91">H73*I73</f>
        <v>0</v>
      </c>
      <c r="M73" s="11" t="s">
        <v>303</v>
      </c>
      <c r="Z73" s="8">
        <f aca="true" t="shared" si="71" ref="Z73:Z91">IF(AQ73="5",BJ73,0)</f>
        <v>0</v>
      </c>
      <c r="AB73" s="8">
        <f aca="true" t="shared" si="72" ref="AB73:AB91">IF(AQ73="1",BH73,0)</f>
        <v>0</v>
      </c>
      <c r="AC73" s="8">
        <f aca="true" t="shared" si="73" ref="AC73:AC91">IF(AQ73="1",BI73,0)</f>
        <v>0</v>
      </c>
      <c r="AD73" s="8">
        <f aca="true" t="shared" si="74" ref="AD73:AD91">IF(AQ73="7",BH73,0)</f>
        <v>0</v>
      </c>
      <c r="AE73" s="8">
        <f aca="true" t="shared" si="75" ref="AE73:AE91">IF(AQ73="7",BI73,0)</f>
        <v>0</v>
      </c>
      <c r="AF73" s="8">
        <f aca="true" t="shared" si="76" ref="AF73:AF91">IF(AQ73="2",BH73,0)</f>
        <v>0</v>
      </c>
      <c r="AG73" s="8">
        <f aca="true" t="shared" si="77" ref="AG73:AG91">IF(AQ73="2",BI73,0)</f>
        <v>0</v>
      </c>
      <c r="AH73" s="8">
        <f aca="true" t="shared" si="78" ref="AH73:AH91">IF(AQ73="0",BJ73,0)</f>
        <v>0</v>
      </c>
      <c r="AI73" s="42" t="s">
        <v>253</v>
      </c>
      <c r="AJ73" s="31">
        <f aca="true" t="shared" si="79" ref="AJ73:AJ91">IF(AN73=0,L73,0)</f>
        <v>0</v>
      </c>
      <c r="AK73" s="31">
        <f aca="true" t="shared" si="80" ref="AK73:AK91">IF(AN73=15,L73,0)</f>
        <v>0</v>
      </c>
      <c r="AL73" s="31">
        <f aca="true" t="shared" si="81" ref="AL73:AL91">IF(AN73=21,L73,0)</f>
        <v>0</v>
      </c>
      <c r="AN73" s="8">
        <v>21</v>
      </c>
      <c r="AO73" s="8">
        <f>I73*0.63293896713615</f>
        <v>0</v>
      </c>
      <c r="AP73" s="8">
        <f>I73*(1-0.63293896713615)</f>
        <v>0</v>
      </c>
      <c r="AQ73" s="33" t="s">
        <v>354</v>
      </c>
      <c r="AV73" s="8">
        <f aca="true" t="shared" si="82" ref="AV73:AV91">AW73+AX73</f>
        <v>0</v>
      </c>
      <c r="AW73" s="8">
        <f aca="true" t="shared" si="83" ref="AW73:AW91">H73*AO73</f>
        <v>0</v>
      </c>
      <c r="AX73" s="8">
        <f aca="true" t="shared" si="84" ref="AX73:AX91">H73*AP73</f>
        <v>0</v>
      </c>
      <c r="AY73" s="12" t="s">
        <v>292</v>
      </c>
      <c r="AZ73" s="12" t="s">
        <v>202</v>
      </c>
      <c r="BA73" s="42" t="s">
        <v>273</v>
      </c>
      <c r="BC73" s="8">
        <f aca="true" t="shared" si="85" ref="BC73:BC91">AW73+AX73</f>
        <v>0</v>
      </c>
      <c r="BD73" s="8">
        <f aca="true" t="shared" si="86" ref="BD73:BD91">I73/(100-BE73)*100</f>
        <v>0</v>
      </c>
      <c r="BE73" s="8">
        <v>0</v>
      </c>
      <c r="BF73" s="8">
        <f>77</f>
        <v>77</v>
      </c>
      <c r="BH73" s="31">
        <f aca="true" t="shared" si="87" ref="BH73:BH91">H73*AO73</f>
        <v>0</v>
      </c>
      <c r="BI73" s="31">
        <f aca="true" t="shared" si="88" ref="BI73:BI91">H73*AP73</f>
        <v>0</v>
      </c>
      <c r="BJ73" s="31">
        <f aca="true" t="shared" si="89" ref="BJ73:BJ91">H73*I73</f>
        <v>0</v>
      </c>
      <c r="BK73" s="31"/>
      <c r="BL73" s="8">
        <v>764</v>
      </c>
    </row>
    <row r="74" spans="1:64" ht="15" customHeight="1">
      <c r="A74" s="14">
        <v>44</v>
      </c>
      <c r="B74" s="54" t="s">
        <v>122</v>
      </c>
      <c r="C74" s="97" t="s">
        <v>328</v>
      </c>
      <c r="D74" s="97"/>
      <c r="E74" s="97"/>
      <c r="F74" s="97"/>
      <c r="G74" s="54" t="s">
        <v>346</v>
      </c>
      <c r="H74" s="31">
        <v>6.65</v>
      </c>
      <c r="I74" s="64">
        <v>0</v>
      </c>
      <c r="J74" s="31">
        <f t="shared" si="68"/>
        <v>0</v>
      </c>
      <c r="K74" s="31">
        <f t="shared" si="69"/>
        <v>0</v>
      </c>
      <c r="L74" s="31">
        <f t="shared" si="70"/>
        <v>0</v>
      </c>
      <c r="M74" s="11" t="s">
        <v>303</v>
      </c>
      <c r="Z74" s="8">
        <f t="shared" si="71"/>
        <v>0</v>
      </c>
      <c r="AB74" s="8">
        <f t="shared" si="72"/>
        <v>0</v>
      </c>
      <c r="AC74" s="8">
        <f t="shared" si="73"/>
        <v>0</v>
      </c>
      <c r="AD74" s="8">
        <f t="shared" si="74"/>
        <v>0</v>
      </c>
      <c r="AE74" s="8">
        <f t="shared" si="75"/>
        <v>0</v>
      </c>
      <c r="AF74" s="8">
        <f t="shared" si="76"/>
        <v>0</v>
      </c>
      <c r="AG74" s="8">
        <f t="shared" si="77"/>
        <v>0</v>
      </c>
      <c r="AH74" s="8">
        <f t="shared" si="78"/>
        <v>0</v>
      </c>
      <c r="AI74" s="42" t="s">
        <v>253</v>
      </c>
      <c r="AJ74" s="31">
        <f t="shared" si="79"/>
        <v>0</v>
      </c>
      <c r="AK74" s="31">
        <f t="shared" si="80"/>
        <v>0</v>
      </c>
      <c r="AL74" s="31">
        <f t="shared" si="81"/>
        <v>0</v>
      </c>
      <c r="AN74" s="8">
        <v>21</v>
      </c>
      <c r="AO74" s="8">
        <f>I74*0.478685050798258</f>
        <v>0</v>
      </c>
      <c r="AP74" s="8">
        <f>I74*(1-0.478685050798258)</f>
        <v>0</v>
      </c>
      <c r="AQ74" s="33" t="s">
        <v>354</v>
      </c>
      <c r="AV74" s="8">
        <f t="shared" si="82"/>
        <v>0</v>
      </c>
      <c r="AW74" s="8">
        <f t="shared" si="83"/>
        <v>0</v>
      </c>
      <c r="AX74" s="8">
        <f t="shared" si="84"/>
        <v>0</v>
      </c>
      <c r="AY74" s="12" t="s">
        <v>292</v>
      </c>
      <c r="AZ74" s="12" t="s">
        <v>202</v>
      </c>
      <c r="BA74" s="42" t="s">
        <v>273</v>
      </c>
      <c r="BC74" s="8">
        <f t="shared" si="85"/>
        <v>0</v>
      </c>
      <c r="BD74" s="8">
        <f t="shared" si="86"/>
        <v>0</v>
      </c>
      <c r="BE74" s="8">
        <v>0</v>
      </c>
      <c r="BF74" s="8">
        <f>78</f>
        <v>78</v>
      </c>
      <c r="BH74" s="31">
        <f t="shared" si="87"/>
        <v>0</v>
      </c>
      <c r="BI74" s="31">
        <f t="shared" si="88"/>
        <v>0</v>
      </c>
      <c r="BJ74" s="31">
        <f t="shared" si="89"/>
        <v>0</v>
      </c>
      <c r="BK74" s="31"/>
      <c r="BL74" s="8">
        <v>764</v>
      </c>
    </row>
    <row r="75" spans="1:64" ht="15" customHeight="1">
      <c r="A75" s="14">
        <v>45</v>
      </c>
      <c r="B75" s="54" t="s">
        <v>88</v>
      </c>
      <c r="C75" s="97" t="s">
        <v>233</v>
      </c>
      <c r="D75" s="97"/>
      <c r="E75" s="97"/>
      <c r="F75" s="97"/>
      <c r="G75" s="54" t="s">
        <v>300</v>
      </c>
      <c r="H75" s="31">
        <v>3.08</v>
      </c>
      <c r="I75" s="64">
        <v>0</v>
      </c>
      <c r="J75" s="31">
        <f t="shared" si="68"/>
        <v>0</v>
      </c>
      <c r="K75" s="31">
        <f t="shared" si="69"/>
        <v>0</v>
      </c>
      <c r="L75" s="31">
        <f t="shared" si="70"/>
        <v>0</v>
      </c>
      <c r="M75" s="11" t="s">
        <v>303</v>
      </c>
      <c r="Z75" s="8">
        <f t="shared" si="71"/>
        <v>0</v>
      </c>
      <c r="AB75" s="8">
        <f t="shared" si="72"/>
        <v>0</v>
      </c>
      <c r="AC75" s="8">
        <f t="shared" si="73"/>
        <v>0</v>
      </c>
      <c r="AD75" s="8">
        <f t="shared" si="74"/>
        <v>0</v>
      </c>
      <c r="AE75" s="8">
        <f t="shared" si="75"/>
        <v>0</v>
      </c>
      <c r="AF75" s="8">
        <f t="shared" si="76"/>
        <v>0</v>
      </c>
      <c r="AG75" s="8">
        <f t="shared" si="77"/>
        <v>0</v>
      </c>
      <c r="AH75" s="8">
        <f t="shared" si="78"/>
        <v>0</v>
      </c>
      <c r="AI75" s="42" t="s">
        <v>253</v>
      </c>
      <c r="AJ75" s="31">
        <f t="shared" si="79"/>
        <v>0</v>
      </c>
      <c r="AK75" s="31">
        <f t="shared" si="80"/>
        <v>0</v>
      </c>
      <c r="AL75" s="31">
        <f t="shared" si="81"/>
        <v>0</v>
      </c>
      <c r="AN75" s="8">
        <v>21</v>
      </c>
      <c r="AO75" s="8">
        <f>I75*0.634766763848396</f>
        <v>0</v>
      </c>
      <c r="AP75" s="8">
        <f>I75*(1-0.634766763848396)</f>
        <v>0</v>
      </c>
      <c r="AQ75" s="33" t="s">
        <v>354</v>
      </c>
      <c r="AV75" s="8">
        <f t="shared" si="82"/>
        <v>0</v>
      </c>
      <c r="AW75" s="8">
        <f t="shared" si="83"/>
        <v>0</v>
      </c>
      <c r="AX75" s="8">
        <f t="shared" si="84"/>
        <v>0</v>
      </c>
      <c r="AY75" s="12" t="s">
        <v>292</v>
      </c>
      <c r="AZ75" s="12" t="s">
        <v>202</v>
      </c>
      <c r="BA75" s="42" t="s">
        <v>273</v>
      </c>
      <c r="BC75" s="8">
        <f t="shared" si="85"/>
        <v>0</v>
      </c>
      <c r="BD75" s="8">
        <f t="shared" si="86"/>
        <v>0</v>
      </c>
      <c r="BE75" s="8">
        <v>0</v>
      </c>
      <c r="BF75" s="8">
        <f>79</f>
        <v>79</v>
      </c>
      <c r="BH75" s="31">
        <f t="shared" si="87"/>
        <v>0</v>
      </c>
      <c r="BI75" s="31">
        <f t="shared" si="88"/>
        <v>0</v>
      </c>
      <c r="BJ75" s="31">
        <f t="shared" si="89"/>
        <v>0</v>
      </c>
      <c r="BK75" s="31"/>
      <c r="BL75" s="8">
        <v>764</v>
      </c>
    </row>
    <row r="76" spans="1:64" ht="15" customHeight="1">
      <c r="A76" s="14">
        <v>46</v>
      </c>
      <c r="B76" s="54" t="s">
        <v>105</v>
      </c>
      <c r="C76" s="97" t="s">
        <v>331</v>
      </c>
      <c r="D76" s="97"/>
      <c r="E76" s="97"/>
      <c r="F76" s="97"/>
      <c r="G76" s="54" t="s">
        <v>300</v>
      </c>
      <c r="H76" s="31">
        <v>194.22</v>
      </c>
      <c r="I76" s="64">
        <v>0</v>
      </c>
      <c r="J76" s="31">
        <f t="shared" si="68"/>
        <v>0</v>
      </c>
      <c r="K76" s="31">
        <f t="shared" si="69"/>
        <v>0</v>
      </c>
      <c r="L76" s="31">
        <f t="shared" si="70"/>
        <v>0</v>
      </c>
      <c r="M76" s="11" t="s">
        <v>303</v>
      </c>
      <c r="Z76" s="8">
        <f t="shared" si="71"/>
        <v>0</v>
      </c>
      <c r="AB76" s="8">
        <f t="shared" si="72"/>
        <v>0</v>
      </c>
      <c r="AC76" s="8">
        <f t="shared" si="73"/>
        <v>0</v>
      </c>
      <c r="AD76" s="8">
        <f t="shared" si="74"/>
        <v>0</v>
      </c>
      <c r="AE76" s="8">
        <f t="shared" si="75"/>
        <v>0</v>
      </c>
      <c r="AF76" s="8">
        <f t="shared" si="76"/>
        <v>0</v>
      </c>
      <c r="AG76" s="8">
        <f t="shared" si="77"/>
        <v>0</v>
      </c>
      <c r="AH76" s="8">
        <f t="shared" si="78"/>
        <v>0</v>
      </c>
      <c r="AI76" s="42" t="s">
        <v>253</v>
      </c>
      <c r="AJ76" s="31">
        <f t="shared" si="79"/>
        <v>0</v>
      </c>
      <c r="AK76" s="31">
        <f t="shared" si="80"/>
        <v>0</v>
      </c>
      <c r="AL76" s="31">
        <f t="shared" si="81"/>
        <v>0</v>
      </c>
      <c r="AN76" s="8">
        <v>21</v>
      </c>
      <c r="AO76" s="8">
        <f>I76*0.676204311152765</f>
        <v>0</v>
      </c>
      <c r="AP76" s="8">
        <f>I76*(1-0.676204311152765)</f>
        <v>0</v>
      </c>
      <c r="AQ76" s="33" t="s">
        <v>354</v>
      </c>
      <c r="AV76" s="8">
        <f t="shared" si="82"/>
        <v>0</v>
      </c>
      <c r="AW76" s="8">
        <f t="shared" si="83"/>
        <v>0</v>
      </c>
      <c r="AX76" s="8">
        <f t="shared" si="84"/>
        <v>0</v>
      </c>
      <c r="AY76" s="12" t="s">
        <v>292</v>
      </c>
      <c r="AZ76" s="12" t="s">
        <v>202</v>
      </c>
      <c r="BA76" s="42" t="s">
        <v>273</v>
      </c>
      <c r="BC76" s="8">
        <f t="shared" si="85"/>
        <v>0</v>
      </c>
      <c r="BD76" s="8">
        <f t="shared" si="86"/>
        <v>0</v>
      </c>
      <c r="BE76" s="8">
        <v>0</v>
      </c>
      <c r="BF76" s="8">
        <f>80</f>
        <v>80</v>
      </c>
      <c r="BH76" s="31">
        <f t="shared" si="87"/>
        <v>0</v>
      </c>
      <c r="BI76" s="31">
        <f t="shared" si="88"/>
        <v>0</v>
      </c>
      <c r="BJ76" s="31">
        <f t="shared" si="89"/>
        <v>0</v>
      </c>
      <c r="BK76" s="31"/>
      <c r="BL76" s="8">
        <v>764</v>
      </c>
    </row>
    <row r="77" spans="1:64" ht="15" customHeight="1">
      <c r="A77" s="14">
        <v>47</v>
      </c>
      <c r="B77" s="54" t="s">
        <v>318</v>
      </c>
      <c r="C77" s="97" t="s">
        <v>345</v>
      </c>
      <c r="D77" s="97"/>
      <c r="E77" s="97"/>
      <c r="F77" s="97"/>
      <c r="G77" s="54" t="s">
        <v>87</v>
      </c>
      <c r="H77" s="31">
        <v>10</v>
      </c>
      <c r="I77" s="64">
        <v>0</v>
      </c>
      <c r="J77" s="31">
        <f t="shared" si="68"/>
        <v>0</v>
      </c>
      <c r="K77" s="31">
        <f t="shared" si="69"/>
        <v>0</v>
      </c>
      <c r="L77" s="31">
        <f t="shared" si="70"/>
        <v>0</v>
      </c>
      <c r="M77" s="11" t="s">
        <v>303</v>
      </c>
      <c r="Z77" s="8">
        <f t="shared" si="71"/>
        <v>0</v>
      </c>
      <c r="AB77" s="8">
        <f t="shared" si="72"/>
        <v>0</v>
      </c>
      <c r="AC77" s="8">
        <f t="shared" si="73"/>
        <v>0</v>
      </c>
      <c r="AD77" s="8">
        <f t="shared" si="74"/>
        <v>0</v>
      </c>
      <c r="AE77" s="8">
        <f t="shared" si="75"/>
        <v>0</v>
      </c>
      <c r="AF77" s="8">
        <f t="shared" si="76"/>
        <v>0</v>
      </c>
      <c r="AG77" s="8">
        <f t="shared" si="77"/>
        <v>0</v>
      </c>
      <c r="AH77" s="8">
        <f t="shared" si="78"/>
        <v>0</v>
      </c>
      <c r="AI77" s="42" t="s">
        <v>253</v>
      </c>
      <c r="AJ77" s="31">
        <f t="shared" si="79"/>
        <v>0</v>
      </c>
      <c r="AK77" s="31">
        <f t="shared" si="80"/>
        <v>0</v>
      </c>
      <c r="AL77" s="31">
        <f t="shared" si="81"/>
        <v>0</v>
      </c>
      <c r="AN77" s="8">
        <v>21</v>
      </c>
      <c r="AO77" s="8">
        <f>I77*0.608523816155065</f>
        <v>0</v>
      </c>
      <c r="AP77" s="8">
        <f>I77*(1-0.608523816155065)</f>
        <v>0</v>
      </c>
      <c r="AQ77" s="33" t="s">
        <v>354</v>
      </c>
      <c r="AV77" s="8">
        <f t="shared" si="82"/>
        <v>0</v>
      </c>
      <c r="AW77" s="8">
        <f t="shared" si="83"/>
        <v>0</v>
      </c>
      <c r="AX77" s="8">
        <f t="shared" si="84"/>
        <v>0</v>
      </c>
      <c r="AY77" s="12" t="s">
        <v>292</v>
      </c>
      <c r="AZ77" s="12" t="s">
        <v>202</v>
      </c>
      <c r="BA77" s="42" t="s">
        <v>273</v>
      </c>
      <c r="BC77" s="8">
        <f t="shared" si="85"/>
        <v>0</v>
      </c>
      <c r="BD77" s="8">
        <f t="shared" si="86"/>
        <v>0</v>
      </c>
      <c r="BE77" s="8">
        <v>0</v>
      </c>
      <c r="BF77" s="8">
        <f>81</f>
        <v>81</v>
      </c>
      <c r="BH77" s="31">
        <f t="shared" si="87"/>
        <v>0</v>
      </c>
      <c r="BI77" s="31">
        <f t="shared" si="88"/>
        <v>0</v>
      </c>
      <c r="BJ77" s="31">
        <f t="shared" si="89"/>
        <v>0</v>
      </c>
      <c r="BK77" s="31"/>
      <c r="BL77" s="8">
        <v>764</v>
      </c>
    </row>
    <row r="78" spans="1:64" ht="15" customHeight="1">
      <c r="A78" s="14">
        <v>48</v>
      </c>
      <c r="B78" s="54" t="s">
        <v>73</v>
      </c>
      <c r="C78" s="97" t="s">
        <v>77</v>
      </c>
      <c r="D78" s="97"/>
      <c r="E78" s="97"/>
      <c r="F78" s="97"/>
      <c r="G78" s="54" t="s">
        <v>300</v>
      </c>
      <c r="H78" s="31">
        <v>12</v>
      </c>
      <c r="I78" s="64">
        <v>0</v>
      </c>
      <c r="J78" s="31">
        <f t="shared" si="68"/>
        <v>0</v>
      </c>
      <c r="K78" s="31">
        <f t="shared" si="69"/>
        <v>0</v>
      </c>
      <c r="L78" s="31">
        <f t="shared" si="70"/>
        <v>0</v>
      </c>
      <c r="M78" s="11" t="s">
        <v>303</v>
      </c>
      <c r="Z78" s="8">
        <f t="shared" si="71"/>
        <v>0</v>
      </c>
      <c r="AB78" s="8">
        <f t="shared" si="72"/>
        <v>0</v>
      </c>
      <c r="AC78" s="8">
        <f t="shared" si="73"/>
        <v>0</v>
      </c>
      <c r="AD78" s="8">
        <f t="shared" si="74"/>
        <v>0</v>
      </c>
      <c r="AE78" s="8">
        <f t="shared" si="75"/>
        <v>0</v>
      </c>
      <c r="AF78" s="8">
        <f t="shared" si="76"/>
        <v>0</v>
      </c>
      <c r="AG78" s="8">
        <f t="shared" si="77"/>
        <v>0</v>
      </c>
      <c r="AH78" s="8">
        <f t="shared" si="78"/>
        <v>0</v>
      </c>
      <c r="AI78" s="42" t="s">
        <v>253</v>
      </c>
      <c r="AJ78" s="31">
        <f t="shared" si="79"/>
        <v>0</v>
      </c>
      <c r="AK78" s="31">
        <f t="shared" si="80"/>
        <v>0</v>
      </c>
      <c r="AL78" s="31">
        <f t="shared" si="81"/>
        <v>0</v>
      </c>
      <c r="AN78" s="8">
        <v>21</v>
      </c>
      <c r="AO78" s="8">
        <f>I78*0.799657020364416</f>
        <v>0</v>
      </c>
      <c r="AP78" s="8">
        <f>I78*(1-0.799657020364416)</f>
        <v>0</v>
      </c>
      <c r="AQ78" s="33" t="s">
        <v>354</v>
      </c>
      <c r="AV78" s="8">
        <f t="shared" si="82"/>
        <v>0</v>
      </c>
      <c r="AW78" s="8">
        <f t="shared" si="83"/>
        <v>0</v>
      </c>
      <c r="AX78" s="8">
        <f t="shared" si="84"/>
        <v>0</v>
      </c>
      <c r="AY78" s="12" t="s">
        <v>292</v>
      </c>
      <c r="AZ78" s="12" t="s">
        <v>202</v>
      </c>
      <c r="BA78" s="42" t="s">
        <v>273</v>
      </c>
      <c r="BC78" s="8">
        <f t="shared" si="85"/>
        <v>0</v>
      </c>
      <c r="BD78" s="8">
        <f t="shared" si="86"/>
        <v>0</v>
      </c>
      <c r="BE78" s="8">
        <v>0</v>
      </c>
      <c r="BF78" s="8">
        <f>82</f>
        <v>82</v>
      </c>
      <c r="BH78" s="31">
        <f t="shared" si="87"/>
        <v>0</v>
      </c>
      <c r="BI78" s="31">
        <f t="shared" si="88"/>
        <v>0</v>
      </c>
      <c r="BJ78" s="31">
        <f t="shared" si="89"/>
        <v>0</v>
      </c>
      <c r="BK78" s="31"/>
      <c r="BL78" s="8">
        <v>764</v>
      </c>
    </row>
    <row r="79" spans="1:64" ht="15" customHeight="1">
      <c r="A79" s="14">
        <v>49</v>
      </c>
      <c r="B79" s="54" t="s">
        <v>333</v>
      </c>
      <c r="C79" s="97" t="s">
        <v>307</v>
      </c>
      <c r="D79" s="97"/>
      <c r="E79" s="97"/>
      <c r="F79" s="97"/>
      <c r="G79" s="54" t="s">
        <v>300</v>
      </c>
      <c r="H79" s="31">
        <v>1.7</v>
      </c>
      <c r="I79" s="64">
        <v>0</v>
      </c>
      <c r="J79" s="31">
        <f t="shared" si="68"/>
        <v>0</v>
      </c>
      <c r="K79" s="31">
        <f t="shared" si="69"/>
        <v>0</v>
      </c>
      <c r="L79" s="31">
        <f t="shared" si="70"/>
        <v>0</v>
      </c>
      <c r="M79" s="11" t="s">
        <v>303</v>
      </c>
      <c r="Z79" s="8">
        <f t="shared" si="71"/>
        <v>0</v>
      </c>
      <c r="AB79" s="8">
        <f t="shared" si="72"/>
        <v>0</v>
      </c>
      <c r="AC79" s="8">
        <f t="shared" si="73"/>
        <v>0</v>
      </c>
      <c r="AD79" s="8">
        <f t="shared" si="74"/>
        <v>0</v>
      </c>
      <c r="AE79" s="8">
        <f t="shared" si="75"/>
        <v>0</v>
      </c>
      <c r="AF79" s="8">
        <f t="shared" si="76"/>
        <v>0</v>
      </c>
      <c r="AG79" s="8">
        <f t="shared" si="77"/>
        <v>0</v>
      </c>
      <c r="AH79" s="8">
        <f t="shared" si="78"/>
        <v>0</v>
      </c>
      <c r="AI79" s="42" t="s">
        <v>253</v>
      </c>
      <c r="AJ79" s="31">
        <f t="shared" si="79"/>
        <v>0</v>
      </c>
      <c r="AK79" s="31">
        <f t="shared" si="80"/>
        <v>0</v>
      </c>
      <c r="AL79" s="31">
        <f t="shared" si="81"/>
        <v>0</v>
      </c>
      <c r="AN79" s="8">
        <v>21</v>
      </c>
      <c r="AO79" s="8">
        <f>I79*0.610910397922271</f>
        <v>0</v>
      </c>
      <c r="AP79" s="8">
        <f>I79*(1-0.610910397922271)</f>
        <v>0</v>
      </c>
      <c r="AQ79" s="33" t="s">
        <v>354</v>
      </c>
      <c r="AV79" s="8">
        <f t="shared" si="82"/>
        <v>0</v>
      </c>
      <c r="AW79" s="8">
        <f t="shared" si="83"/>
        <v>0</v>
      </c>
      <c r="AX79" s="8">
        <f t="shared" si="84"/>
        <v>0</v>
      </c>
      <c r="AY79" s="12" t="s">
        <v>292</v>
      </c>
      <c r="AZ79" s="12" t="s">
        <v>202</v>
      </c>
      <c r="BA79" s="42" t="s">
        <v>273</v>
      </c>
      <c r="BC79" s="8">
        <f t="shared" si="85"/>
        <v>0</v>
      </c>
      <c r="BD79" s="8">
        <f t="shared" si="86"/>
        <v>0</v>
      </c>
      <c r="BE79" s="8">
        <v>0</v>
      </c>
      <c r="BF79" s="8">
        <f>83</f>
        <v>83</v>
      </c>
      <c r="BH79" s="31">
        <f t="shared" si="87"/>
        <v>0</v>
      </c>
      <c r="BI79" s="31">
        <f t="shared" si="88"/>
        <v>0</v>
      </c>
      <c r="BJ79" s="31">
        <f t="shared" si="89"/>
        <v>0</v>
      </c>
      <c r="BK79" s="31"/>
      <c r="BL79" s="8">
        <v>764</v>
      </c>
    </row>
    <row r="80" spans="1:64" ht="15" customHeight="1">
      <c r="A80" s="14">
        <v>50</v>
      </c>
      <c r="B80" s="54" t="s">
        <v>52</v>
      </c>
      <c r="C80" s="97" t="s">
        <v>317</v>
      </c>
      <c r="D80" s="97"/>
      <c r="E80" s="97"/>
      <c r="F80" s="97"/>
      <c r="G80" s="54" t="s">
        <v>300</v>
      </c>
      <c r="H80" s="31">
        <v>71.3</v>
      </c>
      <c r="I80" s="64">
        <v>0</v>
      </c>
      <c r="J80" s="31">
        <f t="shared" si="68"/>
        <v>0</v>
      </c>
      <c r="K80" s="31">
        <f t="shared" si="69"/>
        <v>0</v>
      </c>
      <c r="L80" s="31">
        <f t="shared" si="70"/>
        <v>0</v>
      </c>
      <c r="M80" s="11" t="s">
        <v>303</v>
      </c>
      <c r="Z80" s="8">
        <f t="shared" si="71"/>
        <v>0</v>
      </c>
      <c r="AB80" s="8">
        <f t="shared" si="72"/>
        <v>0</v>
      </c>
      <c r="AC80" s="8">
        <f t="shared" si="73"/>
        <v>0</v>
      </c>
      <c r="AD80" s="8">
        <f t="shared" si="74"/>
        <v>0</v>
      </c>
      <c r="AE80" s="8">
        <f t="shared" si="75"/>
        <v>0</v>
      </c>
      <c r="AF80" s="8">
        <f t="shared" si="76"/>
        <v>0</v>
      </c>
      <c r="AG80" s="8">
        <f t="shared" si="77"/>
        <v>0</v>
      </c>
      <c r="AH80" s="8">
        <f t="shared" si="78"/>
        <v>0</v>
      </c>
      <c r="AI80" s="42" t="s">
        <v>253</v>
      </c>
      <c r="AJ80" s="31">
        <f t="shared" si="79"/>
        <v>0</v>
      </c>
      <c r="AK80" s="31">
        <f t="shared" si="80"/>
        <v>0</v>
      </c>
      <c r="AL80" s="31">
        <f t="shared" si="81"/>
        <v>0</v>
      </c>
      <c r="AN80" s="8">
        <v>21</v>
      </c>
      <c r="AO80" s="8">
        <f>I80*0.696771310887804</f>
        <v>0</v>
      </c>
      <c r="AP80" s="8">
        <f>I80*(1-0.696771310887804)</f>
        <v>0</v>
      </c>
      <c r="AQ80" s="33" t="s">
        <v>354</v>
      </c>
      <c r="AV80" s="8">
        <f t="shared" si="82"/>
        <v>0</v>
      </c>
      <c r="AW80" s="8">
        <f t="shared" si="83"/>
        <v>0</v>
      </c>
      <c r="AX80" s="8">
        <f t="shared" si="84"/>
        <v>0</v>
      </c>
      <c r="AY80" s="12" t="s">
        <v>292</v>
      </c>
      <c r="AZ80" s="12" t="s">
        <v>202</v>
      </c>
      <c r="BA80" s="42" t="s">
        <v>273</v>
      </c>
      <c r="BC80" s="8">
        <f t="shared" si="85"/>
        <v>0</v>
      </c>
      <c r="BD80" s="8">
        <f t="shared" si="86"/>
        <v>0</v>
      </c>
      <c r="BE80" s="8">
        <v>0</v>
      </c>
      <c r="BF80" s="8">
        <f>84</f>
        <v>84</v>
      </c>
      <c r="BH80" s="31">
        <f t="shared" si="87"/>
        <v>0</v>
      </c>
      <c r="BI80" s="31">
        <f t="shared" si="88"/>
        <v>0</v>
      </c>
      <c r="BJ80" s="31">
        <f t="shared" si="89"/>
        <v>0</v>
      </c>
      <c r="BK80" s="31"/>
      <c r="BL80" s="8">
        <v>764</v>
      </c>
    </row>
    <row r="81" spans="1:64" ht="15" customHeight="1">
      <c r="A81" s="14">
        <v>51</v>
      </c>
      <c r="B81" s="54" t="s">
        <v>393</v>
      </c>
      <c r="C81" s="97" t="s">
        <v>145</v>
      </c>
      <c r="D81" s="97"/>
      <c r="E81" s="97"/>
      <c r="F81" s="97"/>
      <c r="G81" s="54" t="s">
        <v>87</v>
      </c>
      <c r="H81" s="31">
        <v>5</v>
      </c>
      <c r="I81" s="64">
        <v>0</v>
      </c>
      <c r="J81" s="31">
        <f t="shared" si="68"/>
        <v>0</v>
      </c>
      <c r="K81" s="31">
        <f t="shared" si="69"/>
        <v>0</v>
      </c>
      <c r="L81" s="31">
        <f t="shared" si="70"/>
        <v>0</v>
      </c>
      <c r="M81" s="11" t="s">
        <v>303</v>
      </c>
      <c r="Z81" s="8">
        <f t="shared" si="71"/>
        <v>0</v>
      </c>
      <c r="AB81" s="8">
        <f t="shared" si="72"/>
        <v>0</v>
      </c>
      <c r="AC81" s="8">
        <f t="shared" si="73"/>
        <v>0</v>
      </c>
      <c r="AD81" s="8">
        <f t="shared" si="74"/>
        <v>0</v>
      </c>
      <c r="AE81" s="8">
        <f t="shared" si="75"/>
        <v>0</v>
      </c>
      <c r="AF81" s="8">
        <f t="shared" si="76"/>
        <v>0</v>
      </c>
      <c r="AG81" s="8">
        <f t="shared" si="77"/>
        <v>0</v>
      </c>
      <c r="AH81" s="8">
        <f t="shared" si="78"/>
        <v>0</v>
      </c>
      <c r="AI81" s="42" t="s">
        <v>253</v>
      </c>
      <c r="AJ81" s="31">
        <f t="shared" si="79"/>
        <v>0</v>
      </c>
      <c r="AK81" s="31">
        <f t="shared" si="80"/>
        <v>0</v>
      </c>
      <c r="AL81" s="31">
        <f t="shared" si="81"/>
        <v>0</v>
      </c>
      <c r="AN81" s="8">
        <v>21</v>
      </c>
      <c r="AO81" s="8">
        <f>I81*0.332191582002903</f>
        <v>0</v>
      </c>
      <c r="AP81" s="8">
        <f>I81*(1-0.332191582002903)</f>
        <v>0</v>
      </c>
      <c r="AQ81" s="33" t="s">
        <v>354</v>
      </c>
      <c r="AV81" s="8">
        <f t="shared" si="82"/>
        <v>0</v>
      </c>
      <c r="AW81" s="8">
        <f t="shared" si="83"/>
        <v>0</v>
      </c>
      <c r="AX81" s="8">
        <f t="shared" si="84"/>
        <v>0</v>
      </c>
      <c r="AY81" s="12" t="s">
        <v>292</v>
      </c>
      <c r="AZ81" s="12" t="s">
        <v>202</v>
      </c>
      <c r="BA81" s="42" t="s">
        <v>273</v>
      </c>
      <c r="BC81" s="8">
        <f t="shared" si="85"/>
        <v>0</v>
      </c>
      <c r="BD81" s="8">
        <f t="shared" si="86"/>
        <v>0</v>
      </c>
      <c r="BE81" s="8">
        <v>0</v>
      </c>
      <c r="BF81" s="8">
        <f>85</f>
        <v>85</v>
      </c>
      <c r="BH81" s="31">
        <f t="shared" si="87"/>
        <v>0</v>
      </c>
      <c r="BI81" s="31">
        <f t="shared" si="88"/>
        <v>0</v>
      </c>
      <c r="BJ81" s="31">
        <f t="shared" si="89"/>
        <v>0</v>
      </c>
      <c r="BK81" s="31"/>
      <c r="BL81" s="8">
        <v>764</v>
      </c>
    </row>
    <row r="82" spans="1:64" ht="15" customHeight="1">
      <c r="A82" s="14">
        <v>52</v>
      </c>
      <c r="B82" s="54" t="s">
        <v>34</v>
      </c>
      <c r="C82" s="97" t="s">
        <v>347</v>
      </c>
      <c r="D82" s="97"/>
      <c r="E82" s="97"/>
      <c r="F82" s="97"/>
      <c r="G82" s="54" t="s">
        <v>346</v>
      </c>
      <c r="H82" s="31">
        <v>7.5</v>
      </c>
      <c r="I82" s="64">
        <v>0</v>
      </c>
      <c r="J82" s="31">
        <f t="shared" si="68"/>
        <v>0</v>
      </c>
      <c r="K82" s="31">
        <f t="shared" si="69"/>
        <v>0</v>
      </c>
      <c r="L82" s="31">
        <f t="shared" si="70"/>
        <v>0</v>
      </c>
      <c r="M82" s="11" t="s">
        <v>303</v>
      </c>
      <c r="Z82" s="8">
        <f t="shared" si="71"/>
        <v>0</v>
      </c>
      <c r="AB82" s="8">
        <f t="shared" si="72"/>
        <v>0</v>
      </c>
      <c r="AC82" s="8">
        <f t="shared" si="73"/>
        <v>0</v>
      </c>
      <c r="AD82" s="8">
        <f t="shared" si="74"/>
        <v>0</v>
      </c>
      <c r="AE82" s="8">
        <f t="shared" si="75"/>
        <v>0</v>
      </c>
      <c r="AF82" s="8">
        <f t="shared" si="76"/>
        <v>0</v>
      </c>
      <c r="AG82" s="8">
        <f t="shared" si="77"/>
        <v>0</v>
      </c>
      <c r="AH82" s="8">
        <f t="shared" si="78"/>
        <v>0</v>
      </c>
      <c r="AI82" s="42" t="s">
        <v>253</v>
      </c>
      <c r="AJ82" s="31">
        <f t="shared" si="79"/>
        <v>0</v>
      </c>
      <c r="AK82" s="31">
        <f t="shared" si="80"/>
        <v>0</v>
      </c>
      <c r="AL82" s="31">
        <f t="shared" si="81"/>
        <v>0</v>
      </c>
      <c r="AN82" s="8">
        <v>21</v>
      </c>
      <c r="AO82" s="8">
        <f>I82*0.415069659322377</f>
        <v>0</v>
      </c>
      <c r="AP82" s="8">
        <f>I82*(1-0.415069659322377)</f>
        <v>0</v>
      </c>
      <c r="AQ82" s="33" t="s">
        <v>354</v>
      </c>
      <c r="AV82" s="8">
        <f t="shared" si="82"/>
        <v>0</v>
      </c>
      <c r="AW82" s="8">
        <f t="shared" si="83"/>
        <v>0</v>
      </c>
      <c r="AX82" s="8">
        <f t="shared" si="84"/>
        <v>0</v>
      </c>
      <c r="AY82" s="12" t="s">
        <v>292</v>
      </c>
      <c r="AZ82" s="12" t="s">
        <v>202</v>
      </c>
      <c r="BA82" s="42" t="s">
        <v>273</v>
      </c>
      <c r="BC82" s="8">
        <f t="shared" si="85"/>
        <v>0</v>
      </c>
      <c r="BD82" s="8">
        <f t="shared" si="86"/>
        <v>0</v>
      </c>
      <c r="BE82" s="8">
        <v>0</v>
      </c>
      <c r="BF82" s="8">
        <f>86</f>
        <v>86</v>
      </c>
      <c r="BH82" s="31">
        <f t="shared" si="87"/>
        <v>0</v>
      </c>
      <c r="BI82" s="31">
        <f t="shared" si="88"/>
        <v>0</v>
      </c>
      <c r="BJ82" s="31">
        <f t="shared" si="89"/>
        <v>0</v>
      </c>
      <c r="BK82" s="31"/>
      <c r="BL82" s="8">
        <v>764</v>
      </c>
    </row>
    <row r="83" spans="1:64" ht="15" customHeight="1">
      <c r="A83" s="14">
        <v>53</v>
      </c>
      <c r="B83" s="54" t="s">
        <v>159</v>
      </c>
      <c r="C83" s="97" t="s">
        <v>22</v>
      </c>
      <c r="D83" s="97"/>
      <c r="E83" s="97"/>
      <c r="F83" s="97"/>
      <c r="G83" s="54" t="s">
        <v>176</v>
      </c>
      <c r="H83" s="31">
        <v>1.404</v>
      </c>
      <c r="I83" s="64">
        <v>0</v>
      </c>
      <c r="J83" s="31">
        <f t="shared" si="68"/>
        <v>0</v>
      </c>
      <c r="K83" s="31">
        <f t="shared" si="69"/>
        <v>0</v>
      </c>
      <c r="L83" s="31">
        <f t="shared" si="70"/>
        <v>0</v>
      </c>
      <c r="M83" s="11" t="s">
        <v>303</v>
      </c>
      <c r="Z83" s="8">
        <f t="shared" si="71"/>
        <v>0</v>
      </c>
      <c r="AB83" s="8">
        <f t="shared" si="72"/>
        <v>0</v>
      </c>
      <c r="AC83" s="8">
        <f t="shared" si="73"/>
        <v>0</v>
      </c>
      <c r="AD83" s="8">
        <f t="shared" si="74"/>
        <v>0</v>
      </c>
      <c r="AE83" s="8">
        <f t="shared" si="75"/>
        <v>0</v>
      </c>
      <c r="AF83" s="8">
        <f t="shared" si="76"/>
        <v>0</v>
      </c>
      <c r="AG83" s="8">
        <f t="shared" si="77"/>
        <v>0</v>
      </c>
      <c r="AH83" s="8">
        <f t="shared" si="78"/>
        <v>0</v>
      </c>
      <c r="AI83" s="42" t="s">
        <v>253</v>
      </c>
      <c r="AJ83" s="31">
        <f t="shared" si="79"/>
        <v>0</v>
      </c>
      <c r="AK83" s="31">
        <f t="shared" si="80"/>
        <v>0</v>
      </c>
      <c r="AL83" s="31">
        <f t="shared" si="81"/>
        <v>0</v>
      </c>
      <c r="AN83" s="8">
        <v>21</v>
      </c>
      <c r="AO83" s="8">
        <f aca="true" t="shared" si="90" ref="AO83:AO91">I83*0</f>
        <v>0</v>
      </c>
      <c r="AP83" s="8">
        <f aca="true" t="shared" si="91" ref="AP83:AP91">I83*(1-0)</f>
        <v>0</v>
      </c>
      <c r="AQ83" s="33" t="s">
        <v>201</v>
      </c>
      <c r="AV83" s="8">
        <f t="shared" si="82"/>
        <v>0</v>
      </c>
      <c r="AW83" s="8">
        <f t="shared" si="83"/>
        <v>0</v>
      </c>
      <c r="AX83" s="8">
        <f t="shared" si="84"/>
        <v>0</v>
      </c>
      <c r="AY83" s="12" t="s">
        <v>292</v>
      </c>
      <c r="AZ83" s="12" t="s">
        <v>202</v>
      </c>
      <c r="BA83" s="42" t="s">
        <v>273</v>
      </c>
      <c r="BC83" s="8">
        <f t="shared" si="85"/>
        <v>0</v>
      </c>
      <c r="BD83" s="8">
        <f t="shared" si="86"/>
        <v>0</v>
      </c>
      <c r="BE83" s="8">
        <v>0</v>
      </c>
      <c r="BF83" s="8">
        <f>87</f>
        <v>87</v>
      </c>
      <c r="BH83" s="31">
        <f t="shared" si="87"/>
        <v>0</v>
      </c>
      <c r="BI83" s="31">
        <f t="shared" si="88"/>
        <v>0</v>
      </c>
      <c r="BJ83" s="31">
        <f t="shared" si="89"/>
        <v>0</v>
      </c>
      <c r="BK83" s="31"/>
      <c r="BL83" s="8">
        <v>764</v>
      </c>
    </row>
    <row r="84" spans="1:64" ht="15" customHeight="1">
      <c r="A84" s="14">
        <v>54</v>
      </c>
      <c r="B84" s="54" t="s">
        <v>235</v>
      </c>
      <c r="C84" s="97" t="s">
        <v>342</v>
      </c>
      <c r="D84" s="97"/>
      <c r="E84" s="97"/>
      <c r="F84" s="97"/>
      <c r="G84" s="54" t="s">
        <v>300</v>
      </c>
      <c r="H84" s="31">
        <v>197.22</v>
      </c>
      <c r="I84" s="64">
        <v>0</v>
      </c>
      <c r="J84" s="31">
        <f t="shared" si="68"/>
        <v>0</v>
      </c>
      <c r="K84" s="31">
        <f t="shared" si="69"/>
        <v>0</v>
      </c>
      <c r="L84" s="31">
        <f t="shared" si="70"/>
        <v>0</v>
      </c>
      <c r="M84" s="11" t="s">
        <v>303</v>
      </c>
      <c r="Z84" s="8">
        <f t="shared" si="71"/>
        <v>0</v>
      </c>
      <c r="AB84" s="8">
        <f t="shared" si="72"/>
        <v>0</v>
      </c>
      <c r="AC84" s="8">
        <f t="shared" si="73"/>
        <v>0</v>
      </c>
      <c r="AD84" s="8">
        <f t="shared" si="74"/>
        <v>0</v>
      </c>
      <c r="AE84" s="8">
        <f t="shared" si="75"/>
        <v>0</v>
      </c>
      <c r="AF84" s="8">
        <f t="shared" si="76"/>
        <v>0</v>
      </c>
      <c r="AG84" s="8">
        <f t="shared" si="77"/>
        <v>0</v>
      </c>
      <c r="AH84" s="8">
        <f t="shared" si="78"/>
        <v>0</v>
      </c>
      <c r="AI84" s="42" t="s">
        <v>253</v>
      </c>
      <c r="AJ84" s="31">
        <f t="shared" si="79"/>
        <v>0</v>
      </c>
      <c r="AK84" s="31">
        <f t="shared" si="80"/>
        <v>0</v>
      </c>
      <c r="AL84" s="31">
        <f t="shared" si="81"/>
        <v>0</v>
      </c>
      <c r="AN84" s="8">
        <v>21</v>
      </c>
      <c r="AO84" s="8">
        <f t="shared" si="90"/>
        <v>0</v>
      </c>
      <c r="AP84" s="8">
        <f t="shared" si="91"/>
        <v>0</v>
      </c>
      <c r="AQ84" s="33" t="s">
        <v>354</v>
      </c>
      <c r="AV84" s="8">
        <f t="shared" si="82"/>
        <v>0</v>
      </c>
      <c r="AW84" s="8">
        <f t="shared" si="83"/>
        <v>0</v>
      </c>
      <c r="AX84" s="8">
        <f t="shared" si="84"/>
        <v>0</v>
      </c>
      <c r="AY84" s="12" t="s">
        <v>292</v>
      </c>
      <c r="AZ84" s="12" t="s">
        <v>202</v>
      </c>
      <c r="BA84" s="42" t="s">
        <v>273</v>
      </c>
      <c r="BC84" s="8">
        <f t="shared" si="85"/>
        <v>0</v>
      </c>
      <c r="BD84" s="8">
        <f t="shared" si="86"/>
        <v>0</v>
      </c>
      <c r="BE84" s="8">
        <v>0</v>
      </c>
      <c r="BF84" s="8">
        <f>88</f>
        <v>88</v>
      </c>
      <c r="BH84" s="31">
        <f t="shared" si="87"/>
        <v>0</v>
      </c>
      <c r="BI84" s="31">
        <f t="shared" si="88"/>
        <v>0</v>
      </c>
      <c r="BJ84" s="31">
        <f t="shared" si="89"/>
        <v>0</v>
      </c>
      <c r="BK84" s="31"/>
      <c r="BL84" s="8">
        <v>764</v>
      </c>
    </row>
    <row r="85" spans="1:64" ht="15" customHeight="1">
      <c r="A85" s="14">
        <v>55</v>
      </c>
      <c r="B85" s="54" t="s">
        <v>337</v>
      </c>
      <c r="C85" s="97" t="s">
        <v>126</v>
      </c>
      <c r="D85" s="97"/>
      <c r="E85" s="97"/>
      <c r="F85" s="97"/>
      <c r="G85" s="54" t="s">
        <v>87</v>
      </c>
      <c r="H85" s="31">
        <v>9</v>
      </c>
      <c r="I85" s="64">
        <v>0</v>
      </c>
      <c r="J85" s="31">
        <f t="shared" si="68"/>
        <v>0</v>
      </c>
      <c r="K85" s="31">
        <f t="shared" si="69"/>
        <v>0</v>
      </c>
      <c r="L85" s="31">
        <f t="shared" si="70"/>
        <v>0</v>
      </c>
      <c r="M85" s="11" t="s">
        <v>303</v>
      </c>
      <c r="Z85" s="8">
        <f t="shared" si="71"/>
        <v>0</v>
      </c>
      <c r="AB85" s="8">
        <f t="shared" si="72"/>
        <v>0</v>
      </c>
      <c r="AC85" s="8">
        <f t="shared" si="73"/>
        <v>0</v>
      </c>
      <c r="AD85" s="8">
        <f t="shared" si="74"/>
        <v>0</v>
      </c>
      <c r="AE85" s="8">
        <f t="shared" si="75"/>
        <v>0</v>
      </c>
      <c r="AF85" s="8">
        <f t="shared" si="76"/>
        <v>0</v>
      </c>
      <c r="AG85" s="8">
        <f t="shared" si="77"/>
        <v>0</v>
      </c>
      <c r="AH85" s="8">
        <f t="shared" si="78"/>
        <v>0</v>
      </c>
      <c r="AI85" s="42" t="s">
        <v>253</v>
      </c>
      <c r="AJ85" s="31">
        <f t="shared" si="79"/>
        <v>0</v>
      </c>
      <c r="AK85" s="31">
        <f t="shared" si="80"/>
        <v>0</v>
      </c>
      <c r="AL85" s="31">
        <f t="shared" si="81"/>
        <v>0</v>
      </c>
      <c r="AN85" s="8">
        <v>21</v>
      </c>
      <c r="AO85" s="8">
        <f t="shared" si="90"/>
        <v>0</v>
      </c>
      <c r="AP85" s="8">
        <f t="shared" si="91"/>
        <v>0</v>
      </c>
      <c r="AQ85" s="33" t="s">
        <v>354</v>
      </c>
      <c r="AV85" s="8">
        <f t="shared" si="82"/>
        <v>0</v>
      </c>
      <c r="AW85" s="8">
        <f t="shared" si="83"/>
        <v>0</v>
      </c>
      <c r="AX85" s="8">
        <f t="shared" si="84"/>
        <v>0</v>
      </c>
      <c r="AY85" s="12" t="s">
        <v>292</v>
      </c>
      <c r="AZ85" s="12" t="s">
        <v>202</v>
      </c>
      <c r="BA85" s="42" t="s">
        <v>273</v>
      </c>
      <c r="BC85" s="8">
        <f t="shared" si="85"/>
        <v>0</v>
      </c>
      <c r="BD85" s="8">
        <f t="shared" si="86"/>
        <v>0</v>
      </c>
      <c r="BE85" s="8">
        <v>0</v>
      </c>
      <c r="BF85" s="8">
        <f>89</f>
        <v>89</v>
      </c>
      <c r="BH85" s="31">
        <f t="shared" si="87"/>
        <v>0</v>
      </c>
      <c r="BI85" s="31">
        <f t="shared" si="88"/>
        <v>0</v>
      </c>
      <c r="BJ85" s="31">
        <f t="shared" si="89"/>
        <v>0</v>
      </c>
      <c r="BK85" s="31"/>
      <c r="BL85" s="8">
        <v>764</v>
      </c>
    </row>
    <row r="86" spans="1:64" ht="15" customHeight="1">
      <c r="A86" s="14">
        <v>56</v>
      </c>
      <c r="B86" s="54" t="s">
        <v>143</v>
      </c>
      <c r="C86" s="97" t="s">
        <v>282</v>
      </c>
      <c r="D86" s="97"/>
      <c r="E86" s="97"/>
      <c r="F86" s="97"/>
      <c r="G86" s="54" t="s">
        <v>300</v>
      </c>
      <c r="H86" s="31">
        <v>71.3</v>
      </c>
      <c r="I86" s="64">
        <v>0</v>
      </c>
      <c r="J86" s="31">
        <f t="shared" si="68"/>
        <v>0</v>
      </c>
      <c r="K86" s="31">
        <f t="shared" si="69"/>
        <v>0</v>
      </c>
      <c r="L86" s="31">
        <f t="shared" si="70"/>
        <v>0</v>
      </c>
      <c r="M86" s="11" t="s">
        <v>303</v>
      </c>
      <c r="Z86" s="8">
        <f t="shared" si="71"/>
        <v>0</v>
      </c>
      <c r="AB86" s="8">
        <f t="shared" si="72"/>
        <v>0</v>
      </c>
      <c r="AC86" s="8">
        <f t="shared" si="73"/>
        <v>0</v>
      </c>
      <c r="AD86" s="8">
        <f t="shared" si="74"/>
        <v>0</v>
      </c>
      <c r="AE86" s="8">
        <f t="shared" si="75"/>
        <v>0</v>
      </c>
      <c r="AF86" s="8">
        <f t="shared" si="76"/>
        <v>0</v>
      </c>
      <c r="AG86" s="8">
        <f t="shared" si="77"/>
        <v>0</v>
      </c>
      <c r="AH86" s="8">
        <f t="shared" si="78"/>
        <v>0</v>
      </c>
      <c r="AI86" s="42" t="s">
        <v>253</v>
      </c>
      <c r="AJ86" s="31">
        <f t="shared" si="79"/>
        <v>0</v>
      </c>
      <c r="AK86" s="31">
        <f t="shared" si="80"/>
        <v>0</v>
      </c>
      <c r="AL86" s="31">
        <f t="shared" si="81"/>
        <v>0</v>
      </c>
      <c r="AN86" s="8">
        <v>21</v>
      </c>
      <c r="AO86" s="8">
        <f t="shared" si="90"/>
        <v>0</v>
      </c>
      <c r="AP86" s="8">
        <f t="shared" si="91"/>
        <v>0</v>
      </c>
      <c r="AQ86" s="33" t="s">
        <v>354</v>
      </c>
      <c r="AV86" s="8">
        <f t="shared" si="82"/>
        <v>0</v>
      </c>
      <c r="AW86" s="8">
        <f t="shared" si="83"/>
        <v>0</v>
      </c>
      <c r="AX86" s="8">
        <f t="shared" si="84"/>
        <v>0</v>
      </c>
      <c r="AY86" s="12" t="s">
        <v>292</v>
      </c>
      <c r="AZ86" s="12" t="s">
        <v>202</v>
      </c>
      <c r="BA86" s="42" t="s">
        <v>273</v>
      </c>
      <c r="BC86" s="8">
        <f t="shared" si="85"/>
        <v>0</v>
      </c>
      <c r="BD86" s="8">
        <f t="shared" si="86"/>
        <v>0</v>
      </c>
      <c r="BE86" s="8">
        <v>0</v>
      </c>
      <c r="BF86" s="8">
        <f>90</f>
        <v>90</v>
      </c>
      <c r="BH86" s="31">
        <f t="shared" si="87"/>
        <v>0</v>
      </c>
      <c r="BI86" s="31">
        <f t="shared" si="88"/>
        <v>0</v>
      </c>
      <c r="BJ86" s="31">
        <f t="shared" si="89"/>
        <v>0</v>
      </c>
      <c r="BK86" s="31"/>
      <c r="BL86" s="8">
        <v>764</v>
      </c>
    </row>
    <row r="87" spans="1:64" ht="15" customHeight="1">
      <c r="A87" s="14">
        <v>57</v>
      </c>
      <c r="B87" s="54" t="s">
        <v>278</v>
      </c>
      <c r="C87" s="97" t="s">
        <v>26</v>
      </c>
      <c r="D87" s="97"/>
      <c r="E87" s="97"/>
      <c r="F87" s="97"/>
      <c r="G87" s="54" t="s">
        <v>300</v>
      </c>
      <c r="H87" s="31">
        <v>12</v>
      </c>
      <c r="I87" s="64">
        <v>0</v>
      </c>
      <c r="J87" s="31">
        <f t="shared" si="68"/>
        <v>0</v>
      </c>
      <c r="K87" s="31">
        <f t="shared" si="69"/>
        <v>0</v>
      </c>
      <c r="L87" s="31">
        <f t="shared" si="70"/>
        <v>0</v>
      </c>
      <c r="M87" s="11" t="s">
        <v>303</v>
      </c>
      <c r="Z87" s="8">
        <f t="shared" si="71"/>
        <v>0</v>
      </c>
      <c r="AB87" s="8">
        <f t="shared" si="72"/>
        <v>0</v>
      </c>
      <c r="AC87" s="8">
        <f t="shared" si="73"/>
        <v>0</v>
      </c>
      <c r="AD87" s="8">
        <f t="shared" si="74"/>
        <v>0</v>
      </c>
      <c r="AE87" s="8">
        <f t="shared" si="75"/>
        <v>0</v>
      </c>
      <c r="AF87" s="8">
        <f t="shared" si="76"/>
        <v>0</v>
      </c>
      <c r="AG87" s="8">
        <f t="shared" si="77"/>
        <v>0</v>
      </c>
      <c r="AH87" s="8">
        <f t="shared" si="78"/>
        <v>0</v>
      </c>
      <c r="AI87" s="42" t="s">
        <v>253</v>
      </c>
      <c r="AJ87" s="31">
        <f t="shared" si="79"/>
        <v>0</v>
      </c>
      <c r="AK87" s="31">
        <f t="shared" si="80"/>
        <v>0</v>
      </c>
      <c r="AL87" s="31">
        <f t="shared" si="81"/>
        <v>0</v>
      </c>
      <c r="AN87" s="8">
        <v>21</v>
      </c>
      <c r="AO87" s="8">
        <f t="shared" si="90"/>
        <v>0</v>
      </c>
      <c r="AP87" s="8">
        <f t="shared" si="91"/>
        <v>0</v>
      </c>
      <c r="AQ87" s="33" t="s">
        <v>354</v>
      </c>
      <c r="AV87" s="8">
        <f t="shared" si="82"/>
        <v>0</v>
      </c>
      <c r="AW87" s="8">
        <f t="shared" si="83"/>
        <v>0</v>
      </c>
      <c r="AX87" s="8">
        <f t="shared" si="84"/>
        <v>0</v>
      </c>
      <c r="AY87" s="12" t="s">
        <v>292</v>
      </c>
      <c r="AZ87" s="12" t="s">
        <v>202</v>
      </c>
      <c r="BA87" s="42" t="s">
        <v>273</v>
      </c>
      <c r="BC87" s="8">
        <f t="shared" si="85"/>
        <v>0</v>
      </c>
      <c r="BD87" s="8">
        <f t="shared" si="86"/>
        <v>0</v>
      </c>
      <c r="BE87" s="8">
        <v>0</v>
      </c>
      <c r="BF87" s="8">
        <f>91</f>
        <v>91</v>
      </c>
      <c r="BH87" s="31">
        <f t="shared" si="87"/>
        <v>0</v>
      </c>
      <c r="BI87" s="31">
        <f t="shared" si="88"/>
        <v>0</v>
      </c>
      <c r="BJ87" s="31">
        <f t="shared" si="89"/>
        <v>0</v>
      </c>
      <c r="BK87" s="31"/>
      <c r="BL87" s="8">
        <v>764</v>
      </c>
    </row>
    <row r="88" spans="1:64" ht="15" customHeight="1">
      <c r="A88" s="14">
        <v>58</v>
      </c>
      <c r="B88" s="54" t="s">
        <v>1</v>
      </c>
      <c r="C88" s="97" t="s">
        <v>368</v>
      </c>
      <c r="D88" s="97"/>
      <c r="E88" s="97"/>
      <c r="F88" s="97"/>
      <c r="G88" s="54" t="s">
        <v>300</v>
      </c>
      <c r="H88" s="31">
        <v>34.24</v>
      </c>
      <c r="I88" s="64">
        <v>0</v>
      </c>
      <c r="J88" s="31">
        <f t="shared" si="68"/>
        <v>0</v>
      </c>
      <c r="K88" s="31">
        <f t="shared" si="69"/>
        <v>0</v>
      </c>
      <c r="L88" s="31">
        <f t="shared" si="70"/>
        <v>0</v>
      </c>
      <c r="M88" s="11" t="s">
        <v>303</v>
      </c>
      <c r="Z88" s="8">
        <f t="shared" si="71"/>
        <v>0</v>
      </c>
      <c r="AB88" s="8">
        <f t="shared" si="72"/>
        <v>0</v>
      </c>
      <c r="AC88" s="8">
        <f t="shared" si="73"/>
        <v>0</v>
      </c>
      <c r="AD88" s="8">
        <f t="shared" si="74"/>
        <v>0</v>
      </c>
      <c r="AE88" s="8">
        <f t="shared" si="75"/>
        <v>0</v>
      </c>
      <c r="AF88" s="8">
        <f t="shared" si="76"/>
        <v>0</v>
      </c>
      <c r="AG88" s="8">
        <f t="shared" si="77"/>
        <v>0</v>
      </c>
      <c r="AH88" s="8">
        <f t="shared" si="78"/>
        <v>0</v>
      </c>
      <c r="AI88" s="42" t="s">
        <v>253</v>
      </c>
      <c r="AJ88" s="31">
        <f t="shared" si="79"/>
        <v>0</v>
      </c>
      <c r="AK88" s="31">
        <f t="shared" si="80"/>
        <v>0</v>
      </c>
      <c r="AL88" s="31">
        <f t="shared" si="81"/>
        <v>0</v>
      </c>
      <c r="AN88" s="8">
        <v>21</v>
      </c>
      <c r="AO88" s="8">
        <f t="shared" si="90"/>
        <v>0</v>
      </c>
      <c r="AP88" s="8">
        <f t="shared" si="91"/>
        <v>0</v>
      </c>
      <c r="AQ88" s="33" t="s">
        <v>354</v>
      </c>
      <c r="AV88" s="8">
        <f t="shared" si="82"/>
        <v>0</v>
      </c>
      <c r="AW88" s="8">
        <f t="shared" si="83"/>
        <v>0</v>
      </c>
      <c r="AX88" s="8">
        <f t="shared" si="84"/>
        <v>0</v>
      </c>
      <c r="AY88" s="12" t="s">
        <v>292</v>
      </c>
      <c r="AZ88" s="12" t="s">
        <v>202</v>
      </c>
      <c r="BA88" s="42" t="s">
        <v>273</v>
      </c>
      <c r="BC88" s="8">
        <f t="shared" si="85"/>
        <v>0</v>
      </c>
      <c r="BD88" s="8">
        <f t="shared" si="86"/>
        <v>0</v>
      </c>
      <c r="BE88" s="8">
        <v>0</v>
      </c>
      <c r="BF88" s="8">
        <f>92</f>
        <v>92</v>
      </c>
      <c r="BH88" s="31">
        <f t="shared" si="87"/>
        <v>0</v>
      </c>
      <c r="BI88" s="31">
        <f t="shared" si="88"/>
        <v>0</v>
      </c>
      <c r="BJ88" s="31">
        <f t="shared" si="89"/>
        <v>0</v>
      </c>
      <c r="BK88" s="31"/>
      <c r="BL88" s="8">
        <v>764</v>
      </c>
    </row>
    <row r="89" spans="1:64" ht="15" customHeight="1">
      <c r="A89" s="14">
        <v>59</v>
      </c>
      <c r="B89" s="54" t="s">
        <v>334</v>
      </c>
      <c r="C89" s="97" t="s">
        <v>234</v>
      </c>
      <c r="D89" s="97"/>
      <c r="E89" s="97"/>
      <c r="F89" s="97"/>
      <c r="G89" s="54" t="s">
        <v>346</v>
      </c>
      <c r="H89" s="31">
        <v>6.3</v>
      </c>
      <c r="I89" s="64">
        <v>0</v>
      </c>
      <c r="J89" s="31">
        <f t="shared" si="68"/>
        <v>0</v>
      </c>
      <c r="K89" s="31">
        <f t="shared" si="69"/>
        <v>0</v>
      </c>
      <c r="L89" s="31">
        <f t="shared" si="70"/>
        <v>0</v>
      </c>
      <c r="M89" s="11" t="s">
        <v>303</v>
      </c>
      <c r="Z89" s="8">
        <f t="shared" si="71"/>
        <v>0</v>
      </c>
      <c r="AB89" s="8">
        <f t="shared" si="72"/>
        <v>0</v>
      </c>
      <c r="AC89" s="8">
        <f t="shared" si="73"/>
        <v>0</v>
      </c>
      <c r="AD89" s="8">
        <f t="shared" si="74"/>
        <v>0</v>
      </c>
      <c r="AE89" s="8">
        <f t="shared" si="75"/>
        <v>0</v>
      </c>
      <c r="AF89" s="8">
        <f t="shared" si="76"/>
        <v>0</v>
      </c>
      <c r="AG89" s="8">
        <f t="shared" si="77"/>
        <v>0</v>
      </c>
      <c r="AH89" s="8">
        <f t="shared" si="78"/>
        <v>0</v>
      </c>
      <c r="AI89" s="42" t="s">
        <v>253</v>
      </c>
      <c r="AJ89" s="31">
        <f t="shared" si="79"/>
        <v>0</v>
      </c>
      <c r="AK89" s="31">
        <f t="shared" si="80"/>
        <v>0</v>
      </c>
      <c r="AL89" s="31">
        <f t="shared" si="81"/>
        <v>0</v>
      </c>
      <c r="AN89" s="8">
        <v>21</v>
      </c>
      <c r="AO89" s="8">
        <f t="shared" si="90"/>
        <v>0</v>
      </c>
      <c r="AP89" s="8">
        <f t="shared" si="91"/>
        <v>0</v>
      </c>
      <c r="AQ89" s="33" t="s">
        <v>354</v>
      </c>
      <c r="AV89" s="8">
        <f t="shared" si="82"/>
        <v>0</v>
      </c>
      <c r="AW89" s="8">
        <f t="shared" si="83"/>
        <v>0</v>
      </c>
      <c r="AX89" s="8">
        <f t="shared" si="84"/>
        <v>0</v>
      </c>
      <c r="AY89" s="12" t="s">
        <v>292</v>
      </c>
      <c r="AZ89" s="12" t="s">
        <v>202</v>
      </c>
      <c r="BA89" s="42" t="s">
        <v>273</v>
      </c>
      <c r="BC89" s="8">
        <f t="shared" si="85"/>
        <v>0</v>
      </c>
      <c r="BD89" s="8">
        <f t="shared" si="86"/>
        <v>0</v>
      </c>
      <c r="BE89" s="8">
        <v>0</v>
      </c>
      <c r="BF89" s="8">
        <f>93</f>
        <v>93</v>
      </c>
      <c r="BH89" s="31">
        <f t="shared" si="87"/>
        <v>0</v>
      </c>
      <c r="BI89" s="31">
        <f t="shared" si="88"/>
        <v>0</v>
      </c>
      <c r="BJ89" s="31">
        <f t="shared" si="89"/>
        <v>0</v>
      </c>
      <c r="BK89" s="31"/>
      <c r="BL89" s="8">
        <v>764</v>
      </c>
    </row>
    <row r="90" spans="1:64" ht="15" customHeight="1">
      <c r="A90" s="14">
        <v>60</v>
      </c>
      <c r="B90" s="54" t="s">
        <v>13</v>
      </c>
      <c r="C90" s="97" t="s">
        <v>323</v>
      </c>
      <c r="D90" s="97"/>
      <c r="E90" s="97"/>
      <c r="F90" s="97"/>
      <c r="G90" s="54" t="s">
        <v>87</v>
      </c>
      <c r="H90" s="31">
        <v>182</v>
      </c>
      <c r="I90" s="64">
        <v>0</v>
      </c>
      <c r="J90" s="31">
        <f t="shared" si="68"/>
        <v>0</v>
      </c>
      <c r="K90" s="31">
        <f t="shared" si="69"/>
        <v>0</v>
      </c>
      <c r="L90" s="31">
        <f t="shared" si="70"/>
        <v>0</v>
      </c>
      <c r="M90" s="11" t="s">
        <v>303</v>
      </c>
      <c r="Z90" s="8">
        <f t="shared" si="71"/>
        <v>0</v>
      </c>
      <c r="AB90" s="8">
        <f t="shared" si="72"/>
        <v>0</v>
      </c>
      <c r="AC90" s="8">
        <f t="shared" si="73"/>
        <v>0</v>
      </c>
      <c r="AD90" s="8">
        <f t="shared" si="74"/>
        <v>0</v>
      </c>
      <c r="AE90" s="8">
        <f t="shared" si="75"/>
        <v>0</v>
      </c>
      <c r="AF90" s="8">
        <f t="shared" si="76"/>
        <v>0</v>
      </c>
      <c r="AG90" s="8">
        <f t="shared" si="77"/>
        <v>0</v>
      </c>
      <c r="AH90" s="8">
        <f t="shared" si="78"/>
        <v>0</v>
      </c>
      <c r="AI90" s="42" t="s">
        <v>253</v>
      </c>
      <c r="AJ90" s="31">
        <f t="shared" si="79"/>
        <v>0</v>
      </c>
      <c r="AK90" s="31">
        <f t="shared" si="80"/>
        <v>0</v>
      </c>
      <c r="AL90" s="31">
        <f t="shared" si="81"/>
        <v>0</v>
      </c>
      <c r="AN90" s="8">
        <v>21</v>
      </c>
      <c r="AO90" s="8">
        <f t="shared" si="90"/>
        <v>0</v>
      </c>
      <c r="AP90" s="8">
        <f t="shared" si="91"/>
        <v>0</v>
      </c>
      <c r="AQ90" s="33" t="s">
        <v>354</v>
      </c>
      <c r="AV90" s="8">
        <f t="shared" si="82"/>
        <v>0</v>
      </c>
      <c r="AW90" s="8">
        <f t="shared" si="83"/>
        <v>0</v>
      </c>
      <c r="AX90" s="8">
        <f t="shared" si="84"/>
        <v>0</v>
      </c>
      <c r="AY90" s="12" t="s">
        <v>292</v>
      </c>
      <c r="AZ90" s="12" t="s">
        <v>202</v>
      </c>
      <c r="BA90" s="42" t="s">
        <v>273</v>
      </c>
      <c r="BC90" s="8">
        <f t="shared" si="85"/>
        <v>0</v>
      </c>
      <c r="BD90" s="8">
        <f t="shared" si="86"/>
        <v>0</v>
      </c>
      <c r="BE90" s="8">
        <v>0</v>
      </c>
      <c r="BF90" s="8">
        <f>94</f>
        <v>94</v>
      </c>
      <c r="BH90" s="31">
        <f t="shared" si="87"/>
        <v>0</v>
      </c>
      <c r="BI90" s="31">
        <f t="shared" si="88"/>
        <v>0</v>
      </c>
      <c r="BJ90" s="31">
        <f t="shared" si="89"/>
        <v>0</v>
      </c>
      <c r="BK90" s="31"/>
      <c r="BL90" s="8">
        <v>764</v>
      </c>
    </row>
    <row r="91" spans="1:64" ht="15" customHeight="1">
      <c r="A91" s="14">
        <v>61</v>
      </c>
      <c r="B91" s="54" t="s">
        <v>70</v>
      </c>
      <c r="C91" s="97" t="s">
        <v>24</v>
      </c>
      <c r="D91" s="97"/>
      <c r="E91" s="97"/>
      <c r="F91" s="97"/>
      <c r="G91" s="54" t="s">
        <v>346</v>
      </c>
      <c r="H91" s="31">
        <v>2.18</v>
      </c>
      <c r="I91" s="64">
        <v>0</v>
      </c>
      <c r="J91" s="31">
        <f t="shared" si="68"/>
        <v>0</v>
      </c>
      <c r="K91" s="31">
        <f t="shared" si="69"/>
        <v>0</v>
      </c>
      <c r="L91" s="31">
        <f t="shared" si="70"/>
        <v>0</v>
      </c>
      <c r="M91" s="11" t="s">
        <v>303</v>
      </c>
      <c r="Z91" s="8">
        <f t="shared" si="71"/>
        <v>0</v>
      </c>
      <c r="AB91" s="8">
        <f t="shared" si="72"/>
        <v>0</v>
      </c>
      <c r="AC91" s="8">
        <f t="shared" si="73"/>
        <v>0</v>
      </c>
      <c r="AD91" s="8">
        <f t="shared" si="74"/>
        <v>0</v>
      </c>
      <c r="AE91" s="8">
        <f t="shared" si="75"/>
        <v>0</v>
      </c>
      <c r="AF91" s="8">
        <f t="shared" si="76"/>
        <v>0</v>
      </c>
      <c r="AG91" s="8">
        <f t="shared" si="77"/>
        <v>0</v>
      </c>
      <c r="AH91" s="8">
        <f t="shared" si="78"/>
        <v>0</v>
      </c>
      <c r="AI91" s="42" t="s">
        <v>253</v>
      </c>
      <c r="AJ91" s="31">
        <f t="shared" si="79"/>
        <v>0</v>
      </c>
      <c r="AK91" s="31">
        <f t="shared" si="80"/>
        <v>0</v>
      </c>
      <c r="AL91" s="31">
        <f t="shared" si="81"/>
        <v>0</v>
      </c>
      <c r="AN91" s="8">
        <v>21</v>
      </c>
      <c r="AO91" s="8">
        <f t="shared" si="90"/>
        <v>0</v>
      </c>
      <c r="AP91" s="8">
        <f t="shared" si="91"/>
        <v>0</v>
      </c>
      <c r="AQ91" s="33" t="s">
        <v>354</v>
      </c>
      <c r="AV91" s="8">
        <f t="shared" si="82"/>
        <v>0</v>
      </c>
      <c r="AW91" s="8">
        <f t="shared" si="83"/>
        <v>0</v>
      </c>
      <c r="AX91" s="8">
        <f t="shared" si="84"/>
        <v>0</v>
      </c>
      <c r="AY91" s="12" t="s">
        <v>292</v>
      </c>
      <c r="AZ91" s="12" t="s">
        <v>202</v>
      </c>
      <c r="BA91" s="42" t="s">
        <v>273</v>
      </c>
      <c r="BC91" s="8">
        <f t="shared" si="85"/>
        <v>0</v>
      </c>
      <c r="BD91" s="8">
        <f t="shared" si="86"/>
        <v>0</v>
      </c>
      <c r="BE91" s="8">
        <v>0</v>
      </c>
      <c r="BF91" s="8">
        <f>95</f>
        <v>95</v>
      </c>
      <c r="BH91" s="31">
        <f t="shared" si="87"/>
        <v>0</v>
      </c>
      <c r="BI91" s="31">
        <f t="shared" si="88"/>
        <v>0</v>
      </c>
      <c r="BJ91" s="31">
        <f t="shared" si="89"/>
        <v>0</v>
      </c>
      <c r="BK91" s="31"/>
      <c r="BL91" s="8">
        <v>764</v>
      </c>
    </row>
    <row r="92" spans="1:47" ht="15" customHeight="1">
      <c r="A92" s="47" t="s">
        <v>253</v>
      </c>
      <c r="B92" s="53" t="s">
        <v>102</v>
      </c>
      <c r="C92" s="96" t="s">
        <v>309</v>
      </c>
      <c r="D92" s="96"/>
      <c r="E92" s="96"/>
      <c r="F92" s="96"/>
      <c r="G92" s="32" t="s">
        <v>332</v>
      </c>
      <c r="H92" s="32" t="s">
        <v>332</v>
      </c>
      <c r="I92" s="32" t="s">
        <v>332</v>
      </c>
      <c r="J92" s="36">
        <f>SUM(J93:J108)</f>
        <v>0</v>
      </c>
      <c r="K92" s="36">
        <f>SUM(K93:K108)</f>
        <v>0</v>
      </c>
      <c r="L92" s="36">
        <f>SUM(L93:L108)</f>
        <v>0</v>
      </c>
      <c r="M92" s="29" t="s">
        <v>253</v>
      </c>
      <c r="AI92" s="42" t="s">
        <v>253</v>
      </c>
      <c r="AS92" s="36">
        <f>SUM(AJ93:AJ108)</f>
        <v>0</v>
      </c>
      <c r="AT92" s="36">
        <f>SUM(AK93:AK108)</f>
        <v>0</v>
      </c>
      <c r="AU92" s="36">
        <f>SUM(AL93:AL108)</f>
        <v>0</v>
      </c>
    </row>
    <row r="93" spans="1:64" ht="15" customHeight="1">
      <c r="A93" s="14">
        <v>62</v>
      </c>
      <c r="B93" s="54" t="s">
        <v>220</v>
      </c>
      <c r="C93" s="97" t="s">
        <v>123</v>
      </c>
      <c r="D93" s="97"/>
      <c r="E93" s="97"/>
      <c r="F93" s="97"/>
      <c r="G93" s="54" t="s">
        <v>346</v>
      </c>
      <c r="H93" s="31">
        <v>1677.6</v>
      </c>
      <c r="I93" s="64">
        <v>0</v>
      </c>
      <c r="J93" s="31">
        <f>H93*AO93</f>
        <v>0</v>
      </c>
      <c r="K93" s="31">
        <f>H93*AP93</f>
        <v>0</v>
      </c>
      <c r="L93" s="31">
        <f>H93*I93</f>
        <v>0</v>
      </c>
      <c r="M93" s="11" t="s">
        <v>303</v>
      </c>
      <c r="Z93" s="8">
        <f>IF(AQ93="5",BJ93,0)</f>
        <v>0</v>
      </c>
      <c r="AB93" s="8">
        <f>IF(AQ93="1",BH93,0)</f>
        <v>0</v>
      </c>
      <c r="AC93" s="8">
        <f>IF(AQ93="1",BI93,0)</f>
        <v>0</v>
      </c>
      <c r="AD93" s="8">
        <f>IF(AQ93="7",BH93,0)</f>
        <v>0</v>
      </c>
      <c r="AE93" s="8">
        <f>IF(AQ93="7",BI93,0)</f>
        <v>0</v>
      </c>
      <c r="AF93" s="8">
        <f>IF(AQ93="2",BH93,0)</f>
        <v>0</v>
      </c>
      <c r="AG93" s="8">
        <f>IF(AQ93="2",BI93,0)</f>
        <v>0</v>
      </c>
      <c r="AH93" s="8">
        <f>IF(AQ93="0",BJ93,0)</f>
        <v>0</v>
      </c>
      <c r="AI93" s="42" t="s">
        <v>253</v>
      </c>
      <c r="AJ93" s="31">
        <f>IF(AN93=0,L93,0)</f>
        <v>0</v>
      </c>
      <c r="AK93" s="31">
        <f>IF(AN93=15,L93,0)</f>
        <v>0</v>
      </c>
      <c r="AL93" s="31">
        <f>IF(AN93=21,L93,0)</f>
        <v>0</v>
      </c>
      <c r="AN93" s="8">
        <v>21</v>
      </c>
      <c r="AO93" s="8">
        <f>I93*0.607421052631579</f>
        <v>0</v>
      </c>
      <c r="AP93" s="8">
        <f>I93*(1-0.607421052631579)</f>
        <v>0</v>
      </c>
      <c r="AQ93" s="33" t="s">
        <v>354</v>
      </c>
      <c r="AV93" s="8">
        <f>AW93+AX93</f>
        <v>0</v>
      </c>
      <c r="AW93" s="8">
        <f>H93*AO93</f>
        <v>0</v>
      </c>
      <c r="AX93" s="8">
        <f>H93*AP93</f>
        <v>0</v>
      </c>
      <c r="AY93" s="12" t="s">
        <v>80</v>
      </c>
      <c r="AZ93" s="12" t="s">
        <v>202</v>
      </c>
      <c r="BA93" s="42" t="s">
        <v>273</v>
      </c>
      <c r="BC93" s="8">
        <f>AW93+AX93</f>
        <v>0</v>
      </c>
      <c r="BD93" s="8">
        <f>I93/(100-BE93)*100</f>
        <v>0</v>
      </c>
      <c r="BE93" s="8">
        <v>0</v>
      </c>
      <c r="BF93" s="8">
        <f>97</f>
        <v>97</v>
      </c>
      <c r="BH93" s="31">
        <f>H93*AO93</f>
        <v>0</v>
      </c>
      <c r="BI93" s="31">
        <f>H93*AP93</f>
        <v>0</v>
      </c>
      <c r="BJ93" s="31">
        <f>H93*I93</f>
        <v>0</v>
      </c>
      <c r="BK93" s="31"/>
      <c r="BL93" s="8">
        <v>765</v>
      </c>
    </row>
    <row r="94" spans="1:13" ht="13.5" customHeight="1">
      <c r="A94" s="44"/>
      <c r="B94" s="43" t="s">
        <v>193</v>
      </c>
      <c r="C94" s="98" t="s">
        <v>12</v>
      </c>
      <c r="D94" s="99"/>
      <c r="E94" s="99"/>
      <c r="F94" s="99"/>
      <c r="G94" s="99"/>
      <c r="H94" s="99"/>
      <c r="I94" s="99"/>
      <c r="J94" s="99"/>
      <c r="K94" s="99"/>
      <c r="L94" s="99"/>
      <c r="M94" s="100"/>
    </row>
    <row r="95" spans="1:64" ht="15" customHeight="1">
      <c r="A95" s="14">
        <v>63</v>
      </c>
      <c r="B95" s="54" t="s">
        <v>395</v>
      </c>
      <c r="C95" s="97" t="s">
        <v>103</v>
      </c>
      <c r="D95" s="97"/>
      <c r="E95" s="97"/>
      <c r="F95" s="97"/>
      <c r="G95" s="54" t="s">
        <v>346</v>
      </c>
      <c r="H95" s="31">
        <v>1677.6</v>
      </c>
      <c r="I95" s="64">
        <v>0</v>
      </c>
      <c r="J95" s="31">
        <f>H95*AO95</f>
        <v>0</v>
      </c>
      <c r="K95" s="31">
        <f>H95*AP95</f>
        <v>0</v>
      </c>
      <c r="L95" s="31">
        <f>H95*I95</f>
        <v>0</v>
      </c>
      <c r="M95" s="11" t="s">
        <v>303</v>
      </c>
      <c r="Z95" s="8">
        <f>IF(AQ95="5",BJ95,0)</f>
        <v>0</v>
      </c>
      <c r="AB95" s="8">
        <f>IF(AQ95="1",BH95,0)</f>
        <v>0</v>
      </c>
      <c r="AC95" s="8">
        <f>IF(AQ95="1",BI95,0)</f>
        <v>0</v>
      </c>
      <c r="AD95" s="8">
        <f>IF(AQ95="7",BH95,0)</f>
        <v>0</v>
      </c>
      <c r="AE95" s="8">
        <f>IF(AQ95="7",BI95,0)</f>
        <v>0</v>
      </c>
      <c r="AF95" s="8">
        <f>IF(AQ95="2",BH95,0)</f>
        <v>0</v>
      </c>
      <c r="AG95" s="8">
        <f>IF(AQ95="2",BI95,0)</f>
        <v>0</v>
      </c>
      <c r="AH95" s="8">
        <f>IF(AQ95="0",BJ95,0)</f>
        <v>0</v>
      </c>
      <c r="AI95" s="42" t="s">
        <v>253</v>
      </c>
      <c r="AJ95" s="31">
        <f>IF(AN95=0,L95,0)</f>
        <v>0</v>
      </c>
      <c r="AK95" s="31">
        <f>IF(AN95=15,L95,0)</f>
        <v>0</v>
      </c>
      <c r="AL95" s="31">
        <f>IF(AN95=21,L95,0)</f>
        <v>0</v>
      </c>
      <c r="AN95" s="8">
        <v>21</v>
      </c>
      <c r="AO95" s="8">
        <f>I95*0</f>
        <v>0</v>
      </c>
      <c r="AP95" s="8">
        <f>I95*(1-0)</f>
        <v>0</v>
      </c>
      <c r="AQ95" s="33" t="s">
        <v>354</v>
      </c>
      <c r="AV95" s="8">
        <f>AW95+AX95</f>
        <v>0</v>
      </c>
      <c r="AW95" s="8">
        <f>H95*AO95</f>
        <v>0</v>
      </c>
      <c r="AX95" s="8">
        <f>H95*AP95</f>
        <v>0</v>
      </c>
      <c r="AY95" s="12" t="s">
        <v>80</v>
      </c>
      <c r="AZ95" s="12" t="s">
        <v>202</v>
      </c>
      <c r="BA95" s="42" t="s">
        <v>273</v>
      </c>
      <c r="BC95" s="8">
        <f>AW95+AX95</f>
        <v>0</v>
      </c>
      <c r="BD95" s="8">
        <f>I95/(100-BE95)*100</f>
        <v>0</v>
      </c>
      <c r="BE95" s="8">
        <v>0</v>
      </c>
      <c r="BF95" s="8">
        <f>99</f>
        <v>99</v>
      </c>
      <c r="BH95" s="31">
        <f>H95*AO95</f>
        <v>0</v>
      </c>
      <c r="BI95" s="31">
        <f>H95*AP95</f>
        <v>0</v>
      </c>
      <c r="BJ95" s="31">
        <f>H95*I95</f>
        <v>0</v>
      </c>
      <c r="BK95" s="31"/>
      <c r="BL95" s="8">
        <v>765</v>
      </c>
    </row>
    <row r="96" spans="1:64" ht="15" customHeight="1">
      <c r="A96" s="14">
        <v>64</v>
      </c>
      <c r="B96" s="54" t="s">
        <v>32</v>
      </c>
      <c r="C96" s="97" t="s">
        <v>85</v>
      </c>
      <c r="D96" s="97"/>
      <c r="E96" s="97"/>
      <c r="F96" s="97"/>
      <c r="G96" s="54" t="s">
        <v>87</v>
      </c>
      <c r="H96" s="31">
        <v>15</v>
      </c>
      <c r="I96" s="64">
        <v>0</v>
      </c>
      <c r="J96" s="31">
        <f>H96*AO96</f>
        <v>0</v>
      </c>
      <c r="K96" s="31">
        <f>H96*AP96</f>
        <v>0</v>
      </c>
      <c r="L96" s="31">
        <f>H96*I96</f>
        <v>0</v>
      </c>
      <c r="M96" s="11" t="s">
        <v>303</v>
      </c>
      <c r="Z96" s="8">
        <f>IF(AQ96="5",BJ96,0)</f>
        <v>0</v>
      </c>
      <c r="AB96" s="8">
        <f>IF(AQ96="1",BH96,0)</f>
        <v>0</v>
      </c>
      <c r="AC96" s="8">
        <f>IF(AQ96="1",BI96,0)</f>
        <v>0</v>
      </c>
      <c r="AD96" s="8">
        <f>IF(AQ96="7",BH96,0)</f>
        <v>0</v>
      </c>
      <c r="AE96" s="8">
        <f>IF(AQ96="7",BI96,0)</f>
        <v>0</v>
      </c>
      <c r="AF96" s="8">
        <f>IF(AQ96="2",BH96,0)</f>
        <v>0</v>
      </c>
      <c r="AG96" s="8">
        <f>IF(AQ96="2",BI96,0)</f>
        <v>0</v>
      </c>
      <c r="AH96" s="8">
        <f>IF(AQ96="0",BJ96,0)</f>
        <v>0</v>
      </c>
      <c r="AI96" s="42" t="s">
        <v>253</v>
      </c>
      <c r="AJ96" s="31">
        <f>IF(AN96=0,L96,0)</f>
        <v>0</v>
      </c>
      <c r="AK96" s="31">
        <f>IF(AN96=15,L96,0)</f>
        <v>0</v>
      </c>
      <c r="AL96" s="31">
        <f>IF(AN96=21,L96,0)</f>
        <v>0</v>
      </c>
      <c r="AN96" s="8">
        <v>21</v>
      </c>
      <c r="AO96" s="8">
        <f>I96*0.959391715976331</f>
        <v>0</v>
      </c>
      <c r="AP96" s="8">
        <f>I96*(1-0.959391715976331)</f>
        <v>0</v>
      </c>
      <c r="AQ96" s="33" t="s">
        <v>354</v>
      </c>
      <c r="AV96" s="8">
        <f>AW96+AX96</f>
        <v>0</v>
      </c>
      <c r="AW96" s="8">
        <f>H96*AO96</f>
        <v>0</v>
      </c>
      <c r="AX96" s="8">
        <f>H96*AP96</f>
        <v>0</v>
      </c>
      <c r="AY96" s="12" t="s">
        <v>80</v>
      </c>
      <c r="AZ96" s="12" t="s">
        <v>202</v>
      </c>
      <c r="BA96" s="42" t="s">
        <v>273</v>
      </c>
      <c r="BC96" s="8">
        <f>AW96+AX96</f>
        <v>0</v>
      </c>
      <c r="BD96" s="8">
        <f>I96/(100-BE96)*100</f>
        <v>0</v>
      </c>
      <c r="BE96" s="8">
        <v>0</v>
      </c>
      <c r="BF96" s="8">
        <f>100</f>
        <v>100</v>
      </c>
      <c r="BH96" s="31">
        <f>H96*AO96</f>
        <v>0</v>
      </c>
      <c r="BI96" s="31">
        <f>H96*AP96</f>
        <v>0</v>
      </c>
      <c r="BJ96" s="31">
        <f>H96*I96</f>
        <v>0</v>
      </c>
      <c r="BK96" s="31"/>
      <c r="BL96" s="8">
        <v>765</v>
      </c>
    </row>
    <row r="97" spans="1:64" ht="15" customHeight="1">
      <c r="A97" s="14">
        <v>65</v>
      </c>
      <c r="B97" s="54" t="s">
        <v>110</v>
      </c>
      <c r="C97" s="97" t="s">
        <v>270</v>
      </c>
      <c r="D97" s="97"/>
      <c r="E97" s="97"/>
      <c r="F97" s="97"/>
      <c r="G97" s="54" t="s">
        <v>346</v>
      </c>
      <c r="H97" s="31">
        <v>1677.6</v>
      </c>
      <c r="I97" s="64">
        <v>0</v>
      </c>
      <c r="J97" s="31">
        <f>H97*AO97</f>
        <v>0</v>
      </c>
      <c r="K97" s="31">
        <f>H97*AP97</f>
        <v>0</v>
      </c>
      <c r="L97" s="31">
        <f>H97*I97</f>
        <v>0</v>
      </c>
      <c r="M97" s="11" t="s">
        <v>303</v>
      </c>
      <c r="Z97" s="8">
        <f>IF(AQ97="5",BJ97,0)</f>
        <v>0</v>
      </c>
      <c r="AB97" s="8">
        <f>IF(AQ97="1",BH97,0)</f>
        <v>0</v>
      </c>
      <c r="AC97" s="8">
        <f>IF(AQ97="1",BI97,0)</f>
        <v>0</v>
      </c>
      <c r="AD97" s="8">
        <f>IF(AQ97="7",BH97,0)</f>
        <v>0</v>
      </c>
      <c r="AE97" s="8">
        <f>IF(AQ97="7",BI97,0)</f>
        <v>0</v>
      </c>
      <c r="AF97" s="8">
        <f>IF(AQ97="2",BH97,0)</f>
        <v>0</v>
      </c>
      <c r="AG97" s="8">
        <f>IF(AQ97="2",BI97,0)</f>
        <v>0</v>
      </c>
      <c r="AH97" s="8">
        <f>IF(AQ97="0",BJ97,0)</f>
        <v>0</v>
      </c>
      <c r="AI97" s="42" t="s">
        <v>253</v>
      </c>
      <c r="AJ97" s="31">
        <f>IF(AN97=0,L97,0)</f>
        <v>0</v>
      </c>
      <c r="AK97" s="31">
        <f>IF(AN97=15,L97,0)</f>
        <v>0</v>
      </c>
      <c r="AL97" s="31">
        <f>IF(AN97=21,L97,0)</f>
        <v>0</v>
      </c>
      <c r="AN97" s="8">
        <v>21</v>
      </c>
      <c r="AO97" s="8">
        <f>I97*0.647783400809717</f>
        <v>0</v>
      </c>
      <c r="AP97" s="8">
        <f>I97*(1-0.647783400809717)</f>
        <v>0</v>
      </c>
      <c r="AQ97" s="33" t="s">
        <v>354</v>
      </c>
      <c r="AV97" s="8">
        <f>AW97+AX97</f>
        <v>0</v>
      </c>
      <c r="AW97" s="8">
        <f>H97*AO97</f>
        <v>0</v>
      </c>
      <c r="AX97" s="8">
        <f>H97*AP97</f>
        <v>0</v>
      </c>
      <c r="AY97" s="12" t="s">
        <v>80</v>
      </c>
      <c r="AZ97" s="12" t="s">
        <v>202</v>
      </c>
      <c r="BA97" s="42" t="s">
        <v>273</v>
      </c>
      <c r="BC97" s="8">
        <f>AW97+AX97</f>
        <v>0</v>
      </c>
      <c r="BD97" s="8">
        <f>I97/(100-BE97)*100</f>
        <v>0</v>
      </c>
      <c r="BE97" s="8">
        <v>0</v>
      </c>
      <c r="BF97" s="8">
        <f>101</f>
        <v>101</v>
      </c>
      <c r="BH97" s="31">
        <f>H97*AO97</f>
        <v>0</v>
      </c>
      <c r="BI97" s="31">
        <f>H97*AP97</f>
        <v>0</v>
      </c>
      <c r="BJ97" s="31">
        <f>H97*I97</f>
        <v>0</v>
      </c>
      <c r="BK97" s="31"/>
      <c r="BL97" s="8">
        <v>765</v>
      </c>
    </row>
    <row r="98" spans="1:13" ht="13.5" customHeight="1">
      <c r="A98" s="44"/>
      <c r="B98" s="43" t="s">
        <v>193</v>
      </c>
      <c r="C98" s="98" t="s">
        <v>361</v>
      </c>
      <c r="D98" s="99"/>
      <c r="E98" s="99"/>
      <c r="F98" s="99"/>
      <c r="G98" s="99"/>
      <c r="H98" s="99"/>
      <c r="I98" s="99"/>
      <c r="J98" s="99"/>
      <c r="K98" s="99"/>
      <c r="L98" s="99"/>
      <c r="M98" s="100"/>
    </row>
    <row r="99" spans="1:64" ht="15" customHeight="1">
      <c r="A99" s="48">
        <v>66</v>
      </c>
      <c r="B99" s="49" t="s">
        <v>242</v>
      </c>
      <c r="C99" s="71" t="s">
        <v>221</v>
      </c>
      <c r="D99" s="71"/>
      <c r="E99" s="71"/>
      <c r="F99" s="71"/>
      <c r="G99" s="49" t="s">
        <v>87</v>
      </c>
      <c r="H99" s="8">
        <v>548</v>
      </c>
      <c r="I99" s="65">
        <v>0</v>
      </c>
      <c r="J99" s="8">
        <f>H99*AO99</f>
        <v>0</v>
      </c>
      <c r="K99" s="8">
        <f>H99*AP99</f>
        <v>0</v>
      </c>
      <c r="L99" s="8">
        <f>H99*I99</f>
        <v>0</v>
      </c>
      <c r="M99" s="23" t="s">
        <v>303</v>
      </c>
      <c r="Z99" s="8">
        <f>IF(AQ99="5",BJ99,0)</f>
        <v>0</v>
      </c>
      <c r="AB99" s="8">
        <f>IF(AQ99="1",BH99,0)</f>
        <v>0</v>
      </c>
      <c r="AC99" s="8">
        <f>IF(AQ99="1",BI99,0)</f>
        <v>0</v>
      </c>
      <c r="AD99" s="8">
        <f>IF(AQ99="7",BH99,0)</f>
        <v>0</v>
      </c>
      <c r="AE99" s="8">
        <f>IF(AQ99="7",BI99,0)</f>
        <v>0</v>
      </c>
      <c r="AF99" s="8">
        <f>IF(AQ99="2",BH99,0)</f>
        <v>0</v>
      </c>
      <c r="AG99" s="8">
        <f>IF(AQ99="2",BI99,0)</f>
        <v>0</v>
      </c>
      <c r="AH99" s="8">
        <f>IF(AQ99="0",BJ99,0)</f>
        <v>0</v>
      </c>
      <c r="AI99" s="42" t="s">
        <v>253</v>
      </c>
      <c r="AJ99" s="8">
        <f>IF(AN99=0,L99,0)</f>
        <v>0</v>
      </c>
      <c r="AK99" s="8">
        <f>IF(AN99=15,L99,0)</f>
        <v>0</v>
      </c>
      <c r="AL99" s="8">
        <f>IF(AN99=21,L99,0)</f>
        <v>0</v>
      </c>
      <c r="AN99" s="8">
        <v>21</v>
      </c>
      <c r="AO99" s="8">
        <f>I99*1</f>
        <v>0</v>
      </c>
      <c r="AP99" s="8">
        <f>I99*(1-1)</f>
        <v>0</v>
      </c>
      <c r="AQ99" s="12" t="s">
        <v>354</v>
      </c>
      <c r="AV99" s="8">
        <f>AW99+AX99</f>
        <v>0</v>
      </c>
      <c r="AW99" s="8">
        <f>H99*AO99</f>
        <v>0</v>
      </c>
      <c r="AX99" s="8">
        <f>H99*AP99</f>
        <v>0</v>
      </c>
      <c r="AY99" s="12" t="s">
        <v>80</v>
      </c>
      <c r="AZ99" s="12" t="s">
        <v>202</v>
      </c>
      <c r="BA99" s="42" t="s">
        <v>273</v>
      </c>
      <c r="BC99" s="8">
        <f>AW99+AX99</f>
        <v>0</v>
      </c>
      <c r="BD99" s="8">
        <f>I99/(100-BE99)*100</f>
        <v>0</v>
      </c>
      <c r="BE99" s="8">
        <v>0</v>
      </c>
      <c r="BF99" s="8">
        <f>103</f>
        <v>103</v>
      </c>
      <c r="BH99" s="8">
        <f>H99*AO99</f>
        <v>0</v>
      </c>
      <c r="BI99" s="8">
        <f>H99*AP99</f>
        <v>0</v>
      </c>
      <c r="BJ99" s="8">
        <f>H99*I99</f>
        <v>0</v>
      </c>
      <c r="BK99" s="8"/>
      <c r="BL99" s="8">
        <v>765</v>
      </c>
    </row>
    <row r="100" spans="1:64" ht="15" customHeight="1">
      <c r="A100" s="14">
        <v>67</v>
      </c>
      <c r="B100" s="54" t="s">
        <v>310</v>
      </c>
      <c r="C100" s="97" t="s">
        <v>281</v>
      </c>
      <c r="D100" s="97"/>
      <c r="E100" s="97"/>
      <c r="F100" s="97"/>
      <c r="G100" s="54" t="s">
        <v>300</v>
      </c>
      <c r="H100" s="31">
        <v>98.11</v>
      </c>
      <c r="I100" s="64">
        <v>0</v>
      </c>
      <c r="J100" s="31">
        <f>H100*AO100</f>
        <v>0</v>
      </c>
      <c r="K100" s="31">
        <f>H100*AP100</f>
        <v>0</v>
      </c>
      <c r="L100" s="31">
        <f>H100*I100</f>
        <v>0</v>
      </c>
      <c r="M100" s="11" t="s">
        <v>303</v>
      </c>
      <c r="Z100" s="8">
        <f>IF(AQ100="5",BJ100,0)</f>
        <v>0</v>
      </c>
      <c r="AB100" s="8">
        <f>IF(AQ100="1",BH100,0)</f>
        <v>0</v>
      </c>
      <c r="AC100" s="8">
        <f>IF(AQ100="1",BI100,0)</f>
        <v>0</v>
      </c>
      <c r="AD100" s="8">
        <f>IF(AQ100="7",BH100,0)</f>
        <v>0</v>
      </c>
      <c r="AE100" s="8">
        <f>IF(AQ100="7",BI100,0)</f>
        <v>0</v>
      </c>
      <c r="AF100" s="8">
        <f>IF(AQ100="2",BH100,0)</f>
        <v>0</v>
      </c>
      <c r="AG100" s="8">
        <f>IF(AQ100="2",BI100,0)</f>
        <v>0</v>
      </c>
      <c r="AH100" s="8">
        <f>IF(AQ100="0",BJ100,0)</f>
        <v>0</v>
      </c>
      <c r="AI100" s="42" t="s">
        <v>253</v>
      </c>
      <c r="AJ100" s="31">
        <f>IF(AN100=0,L100,0)</f>
        <v>0</v>
      </c>
      <c r="AK100" s="31">
        <f>IF(AN100=15,L100,0)</f>
        <v>0</v>
      </c>
      <c r="AL100" s="31">
        <f>IF(AN100=21,L100,0)</f>
        <v>0</v>
      </c>
      <c r="AN100" s="8">
        <v>21</v>
      </c>
      <c r="AO100" s="8">
        <f>I100*0.84444928684722</f>
        <v>0</v>
      </c>
      <c r="AP100" s="8">
        <f>I100*(1-0.84444928684722)</f>
        <v>0</v>
      </c>
      <c r="AQ100" s="33" t="s">
        <v>354</v>
      </c>
      <c r="AV100" s="8">
        <f>AW100+AX100</f>
        <v>0</v>
      </c>
      <c r="AW100" s="8">
        <f>H100*AO100</f>
        <v>0</v>
      </c>
      <c r="AX100" s="8">
        <f>H100*AP100</f>
        <v>0</v>
      </c>
      <c r="AY100" s="12" t="s">
        <v>80</v>
      </c>
      <c r="AZ100" s="12" t="s">
        <v>202</v>
      </c>
      <c r="BA100" s="42" t="s">
        <v>273</v>
      </c>
      <c r="BC100" s="8">
        <f>AW100+AX100</f>
        <v>0</v>
      </c>
      <c r="BD100" s="8">
        <f>I100/(100-BE100)*100</f>
        <v>0</v>
      </c>
      <c r="BE100" s="8">
        <v>0</v>
      </c>
      <c r="BF100" s="8">
        <f>104</f>
        <v>104</v>
      </c>
      <c r="BH100" s="31">
        <f>H100*AO100</f>
        <v>0</v>
      </c>
      <c r="BI100" s="31">
        <f>H100*AP100</f>
        <v>0</v>
      </c>
      <c r="BJ100" s="31">
        <f>H100*I100</f>
        <v>0</v>
      </c>
      <c r="BK100" s="31"/>
      <c r="BL100" s="8">
        <v>765</v>
      </c>
    </row>
    <row r="101" spans="1:64" ht="15" customHeight="1">
      <c r="A101" s="14">
        <v>68</v>
      </c>
      <c r="B101" s="54" t="s">
        <v>260</v>
      </c>
      <c r="C101" s="97" t="s">
        <v>277</v>
      </c>
      <c r="D101" s="97"/>
      <c r="E101" s="97"/>
      <c r="F101" s="97"/>
      <c r="G101" s="54" t="s">
        <v>300</v>
      </c>
      <c r="H101" s="31">
        <v>12</v>
      </c>
      <c r="I101" s="64">
        <v>0</v>
      </c>
      <c r="J101" s="31">
        <f>H101*AO101</f>
        <v>0</v>
      </c>
      <c r="K101" s="31">
        <f>H101*AP101</f>
        <v>0</v>
      </c>
      <c r="L101" s="31">
        <f>H101*I101</f>
        <v>0</v>
      </c>
      <c r="M101" s="11" t="s">
        <v>303</v>
      </c>
      <c r="Z101" s="8">
        <f>IF(AQ101="5",BJ101,0)</f>
        <v>0</v>
      </c>
      <c r="AB101" s="8">
        <f>IF(AQ101="1",BH101,0)</f>
        <v>0</v>
      </c>
      <c r="AC101" s="8">
        <f>IF(AQ101="1",BI101,0)</f>
        <v>0</v>
      </c>
      <c r="AD101" s="8">
        <f>IF(AQ101="7",BH101,0)</f>
        <v>0</v>
      </c>
      <c r="AE101" s="8">
        <f>IF(AQ101="7",BI101,0)</f>
        <v>0</v>
      </c>
      <c r="AF101" s="8">
        <f>IF(AQ101="2",BH101,0)</f>
        <v>0</v>
      </c>
      <c r="AG101" s="8">
        <f>IF(AQ101="2",BI101,0)</f>
        <v>0</v>
      </c>
      <c r="AH101" s="8">
        <f>IF(AQ101="0",BJ101,0)</f>
        <v>0</v>
      </c>
      <c r="AI101" s="42" t="s">
        <v>253</v>
      </c>
      <c r="AJ101" s="31">
        <f>IF(AN101=0,L101,0)</f>
        <v>0</v>
      </c>
      <c r="AK101" s="31">
        <f>IF(AN101=15,L101,0)</f>
        <v>0</v>
      </c>
      <c r="AL101" s="31">
        <f>IF(AN101=21,L101,0)</f>
        <v>0</v>
      </c>
      <c r="AN101" s="8">
        <v>21</v>
      </c>
      <c r="AO101" s="8">
        <f>I101*0.803352675693101</f>
        <v>0</v>
      </c>
      <c r="AP101" s="8">
        <f>I101*(1-0.803352675693101)</f>
        <v>0</v>
      </c>
      <c r="AQ101" s="33" t="s">
        <v>354</v>
      </c>
      <c r="AV101" s="8">
        <f>AW101+AX101</f>
        <v>0</v>
      </c>
      <c r="AW101" s="8">
        <f>H101*AO101</f>
        <v>0</v>
      </c>
      <c r="AX101" s="8">
        <f>H101*AP101</f>
        <v>0</v>
      </c>
      <c r="AY101" s="12" t="s">
        <v>80</v>
      </c>
      <c r="AZ101" s="12" t="s">
        <v>202</v>
      </c>
      <c r="BA101" s="42" t="s">
        <v>273</v>
      </c>
      <c r="BC101" s="8">
        <f>AW101+AX101</f>
        <v>0</v>
      </c>
      <c r="BD101" s="8">
        <f>I101/(100-BE101)*100</f>
        <v>0</v>
      </c>
      <c r="BE101" s="8">
        <v>0</v>
      </c>
      <c r="BF101" s="8">
        <f>105</f>
        <v>105</v>
      </c>
      <c r="BH101" s="31">
        <f>H101*AO101</f>
        <v>0</v>
      </c>
      <c r="BI101" s="31">
        <f>H101*AP101</f>
        <v>0</v>
      </c>
      <c r="BJ101" s="31">
        <f>H101*I101</f>
        <v>0</v>
      </c>
      <c r="BK101" s="31"/>
      <c r="BL101" s="8">
        <v>765</v>
      </c>
    </row>
    <row r="102" spans="1:64" ht="15" customHeight="1">
      <c r="A102" s="14">
        <v>69</v>
      </c>
      <c r="B102" s="54" t="s">
        <v>196</v>
      </c>
      <c r="C102" s="97" t="s">
        <v>117</v>
      </c>
      <c r="D102" s="97"/>
      <c r="E102" s="97"/>
      <c r="F102" s="97"/>
      <c r="G102" s="54" t="s">
        <v>300</v>
      </c>
      <c r="H102" s="31">
        <v>34.24</v>
      </c>
      <c r="I102" s="64">
        <v>0</v>
      </c>
      <c r="J102" s="31">
        <f>H102*AO102</f>
        <v>0</v>
      </c>
      <c r="K102" s="31">
        <f>H102*AP102</f>
        <v>0</v>
      </c>
      <c r="L102" s="31">
        <f>H102*I102</f>
        <v>0</v>
      </c>
      <c r="M102" s="11" t="s">
        <v>303</v>
      </c>
      <c r="Z102" s="8">
        <f>IF(AQ102="5",BJ102,0)</f>
        <v>0</v>
      </c>
      <c r="AB102" s="8">
        <f>IF(AQ102="1",BH102,0)</f>
        <v>0</v>
      </c>
      <c r="AC102" s="8">
        <f>IF(AQ102="1",BI102,0)</f>
        <v>0</v>
      </c>
      <c r="AD102" s="8">
        <f>IF(AQ102="7",BH102,0)</f>
        <v>0</v>
      </c>
      <c r="AE102" s="8">
        <f>IF(AQ102="7",BI102,0)</f>
        <v>0</v>
      </c>
      <c r="AF102" s="8">
        <f>IF(AQ102="2",BH102,0)</f>
        <v>0</v>
      </c>
      <c r="AG102" s="8">
        <f>IF(AQ102="2",BI102,0)</f>
        <v>0</v>
      </c>
      <c r="AH102" s="8">
        <f>IF(AQ102="0",BJ102,0)</f>
        <v>0</v>
      </c>
      <c r="AI102" s="42" t="s">
        <v>253</v>
      </c>
      <c r="AJ102" s="31">
        <f>IF(AN102=0,L102,0)</f>
        <v>0</v>
      </c>
      <c r="AK102" s="31">
        <f>IF(AN102=15,L102,0)</f>
        <v>0</v>
      </c>
      <c r="AL102" s="31">
        <f>IF(AN102=21,L102,0)</f>
        <v>0</v>
      </c>
      <c r="AN102" s="8">
        <v>21</v>
      </c>
      <c r="AO102" s="8">
        <f>I102*0.768801439611946</f>
        <v>0</v>
      </c>
      <c r="AP102" s="8">
        <f>I102*(1-0.768801439611946)</f>
        <v>0</v>
      </c>
      <c r="AQ102" s="33" t="s">
        <v>354</v>
      </c>
      <c r="AV102" s="8">
        <f>AW102+AX102</f>
        <v>0</v>
      </c>
      <c r="AW102" s="8">
        <f>H102*AO102</f>
        <v>0</v>
      </c>
      <c r="AX102" s="8">
        <f>H102*AP102</f>
        <v>0</v>
      </c>
      <c r="AY102" s="12" t="s">
        <v>80</v>
      </c>
      <c r="AZ102" s="12" t="s">
        <v>202</v>
      </c>
      <c r="BA102" s="42" t="s">
        <v>273</v>
      </c>
      <c r="BC102" s="8">
        <f>AW102+AX102</f>
        <v>0</v>
      </c>
      <c r="BD102" s="8">
        <f>I102/(100-BE102)*100</f>
        <v>0</v>
      </c>
      <c r="BE102" s="8">
        <v>0</v>
      </c>
      <c r="BF102" s="8">
        <f>106</f>
        <v>106</v>
      </c>
      <c r="BH102" s="31">
        <f>H102*AO102</f>
        <v>0</v>
      </c>
      <c r="BI102" s="31">
        <f>H102*AP102</f>
        <v>0</v>
      </c>
      <c r="BJ102" s="31">
        <f>H102*I102</f>
        <v>0</v>
      </c>
      <c r="BK102" s="31"/>
      <c r="BL102" s="8">
        <v>765</v>
      </c>
    </row>
    <row r="103" spans="1:13" ht="13.5" customHeight="1">
      <c r="A103" s="44"/>
      <c r="B103" s="43" t="s">
        <v>193</v>
      </c>
      <c r="C103" s="98" t="s">
        <v>324</v>
      </c>
      <c r="D103" s="99"/>
      <c r="E103" s="99"/>
      <c r="F103" s="99"/>
      <c r="G103" s="99"/>
      <c r="H103" s="99"/>
      <c r="I103" s="99"/>
      <c r="J103" s="99"/>
      <c r="K103" s="99"/>
      <c r="L103" s="99"/>
      <c r="M103" s="100"/>
    </row>
    <row r="104" spans="1:64" ht="15" customHeight="1">
      <c r="A104" s="14">
        <v>70</v>
      </c>
      <c r="B104" s="54" t="s">
        <v>184</v>
      </c>
      <c r="C104" s="97" t="s">
        <v>81</v>
      </c>
      <c r="D104" s="97"/>
      <c r="E104" s="97"/>
      <c r="F104" s="97"/>
      <c r="G104" s="54" t="s">
        <v>300</v>
      </c>
      <c r="H104" s="31">
        <v>12</v>
      </c>
      <c r="I104" s="64">
        <v>0</v>
      </c>
      <c r="J104" s="31">
        <f>H104*AO104</f>
        <v>0</v>
      </c>
      <c r="K104" s="31">
        <f>H104*AP104</f>
        <v>0</v>
      </c>
      <c r="L104" s="31">
        <f>H104*I104</f>
        <v>0</v>
      </c>
      <c r="M104" s="11" t="s">
        <v>303</v>
      </c>
      <c r="Z104" s="8">
        <f>IF(AQ104="5",BJ104,0)</f>
        <v>0</v>
      </c>
      <c r="AB104" s="8">
        <f>IF(AQ104="1",BH104,0)</f>
        <v>0</v>
      </c>
      <c r="AC104" s="8">
        <f>IF(AQ104="1",BI104,0)</f>
        <v>0</v>
      </c>
      <c r="AD104" s="8">
        <f>IF(AQ104="7",BH104,0)</f>
        <v>0</v>
      </c>
      <c r="AE104" s="8">
        <f>IF(AQ104="7",BI104,0)</f>
        <v>0</v>
      </c>
      <c r="AF104" s="8">
        <f>IF(AQ104="2",BH104,0)</f>
        <v>0</v>
      </c>
      <c r="AG104" s="8">
        <f>IF(AQ104="2",BI104,0)</f>
        <v>0</v>
      </c>
      <c r="AH104" s="8">
        <f>IF(AQ104="0",BJ104,0)</f>
        <v>0</v>
      </c>
      <c r="AI104" s="42" t="s">
        <v>253</v>
      </c>
      <c r="AJ104" s="31">
        <f>IF(AN104=0,L104,0)</f>
        <v>0</v>
      </c>
      <c r="AK104" s="31">
        <f>IF(AN104=15,L104,0)</f>
        <v>0</v>
      </c>
      <c r="AL104" s="31">
        <f>IF(AN104=21,L104,0)</f>
        <v>0</v>
      </c>
      <c r="AN104" s="8">
        <v>21</v>
      </c>
      <c r="AO104" s="8">
        <f>I104*0.34814224466408</f>
        <v>0</v>
      </c>
      <c r="AP104" s="8">
        <f>I104*(1-0.34814224466408)</f>
        <v>0</v>
      </c>
      <c r="AQ104" s="33" t="s">
        <v>354</v>
      </c>
      <c r="AV104" s="8">
        <f>AW104+AX104</f>
        <v>0</v>
      </c>
      <c r="AW104" s="8">
        <f>H104*AO104</f>
        <v>0</v>
      </c>
      <c r="AX104" s="8">
        <f>H104*AP104</f>
        <v>0</v>
      </c>
      <c r="AY104" s="12" t="s">
        <v>80</v>
      </c>
      <c r="AZ104" s="12" t="s">
        <v>202</v>
      </c>
      <c r="BA104" s="42" t="s">
        <v>273</v>
      </c>
      <c r="BC104" s="8">
        <f>AW104+AX104</f>
        <v>0</v>
      </c>
      <c r="BD104" s="8">
        <f>I104/(100-BE104)*100</f>
        <v>0</v>
      </c>
      <c r="BE104" s="8">
        <v>0</v>
      </c>
      <c r="BF104" s="8">
        <f>108</f>
        <v>108</v>
      </c>
      <c r="BH104" s="31">
        <f>H104*AO104</f>
        <v>0</v>
      </c>
      <c r="BI104" s="31">
        <f>H104*AP104</f>
        <v>0</v>
      </c>
      <c r="BJ104" s="31">
        <f>H104*I104</f>
        <v>0</v>
      </c>
      <c r="BK104" s="31"/>
      <c r="BL104" s="8">
        <v>765</v>
      </c>
    </row>
    <row r="105" spans="1:13" ht="13.5" customHeight="1">
      <c r="A105" s="44"/>
      <c r="B105" s="43" t="s">
        <v>193</v>
      </c>
      <c r="C105" s="98" t="s">
        <v>375</v>
      </c>
      <c r="D105" s="99"/>
      <c r="E105" s="99"/>
      <c r="F105" s="99"/>
      <c r="G105" s="99"/>
      <c r="H105" s="99"/>
      <c r="I105" s="99"/>
      <c r="J105" s="99"/>
      <c r="K105" s="99"/>
      <c r="L105" s="99"/>
      <c r="M105" s="100"/>
    </row>
    <row r="106" spans="1:64" ht="15" customHeight="1">
      <c r="A106" s="14">
        <v>71</v>
      </c>
      <c r="B106" s="54" t="s">
        <v>93</v>
      </c>
      <c r="C106" s="97" t="s">
        <v>39</v>
      </c>
      <c r="D106" s="97"/>
      <c r="E106" s="97"/>
      <c r="F106" s="97"/>
      <c r="G106" s="54" t="s">
        <v>87</v>
      </c>
      <c r="H106" s="31">
        <v>3020</v>
      </c>
      <c r="I106" s="64">
        <v>0</v>
      </c>
      <c r="J106" s="31">
        <f>H106*AO106</f>
        <v>0</v>
      </c>
      <c r="K106" s="31">
        <f>H106*AP106</f>
        <v>0</v>
      </c>
      <c r="L106" s="31">
        <f>H106*I106</f>
        <v>0</v>
      </c>
      <c r="M106" s="11" t="s">
        <v>303</v>
      </c>
      <c r="Z106" s="8">
        <f>IF(AQ106="5",BJ106,0)</f>
        <v>0</v>
      </c>
      <c r="AB106" s="8">
        <f>IF(AQ106="1",BH106,0)</f>
        <v>0</v>
      </c>
      <c r="AC106" s="8">
        <f>IF(AQ106="1",BI106,0)</f>
        <v>0</v>
      </c>
      <c r="AD106" s="8">
        <f>IF(AQ106="7",BH106,0)</f>
        <v>0</v>
      </c>
      <c r="AE106" s="8">
        <f>IF(AQ106="7",BI106,0)</f>
        <v>0</v>
      </c>
      <c r="AF106" s="8">
        <f>IF(AQ106="2",BH106,0)</f>
        <v>0</v>
      </c>
      <c r="AG106" s="8">
        <f>IF(AQ106="2",BI106,0)</f>
        <v>0</v>
      </c>
      <c r="AH106" s="8">
        <f>IF(AQ106="0",BJ106,0)</f>
        <v>0</v>
      </c>
      <c r="AI106" s="42" t="s">
        <v>253</v>
      </c>
      <c r="AJ106" s="31">
        <f>IF(AN106=0,L106,0)</f>
        <v>0</v>
      </c>
      <c r="AK106" s="31">
        <f>IF(AN106=15,L106,0)</f>
        <v>0</v>
      </c>
      <c r="AL106" s="31">
        <f>IF(AN106=21,L106,0)</f>
        <v>0</v>
      </c>
      <c r="AN106" s="8">
        <v>21</v>
      </c>
      <c r="AO106" s="8">
        <f>I106*0.518885448916409</f>
        <v>0</v>
      </c>
      <c r="AP106" s="8">
        <f>I106*(1-0.518885448916409)</f>
        <v>0</v>
      </c>
      <c r="AQ106" s="33" t="s">
        <v>354</v>
      </c>
      <c r="AV106" s="8">
        <f>AW106+AX106</f>
        <v>0</v>
      </c>
      <c r="AW106" s="8">
        <f>H106*AO106</f>
        <v>0</v>
      </c>
      <c r="AX106" s="8">
        <f>H106*AP106</f>
        <v>0</v>
      </c>
      <c r="AY106" s="12" t="s">
        <v>80</v>
      </c>
      <c r="AZ106" s="12" t="s">
        <v>202</v>
      </c>
      <c r="BA106" s="42" t="s">
        <v>273</v>
      </c>
      <c r="BC106" s="8">
        <f>AW106+AX106</f>
        <v>0</v>
      </c>
      <c r="BD106" s="8">
        <f>I106/(100-BE106)*100</f>
        <v>0</v>
      </c>
      <c r="BE106" s="8">
        <v>0</v>
      </c>
      <c r="BF106" s="8">
        <f>110</f>
        <v>110</v>
      </c>
      <c r="BH106" s="31">
        <f>H106*AO106</f>
        <v>0</v>
      </c>
      <c r="BI106" s="31">
        <f>H106*AP106</f>
        <v>0</v>
      </c>
      <c r="BJ106" s="31">
        <f>H106*I106</f>
        <v>0</v>
      </c>
      <c r="BK106" s="31"/>
      <c r="BL106" s="8">
        <v>765</v>
      </c>
    </row>
    <row r="107" spans="1:64" ht="15" customHeight="1">
      <c r="A107" s="14">
        <v>72</v>
      </c>
      <c r="B107" s="54" t="s">
        <v>267</v>
      </c>
      <c r="C107" s="97" t="s">
        <v>46</v>
      </c>
      <c r="D107" s="97"/>
      <c r="E107" s="97"/>
      <c r="F107" s="97"/>
      <c r="G107" s="54" t="s">
        <v>300</v>
      </c>
      <c r="H107" s="31">
        <v>197.22</v>
      </c>
      <c r="I107" s="64">
        <v>0</v>
      </c>
      <c r="J107" s="31">
        <f>H107*AO107</f>
        <v>0</v>
      </c>
      <c r="K107" s="31">
        <f>H107*AP107</f>
        <v>0</v>
      </c>
      <c r="L107" s="31">
        <f>H107*I107</f>
        <v>0</v>
      </c>
      <c r="M107" s="11" t="s">
        <v>303</v>
      </c>
      <c r="Z107" s="8">
        <f>IF(AQ107="5",BJ107,0)</f>
        <v>0</v>
      </c>
      <c r="AB107" s="8">
        <f>IF(AQ107="1",BH107,0)</f>
        <v>0</v>
      </c>
      <c r="AC107" s="8">
        <f>IF(AQ107="1",BI107,0)</f>
        <v>0</v>
      </c>
      <c r="AD107" s="8">
        <f>IF(AQ107="7",BH107,0)</f>
        <v>0</v>
      </c>
      <c r="AE107" s="8">
        <f>IF(AQ107="7",BI107,0)</f>
        <v>0</v>
      </c>
      <c r="AF107" s="8">
        <f>IF(AQ107="2",BH107,0)</f>
        <v>0</v>
      </c>
      <c r="AG107" s="8">
        <f>IF(AQ107="2",BI107,0)</f>
        <v>0</v>
      </c>
      <c r="AH107" s="8">
        <f>IF(AQ107="0",BJ107,0)</f>
        <v>0</v>
      </c>
      <c r="AI107" s="42" t="s">
        <v>253</v>
      </c>
      <c r="AJ107" s="31">
        <f>IF(AN107=0,L107,0)</f>
        <v>0</v>
      </c>
      <c r="AK107" s="31">
        <f>IF(AN107=15,L107,0)</f>
        <v>0</v>
      </c>
      <c r="AL107" s="31">
        <f>IF(AN107=21,L107,0)</f>
        <v>0</v>
      </c>
      <c r="AN107" s="8">
        <v>21</v>
      </c>
      <c r="AO107" s="8">
        <f>I107*0.531716209331646</f>
        <v>0</v>
      </c>
      <c r="AP107" s="8">
        <f>I107*(1-0.531716209331646)</f>
        <v>0</v>
      </c>
      <c r="AQ107" s="33" t="s">
        <v>354</v>
      </c>
      <c r="AV107" s="8">
        <f>AW107+AX107</f>
        <v>0</v>
      </c>
      <c r="AW107" s="8">
        <f>H107*AO107</f>
        <v>0</v>
      </c>
      <c r="AX107" s="8">
        <f>H107*AP107</f>
        <v>0</v>
      </c>
      <c r="AY107" s="12" t="s">
        <v>80</v>
      </c>
      <c r="AZ107" s="12" t="s">
        <v>202</v>
      </c>
      <c r="BA107" s="42" t="s">
        <v>273</v>
      </c>
      <c r="BC107" s="8">
        <f>AW107+AX107</f>
        <v>0</v>
      </c>
      <c r="BD107" s="8">
        <f>I107/(100-BE107)*100</f>
        <v>0</v>
      </c>
      <c r="BE107" s="8">
        <v>0</v>
      </c>
      <c r="BF107" s="8">
        <f>111</f>
        <v>111</v>
      </c>
      <c r="BH107" s="31">
        <f>H107*AO107</f>
        <v>0</v>
      </c>
      <c r="BI107" s="31">
        <f>H107*AP107</f>
        <v>0</v>
      </c>
      <c r="BJ107" s="31">
        <f>H107*I107</f>
        <v>0</v>
      </c>
      <c r="BK107" s="31"/>
      <c r="BL107" s="8">
        <v>765</v>
      </c>
    </row>
    <row r="108" spans="1:64" ht="15" customHeight="1">
      <c r="A108" s="14">
        <v>73</v>
      </c>
      <c r="B108" s="54" t="s">
        <v>129</v>
      </c>
      <c r="C108" s="97" t="s">
        <v>108</v>
      </c>
      <c r="D108" s="97"/>
      <c r="E108" s="97"/>
      <c r="F108" s="97"/>
      <c r="G108" s="54" t="s">
        <v>176</v>
      </c>
      <c r="H108" s="31">
        <v>125.52431</v>
      </c>
      <c r="I108" s="64">
        <v>0</v>
      </c>
      <c r="J108" s="31">
        <f>H108*AO108</f>
        <v>0</v>
      </c>
      <c r="K108" s="31">
        <f>H108*AP108</f>
        <v>0</v>
      </c>
      <c r="L108" s="31">
        <f>H108*I108</f>
        <v>0</v>
      </c>
      <c r="M108" s="11" t="s">
        <v>303</v>
      </c>
      <c r="Z108" s="8">
        <f>IF(AQ108="5",BJ108,0)</f>
        <v>0</v>
      </c>
      <c r="AB108" s="8">
        <f>IF(AQ108="1",BH108,0)</f>
        <v>0</v>
      </c>
      <c r="AC108" s="8">
        <f>IF(AQ108="1",BI108,0)</f>
        <v>0</v>
      </c>
      <c r="AD108" s="8">
        <f>IF(AQ108="7",BH108,0)</f>
        <v>0</v>
      </c>
      <c r="AE108" s="8">
        <f>IF(AQ108="7",BI108,0)</f>
        <v>0</v>
      </c>
      <c r="AF108" s="8">
        <f>IF(AQ108="2",BH108,0)</f>
        <v>0</v>
      </c>
      <c r="AG108" s="8">
        <f>IF(AQ108="2",BI108,0)</f>
        <v>0</v>
      </c>
      <c r="AH108" s="8">
        <f>IF(AQ108="0",BJ108,0)</f>
        <v>0</v>
      </c>
      <c r="AI108" s="42" t="s">
        <v>253</v>
      </c>
      <c r="AJ108" s="31">
        <f>IF(AN108=0,L108,0)</f>
        <v>0</v>
      </c>
      <c r="AK108" s="31">
        <f>IF(AN108=15,L108,0)</f>
        <v>0</v>
      </c>
      <c r="AL108" s="31">
        <f>IF(AN108=21,L108,0)</f>
        <v>0</v>
      </c>
      <c r="AN108" s="8">
        <v>21</v>
      </c>
      <c r="AO108" s="8">
        <f>I108*0</f>
        <v>0</v>
      </c>
      <c r="AP108" s="8">
        <f>I108*(1-0)</f>
        <v>0</v>
      </c>
      <c r="AQ108" s="33" t="s">
        <v>201</v>
      </c>
      <c r="AV108" s="8">
        <f>AW108+AX108</f>
        <v>0</v>
      </c>
      <c r="AW108" s="8">
        <f>H108*AO108</f>
        <v>0</v>
      </c>
      <c r="AX108" s="8">
        <f>H108*AP108</f>
        <v>0</v>
      </c>
      <c r="AY108" s="12" t="s">
        <v>80</v>
      </c>
      <c r="AZ108" s="12" t="s">
        <v>202</v>
      </c>
      <c r="BA108" s="42" t="s">
        <v>273</v>
      </c>
      <c r="BC108" s="8">
        <f>AW108+AX108</f>
        <v>0</v>
      </c>
      <c r="BD108" s="8">
        <f>I108/(100-BE108)*100</f>
        <v>0</v>
      </c>
      <c r="BE108" s="8">
        <v>0</v>
      </c>
      <c r="BF108" s="8">
        <f>112</f>
        <v>112</v>
      </c>
      <c r="BH108" s="31">
        <f>H108*AO108</f>
        <v>0</v>
      </c>
      <c r="BI108" s="31">
        <f>H108*AP108</f>
        <v>0</v>
      </c>
      <c r="BJ108" s="31">
        <f>H108*I108</f>
        <v>0</v>
      </c>
      <c r="BK108" s="31"/>
      <c r="BL108" s="8">
        <v>765</v>
      </c>
    </row>
    <row r="109" spans="1:47" ht="15" customHeight="1">
      <c r="A109" s="47" t="s">
        <v>253</v>
      </c>
      <c r="B109" s="53" t="s">
        <v>174</v>
      </c>
      <c r="C109" s="96" t="s">
        <v>112</v>
      </c>
      <c r="D109" s="96"/>
      <c r="E109" s="96"/>
      <c r="F109" s="96"/>
      <c r="G109" s="32" t="s">
        <v>332</v>
      </c>
      <c r="H109" s="32" t="s">
        <v>332</v>
      </c>
      <c r="I109" s="32" t="s">
        <v>332</v>
      </c>
      <c r="J109" s="36">
        <f>SUM(J110:J113)</f>
        <v>0</v>
      </c>
      <c r="K109" s="36">
        <f>SUM(K110:K113)</f>
        <v>0</v>
      </c>
      <c r="L109" s="36">
        <f>SUM(L110:L113)</f>
        <v>0</v>
      </c>
      <c r="M109" s="29" t="s">
        <v>253</v>
      </c>
      <c r="AI109" s="42" t="s">
        <v>253</v>
      </c>
      <c r="AS109" s="36">
        <f>SUM(AJ110:AJ113)</f>
        <v>0</v>
      </c>
      <c r="AT109" s="36">
        <f>SUM(AK110:AK113)</f>
        <v>0</v>
      </c>
      <c r="AU109" s="36">
        <f>SUM(AL110:AL113)</f>
        <v>0</v>
      </c>
    </row>
    <row r="110" spans="1:64" ht="15" customHeight="1">
      <c r="A110" s="14">
        <v>74</v>
      </c>
      <c r="B110" s="54" t="s">
        <v>8</v>
      </c>
      <c r="C110" s="97" t="s">
        <v>294</v>
      </c>
      <c r="D110" s="97"/>
      <c r="E110" s="97"/>
      <c r="F110" s="97"/>
      <c r="G110" s="54" t="s">
        <v>346</v>
      </c>
      <c r="H110" s="31">
        <v>1688.2</v>
      </c>
      <c r="I110" s="64">
        <v>0</v>
      </c>
      <c r="J110" s="31">
        <f>H110*AO110</f>
        <v>0</v>
      </c>
      <c r="K110" s="31">
        <f>H110*AP110</f>
        <v>0</v>
      </c>
      <c r="L110" s="31">
        <f>H110*I110</f>
        <v>0</v>
      </c>
      <c r="M110" s="11" t="s">
        <v>303</v>
      </c>
      <c r="Z110" s="8">
        <f>IF(AQ110="5",BJ110,0)</f>
        <v>0</v>
      </c>
      <c r="AB110" s="8">
        <f>IF(AQ110="1",BH110,0)</f>
        <v>0</v>
      </c>
      <c r="AC110" s="8">
        <f>IF(AQ110="1",BI110,0)</f>
        <v>0</v>
      </c>
      <c r="AD110" s="8">
        <f>IF(AQ110="7",BH110,0)</f>
        <v>0</v>
      </c>
      <c r="AE110" s="8">
        <f>IF(AQ110="7",BI110,0)</f>
        <v>0</v>
      </c>
      <c r="AF110" s="8">
        <f>IF(AQ110="2",BH110,0)</f>
        <v>0</v>
      </c>
      <c r="AG110" s="8">
        <f>IF(AQ110="2",BI110,0)</f>
        <v>0</v>
      </c>
      <c r="AH110" s="8">
        <f>IF(AQ110="0",BJ110,0)</f>
        <v>0</v>
      </c>
      <c r="AI110" s="42" t="s">
        <v>253</v>
      </c>
      <c r="AJ110" s="31">
        <f>IF(AN110=0,L110,0)</f>
        <v>0</v>
      </c>
      <c r="AK110" s="31">
        <f>IF(AN110=15,L110,0)</f>
        <v>0</v>
      </c>
      <c r="AL110" s="31">
        <f>IF(AN110=21,L110,0)</f>
        <v>0</v>
      </c>
      <c r="AN110" s="8">
        <v>21</v>
      </c>
      <c r="AO110" s="8">
        <f>I110*0</f>
        <v>0</v>
      </c>
      <c r="AP110" s="8">
        <f>I110*(1-0)</f>
        <v>0</v>
      </c>
      <c r="AQ110" s="33" t="s">
        <v>354</v>
      </c>
      <c r="AV110" s="8">
        <f>AW110+AX110</f>
        <v>0</v>
      </c>
      <c r="AW110" s="8">
        <f>H110*AO110</f>
        <v>0</v>
      </c>
      <c r="AX110" s="8">
        <f>H110*AP110</f>
        <v>0</v>
      </c>
      <c r="AY110" s="12" t="s">
        <v>107</v>
      </c>
      <c r="AZ110" s="12" t="s">
        <v>202</v>
      </c>
      <c r="BA110" s="42" t="s">
        <v>273</v>
      </c>
      <c r="BC110" s="8">
        <f>AW110+AX110</f>
        <v>0</v>
      </c>
      <c r="BD110" s="8">
        <f>I110/(100-BE110)*100</f>
        <v>0</v>
      </c>
      <c r="BE110" s="8">
        <v>0</v>
      </c>
      <c r="BF110" s="8">
        <f>114</f>
        <v>114</v>
      </c>
      <c r="BH110" s="31">
        <f>H110*AO110</f>
        <v>0</v>
      </c>
      <c r="BI110" s="31">
        <f>H110*AP110</f>
        <v>0</v>
      </c>
      <c r="BJ110" s="31">
        <f>H110*I110</f>
        <v>0</v>
      </c>
      <c r="BK110" s="31"/>
      <c r="BL110" s="8">
        <v>767</v>
      </c>
    </row>
    <row r="111" spans="1:64" ht="15" customHeight="1">
      <c r="A111" s="14">
        <v>75</v>
      </c>
      <c r="B111" s="54" t="s">
        <v>50</v>
      </c>
      <c r="C111" s="97" t="s">
        <v>363</v>
      </c>
      <c r="D111" s="97"/>
      <c r="E111" s="97"/>
      <c r="F111" s="97"/>
      <c r="G111" s="54" t="s">
        <v>346</v>
      </c>
      <c r="H111" s="31">
        <v>3.36</v>
      </c>
      <c r="I111" s="64">
        <v>0</v>
      </c>
      <c r="J111" s="31">
        <f>H111*AO111</f>
        <v>0</v>
      </c>
      <c r="K111" s="31">
        <f>H111*AP111</f>
        <v>0</v>
      </c>
      <c r="L111" s="31">
        <f>H111*I111</f>
        <v>0</v>
      </c>
      <c r="M111" s="11" t="s">
        <v>303</v>
      </c>
      <c r="Z111" s="8">
        <f>IF(AQ111="5",BJ111,0)</f>
        <v>0</v>
      </c>
      <c r="AB111" s="8">
        <f>IF(AQ111="1",BH111,0)</f>
        <v>0</v>
      </c>
      <c r="AC111" s="8">
        <f>IF(AQ111="1",BI111,0)</f>
        <v>0</v>
      </c>
      <c r="AD111" s="8">
        <f>IF(AQ111="7",BH111,0)</f>
        <v>0</v>
      </c>
      <c r="AE111" s="8">
        <f>IF(AQ111="7",BI111,0)</f>
        <v>0</v>
      </c>
      <c r="AF111" s="8">
        <f>IF(AQ111="2",BH111,0)</f>
        <v>0</v>
      </c>
      <c r="AG111" s="8">
        <f>IF(AQ111="2",BI111,0)</f>
        <v>0</v>
      </c>
      <c r="AH111" s="8">
        <f>IF(AQ111="0",BJ111,0)</f>
        <v>0</v>
      </c>
      <c r="AI111" s="42" t="s">
        <v>253</v>
      </c>
      <c r="AJ111" s="31">
        <f>IF(AN111=0,L111,0)</f>
        <v>0</v>
      </c>
      <c r="AK111" s="31">
        <f>IF(AN111=15,L111,0)</f>
        <v>0</v>
      </c>
      <c r="AL111" s="31">
        <f>IF(AN111=21,L111,0)</f>
        <v>0</v>
      </c>
      <c r="AN111" s="8">
        <v>21</v>
      </c>
      <c r="AO111" s="8">
        <f>I111*0</f>
        <v>0</v>
      </c>
      <c r="AP111" s="8">
        <f>I111*(1-0)</f>
        <v>0</v>
      </c>
      <c r="AQ111" s="33" t="s">
        <v>354</v>
      </c>
      <c r="AV111" s="8">
        <f>AW111+AX111</f>
        <v>0</v>
      </c>
      <c r="AW111" s="8">
        <f>H111*AO111</f>
        <v>0</v>
      </c>
      <c r="AX111" s="8">
        <f>H111*AP111</f>
        <v>0</v>
      </c>
      <c r="AY111" s="12" t="s">
        <v>107</v>
      </c>
      <c r="AZ111" s="12" t="s">
        <v>202</v>
      </c>
      <c r="BA111" s="42" t="s">
        <v>273</v>
      </c>
      <c r="BC111" s="8">
        <f>AW111+AX111</f>
        <v>0</v>
      </c>
      <c r="BD111" s="8">
        <f>I111/(100-BE111)*100</f>
        <v>0</v>
      </c>
      <c r="BE111" s="8">
        <v>0</v>
      </c>
      <c r="BF111" s="8">
        <f>115</f>
        <v>115</v>
      </c>
      <c r="BH111" s="31">
        <f>H111*AO111</f>
        <v>0</v>
      </c>
      <c r="BI111" s="31">
        <f>H111*AP111</f>
        <v>0</v>
      </c>
      <c r="BJ111" s="31">
        <f>H111*I111</f>
        <v>0</v>
      </c>
      <c r="BK111" s="31"/>
      <c r="BL111" s="8">
        <v>767</v>
      </c>
    </row>
    <row r="112" spans="1:13" ht="13.5" customHeight="1">
      <c r="A112" s="44"/>
      <c r="B112" s="43" t="s">
        <v>29</v>
      </c>
      <c r="C112" s="98" t="s">
        <v>287</v>
      </c>
      <c r="D112" s="99"/>
      <c r="E112" s="99"/>
      <c r="F112" s="99"/>
      <c r="G112" s="99"/>
      <c r="H112" s="99"/>
      <c r="I112" s="99"/>
      <c r="J112" s="99"/>
      <c r="K112" s="99"/>
      <c r="L112" s="99"/>
      <c r="M112" s="100"/>
    </row>
    <row r="113" spans="1:64" ht="15" customHeight="1">
      <c r="A113" s="14">
        <v>76</v>
      </c>
      <c r="B113" s="54" t="s">
        <v>67</v>
      </c>
      <c r="C113" s="97" t="s">
        <v>188</v>
      </c>
      <c r="D113" s="97"/>
      <c r="E113" s="97"/>
      <c r="F113" s="97"/>
      <c r="G113" s="54" t="s">
        <v>87</v>
      </c>
      <c r="H113" s="31">
        <v>56</v>
      </c>
      <c r="I113" s="64">
        <v>0</v>
      </c>
      <c r="J113" s="31">
        <f>H113*AO113</f>
        <v>0</v>
      </c>
      <c r="K113" s="31">
        <f>H113*AP113</f>
        <v>0</v>
      </c>
      <c r="L113" s="31">
        <f>H113*I113</f>
        <v>0</v>
      </c>
      <c r="M113" s="11" t="s">
        <v>303</v>
      </c>
      <c r="Z113" s="8">
        <f>IF(AQ113="5",BJ113,0)</f>
        <v>0</v>
      </c>
      <c r="AB113" s="8">
        <f>IF(AQ113="1",BH113,0)</f>
        <v>0</v>
      </c>
      <c r="AC113" s="8">
        <f>IF(AQ113="1",BI113,0)</f>
        <v>0</v>
      </c>
      <c r="AD113" s="8">
        <f>IF(AQ113="7",BH113,0)</f>
        <v>0</v>
      </c>
      <c r="AE113" s="8">
        <f>IF(AQ113="7",BI113,0)</f>
        <v>0</v>
      </c>
      <c r="AF113" s="8">
        <f>IF(AQ113="2",BH113,0)</f>
        <v>0</v>
      </c>
      <c r="AG113" s="8">
        <f>IF(AQ113="2",BI113,0)</f>
        <v>0</v>
      </c>
      <c r="AH113" s="8">
        <f>IF(AQ113="0",BJ113,0)</f>
        <v>0</v>
      </c>
      <c r="AI113" s="42" t="s">
        <v>253</v>
      </c>
      <c r="AJ113" s="31">
        <f>IF(AN113=0,L113,0)</f>
        <v>0</v>
      </c>
      <c r="AK113" s="31">
        <f>IF(AN113=15,L113,0)</f>
        <v>0</v>
      </c>
      <c r="AL113" s="31">
        <f>IF(AN113=21,L113,0)</f>
        <v>0</v>
      </c>
      <c r="AN113" s="8">
        <v>21</v>
      </c>
      <c r="AO113" s="8">
        <f>I113*0.588895805142084</f>
        <v>0</v>
      </c>
      <c r="AP113" s="8">
        <f>I113*(1-0.588895805142084)</f>
        <v>0</v>
      </c>
      <c r="AQ113" s="33" t="s">
        <v>354</v>
      </c>
      <c r="AV113" s="8">
        <f>AW113+AX113</f>
        <v>0</v>
      </c>
      <c r="AW113" s="8">
        <f>H113*AO113</f>
        <v>0</v>
      </c>
      <c r="AX113" s="8">
        <f>H113*AP113</f>
        <v>0</v>
      </c>
      <c r="AY113" s="12" t="s">
        <v>107</v>
      </c>
      <c r="AZ113" s="12" t="s">
        <v>202</v>
      </c>
      <c r="BA113" s="42" t="s">
        <v>273</v>
      </c>
      <c r="BC113" s="8">
        <f>AW113+AX113</f>
        <v>0</v>
      </c>
      <c r="BD113" s="8">
        <f>I113/(100-BE113)*100</f>
        <v>0</v>
      </c>
      <c r="BE113" s="8">
        <v>0</v>
      </c>
      <c r="BF113" s="8">
        <f>117</f>
        <v>117</v>
      </c>
      <c r="BH113" s="31">
        <f>H113*AO113</f>
        <v>0</v>
      </c>
      <c r="BI113" s="31">
        <f>H113*AP113</f>
        <v>0</v>
      </c>
      <c r="BJ113" s="31">
        <f>H113*I113</f>
        <v>0</v>
      </c>
      <c r="BK113" s="31"/>
      <c r="BL113" s="8">
        <v>767</v>
      </c>
    </row>
    <row r="114" spans="1:13" ht="13.5" customHeight="1">
      <c r="A114" s="44"/>
      <c r="B114" s="43" t="s">
        <v>29</v>
      </c>
      <c r="C114" s="98" t="s">
        <v>135</v>
      </c>
      <c r="D114" s="99"/>
      <c r="E114" s="99"/>
      <c r="F114" s="99"/>
      <c r="G114" s="99"/>
      <c r="H114" s="99"/>
      <c r="I114" s="99"/>
      <c r="J114" s="99"/>
      <c r="K114" s="99"/>
      <c r="L114" s="99"/>
      <c r="M114" s="100"/>
    </row>
    <row r="115" spans="1:47" ht="15" customHeight="1">
      <c r="A115" s="47" t="s">
        <v>253</v>
      </c>
      <c r="B115" s="53" t="s">
        <v>212</v>
      </c>
      <c r="C115" s="96" t="s">
        <v>288</v>
      </c>
      <c r="D115" s="96"/>
      <c r="E115" s="96"/>
      <c r="F115" s="96"/>
      <c r="G115" s="32" t="s">
        <v>332</v>
      </c>
      <c r="H115" s="32" t="s">
        <v>332</v>
      </c>
      <c r="I115" s="32" t="s">
        <v>332</v>
      </c>
      <c r="J115" s="36">
        <f>SUM(J116:J119)</f>
        <v>0</v>
      </c>
      <c r="K115" s="36">
        <f>SUM(K116:K119)</f>
        <v>0</v>
      </c>
      <c r="L115" s="36">
        <f>SUM(L116:L119)</f>
        <v>0</v>
      </c>
      <c r="M115" s="29" t="s">
        <v>253</v>
      </c>
      <c r="AI115" s="42" t="s">
        <v>253</v>
      </c>
      <c r="AS115" s="36">
        <f>SUM(AJ116:AJ119)</f>
        <v>0</v>
      </c>
      <c r="AT115" s="36">
        <f>SUM(AK116:AK119)</f>
        <v>0</v>
      </c>
      <c r="AU115" s="36">
        <f>SUM(AL116:AL119)</f>
        <v>0</v>
      </c>
    </row>
    <row r="116" spans="1:64" ht="15" customHeight="1">
      <c r="A116" s="14">
        <v>77</v>
      </c>
      <c r="B116" s="54" t="s">
        <v>9</v>
      </c>
      <c r="C116" s="97" t="s">
        <v>192</v>
      </c>
      <c r="D116" s="97"/>
      <c r="E116" s="97"/>
      <c r="F116" s="97"/>
      <c r="G116" s="54" t="s">
        <v>346</v>
      </c>
      <c r="H116" s="31">
        <v>1499.2504</v>
      </c>
      <c r="I116" s="64">
        <v>0</v>
      </c>
      <c r="J116" s="31">
        <f>H116*AO116</f>
        <v>0</v>
      </c>
      <c r="K116" s="31">
        <f>H116*AP116</f>
        <v>0</v>
      </c>
      <c r="L116" s="31">
        <f>H116*I116</f>
        <v>0</v>
      </c>
      <c r="M116" s="11" t="s">
        <v>303</v>
      </c>
      <c r="Z116" s="8">
        <f>IF(AQ116="5",BJ116,0)</f>
        <v>0</v>
      </c>
      <c r="AB116" s="8">
        <f>IF(AQ116="1",BH116,0)</f>
        <v>0</v>
      </c>
      <c r="AC116" s="8">
        <f>IF(AQ116="1",BI116,0)</f>
        <v>0</v>
      </c>
      <c r="AD116" s="8">
        <f>IF(AQ116="7",BH116,0)</f>
        <v>0</v>
      </c>
      <c r="AE116" s="8">
        <f>IF(AQ116="7",BI116,0)</f>
        <v>0</v>
      </c>
      <c r="AF116" s="8">
        <f>IF(AQ116="2",BH116,0)</f>
        <v>0</v>
      </c>
      <c r="AG116" s="8">
        <f>IF(AQ116="2",BI116,0)</f>
        <v>0</v>
      </c>
      <c r="AH116" s="8">
        <f>IF(AQ116="0",BJ116,0)</f>
        <v>0</v>
      </c>
      <c r="AI116" s="42" t="s">
        <v>253</v>
      </c>
      <c r="AJ116" s="31">
        <f>IF(AN116=0,L116,0)</f>
        <v>0</v>
      </c>
      <c r="AK116" s="31">
        <f>IF(AN116=15,L116,0)</f>
        <v>0</v>
      </c>
      <c r="AL116" s="31">
        <f>IF(AN116=21,L116,0)</f>
        <v>0</v>
      </c>
      <c r="AN116" s="8">
        <v>21</v>
      </c>
      <c r="AO116" s="8">
        <f>I116*0.607939902328875</f>
        <v>0</v>
      </c>
      <c r="AP116" s="8">
        <f>I116*(1-0.607939902328875)</f>
        <v>0</v>
      </c>
      <c r="AQ116" s="33" t="s">
        <v>354</v>
      </c>
      <c r="AV116" s="8">
        <f>AW116+AX116</f>
        <v>0</v>
      </c>
      <c r="AW116" s="8">
        <f>H116*AO116</f>
        <v>0</v>
      </c>
      <c r="AX116" s="8">
        <f>H116*AP116</f>
        <v>0</v>
      </c>
      <c r="AY116" s="12" t="s">
        <v>84</v>
      </c>
      <c r="AZ116" s="12" t="s">
        <v>167</v>
      </c>
      <c r="BA116" s="42" t="s">
        <v>273</v>
      </c>
      <c r="BC116" s="8">
        <f>AW116+AX116</f>
        <v>0</v>
      </c>
      <c r="BD116" s="8">
        <f>I116/(100-BE116)*100</f>
        <v>0</v>
      </c>
      <c r="BE116" s="8">
        <v>0</v>
      </c>
      <c r="BF116" s="8">
        <f>120</f>
        <v>120</v>
      </c>
      <c r="BH116" s="31">
        <f>H116*AO116</f>
        <v>0</v>
      </c>
      <c r="BI116" s="31">
        <f>H116*AP116</f>
        <v>0</v>
      </c>
      <c r="BJ116" s="31">
        <f>H116*I116</f>
        <v>0</v>
      </c>
      <c r="BK116" s="31"/>
      <c r="BL116" s="8">
        <v>783</v>
      </c>
    </row>
    <row r="117" spans="1:13" ht="13.5" customHeight="1">
      <c r="A117" s="44"/>
      <c r="B117" s="43" t="s">
        <v>193</v>
      </c>
      <c r="C117" s="98" t="s">
        <v>113</v>
      </c>
      <c r="D117" s="99"/>
      <c r="E117" s="99"/>
      <c r="F117" s="99"/>
      <c r="G117" s="99"/>
      <c r="H117" s="99"/>
      <c r="I117" s="99"/>
      <c r="J117" s="99"/>
      <c r="K117" s="99"/>
      <c r="L117" s="99"/>
      <c r="M117" s="100"/>
    </row>
    <row r="118" spans="1:64" ht="15" customHeight="1">
      <c r="A118" s="14">
        <v>78</v>
      </c>
      <c r="B118" s="54" t="s">
        <v>189</v>
      </c>
      <c r="C118" s="97" t="s">
        <v>228</v>
      </c>
      <c r="D118" s="97"/>
      <c r="E118" s="97"/>
      <c r="F118" s="97"/>
      <c r="G118" s="54" t="s">
        <v>346</v>
      </c>
      <c r="H118" s="31">
        <v>1499.2504</v>
      </c>
      <c r="I118" s="64">
        <v>0</v>
      </c>
      <c r="J118" s="31">
        <f>H118*AO118</f>
        <v>0</v>
      </c>
      <c r="K118" s="31">
        <f>H118*AP118</f>
        <v>0</v>
      </c>
      <c r="L118" s="31">
        <f>H118*I118</f>
        <v>0</v>
      </c>
      <c r="M118" s="11" t="s">
        <v>303</v>
      </c>
      <c r="Z118" s="8">
        <f>IF(AQ118="5",BJ118,0)</f>
        <v>0</v>
      </c>
      <c r="AB118" s="8">
        <f>IF(AQ118="1",BH118,0)</f>
        <v>0</v>
      </c>
      <c r="AC118" s="8">
        <f>IF(AQ118="1",BI118,0)</f>
        <v>0</v>
      </c>
      <c r="AD118" s="8">
        <f>IF(AQ118="7",BH118,0)</f>
        <v>0</v>
      </c>
      <c r="AE118" s="8">
        <f>IF(AQ118="7",BI118,0)</f>
        <v>0</v>
      </c>
      <c r="AF118" s="8">
        <f>IF(AQ118="2",BH118,0)</f>
        <v>0</v>
      </c>
      <c r="AG118" s="8">
        <f>IF(AQ118="2",BI118,0)</f>
        <v>0</v>
      </c>
      <c r="AH118" s="8">
        <f>IF(AQ118="0",BJ118,0)</f>
        <v>0</v>
      </c>
      <c r="AI118" s="42" t="s">
        <v>253</v>
      </c>
      <c r="AJ118" s="31">
        <f>IF(AN118=0,L118,0)</f>
        <v>0</v>
      </c>
      <c r="AK118" s="31">
        <f>IF(AN118=15,L118,0)</f>
        <v>0</v>
      </c>
      <c r="AL118" s="31">
        <f>IF(AN118=21,L118,0)</f>
        <v>0</v>
      </c>
      <c r="AN118" s="8">
        <v>21</v>
      </c>
      <c r="AO118" s="8">
        <f>I118*0</f>
        <v>0</v>
      </c>
      <c r="AP118" s="8">
        <f>I118*(1-0)</f>
        <v>0</v>
      </c>
      <c r="AQ118" s="33" t="s">
        <v>354</v>
      </c>
      <c r="AV118" s="8">
        <f>AW118+AX118</f>
        <v>0</v>
      </c>
      <c r="AW118" s="8">
        <f>H118*AO118</f>
        <v>0</v>
      </c>
      <c r="AX118" s="8">
        <f>H118*AP118</f>
        <v>0</v>
      </c>
      <c r="AY118" s="12" t="s">
        <v>84</v>
      </c>
      <c r="AZ118" s="12" t="s">
        <v>167</v>
      </c>
      <c r="BA118" s="42" t="s">
        <v>273</v>
      </c>
      <c r="BC118" s="8">
        <f>AW118+AX118</f>
        <v>0</v>
      </c>
      <c r="BD118" s="8">
        <f>I118/(100-BE118)*100</f>
        <v>0</v>
      </c>
      <c r="BE118" s="8">
        <v>0</v>
      </c>
      <c r="BF118" s="8">
        <f>122</f>
        <v>122</v>
      </c>
      <c r="BH118" s="31">
        <f>H118*AO118</f>
        <v>0</v>
      </c>
      <c r="BI118" s="31">
        <f>H118*AP118</f>
        <v>0</v>
      </c>
      <c r="BJ118" s="31">
        <f>H118*I118</f>
        <v>0</v>
      </c>
      <c r="BK118" s="31"/>
      <c r="BL118" s="8">
        <v>783</v>
      </c>
    </row>
    <row r="119" spans="1:64" ht="15" customHeight="1">
      <c r="A119" s="14">
        <v>79</v>
      </c>
      <c r="B119" s="54" t="s">
        <v>165</v>
      </c>
      <c r="C119" s="97" t="s">
        <v>47</v>
      </c>
      <c r="D119" s="97"/>
      <c r="E119" s="97"/>
      <c r="F119" s="97"/>
      <c r="G119" s="54" t="s">
        <v>346</v>
      </c>
      <c r="H119" s="31">
        <v>354.266</v>
      </c>
      <c r="I119" s="64">
        <v>0</v>
      </c>
      <c r="J119" s="31">
        <f>H119*AO119</f>
        <v>0</v>
      </c>
      <c r="K119" s="31">
        <f>H119*AP119</f>
        <v>0</v>
      </c>
      <c r="L119" s="31">
        <f>H119*I119</f>
        <v>0</v>
      </c>
      <c r="M119" s="11" t="s">
        <v>303</v>
      </c>
      <c r="Z119" s="8">
        <f>IF(AQ119="5",BJ119,0)</f>
        <v>0</v>
      </c>
      <c r="AB119" s="8">
        <f>IF(AQ119="1",BH119,0)</f>
        <v>0</v>
      </c>
      <c r="AC119" s="8">
        <f>IF(AQ119="1",BI119,0)</f>
        <v>0</v>
      </c>
      <c r="AD119" s="8">
        <f>IF(AQ119="7",BH119,0)</f>
        <v>0</v>
      </c>
      <c r="AE119" s="8">
        <f>IF(AQ119="7",BI119,0)</f>
        <v>0</v>
      </c>
      <c r="AF119" s="8">
        <f>IF(AQ119="2",BH119,0)</f>
        <v>0</v>
      </c>
      <c r="AG119" s="8">
        <f>IF(AQ119="2",BI119,0)</f>
        <v>0</v>
      </c>
      <c r="AH119" s="8">
        <f>IF(AQ119="0",BJ119,0)</f>
        <v>0</v>
      </c>
      <c r="AI119" s="42" t="s">
        <v>253</v>
      </c>
      <c r="AJ119" s="31">
        <f>IF(AN119=0,L119,0)</f>
        <v>0</v>
      </c>
      <c r="AK119" s="31">
        <f>IF(AN119=15,L119,0)</f>
        <v>0</v>
      </c>
      <c r="AL119" s="31">
        <f>IF(AN119=21,L119,0)</f>
        <v>0</v>
      </c>
      <c r="AN119" s="8">
        <v>21</v>
      </c>
      <c r="AO119" s="8">
        <f>I119*0.632865148467277</f>
        <v>0</v>
      </c>
      <c r="AP119" s="8">
        <f>I119*(1-0.632865148467277)</f>
        <v>0</v>
      </c>
      <c r="AQ119" s="33" t="s">
        <v>354</v>
      </c>
      <c r="AV119" s="8">
        <f>AW119+AX119</f>
        <v>0</v>
      </c>
      <c r="AW119" s="8">
        <f>H119*AO119</f>
        <v>0</v>
      </c>
      <c r="AX119" s="8">
        <f>H119*AP119</f>
        <v>0</v>
      </c>
      <c r="AY119" s="12" t="s">
        <v>84</v>
      </c>
      <c r="AZ119" s="12" t="s">
        <v>167</v>
      </c>
      <c r="BA119" s="42" t="s">
        <v>273</v>
      </c>
      <c r="BC119" s="8">
        <f>AW119+AX119</f>
        <v>0</v>
      </c>
      <c r="BD119" s="8">
        <f>I119/(100-BE119)*100</f>
        <v>0</v>
      </c>
      <c r="BE119" s="8">
        <v>0</v>
      </c>
      <c r="BF119" s="8">
        <f>123</f>
        <v>123</v>
      </c>
      <c r="BH119" s="31">
        <f>H119*AO119</f>
        <v>0</v>
      </c>
      <c r="BI119" s="31">
        <f>H119*AP119</f>
        <v>0</v>
      </c>
      <c r="BJ119" s="31">
        <f>H119*I119</f>
        <v>0</v>
      </c>
      <c r="BK119" s="31"/>
      <c r="BL119" s="8">
        <v>783</v>
      </c>
    </row>
    <row r="120" spans="1:47" ht="15" customHeight="1">
      <c r="A120" s="47" t="s">
        <v>253</v>
      </c>
      <c r="B120" s="53" t="s">
        <v>59</v>
      </c>
      <c r="C120" s="96" t="s">
        <v>271</v>
      </c>
      <c r="D120" s="96"/>
      <c r="E120" s="96"/>
      <c r="F120" s="96"/>
      <c r="G120" s="32" t="s">
        <v>332</v>
      </c>
      <c r="H120" s="32" t="s">
        <v>332</v>
      </c>
      <c r="I120" s="32" t="s">
        <v>332</v>
      </c>
      <c r="J120" s="36">
        <f>SUM(J121:J138)</f>
        <v>0</v>
      </c>
      <c r="K120" s="36">
        <f>SUM(K121:K138)</f>
        <v>0</v>
      </c>
      <c r="L120" s="36">
        <f>SUM(L121:L138)</f>
        <v>0</v>
      </c>
      <c r="M120" s="29" t="s">
        <v>253</v>
      </c>
      <c r="AI120" s="42" t="s">
        <v>253</v>
      </c>
      <c r="AS120" s="36">
        <f>SUM(AJ121:AJ138)</f>
        <v>0</v>
      </c>
      <c r="AT120" s="36">
        <f>SUM(AK121:AK138)</f>
        <v>0</v>
      </c>
      <c r="AU120" s="36">
        <f>SUM(AL121:AL138)</f>
        <v>0</v>
      </c>
    </row>
    <row r="121" spans="1:64" ht="15" customHeight="1">
      <c r="A121" s="14">
        <v>80</v>
      </c>
      <c r="B121" s="54" t="s">
        <v>392</v>
      </c>
      <c r="C121" s="97" t="s">
        <v>291</v>
      </c>
      <c r="D121" s="97"/>
      <c r="E121" s="97"/>
      <c r="F121" s="97"/>
      <c r="G121" s="54" t="s">
        <v>300</v>
      </c>
      <c r="H121" s="31">
        <v>244.81</v>
      </c>
      <c r="I121" s="64">
        <v>0</v>
      </c>
      <c r="J121" s="31">
        <f>H121*AO121</f>
        <v>0</v>
      </c>
      <c r="K121" s="31">
        <f>H121*AP121</f>
        <v>0</v>
      </c>
      <c r="L121" s="31">
        <f>H121*I121</f>
        <v>0</v>
      </c>
      <c r="M121" s="11" t="s">
        <v>303</v>
      </c>
      <c r="Z121" s="8">
        <f>IF(AQ121="5",BJ121,0)</f>
        <v>0</v>
      </c>
      <c r="AB121" s="8">
        <f>IF(AQ121="1",BH121,0)</f>
        <v>0</v>
      </c>
      <c r="AC121" s="8">
        <f>IF(AQ121="1",BI121,0)</f>
        <v>0</v>
      </c>
      <c r="AD121" s="8">
        <f>IF(AQ121="7",BH121,0)</f>
        <v>0</v>
      </c>
      <c r="AE121" s="8">
        <f>IF(AQ121="7",BI121,0)</f>
        <v>0</v>
      </c>
      <c r="AF121" s="8">
        <f>IF(AQ121="2",BH121,0)</f>
        <v>0</v>
      </c>
      <c r="AG121" s="8">
        <f>IF(AQ121="2",BI121,0)</f>
        <v>0</v>
      </c>
      <c r="AH121" s="8">
        <f>IF(AQ121="0",BJ121,0)</f>
        <v>0</v>
      </c>
      <c r="AI121" s="42" t="s">
        <v>253</v>
      </c>
      <c r="AJ121" s="31">
        <f>IF(AN121=0,L121,0)</f>
        <v>0</v>
      </c>
      <c r="AK121" s="31">
        <f>IF(AN121=15,L121,0)</f>
        <v>0</v>
      </c>
      <c r="AL121" s="31">
        <f>IF(AN121=21,L121,0)</f>
        <v>0</v>
      </c>
      <c r="AN121" s="8">
        <v>21</v>
      </c>
      <c r="AO121" s="8">
        <f>I121*0.0657927427861533</f>
        <v>0</v>
      </c>
      <c r="AP121" s="8">
        <f>I121*(1-0.0657927427861533)</f>
        <v>0</v>
      </c>
      <c r="AQ121" s="33" t="s">
        <v>248</v>
      </c>
      <c r="AV121" s="8">
        <f>AW121+AX121</f>
        <v>0</v>
      </c>
      <c r="AW121" s="8">
        <f>H121*AO121</f>
        <v>0</v>
      </c>
      <c r="AX121" s="8">
        <f>H121*AP121</f>
        <v>0</v>
      </c>
      <c r="AY121" s="12" t="s">
        <v>367</v>
      </c>
      <c r="AZ121" s="12" t="s">
        <v>131</v>
      </c>
      <c r="BA121" s="42" t="s">
        <v>273</v>
      </c>
      <c r="BC121" s="8">
        <f>AW121+AX121</f>
        <v>0</v>
      </c>
      <c r="BD121" s="8">
        <f>I121/(100-BE121)*100</f>
        <v>0</v>
      </c>
      <c r="BE121" s="8">
        <v>0</v>
      </c>
      <c r="BF121" s="8">
        <f>125</f>
        <v>125</v>
      </c>
      <c r="BH121" s="31">
        <f>H121*AO121</f>
        <v>0</v>
      </c>
      <c r="BI121" s="31">
        <f>H121*AP121</f>
        <v>0</v>
      </c>
      <c r="BJ121" s="31">
        <f>H121*I121</f>
        <v>0</v>
      </c>
      <c r="BK121" s="31"/>
      <c r="BL121" s="8"/>
    </row>
    <row r="122" spans="1:13" ht="13.5" customHeight="1">
      <c r="A122" s="44"/>
      <c r="B122" s="43" t="s">
        <v>193</v>
      </c>
      <c r="C122" s="98" t="s">
        <v>142</v>
      </c>
      <c r="D122" s="99"/>
      <c r="E122" s="99"/>
      <c r="F122" s="99"/>
      <c r="G122" s="99"/>
      <c r="H122" s="99"/>
      <c r="I122" s="99"/>
      <c r="J122" s="99"/>
      <c r="K122" s="99"/>
      <c r="L122" s="99"/>
      <c r="M122" s="100"/>
    </row>
    <row r="123" spans="1:64" ht="15" customHeight="1">
      <c r="A123" s="14">
        <v>81</v>
      </c>
      <c r="B123" s="54" t="s">
        <v>353</v>
      </c>
      <c r="C123" s="97" t="s">
        <v>164</v>
      </c>
      <c r="D123" s="97"/>
      <c r="E123" s="97"/>
      <c r="F123" s="97"/>
      <c r="G123" s="54" t="s">
        <v>300</v>
      </c>
      <c r="H123" s="31">
        <v>141.4</v>
      </c>
      <c r="I123" s="64">
        <v>0</v>
      </c>
      <c r="J123" s="31">
        <f>H123*AO123</f>
        <v>0</v>
      </c>
      <c r="K123" s="31">
        <f>H123*AP123</f>
        <v>0</v>
      </c>
      <c r="L123" s="31">
        <f>H123*I123</f>
        <v>0</v>
      </c>
      <c r="M123" s="11" t="s">
        <v>303</v>
      </c>
      <c r="Z123" s="8">
        <f>IF(AQ123="5",BJ123,0)</f>
        <v>0</v>
      </c>
      <c r="AB123" s="8">
        <f>IF(AQ123="1",BH123,0)</f>
        <v>0</v>
      </c>
      <c r="AC123" s="8">
        <f>IF(AQ123="1",BI123,0)</f>
        <v>0</v>
      </c>
      <c r="AD123" s="8">
        <f>IF(AQ123="7",BH123,0)</f>
        <v>0</v>
      </c>
      <c r="AE123" s="8">
        <f>IF(AQ123="7",BI123,0)</f>
        <v>0</v>
      </c>
      <c r="AF123" s="8">
        <f>IF(AQ123="2",BH123,0)</f>
        <v>0</v>
      </c>
      <c r="AG123" s="8">
        <f>IF(AQ123="2",BI123,0)</f>
        <v>0</v>
      </c>
      <c r="AH123" s="8">
        <f>IF(AQ123="0",BJ123,0)</f>
        <v>0</v>
      </c>
      <c r="AI123" s="42" t="s">
        <v>253</v>
      </c>
      <c r="AJ123" s="31">
        <f>IF(AN123=0,L123,0)</f>
        <v>0</v>
      </c>
      <c r="AK123" s="31">
        <f>IF(AN123=15,L123,0)</f>
        <v>0</v>
      </c>
      <c r="AL123" s="31">
        <f>IF(AN123=21,L123,0)</f>
        <v>0</v>
      </c>
      <c r="AN123" s="8">
        <v>21</v>
      </c>
      <c r="AO123" s="8">
        <f>I123*0.410093457943925</f>
        <v>0</v>
      </c>
      <c r="AP123" s="8">
        <f>I123*(1-0.410093457943925)</f>
        <v>0</v>
      </c>
      <c r="AQ123" s="33" t="s">
        <v>248</v>
      </c>
      <c r="AV123" s="8">
        <f>AW123+AX123</f>
        <v>0</v>
      </c>
      <c r="AW123" s="8">
        <f>H123*AO123</f>
        <v>0</v>
      </c>
      <c r="AX123" s="8">
        <f>H123*AP123</f>
        <v>0</v>
      </c>
      <c r="AY123" s="12" t="s">
        <v>367</v>
      </c>
      <c r="AZ123" s="12" t="s">
        <v>131</v>
      </c>
      <c r="BA123" s="42" t="s">
        <v>273</v>
      </c>
      <c r="BC123" s="8">
        <f>AW123+AX123</f>
        <v>0</v>
      </c>
      <c r="BD123" s="8">
        <f>I123/(100-BE123)*100</f>
        <v>0</v>
      </c>
      <c r="BE123" s="8">
        <v>0</v>
      </c>
      <c r="BF123" s="8">
        <f>127</f>
        <v>127</v>
      </c>
      <c r="BH123" s="31">
        <f>H123*AO123</f>
        <v>0</v>
      </c>
      <c r="BI123" s="31">
        <f>H123*AP123</f>
        <v>0</v>
      </c>
      <c r="BJ123" s="31">
        <f>H123*I123</f>
        <v>0</v>
      </c>
      <c r="BK123" s="31"/>
      <c r="BL123" s="8"/>
    </row>
    <row r="124" spans="1:13" ht="13.5" customHeight="1">
      <c r="A124" s="44"/>
      <c r="B124" s="43" t="s">
        <v>193</v>
      </c>
      <c r="C124" s="98" t="s">
        <v>65</v>
      </c>
      <c r="D124" s="99"/>
      <c r="E124" s="99"/>
      <c r="F124" s="99"/>
      <c r="G124" s="99"/>
      <c r="H124" s="99"/>
      <c r="I124" s="99"/>
      <c r="J124" s="99"/>
      <c r="K124" s="99"/>
      <c r="L124" s="99"/>
      <c r="M124" s="100"/>
    </row>
    <row r="125" spans="1:64" ht="15" customHeight="1">
      <c r="A125" s="14">
        <v>82</v>
      </c>
      <c r="B125" s="54" t="s">
        <v>183</v>
      </c>
      <c r="C125" s="97" t="s">
        <v>298</v>
      </c>
      <c r="D125" s="97"/>
      <c r="E125" s="97"/>
      <c r="F125" s="97"/>
      <c r="G125" s="54" t="s">
        <v>87</v>
      </c>
      <c r="H125" s="31">
        <v>10</v>
      </c>
      <c r="I125" s="64">
        <v>0</v>
      </c>
      <c r="J125" s="31">
        <f>H125*AO125</f>
        <v>0</v>
      </c>
      <c r="K125" s="31">
        <f>H125*AP125</f>
        <v>0</v>
      </c>
      <c r="L125" s="31">
        <f>H125*I125</f>
        <v>0</v>
      </c>
      <c r="M125" s="11" t="s">
        <v>303</v>
      </c>
      <c r="Z125" s="8">
        <f>IF(AQ125="5",BJ125,0)</f>
        <v>0</v>
      </c>
      <c r="AB125" s="8">
        <f>IF(AQ125="1",BH125,0)</f>
        <v>0</v>
      </c>
      <c r="AC125" s="8">
        <f>IF(AQ125="1",BI125,0)</f>
        <v>0</v>
      </c>
      <c r="AD125" s="8">
        <f>IF(AQ125="7",BH125,0)</f>
        <v>0</v>
      </c>
      <c r="AE125" s="8">
        <f>IF(AQ125="7",BI125,0)</f>
        <v>0</v>
      </c>
      <c r="AF125" s="8">
        <f>IF(AQ125="2",BH125,0)</f>
        <v>0</v>
      </c>
      <c r="AG125" s="8">
        <f>IF(AQ125="2",BI125,0)</f>
        <v>0</v>
      </c>
      <c r="AH125" s="8">
        <f>IF(AQ125="0",BJ125,0)</f>
        <v>0</v>
      </c>
      <c r="AI125" s="42" t="s">
        <v>253</v>
      </c>
      <c r="AJ125" s="31">
        <f>IF(AN125=0,L125,0)</f>
        <v>0</v>
      </c>
      <c r="AK125" s="31">
        <f>IF(AN125=15,L125,0)</f>
        <v>0</v>
      </c>
      <c r="AL125" s="31">
        <f>IF(AN125=21,L125,0)</f>
        <v>0</v>
      </c>
      <c r="AN125" s="8">
        <v>21</v>
      </c>
      <c r="AO125" s="8">
        <f>I125*0.65341008905285</f>
        <v>0</v>
      </c>
      <c r="AP125" s="8">
        <f>I125*(1-0.65341008905285)</f>
        <v>0</v>
      </c>
      <c r="AQ125" s="33" t="s">
        <v>248</v>
      </c>
      <c r="AV125" s="8">
        <f>AW125+AX125</f>
        <v>0</v>
      </c>
      <c r="AW125" s="8">
        <f>H125*AO125</f>
        <v>0</v>
      </c>
      <c r="AX125" s="8">
        <f>H125*AP125</f>
        <v>0</v>
      </c>
      <c r="AY125" s="12" t="s">
        <v>367</v>
      </c>
      <c r="AZ125" s="12" t="s">
        <v>131</v>
      </c>
      <c r="BA125" s="42" t="s">
        <v>273</v>
      </c>
      <c r="BC125" s="8">
        <f>AW125+AX125</f>
        <v>0</v>
      </c>
      <c r="BD125" s="8">
        <f>I125/(100-BE125)*100</f>
        <v>0</v>
      </c>
      <c r="BE125" s="8">
        <v>0</v>
      </c>
      <c r="BF125" s="8">
        <f>129</f>
        <v>129</v>
      </c>
      <c r="BH125" s="31">
        <f>H125*AO125</f>
        <v>0</v>
      </c>
      <c r="BI125" s="31">
        <f>H125*AP125</f>
        <v>0</v>
      </c>
      <c r="BJ125" s="31">
        <f>H125*I125</f>
        <v>0</v>
      </c>
      <c r="BK125" s="31"/>
      <c r="BL125" s="8"/>
    </row>
    <row r="126" spans="1:13" ht="13.5" customHeight="1">
      <c r="A126" s="44"/>
      <c r="B126" s="43" t="s">
        <v>193</v>
      </c>
      <c r="C126" s="98" t="s">
        <v>326</v>
      </c>
      <c r="D126" s="99"/>
      <c r="E126" s="99"/>
      <c r="F126" s="99"/>
      <c r="G126" s="99"/>
      <c r="H126" s="99"/>
      <c r="I126" s="99"/>
      <c r="J126" s="99"/>
      <c r="K126" s="99"/>
      <c r="L126" s="99"/>
      <c r="M126" s="100"/>
    </row>
    <row r="127" spans="1:64" ht="15" customHeight="1">
      <c r="A127" s="14">
        <v>83</v>
      </c>
      <c r="B127" s="54" t="s">
        <v>231</v>
      </c>
      <c r="C127" s="97" t="s">
        <v>90</v>
      </c>
      <c r="D127" s="97"/>
      <c r="E127" s="97"/>
      <c r="F127" s="97"/>
      <c r="G127" s="54" t="s">
        <v>87</v>
      </c>
      <c r="H127" s="31">
        <v>8</v>
      </c>
      <c r="I127" s="64">
        <v>0</v>
      </c>
      <c r="J127" s="31">
        <f>H127*AO127</f>
        <v>0</v>
      </c>
      <c r="K127" s="31">
        <f>H127*AP127</f>
        <v>0</v>
      </c>
      <c r="L127" s="31">
        <f>H127*I127</f>
        <v>0</v>
      </c>
      <c r="M127" s="11" t="s">
        <v>303</v>
      </c>
      <c r="Z127" s="8">
        <f>IF(AQ127="5",BJ127,0)</f>
        <v>0</v>
      </c>
      <c r="AB127" s="8">
        <f>IF(AQ127="1",BH127,0)</f>
        <v>0</v>
      </c>
      <c r="AC127" s="8">
        <f>IF(AQ127="1",BI127,0)</f>
        <v>0</v>
      </c>
      <c r="AD127" s="8">
        <f>IF(AQ127="7",BH127,0)</f>
        <v>0</v>
      </c>
      <c r="AE127" s="8">
        <f>IF(AQ127="7",BI127,0)</f>
        <v>0</v>
      </c>
      <c r="AF127" s="8">
        <f>IF(AQ127="2",BH127,0)</f>
        <v>0</v>
      </c>
      <c r="AG127" s="8">
        <f>IF(AQ127="2",BI127,0)</f>
        <v>0</v>
      </c>
      <c r="AH127" s="8">
        <f>IF(AQ127="0",BJ127,0)</f>
        <v>0</v>
      </c>
      <c r="AI127" s="42" t="s">
        <v>253</v>
      </c>
      <c r="AJ127" s="31">
        <f>IF(AN127=0,L127,0)</f>
        <v>0</v>
      </c>
      <c r="AK127" s="31">
        <f>IF(AN127=15,L127,0)</f>
        <v>0</v>
      </c>
      <c r="AL127" s="31">
        <f>IF(AN127=21,L127,0)</f>
        <v>0</v>
      </c>
      <c r="AN127" s="8">
        <v>21</v>
      </c>
      <c r="AO127" s="8">
        <f>I127*0.849842519685039</f>
        <v>0</v>
      </c>
      <c r="AP127" s="8">
        <f>I127*(1-0.849842519685039)</f>
        <v>0</v>
      </c>
      <c r="AQ127" s="33" t="s">
        <v>248</v>
      </c>
      <c r="AV127" s="8">
        <f>AW127+AX127</f>
        <v>0</v>
      </c>
      <c r="AW127" s="8">
        <f>H127*AO127</f>
        <v>0</v>
      </c>
      <c r="AX127" s="8">
        <f>H127*AP127</f>
        <v>0</v>
      </c>
      <c r="AY127" s="12" t="s">
        <v>367</v>
      </c>
      <c r="AZ127" s="12" t="s">
        <v>131</v>
      </c>
      <c r="BA127" s="42" t="s">
        <v>273</v>
      </c>
      <c r="BC127" s="8">
        <f>AW127+AX127</f>
        <v>0</v>
      </c>
      <c r="BD127" s="8">
        <f>I127/(100-BE127)*100</f>
        <v>0</v>
      </c>
      <c r="BE127" s="8">
        <v>0</v>
      </c>
      <c r="BF127" s="8">
        <f>131</f>
        <v>131</v>
      </c>
      <c r="BH127" s="31">
        <f>H127*AO127</f>
        <v>0</v>
      </c>
      <c r="BI127" s="31">
        <f>H127*AP127</f>
        <v>0</v>
      </c>
      <c r="BJ127" s="31">
        <f>H127*I127</f>
        <v>0</v>
      </c>
      <c r="BK127" s="31"/>
      <c r="BL127" s="8"/>
    </row>
    <row r="128" spans="1:13" ht="13.5" customHeight="1">
      <c r="A128" s="44"/>
      <c r="B128" s="43" t="s">
        <v>193</v>
      </c>
      <c r="C128" s="98" t="s">
        <v>374</v>
      </c>
      <c r="D128" s="99"/>
      <c r="E128" s="99"/>
      <c r="F128" s="99"/>
      <c r="G128" s="99"/>
      <c r="H128" s="99"/>
      <c r="I128" s="99"/>
      <c r="J128" s="99"/>
      <c r="K128" s="99"/>
      <c r="L128" s="99"/>
      <c r="M128" s="100"/>
    </row>
    <row r="129" spans="1:64" ht="15" customHeight="1">
      <c r="A129" s="14">
        <v>84</v>
      </c>
      <c r="B129" s="54" t="s">
        <v>71</v>
      </c>
      <c r="C129" s="97" t="s">
        <v>168</v>
      </c>
      <c r="D129" s="97"/>
      <c r="E129" s="97"/>
      <c r="F129" s="97"/>
      <c r="G129" s="54" t="s">
        <v>87</v>
      </c>
      <c r="H129" s="31">
        <v>15</v>
      </c>
      <c r="I129" s="64">
        <v>0</v>
      </c>
      <c r="J129" s="31">
        <f>H129*AO129</f>
        <v>0</v>
      </c>
      <c r="K129" s="31">
        <f>H129*AP129</f>
        <v>0</v>
      </c>
      <c r="L129" s="31">
        <f>H129*I129</f>
        <v>0</v>
      </c>
      <c r="M129" s="11" t="s">
        <v>303</v>
      </c>
      <c r="Z129" s="8">
        <f>IF(AQ129="5",BJ129,0)</f>
        <v>0</v>
      </c>
      <c r="AB129" s="8">
        <f>IF(AQ129="1",BH129,0)</f>
        <v>0</v>
      </c>
      <c r="AC129" s="8">
        <f>IF(AQ129="1",BI129,0)</f>
        <v>0</v>
      </c>
      <c r="AD129" s="8">
        <f>IF(AQ129="7",BH129,0)</f>
        <v>0</v>
      </c>
      <c r="AE129" s="8">
        <f>IF(AQ129="7",BI129,0)</f>
        <v>0</v>
      </c>
      <c r="AF129" s="8">
        <f>IF(AQ129="2",BH129,0)</f>
        <v>0</v>
      </c>
      <c r="AG129" s="8">
        <f>IF(AQ129="2",BI129,0)</f>
        <v>0</v>
      </c>
      <c r="AH129" s="8">
        <f>IF(AQ129="0",BJ129,0)</f>
        <v>0</v>
      </c>
      <c r="AI129" s="42" t="s">
        <v>253</v>
      </c>
      <c r="AJ129" s="31">
        <f>IF(AN129=0,L129,0)</f>
        <v>0</v>
      </c>
      <c r="AK129" s="31">
        <f>IF(AN129=15,L129,0)</f>
        <v>0</v>
      </c>
      <c r="AL129" s="31">
        <f>IF(AN129=21,L129,0)</f>
        <v>0</v>
      </c>
      <c r="AN129" s="8">
        <v>21</v>
      </c>
      <c r="AO129" s="8">
        <f>I129*0.425386084720159</f>
        <v>0</v>
      </c>
      <c r="AP129" s="8">
        <f>I129*(1-0.425386084720159)</f>
        <v>0</v>
      </c>
      <c r="AQ129" s="33" t="s">
        <v>248</v>
      </c>
      <c r="AV129" s="8">
        <f>AW129+AX129</f>
        <v>0</v>
      </c>
      <c r="AW129" s="8">
        <f>H129*AO129</f>
        <v>0</v>
      </c>
      <c r="AX129" s="8">
        <f>H129*AP129</f>
        <v>0</v>
      </c>
      <c r="AY129" s="12" t="s">
        <v>367</v>
      </c>
      <c r="AZ129" s="12" t="s">
        <v>131</v>
      </c>
      <c r="BA129" s="42" t="s">
        <v>273</v>
      </c>
      <c r="BC129" s="8">
        <f>AW129+AX129</f>
        <v>0</v>
      </c>
      <c r="BD129" s="8">
        <f>I129/(100-BE129)*100</f>
        <v>0</v>
      </c>
      <c r="BE129" s="8">
        <v>0</v>
      </c>
      <c r="BF129" s="8">
        <f>133</f>
        <v>133</v>
      </c>
      <c r="BH129" s="31">
        <f>H129*AO129</f>
        <v>0</v>
      </c>
      <c r="BI129" s="31">
        <f>H129*AP129</f>
        <v>0</v>
      </c>
      <c r="BJ129" s="31">
        <f>H129*I129</f>
        <v>0</v>
      </c>
      <c r="BK129" s="31"/>
      <c r="BL129" s="8"/>
    </row>
    <row r="130" spans="1:13" ht="13.5" customHeight="1">
      <c r="A130" s="44"/>
      <c r="B130" s="43" t="s">
        <v>193</v>
      </c>
      <c r="C130" s="98" t="s">
        <v>262</v>
      </c>
      <c r="D130" s="99"/>
      <c r="E130" s="99"/>
      <c r="F130" s="99"/>
      <c r="G130" s="99"/>
      <c r="H130" s="99"/>
      <c r="I130" s="99"/>
      <c r="J130" s="99"/>
      <c r="K130" s="99"/>
      <c r="L130" s="99"/>
      <c r="M130" s="100"/>
    </row>
    <row r="131" spans="1:64" ht="15" customHeight="1">
      <c r="A131" s="14">
        <v>85</v>
      </c>
      <c r="B131" s="54" t="s">
        <v>66</v>
      </c>
      <c r="C131" s="97" t="s">
        <v>330</v>
      </c>
      <c r="D131" s="97"/>
      <c r="E131" s="97"/>
      <c r="F131" s="97"/>
      <c r="G131" s="54" t="s">
        <v>87</v>
      </c>
      <c r="H131" s="31">
        <v>15</v>
      </c>
      <c r="I131" s="64">
        <v>0</v>
      </c>
      <c r="J131" s="31">
        <f>H131*AO131</f>
        <v>0</v>
      </c>
      <c r="K131" s="31">
        <f>H131*AP131</f>
        <v>0</v>
      </c>
      <c r="L131" s="31">
        <f>H131*I131</f>
        <v>0</v>
      </c>
      <c r="M131" s="11" t="s">
        <v>303</v>
      </c>
      <c r="Z131" s="8">
        <f>IF(AQ131="5",BJ131,0)</f>
        <v>0</v>
      </c>
      <c r="AB131" s="8">
        <f>IF(AQ131="1",BH131,0)</f>
        <v>0</v>
      </c>
      <c r="AC131" s="8">
        <f>IF(AQ131="1",BI131,0)</f>
        <v>0</v>
      </c>
      <c r="AD131" s="8">
        <f>IF(AQ131="7",BH131,0)</f>
        <v>0</v>
      </c>
      <c r="AE131" s="8">
        <f>IF(AQ131="7",BI131,0)</f>
        <v>0</v>
      </c>
      <c r="AF131" s="8">
        <f>IF(AQ131="2",BH131,0)</f>
        <v>0</v>
      </c>
      <c r="AG131" s="8">
        <f>IF(AQ131="2",BI131,0)</f>
        <v>0</v>
      </c>
      <c r="AH131" s="8">
        <f>IF(AQ131="0",BJ131,0)</f>
        <v>0</v>
      </c>
      <c r="AI131" s="42" t="s">
        <v>253</v>
      </c>
      <c r="AJ131" s="31">
        <f>IF(AN131=0,L131,0)</f>
        <v>0</v>
      </c>
      <c r="AK131" s="31">
        <f>IF(AN131=15,L131,0)</f>
        <v>0</v>
      </c>
      <c r="AL131" s="31">
        <f>IF(AN131=21,L131,0)</f>
        <v>0</v>
      </c>
      <c r="AN131" s="8">
        <v>21</v>
      </c>
      <c r="AO131" s="8">
        <f>I131*0.0646302250803859</f>
        <v>0</v>
      </c>
      <c r="AP131" s="8">
        <f>I131*(1-0.0646302250803859)</f>
        <v>0</v>
      </c>
      <c r="AQ131" s="33" t="s">
        <v>248</v>
      </c>
      <c r="AV131" s="8">
        <f>AW131+AX131</f>
        <v>0</v>
      </c>
      <c r="AW131" s="8">
        <f>H131*AO131</f>
        <v>0</v>
      </c>
      <c r="AX131" s="8">
        <f>H131*AP131</f>
        <v>0</v>
      </c>
      <c r="AY131" s="12" t="s">
        <v>367</v>
      </c>
      <c r="AZ131" s="12" t="s">
        <v>131</v>
      </c>
      <c r="BA131" s="42" t="s">
        <v>273</v>
      </c>
      <c r="BC131" s="8">
        <f>AW131+AX131</f>
        <v>0</v>
      </c>
      <c r="BD131" s="8">
        <f>I131/(100-BE131)*100</f>
        <v>0</v>
      </c>
      <c r="BE131" s="8">
        <v>0</v>
      </c>
      <c r="BF131" s="8">
        <f>135</f>
        <v>135</v>
      </c>
      <c r="BH131" s="31">
        <f>H131*AO131</f>
        <v>0</v>
      </c>
      <c r="BI131" s="31">
        <f>H131*AP131</f>
        <v>0</v>
      </c>
      <c r="BJ131" s="31">
        <f>H131*I131</f>
        <v>0</v>
      </c>
      <c r="BK131" s="31"/>
      <c r="BL131" s="8"/>
    </row>
    <row r="132" spans="1:13" ht="13.5" customHeight="1">
      <c r="A132" s="44"/>
      <c r="B132" s="43" t="s">
        <v>193</v>
      </c>
      <c r="C132" s="98" t="s">
        <v>215</v>
      </c>
      <c r="D132" s="99"/>
      <c r="E132" s="99"/>
      <c r="F132" s="99"/>
      <c r="G132" s="99"/>
      <c r="H132" s="99"/>
      <c r="I132" s="99"/>
      <c r="J132" s="99"/>
      <c r="K132" s="99"/>
      <c r="L132" s="99"/>
      <c r="M132" s="100"/>
    </row>
    <row r="133" spans="1:64" ht="15" customHeight="1">
      <c r="A133" s="14">
        <v>86</v>
      </c>
      <c r="B133" s="54" t="s">
        <v>381</v>
      </c>
      <c r="C133" s="97" t="s">
        <v>94</v>
      </c>
      <c r="D133" s="97"/>
      <c r="E133" s="97"/>
      <c r="F133" s="97"/>
      <c r="G133" s="54" t="s">
        <v>87</v>
      </c>
      <c r="H133" s="31">
        <v>25</v>
      </c>
      <c r="I133" s="64">
        <v>0</v>
      </c>
      <c r="J133" s="31">
        <f>H133*AO133</f>
        <v>0</v>
      </c>
      <c r="K133" s="31">
        <f>H133*AP133</f>
        <v>0</v>
      </c>
      <c r="L133" s="31">
        <f>H133*I133</f>
        <v>0</v>
      </c>
      <c r="M133" s="11" t="s">
        <v>303</v>
      </c>
      <c r="Z133" s="8">
        <f>IF(AQ133="5",BJ133,0)</f>
        <v>0</v>
      </c>
      <c r="AB133" s="8">
        <f>IF(AQ133="1",BH133,0)</f>
        <v>0</v>
      </c>
      <c r="AC133" s="8">
        <f>IF(AQ133="1",BI133,0)</f>
        <v>0</v>
      </c>
      <c r="AD133" s="8">
        <f>IF(AQ133="7",BH133,0)</f>
        <v>0</v>
      </c>
      <c r="AE133" s="8">
        <f>IF(AQ133="7",BI133,0)</f>
        <v>0</v>
      </c>
      <c r="AF133" s="8">
        <f>IF(AQ133="2",BH133,0)</f>
        <v>0</v>
      </c>
      <c r="AG133" s="8">
        <f>IF(AQ133="2",BI133,0)</f>
        <v>0</v>
      </c>
      <c r="AH133" s="8">
        <f>IF(AQ133="0",BJ133,0)</f>
        <v>0</v>
      </c>
      <c r="AI133" s="42" t="s">
        <v>253</v>
      </c>
      <c r="AJ133" s="31">
        <f>IF(AN133=0,L133,0)</f>
        <v>0</v>
      </c>
      <c r="AK133" s="31">
        <f>IF(AN133=15,L133,0)</f>
        <v>0</v>
      </c>
      <c r="AL133" s="31">
        <f>IF(AN133=21,L133,0)</f>
        <v>0</v>
      </c>
      <c r="AN133" s="8">
        <v>21</v>
      </c>
      <c r="AO133" s="8">
        <f>I133*0</f>
        <v>0</v>
      </c>
      <c r="AP133" s="8">
        <f>I133*(1-0)</f>
        <v>0</v>
      </c>
      <c r="AQ133" s="33" t="s">
        <v>248</v>
      </c>
      <c r="AV133" s="8">
        <f>AW133+AX133</f>
        <v>0</v>
      </c>
      <c r="AW133" s="8">
        <f>H133*AO133</f>
        <v>0</v>
      </c>
      <c r="AX133" s="8">
        <f>H133*AP133</f>
        <v>0</v>
      </c>
      <c r="AY133" s="12" t="s">
        <v>367</v>
      </c>
      <c r="AZ133" s="12" t="s">
        <v>131</v>
      </c>
      <c r="BA133" s="42" t="s">
        <v>273</v>
      </c>
      <c r="BC133" s="8">
        <f>AW133+AX133</f>
        <v>0</v>
      </c>
      <c r="BD133" s="8">
        <f>I133/(100-BE133)*100</f>
        <v>0</v>
      </c>
      <c r="BE133" s="8">
        <v>0</v>
      </c>
      <c r="BF133" s="8">
        <f>137</f>
        <v>137</v>
      </c>
      <c r="BH133" s="31">
        <f>H133*AO133</f>
        <v>0</v>
      </c>
      <c r="BI133" s="31">
        <f>H133*AP133</f>
        <v>0</v>
      </c>
      <c r="BJ133" s="31">
        <f>H133*I133</f>
        <v>0</v>
      </c>
      <c r="BK133" s="31"/>
      <c r="BL133" s="8"/>
    </row>
    <row r="134" spans="1:64" ht="15" customHeight="1">
      <c r="A134" s="14">
        <v>87</v>
      </c>
      <c r="B134" s="54" t="s">
        <v>244</v>
      </c>
      <c r="C134" s="97" t="s">
        <v>308</v>
      </c>
      <c r="D134" s="97"/>
      <c r="E134" s="97"/>
      <c r="F134" s="97"/>
      <c r="G134" s="54" t="s">
        <v>87</v>
      </c>
      <c r="H134" s="31">
        <v>15</v>
      </c>
      <c r="I134" s="64">
        <v>0</v>
      </c>
      <c r="J134" s="31">
        <f>H134*AO134</f>
        <v>0</v>
      </c>
      <c r="K134" s="31">
        <f>H134*AP134</f>
        <v>0</v>
      </c>
      <c r="L134" s="31">
        <f>H134*I134</f>
        <v>0</v>
      </c>
      <c r="M134" s="11" t="s">
        <v>303</v>
      </c>
      <c r="Z134" s="8">
        <f>IF(AQ134="5",BJ134,0)</f>
        <v>0</v>
      </c>
      <c r="AB134" s="8">
        <f>IF(AQ134="1",BH134,0)</f>
        <v>0</v>
      </c>
      <c r="AC134" s="8">
        <f>IF(AQ134="1",BI134,0)</f>
        <v>0</v>
      </c>
      <c r="AD134" s="8">
        <f>IF(AQ134="7",BH134,0)</f>
        <v>0</v>
      </c>
      <c r="AE134" s="8">
        <f>IF(AQ134="7",BI134,0)</f>
        <v>0</v>
      </c>
      <c r="AF134" s="8">
        <f>IF(AQ134="2",BH134,0)</f>
        <v>0</v>
      </c>
      <c r="AG134" s="8">
        <f>IF(AQ134="2",BI134,0)</f>
        <v>0</v>
      </c>
      <c r="AH134" s="8">
        <f>IF(AQ134="0",BJ134,0)</f>
        <v>0</v>
      </c>
      <c r="AI134" s="42" t="s">
        <v>253</v>
      </c>
      <c r="AJ134" s="31">
        <f>IF(AN134=0,L134,0)</f>
        <v>0</v>
      </c>
      <c r="AK134" s="31">
        <f>IF(AN134=15,L134,0)</f>
        <v>0</v>
      </c>
      <c r="AL134" s="31">
        <f>IF(AN134=21,L134,0)</f>
        <v>0</v>
      </c>
      <c r="AN134" s="8">
        <v>21</v>
      </c>
      <c r="AO134" s="8">
        <f>I134*0.257011494252874</f>
        <v>0</v>
      </c>
      <c r="AP134" s="8">
        <f>I134*(1-0.257011494252874)</f>
        <v>0</v>
      </c>
      <c r="AQ134" s="33" t="s">
        <v>248</v>
      </c>
      <c r="AV134" s="8">
        <f>AW134+AX134</f>
        <v>0</v>
      </c>
      <c r="AW134" s="8">
        <f>H134*AO134</f>
        <v>0</v>
      </c>
      <c r="AX134" s="8">
        <f>H134*AP134</f>
        <v>0</v>
      </c>
      <c r="AY134" s="12" t="s">
        <v>367</v>
      </c>
      <c r="AZ134" s="12" t="s">
        <v>131</v>
      </c>
      <c r="BA134" s="42" t="s">
        <v>273</v>
      </c>
      <c r="BC134" s="8">
        <f>AW134+AX134</f>
        <v>0</v>
      </c>
      <c r="BD134" s="8">
        <f>I134/(100-BE134)*100</f>
        <v>0</v>
      </c>
      <c r="BE134" s="8">
        <v>0</v>
      </c>
      <c r="BF134" s="8">
        <f>138</f>
        <v>138</v>
      </c>
      <c r="BH134" s="31">
        <f>H134*AO134</f>
        <v>0</v>
      </c>
      <c r="BI134" s="31">
        <f>H134*AP134</f>
        <v>0</v>
      </c>
      <c r="BJ134" s="31">
        <f>H134*I134</f>
        <v>0</v>
      </c>
      <c r="BK134" s="31"/>
      <c r="BL134" s="8"/>
    </row>
    <row r="135" spans="1:13" ht="13.5" customHeight="1">
      <c r="A135" s="44"/>
      <c r="B135" s="43" t="s">
        <v>193</v>
      </c>
      <c r="C135" s="98" t="s">
        <v>256</v>
      </c>
      <c r="D135" s="99"/>
      <c r="E135" s="99"/>
      <c r="F135" s="99"/>
      <c r="G135" s="99"/>
      <c r="H135" s="99"/>
      <c r="I135" s="99"/>
      <c r="J135" s="99"/>
      <c r="K135" s="99"/>
      <c r="L135" s="99"/>
      <c r="M135" s="100"/>
    </row>
    <row r="136" spans="1:64" ht="15" customHeight="1">
      <c r="A136" s="14">
        <v>88</v>
      </c>
      <c r="B136" s="54" t="s">
        <v>293</v>
      </c>
      <c r="C136" s="97" t="s">
        <v>308</v>
      </c>
      <c r="D136" s="97"/>
      <c r="E136" s="97"/>
      <c r="F136" s="97"/>
      <c r="G136" s="54" t="s">
        <v>87</v>
      </c>
      <c r="H136" s="31">
        <v>15</v>
      </c>
      <c r="I136" s="64">
        <v>0</v>
      </c>
      <c r="J136" s="31">
        <f>H136*AO136</f>
        <v>0</v>
      </c>
      <c r="K136" s="31">
        <f>H136*AP136</f>
        <v>0</v>
      </c>
      <c r="L136" s="31">
        <f>H136*I136</f>
        <v>0</v>
      </c>
      <c r="M136" s="11" t="s">
        <v>303</v>
      </c>
      <c r="Z136" s="8">
        <f>IF(AQ136="5",BJ136,0)</f>
        <v>0</v>
      </c>
      <c r="AB136" s="8">
        <f>IF(AQ136="1",BH136,0)</f>
        <v>0</v>
      </c>
      <c r="AC136" s="8">
        <f>IF(AQ136="1",BI136,0)</f>
        <v>0</v>
      </c>
      <c r="AD136" s="8">
        <f>IF(AQ136="7",BH136,0)</f>
        <v>0</v>
      </c>
      <c r="AE136" s="8">
        <f>IF(AQ136="7",BI136,0)</f>
        <v>0</v>
      </c>
      <c r="AF136" s="8">
        <f>IF(AQ136="2",BH136,0)</f>
        <v>0</v>
      </c>
      <c r="AG136" s="8">
        <f>IF(AQ136="2",BI136,0)</f>
        <v>0</v>
      </c>
      <c r="AH136" s="8">
        <f>IF(AQ136="0",BJ136,0)</f>
        <v>0</v>
      </c>
      <c r="AI136" s="42" t="s">
        <v>253</v>
      </c>
      <c r="AJ136" s="31">
        <f>IF(AN136=0,L136,0)</f>
        <v>0</v>
      </c>
      <c r="AK136" s="31">
        <f>IF(AN136=15,L136,0)</f>
        <v>0</v>
      </c>
      <c r="AL136" s="31">
        <f>IF(AN136=21,L136,0)</f>
        <v>0</v>
      </c>
      <c r="AN136" s="8">
        <v>21</v>
      </c>
      <c r="AO136" s="8">
        <f>I136*0.267648725212465</f>
        <v>0</v>
      </c>
      <c r="AP136" s="8">
        <f>I136*(1-0.267648725212465)</f>
        <v>0</v>
      </c>
      <c r="AQ136" s="33" t="s">
        <v>248</v>
      </c>
      <c r="AV136" s="8">
        <f>AW136+AX136</f>
        <v>0</v>
      </c>
      <c r="AW136" s="8">
        <f>H136*AO136</f>
        <v>0</v>
      </c>
      <c r="AX136" s="8">
        <f>H136*AP136</f>
        <v>0</v>
      </c>
      <c r="AY136" s="12" t="s">
        <v>367</v>
      </c>
      <c r="AZ136" s="12" t="s">
        <v>131</v>
      </c>
      <c r="BA136" s="42" t="s">
        <v>273</v>
      </c>
      <c r="BC136" s="8">
        <f>AW136+AX136</f>
        <v>0</v>
      </c>
      <c r="BD136" s="8">
        <f>I136/(100-BE136)*100</f>
        <v>0</v>
      </c>
      <c r="BE136" s="8">
        <v>0</v>
      </c>
      <c r="BF136" s="8">
        <f>140</f>
        <v>140</v>
      </c>
      <c r="BH136" s="31">
        <f>H136*AO136</f>
        <v>0</v>
      </c>
      <c r="BI136" s="31">
        <f>H136*AP136</f>
        <v>0</v>
      </c>
      <c r="BJ136" s="31">
        <f>H136*I136</f>
        <v>0</v>
      </c>
      <c r="BK136" s="31"/>
      <c r="BL136" s="8"/>
    </row>
    <row r="137" spans="1:13" ht="13.5" customHeight="1">
      <c r="A137" s="44"/>
      <c r="B137" s="43" t="s">
        <v>193</v>
      </c>
      <c r="C137" s="98" t="s">
        <v>397</v>
      </c>
      <c r="D137" s="99"/>
      <c r="E137" s="99"/>
      <c r="F137" s="99"/>
      <c r="G137" s="99"/>
      <c r="H137" s="99"/>
      <c r="I137" s="99"/>
      <c r="J137" s="99"/>
      <c r="K137" s="99"/>
      <c r="L137" s="99"/>
      <c r="M137" s="100"/>
    </row>
    <row r="138" spans="1:64" ht="15" customHeight="1">
      <c r="A138" s="14">
        <v>89</v>
      </c>
      <c r="B138" s="54" t="s">
        <v>356</v>
      </c>
      <c r="C138" s="97" t="s">
        <v>238</v>
      </c>
      <c r="D138" s="97"/>
      <c r="E138" s="97"/>
      <c r="F138" s="97"/>
      <c r="G138" s="54" t="s">
        <v>87</v>
      </c>
      <c r="H138" s="31">
        <v>10</v>
      </c>
      <c r="I138" s="64">
        <v>0</v>
      </c>
      <c r="J138" s="31">
        <f>H138*AO138</f>
        <v>0</v>
      </c>
      <c r="K138" s="31">
        <f>H138*AP138</f>
        <v>0</v>
      </c>
      <c r="L138" s="31">
        <f>H138*I138</f>
        <v>0</v>
      </c>
      <c r="M138" s="11" t="s">
        <v>303</v>
      </c>
      <c r="Z138" s="8">
        <f>IF(AQ138="5",BJ138,0)</f>
        <v>0</v>
      </c>
      <c r="AB138" s="8">
        <f>IF(AQ138="1",BH138,0)</f>
        <v>0</v>
      </c>
      <c r="AC138" s="8">
        <f>IF(AQ138="1",BI138,0)</f>
        <v>0</v>
      </c>
      <c r="AD138" s="8">
        <f>IF(AQ138="7",BH138,0)</f>
        <v>0</v>
      </c>
      <c r="AE138" s="8">
        <f>IF(AQ138="7",BI138,0)</f>
        <v>0</v>
      </c>
      <c r="AF138" s="8">
        <f>IF(AQ138="2",BH138,0)</f>
        <v>0</v>
      </c>
      <c r="AG138" s="8">
        <f>IF(AQ138="2",BI138,0)</f>
        <v>0</v>
      </c>
      <c r="AH138" s="8">
        <f>IF(AQ138="0",BJ138,0)</f>
        <v>0</v>
      </c>
      <c r="AI138" s="42" t="s">
        <v>253</v>
      </c>
      <c r="AJ138" s="31">
        <f>IF(AN138=0,L138,0)</f>
        <v>0</v>
      </c>
      <c r="AK138" s="31">
        <f>IF(AN138=15,L138,0)</f>
        <v>0</v>
      </c>
      <c r="AL138" s="31">
        <f>IF(AN138=21,L138,0)</f>
        <v>0</v>
      </c>
      <c r="AN138" s="8">
        <v>21</v>
      </c>
      <c r="AO138" s="8">
        <f>I138*0.0929485619738187</f>
        <v>0</v>
      </c>
      <c r="AP138" s="8">
        <f>I138*(1-0.0929485619738187)</f>
        <v>0</v>
      </c>
      <c r="AQ138" s="33" t="s">
        <v>248</v>
      </c>
      <c r="AV138" s="8">
        <f>AW138+AX138</f>
        <v>0</v>
      </c>
      <c r="AW138" s="8">
        <f>H138*AO138</f>
        <v>0</v>
      </c>
      <c r="AX138" s="8">
        <f>H138*AP138</f>
        <v>0</v>
      </c>
      <c r="AY138" s="12" t="s">
        <v>367</v>
      </c>
      <c r="AZ138" s="12" t="s">
        <v>131</v>
      </c>
      <c r="BA138" s="42" t="s">
        <v>273</v>
      </c>
      <c r="BC138" s="8">
        <f>AW138+AX138</f>
        <v>0</v>
      </c>
      <c r="BD138" s="8">
        <f>I138/(100-BE138)*100</f>
        <v>0</v>
      </c>
      <c r="BE138" s="8">
        <v>0</v>
      </c>
      <c r="BF138" s="8">
        <f>142</f>
        <v>142</v>
      </c>
      <c r="BH138" s="31">
        <f>H138*AO138</f>
        <v>0</v>
      </c>
      <c r="BI138" s="31">
        <f>H138*AP138</f>
        <v>0</v>
      </c>
      <c r="BJ138" s="31">
        <f>H138*I138</f>
        <v>0</v>
      </c>
      <c r="BK138" s="31"/>
      <c r="BL138" s="8"/>
    </row>
    <row r="139" spans="1:13" ht="13.5" customHeight="1">
      <c r="A139" s="44"/>
      <c r="B139" s="43" t="s">
        <v>193</v>
      </c>
      <c r="C139" s="98" t="s">
        <v>130</v>
      </c>
      <c r="D139" s="99"/>
      <c r="E139" s="99"/>
      <c r="F139" s="99"/>
      <c r="G139" s="99"/>
      <c r="H139" s="99"/>
      <c r="I139" s="99"/>
      <c r="J139" s="99"/>
      <c r="K139" s="99"/>
      <c r="L139" s="99"/>
      <c r="M139" s="100"/>
    </row>
    <row r="140" spans="1:47" ht="15" customHeight="1">
      <c r="A140" s="47" t="s">
        <v>253</v>
      </c>
      <c r="B140" s="53" t="s">
        <v>133</v>
      </c>
      <c r="C140" s="96" t="s">
        <v>341</v>
      </c>
      <c r="D140" s="96"/>
      <c r="E140" s="96"/>
      <c r="F140" s="96"/>
      <c r="G140" s="32" t="s">
        <v>332</v>
      </c>
      <c r="H140" s="32" t="s">
        <v>332</v>
      </c>
      <c r="I140" s="32" t="s">
        <v>332</v>
      </c>
      <c r="J140" s="36">
        <f>SUM(J141:J141)</f>
        <v>0</v>
      </c>
      <c r="K140" s="36">
        <f>SUM(K141:K141)</f>
        <v>0</v>
      </c>
      <c r="L140" s="36">
        <f>SUM(L141:L141)</f>
        <v>0</v>
      </c>
      <c r="M140" s="29" t="s">
        <v>253</v>
      </c>
      <c r="AI140" s="42" t="s">
        <v>253</v>
      </c>
      <c r="AS140" s="36">
        <f>SUM(AJ141:AJ141)</f>
        <v>0</v>
      </c>
      <c r="AT140" s="36">
        <f>SUM(AK141:AK141)</f>
        <v>0</v>
      </c>
      <c r="AU140" s="36">
        <f>SUM(AL141:AL141)</f>
        <v>0</v>
      </c>
    </row>
    <row r="141" spans="1:64" ht="15" customHeight="1">
      <c r="A141" s="14">
        <v>90</v>
      </c>
      <c r="B141" s="54" t="s">
        <v>10</v>
      </c>
      <c r="C141" s="97" t="s">
        <v>95</v>
      </c>
      <c r="D141" s="97"/>
      <c r="E141" s="97"/>
      <c r="F141" s="97"/>
      <c r="G141" s="54" t="s">
        <v>274</v>
      </c>
      <c r="H141" s="31">
        <v>1</v>
      </c>
      <c r="I141" s="64">
        <v>0</v>
      </c>
      <c r="J141" s="31">
        <f>H141*AO141</f>
        <v>0</v>
      </c>
      <c r="K141" s="31">
        <f>H141*AP141</f>
        <v>0</v>
      </c>
      <c r="L141" s="31">
        <f>H141*I141</f>
        <v>0</v>
      </c>
      <c r="M141" s="11" t="s">
        <v>253</v>
      </c>
      <c r="Z141" s="8">
        <f>IF(AQ141="5",BJ141,0)</f>
        <v>0</v>
      </c>
      <c r="AB141" s="8">
        <f>IF(AQ141="1",BH141,0)</f>
        <v>0</v>
      </c>
      <c r="AC141" s="8">
        <f>IF(AQ141="1",BI141,0)</f>
        <v>0</v>
      </c>
      <c r="AD141" s="8">
        <f>IF(AQ141="7",BH141,0)</f>
        <v>0</v>
      </c>
      <c r="AE141" s="8">
        <f>IF(AQ141="7",BI141,0)</f>
        <v>0</v>
      </c>
      <c r="AF141" s="8">
        <f>IF(AQ141="2",BH141,0)</f>
        <v>0</v>
      </c>
      <c r="AG141" s="8">
        <f>IF(AQ141="2",BI141,0)</f>
        <v>0</v>
      </c>
      <c r="AH141" s="8">
        <f>IF(AQ141="0",BJ141,0)</f>
        <v>0</v>
      </c>
      <c r="AI141" s="42" t="s">
        <v>253</v>
      </c>
      <c r="AJ141" s="31">
        <f>IF(AN141=0,L141,0)</f>
        <v>0</v>
      </c>
      <c r="AK141" s="31">
        <f>IF(AN141=15,L141,0)</f>
        <v>0</v>
      </c>
      <c r="AL141" s="31">
        <f>IF(AN141=21,L141,0)</f>
        <v>0</v>
      </c>
      <c r="AN141" s="8">
        <v>21</v>
      </c>
      <c r="AO141" s="8">
        <f>I141*0</f>
        <v>0</v>
      </c>
      <c r="AP141" s="8">
        <f>I141*(1-0)</f>
        <v>0</v>
      </c>
      <c r="AQ141" s="33" t="s">
        <v>248</v>
      </c>
      <c r="AV141" s="8">
        <f>AW141+AX141</f>
        <v>0</v>
      </c>
      <c r="AW141" s="8">
        <f>H141*AO141</f>
        <v>0</v>
      </c>
      <c r="AX141" s="8">
        <f>H141*AP141</f>
        <v>0</v>
      </c>
      <c r="AY141" s="12" t="s">
        <v>190</v>
      </c>
      <c r="AZ141" s="12" t="s">
        <v>131</v>
      </c>
      <c r="BA141" s="42" t="s">
        <v>273</v>
      </c>
      <c r="BC141" s="8">
        <f>AW141+AX141</f>
        <v>0</v>
      </c>
      <c r="BD141" s="8">
        <f>I141/(100-BE141)*100</f>
        <v>0</v>
      </c>
      <c r="BE141" s="8">
        <v>0</v>
      </c>
      <c r="BF141" s="8">
        <f>145</f>
        <v>145</v>
      </c>
      <c r="BH141" s="31">
        <f>H141*AO141</f>
        <v>0</v>
      </c>
      <c r="BI141" s="31">
        <f>H141*AP141</f>
        <v>0</v>
      </c>
      <c r="BJ141" s="31">
        <f>H141*I141</f>
        <v>0</v>
      </c>
      <c r="BK141" s="31"/>
      <c r="BL141" s="8"/>
    </row>
    <row r="142" spans="1:47" ht="15" customHeight="1">
      <c r="A142" s="47" t="s">
        <v>253</v>
      </c>
      <c r="B142" s="53" t="s">
        <v>6</v>
      </c>
      <c r="C142" s="96" t="s">
        <v>199</v>
      </c>
      <c r="D142" s="96"/>
      <c r="E142" s="96"/>
      <c r="F142" s="96"/>
      <c r="G142" s="32" t="s">
        <v>332</v>
      </c>
      <c r="H142" s="32" t="s">
        <v>332</v>
      </c>
      <c r="I142" s="32" t="s">
        <v>332</v>
      </c>
      <c r="J142" s="36">
        <f>SUM(J143:J143)</f>
        <v>0</v>
      </c>
      <c r="K142" s="36">
        <f>SUM(K143:K143)</f>
        <v>0</v>
      </c>
      <c r="L142" s="36">
        <f>SUM(L143:L143)</f>
        <v>0</v>
      </c>
      <c r="M142" s="29" t="s">
        <v>253</v>
      </c>
      <c r="AI142" s="42" t="s">
        <v>253</v>
      </c>
      <c r="AS142" s="36">
        <f>SUM(AJ143:AJ143)</f>
        <v>0</v>
      </c>
      <c r="AT142" s="36">
        <f>SUM(AK143:AK143)</f>
        <v>0</v>
      </c>
      <c r="AU142" s="36">
        <f>SUM(AL143:AL143)</f>
        <v>0</v>
      </c>
    </row>
    <row r="143" spans="1:64" ht="15" customHeight="1">
      <c r="A143" s="21">
        <v>91</v>
      </c>
      <c r="B143" s="55" t="s">
        <v>379</v>
      </c>
      <c r="C143" s="101" t="s">
        <v>104</v>
      </c>
      <c r="D143" s="101"/>
      <c r="E143" s="101"/>
      <c r="F143" s="101"/>
      <c r="G143" s="55" t="s">
        <v>170</v>
      </c>
      <c r="H143" s="7">
        <v>10</v>
      </c>
      <c r="I143" s="66">
        <v>0</v>
      </c>
      <c r="J143" s="7">
        <f>H143*AO143</f>
        <v>0</v>
      </c>
      <c r="K143" s="7">
        <f>H143*AP143</f>
        <v>0</v>
      </c>
      <c r="L143" s="7">
        <f>H143*I143</f>
        <v>0</v>
      </c>
      <c r="M143" s="19" t="s">
        <v>303</v>
      </c>
      <c r="Z143" s="8">
        <f>IF(AQ143="5",BJ143,0)</f>
        <v>0</v>
      </c>
      <c r="AB143" s="8">
        <f>IF(AQ143="1",BH143,0)</f>
        <v>0</v>
      </c>
      <c r="AC143" s="8">
        <f>IF(AQ143="1",BI143,0)</f>
        <v>0</v>
      </c>
      <c r="AD143" s="8">
        <f>IF(AQ143="7",BH143,0)</f>
        <v>0</v>
      </c>
      <c r="AE143" s="8">
        <f>IF(AQ143="7",BI143,0)</f>
        <v>0</v>
      </c>
      <c r="AF143" s="8">
        <f>IF(AQ143="2",BH143,0)</f>
        <v>0</v>
      </c>
      <c r="AG143" s="8">
        <f>IF(AQ143="2",BI143,0)</f>
        <v>0</v>
      </c>
      <c r="AH143" s="8">
        <f>IF(AQ143="0",BJ143,0)</f>
        <v>0</v>
      </c>
      <c r="AI143" s="42" t="s">
        <v>253</v>
      </c>
      <c r="AJ143" s="31">
        <f>IF(AN143=0,L143,0)</f>
        <v>0</v>
      </c>
      <c r="AK143" s="31">
        <f>IF(AN143=15,L143,0)</f>
        <v>0</v>
      </c>
      <c r="AL143" s="31">
        <f>IF(AN143=21,L143,0)</f>
        <v>0</v>
      </c>
      <c r="AN143" s="8">
        <v>21</v>
      </c>
      <c r="AO143" s="8">
        <f>I143*0</f>
        <v>0</v>
      </c>
      <c r="AP143" s="8">
        <f>I143*(1-0)</f>
        <v>0</v>
      </c>
      <c r="AQ143" s="33" t="s">
        <v>248</v>
      </c>
      <c r="AV143" s="8">
        <f>AW143+AX143</f>
        <v>0</v>
      </c>
      <c r="AW143" s="8">
        <f>H143*AO143</f>
        <v>0</v>
      </c>
      <c r="AX143" s="8">
        <f>H143*AP143</f>
        <v>0</v>
      </c>
      <c r="AY143" s="12" t="s">
        <v>384</v>
      </c>
      <c r="AZ143" s="12" t="s">
        <v>131</v>
      </c>
      <c r="BA143" s="42" t="s">
        <v>273</v>
      </c>
      <c r="BC143" s="8">
        <f>AW143+AX143</f>
        <v>0</v>
      </c>
      <c r="BD143" s="8">
        <f>I143/(100-BE143)*100</f>
        <v>0</v>
      </c>
      <c r="BE143" s="8">
        <v>0</v>
      </c>
      <c r="BF143" s="8">
        <f>147</f>
        <v>147</v>
      </c>
      <c r="BH143" s="31">
        <f>H143*AO143</f>
        <v>0</v>
      </c>
      <c r="BI143" s="31">
        <f>H143*AP143</f>
        <v>0</v>
      </c>
      <c r="BJ143" s="31">
        <f>H143*I143</f>
        <v>0</v>
      </c>
      <c r="BK143" s="31"/>
      <c r="BL143" s="8"/>
    </row>
    <row r="144" spans="10:12" ht="15" customHeight="1">
      <c r="J144" s="90" t="s">
        <v>284</v>
      </c>
      <c r="K144" s="90"/>
      <c r="L144" s="4">
        <f>L12+L16+L19+L21+L23+L26+L31+L33+L42+L45+L53+L56+L72+L92+L109+L115+L120+L140+L142</f>
        <v>0</v>
      </c>
    </row>
    <row r="145" ht="15" customHeight="1">
      <c r="A145" s="26" t="s">
        <v>29</v>
      </c>
    </row>
    <row r="146" spans="1:13" ht="12.75" customHeight="1">
      <c r="A146" s="74" t="s">
        <v>253</v>
      </c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</row>
  </sheetData>
  <sheetProtection password="CC09" sheet="1" selectLockedCells="1"/>
  <mergeCells count="162">
    <mergeCell ref="A146:M146"/>
    <mergeCell ref="J144:K144"/>
    <mergeCell ref="C138:F138"/>
    <mergeCell ref="C139:M139"/>
    <mergeCell ref="C140:F140"/>
    <mergeCell ref="C141:F141"/>
    <mergeCell ref="C142:F142"/>
    <mergeCell ref="C143:F143"/>
    <mergeCell ref="C132:M132"/>
    <mergeCell ref="C133:F133"/>
    <mergeCell ref="C134:F134"/>
    <mergeCell ref="C135:M135"/>
    <mergeCell ref="C136:F136"/>
    <mergeCell ref="C137:M137"/>
    <mergeCell ref="C126:M126"/>
    <mergeCell ref="C127:F127"/>
    <mergeCell ref="C128:M128"/>
    <mergeCell ref="C129:F129"/>
    <mergeCell ref="C130:M130"/>
    <mergeCell ref="C131:F131"/>
    <mergeCell ref="C120:F120"/>
    <mergeCell ref="C121:F121"/>
    <mergeCell ref="C122:M122"/>
    <mergeCell ref="C123:F123"/>
    <mergeCell ref="C124:M124"/>
    <mergeCell ref="C125:F125"/>
    <mergeCell ref="C114:M114"/>
    <mergeCell ref="C115:F115"/>
    <mergeCell ref="C116:F116"/>
    <mergeCell ref="C117:M117"/>
    <mergeCell ref="C118:F118"/>
    <mergeCell ref="C119:F119"/>
    <mergeCell ref="C108:F108"/>
    <mergeCell ref="C109:F109"/>
    <mergeCell ref="C110:F110"/>
    <mergeCell ref="C111:F111"/>
    <mergeCell ref="C112:M112"/>
    <mergeCell ref="C113:F113"/>
    <mergeCell ref="C102:F102"/>
    <mergeCell ref="C103:M103"/>
    <mergeCell ref="C104:F104"/>
    <mergeCell ref="C105:M105"/>
    <mergeCell ref="C106:F106"/>
    <mergeCell ref="C107:F107"/>
    <mergeCell ref="C96:F96"/>
    <mergeCell ref="C97:F97"/>
    <mergeCell ref="C98:M98"/>
    <mergeCell ref="C99:F99"/>
    <mergeCell ref="C100:F100"/>
    <mergeCell ref="C101:F101"/>
    <mergeCell ref="C90:F90"/>
    <mergeCell ref="C91:F91"/>
    <mergeCell ref="C92:F92"/>
    <mergeCell ref="C93:F93"/>
    <mergeCell ref="C94:M94"/>
    <mergeCell ref="C95:F95"/>
    <mergeCell ref="C84:F84"/>
    <mergeCell ref="C85:F85"/>
    <mergeCell ref="C86:F86"/>
    <mergeCell ref="C87:F87"/>
    <mergeCell ref="C88:F88"/>
    <mergeCell ref="C89:F89"/>
    <mergeCell ref="C78:F78"/>
    <mergeCell ref="C79:F79"/>
    <mergeCell ref="C80:F80"/>
    <mergeCell ref="C81:F81"/>
    <mergeCell ref="C82:F82"/>
    <mergeCell ref="C83:F83"/>
    <mergeCell ref="C72:F72"/>
    <mergeCell ref="C73:F73"/>
    <mergeCell ref="C74:F74"/>
    <mergeCell ref="C75:F75"/>
    <mergeCell ref="C76:F76"/>
    <mergeCell ref="C77:F77"/>
    <mergeCell ref="C66:F66"/>
    <mergeCell ref="C67:F67"/>
    <mergeCell ref="C68:F68"/>
    <mergeCell ref="C69:F69"/>
    <mergeCell ref="C70:F70"/>
    <mergeCell ref="C71:F71"/>
    <mergeCell ref="C60:M60"/>
    <mergeCell ref="C61:F61"/>
    <mergeCell ref="C62:F62"/>
    <mergeCell ref="C63:F63"/>
    <mergeCell ref="C64:F64"/>
    <mergeCell ref="C65:F65"/>
    <mergeCell ref="C54:F54"/>
    <mergeCell ref="C55:F55"/>
    <mergeCell ref="C56:F56"/>
    <mergeCell ref="C57:F57"/>
    <mergeCell ref="C58:F58"/>
    <mergeCell ref="C59:F59"/>
    <mergeCell ref="C51:F51"/>
    <mergeCell ref="C52:F52"/>
    <mergeCell ref="C53:F53"/>
    <mergeCell ref="C43:F43"/>
    <mergeCell ref="C44:M44"/>
    <mergeCell ref="C45:F45"/>
    <mergeCell ref="C46:F46"/>
    <mergeCell ref="C47:F47"/>
    <mergeCell ref="C48:F48"/>
    <mergeCell ref="C40:F40"/>
    <mergeCell ref="C41:F41"/>
    <mergeCell ref="C42:F42"/>
    <mergeCell ref="C49:F49"/>
    <mergeCell ref="C50:F50"/>
    <mergeCell ref="C34:F34"/>
    <mergeCell ref="C35:F35"/>
    <mergeCell ref="C36:F36"/>
    <mergeCell ref="C37:F37"/>
    <mergeCell ref="C38:F38"/>
    <mergeCell ref="C39:F39"/>
    <mergeCell ref="C28:M28"/>
    <mergeCell ref="C29:F29"/>
    <mergeCell ref="C30:M30"/>
    <mergeCell ref="C31:F31"/>
    <mergeCell ref="C32:F32"/>
    <mergeCell ref="C33:F33"/>
    <mergeCell ref="C22:F22"/>
    <mergeCell ref="C23:F23"/>
    <mergeCell ref="C24:F24"/>
    <mergeCell ref="C25:F25"/>
    <mergeCell ref="C26:F26"/>
    <mergeCell ref="C27:F27"/>
    <mergeCell ref="C16:F16"/>
    <mergeCell ref="C17:F17"/>
    <mergeCell ref="C18:M18"/>
    <mergeCell ref="C19:F19"/>
    <mergeCell ref="C20:F20"/>
    <mergeCell ref="C21:F21"/>
    <mergeCell ref="C11:F11"/>
    <mergeCell ref="J10:L10"/>
    <mergeCell ref="C12:F12"/>
    <mergeCell ref="C13:F13"/>
    <mergeCell ref="C14:M14"/>
    <mergeCell ref="C15:F15"/>
    <mergeCell ref="J2:M3"/>
    <mergeCell ref="J4:M5"/>
    <mergeCell ref="J6:M7"/>
    <mergeCell ref="J8:M9"/>
    <mergeCell ref="C10:F10"/>
    <mergeCell ref="I4:I5"/>
    <mergeCell ref="I6:I7"/>
    <mergeCell ref="I8:I9"/>
    <mergeCell ref="C2:D3"/>
    <mergeCell ref="C4:D5"/>
    <mergeCell ref="C6:D7"/>
    <mergeCell ref="C8:D9"/>
    <mergeCell ref="G2:H3"/>
    <mergeCell ref="G4:H5"/>
    <mergeCell ref="G6:H7"/>
    <mergeCell ref="G8:H9"/>
    <mergeCell ref="A1:M1"/>
    <mergeCell ref="A2:B3"/>
    <mergeCell ref="A4:B5"/>
    <mergeCell ref="A6:B7"/>
    <mergeCell ref="A8:B9"/>
    <mergeCell ref="E2:F3"/>
    <mergeCell ref="E4:F5"/>
    <mergeCell ref="E6:F7"/>
    <mergeCell ref="E8:F9"/>
    <mergeCell ref="I2:I3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OutlineSymbols="0" zoomScalePageLayoutView="0" workbookViewId="0" topLeftCell="A1">
      <pane ySplit="11" topLeftCell="A12" activePane="bottomLeft" state="frozen"/>
      <selection pane="topLeft" activeCell="C30" sqref="C30:D30"/>
      <selection pane="bottomLeft" activeCell="A2" sqref="A2:B3"/>
    </sheetView>
  </sheetViews>
  <sheetFormatPr defaultColWidth="14.16015625" defaultRowHeight="15" customHeight="1"/>
  <cols>
    <col min="1" max="2" width="5.33203125" style="0" customWidth="1"/>
    <col min="3" max="3" width="83.33203125" style="0" customWidth="1"/>
    <col min="4" max="4" width="18.66015625" style="0" bestFit="1" customWidth="1"/>
    <col min="5" max="7" width="32.5" style="0" customWidth="1"/>
    <col min="8" max="9" width="0" style="0" hidden="1" customWidth="1"/>
  </cols>
  <sheetData>
    <row r="1" spans="1:7" ht="54.75" customHeight="1">
      <c r="A1" s="67" t="s">
        <v>301</v>
      </c>
      <c r="B1" s="67"/>
      <c r="C1" s="67"/>
      <c r="D1" s="67"/>
      <c r="E1" s="67"/>
      <c r="F1" s="67"/>
      <c r="G1" s="67"/>
    </row>
    <row r="2" spans="1:7" ht="15" customHeight="1">
      <c r="A2" s="68" t="s">
        <v>21</v>
      </c>
      <c r="B2" s="69"/>
      <c r="C2" s="88" t="str">
        <f>'Stavební rozpočet'!C2</f>
        <v>Oprava krovu a střešního pláště objektu stájí ve Slavicích</v>
      </c>
      <c r="D2" s="69" t="s">
        <v>0</v>
      </c>
      <c r="E2" s="76" t="s">
        <v>332</v>
      </c>
      <c r="F2" s="73" t="s">
        <v>305</v>
      </c>
      <c r="G2" s="102" t="str">
        <f>'Stavební rozpočet'!J2</f>
        <v>Národní hřebčín Kladruby nad Labem</v>
      </c>
    </row>
    <row r="3" spans="1:7" ht="15" customHeight="1">
      <c r="A3" s="70"/>
      <c r="B3" s="71"/>
      <c r="C3" s="90"/>
      <c r="D3" s="71"/>
      <c r="E3" s="77"/>
      <c r="F3" s="71"/>
      <c r="G3" s="81"/>
    </row>
    <row r="4" spans="1:7" ht="15" customHeight="1">
      <c r="A4" s="72" t="s">
        <v>205</v>
      </c>
      <c r="B4" s="71"/>
      <c r="C4" s="74" t="str">
        <f>'Stavební rozpočet'!C4</f>
        <v>Stavební a konstrukční řešení</v>
      </c>
      <c r="D4" s="71" t="s">
        <v>316</v>
      </c>
      <c r="E4" s="77"/>
      <c r="F4" s="74" t="s">
        <v>249</v>
      </c>
      <c r="G4" s="103" t="str">
        <f>'Stavební rozpočet'!J4</f>
        <v>Projektový servis Chrudim, spol. s r. o.</v>
      </c>
    </row>
    <row r="5" spans="1:7" ht="15" customHeight="1">
      <c r="A5" s="70"/>
      <c r="B5" s="71"/>
      <c r="C5" s="71"/>
      <c r="D5" s="71"/>
      <c r="E5" s="77"/>
      <c r="F5" s="71"/>
      <c r="G5" s="81"/>
    </row>
    <row r="6" spans="1:7" ht="15" customHeight="1">
      <c r="A6" s="72" t="s">
        <v>30</v>
      </c>
      <c r="B6" s="71"/>
      <c r="C6" s="74" t="str">
        <f>'Stavební rozpočet'!C6</f>
        <v>kat. úz. Licibořice parc. č. st. 39, 786/12</v>
      </c>
      <c r="D6" s="71" t="s">
        <v>118</v>
      </c>
      <c r="E6" s="77" t="s">
        <v>332</v>
      </c>
      <c r="F6" s="74" t="s">
        <v>313</v>
      </c>
      <c r="G6" s="103">
        <f>'Stavební rozpočet'!J6</f>
        <v>0</v>
      </c>
    </row>
    <row r="7" spans="1:7" ht="15" customHeight="1">
      <c r="A7" s="70"/>
      <c r="B7" s="71"/>
      <c r="C7" s="71"/>
      <c r="D7" s="71"/>
      <c r="E7" s="77"/>
      <c r="F7" s="71"/>
      <c r="G7" s="81"/>
    </row>
    <row r="8" spans="1:7" ht="15" customHeight="1">
      <c r="A8" s="72" t="s">
        <v>243</v>
      </c>
      <c r="B8" s="71"/>
      <c r="C8" s="74" t="str">
        <f>'Stavební rozpočet'!J8</f>
        <v> </v>
      </c>
      <c r="D8" s="71" t="s">
        <v>209</v>
      </c>
      <c r="E8" s="77"/>
      <c r="F8" s="71" t="s">
        <v>209</v>
      </c>
      <c r="G8" s="103">
        <f>'Stavební rozpočet'!G8</f>
        <v>0</v>
      </c>
    </row>
    <row r="9" spans="1:7" ht="15" customHeight="1" thickBot="1">
      <c r="A9" s="70"/>
      <c r="B9" s="71"/>
      <c r="C9" s="71"/>
      <c r="D9" s="71"/>
      <c r="E9" s="77"/>
      <c r="F9" s="71"/>
      <c r="G9" s="81"/>
    </row>
    <row r="10" spans="1:7" ht="15" customHeight="1" thickBot="1">
      <c r="A10" s="104" t="s">
        <v>124</v>
      </c>
      <c r="B10" s="105"/>
      <c r="C10" s="59" t="s">
        <v>378</v>
      </c>
      <c r="D10" s="60"/>
      <c r="E10" s="61" t="s">
        <v>185</v>
      </c>
      <c r="F10" s="62" t="s">
        <v>396</v>
      </c>
      <c r="G10" s="63" t="s">
        <v>18</v>
      </c>
    </row>
    <row r="11" spans="1:9" ht="15" customHeight="1">
      <c r="A11" s="70" t="s">
        <v>302</v>
      </c>
      <c r="B11" s="71"/>
      <c r="C11" s="71" t="s">
        <v>206</v>
      </c>
      <c r="D11" s="71"/>
      <c r="E11" s="8">
        <f>'Stavební rozpočet'!J12</f>
        <v>0</v>
      </c>
      <c r="F11" s="8">
        <f>'Stavební rozpočet'!K12</f>
        <v>0</v>
      </c>
      <c r="G11" s="8">
        <f>'Stavební rozpočet'!L12</f>
        <v>0</v>
      </c>
      <c r="H11" s="8"/>
      <c r="I11" s="8">
        <f aca="true" t="shared" si="0" ref="I11:I29">IF(G11="F",0,G11)</f>
        <v>0</v>
      </c>
    </row>
    <row r="12" spans="1:9" ht="15" customHeight="1">
      <c r="A12" s="70" t="s">
        <v>109</v>
      </c>
      <c r="B12" s="71"/>
      <c r="C12" s="71" t="s">
        <v>2</v>
      </c>
      <c r="D12" s="71"/>
      <c r="E12" s="8">
        <f>'Stavební rozpočet'!J16</f>
        <v>0</v>
      </c>
      <c r="F12" s="8">
        <f>'Stavební rozpočet'!K16</f>
        <v>0</v>
      </c>
      <c r="G12" s="8">
        <f>'Stavební rozpočet'!L16</f>
        <v>0</v>
      </c>
      <c r="H12" s="8"/>
      <c r="I12" s="8">
        <f t="shared" si="0"/>
        <v>0</v>
      </c>
    </row>
    <row r="13" spans="1:9" ht="15" customHeight="1">
      <c r="A13" s="70" t="s">
        <v>254</v>
      </c>
      <c r="B13" s="71"/>
      <c r="C13" s="71" t="s">
        <v>53</v>
      </c>
      <c r="D13" s="71"/>
      <c r="E13" s="8">
        <f>'Stavební rozpočet'!J19</f>
        <v>0</v>
      </c>
      <c r="F13" s="8">
        <f>'Stavební rozpočet'!K19</f>
        <v>0</v>
      </c>
      <c r="G13" s="8">
        <f>'Stavební rozpočet'!L19</f>
        <v>0</v>
      </c>
      <c r="H13" s="8"/>
      <c r="I13" s="8">
        <f t="shared" si="0"/>
        <v>0</v>
      </c>
    </row>
    <row r="14" spans="1:9" ht="15" customHeight="1">
      <c r="A14" s="70" t="s">
        <v>230</v>
      </c>
      <c r="B14" s="71"/>
      <c r="C14" s="71" t="s">
        <v>245</v>
      </c>
      <c r="D14" s="71"/>
      <c r="E14" s="8">
        <f>'Stavební rozpočet'!J21</f>
        <v>0</v>
      </c>
      <c r="F14" s="8">
        <f>'Stavební rozpočet'!K21</f>
        <v>0</v>
      </c>
      <c r="G14" s="8">
        <f>'Stavební rozpočet'!L21</f>
        <v>0</v>
      </c>
      <c r="H14" s="8"/>
      <c r="I14" s="8">
        <f t="shared" si="0"/>
        <v>0</v>
      </c>
    </row>
    <row r="15" spans="1:9" ht="15" customHeight="1">
      <c r="A15" s="70" t="s">
        <v>336</v>
      </c>
      <c r="B15" s="71"/>
      <c r="C15" s="71" t="s">
        <v>191</v>
      </c>
      <c r="D15" s="71"/>
      <c r="E15" s="8">
        <f>'Stavební rozpočet'!J23</f>
        <v>0</v>
      </c>
      <c r="F15" s="8">
        <f>'Stavební rozpočet'!K23</f>
        <v>0</v>
      </c>
      <c r="G15" s="8">
        <f>'Stavební rozpočet'!L23</f>
        <v>0</v>
      </c>
      <c r="H15" s="8"/>
      <c r="I15" s="8">
        <f t="shared" si="0"/>
        <v>0</v>
      </c>
    </row>
    <row r="16" spans="1:9" ht="15" customHeight="1">
      <c r="A16" s="70" t="s">
        <v>388</v>
      </c>
      <c r="B16" s="71"/>
      <c r="C16" s="71" t="s">
        <v>295</v>
      </c>
      <c r="D16" s="71"/>
      <c r="E16" s="8">
        <f>'Stavební rozpočet'!J26</f>
        <v>0</v>
      </c>
      <c r="F16" s="8">
        <f>'Stavební rozpočet'!K26</f>
        <v>0</v>
      </c>
      <c r="G16" s="8">
        <f>'Stavební rozpočet'!L26</f>
        <v>0</v>
      </c>
      <c r="H16" s="8"/>
      <c r="I16" s="8">
        <f t="shared" si="0"/>
        <v>0</v>
      </c>
    </row>
    <row r="17" spans="1:9" ht="15" customHeight="1">
      <c r="A17" s="70" t="s">
        <v>11</v>
      </c>
      <c r="B17" s="71"/>
      <c r="C17" s="71" t="s">
        <v>134</v>
      </c>
      <c r="D17" s="71"/>
      <c r="E17" s="8">
        <f>'Stavební rozpočet'!J31</f>
        <v>0</v>
      </c>
      <c r="F17" s="8">
        <f>'Stavební rozpočet'!K31</f>
        <v>0</v>
      </c>
      <c r="G17" s="8">
        <f>'Stavební rozpočet'!L31</f>
        <v>0</v>
      </c>
      <c r="H17" s="8"/>
      <c r="I17" s="8">
        <f t="shared" si="0"/>
        <v>0</v>
      </c>
    </row>
    <row r="18" spans="1:9" ht="15" customHeight="1">
      <c r="A18" s="70" t="s">
        <v>45</v>
      </c>
      <c r="B18" s="71"/>
      <c r="C18" s="71" t="s">
        <v>255</v>
      </c>
      <c r="D18" s="71"/>
      <c r="E18" s="8">
        <f>'Stavební rozpočet'!J33</f>
        <v>0</v>
      </c>
      <c r="F18" s="8">
        <f>'Stavební rozpočet'!K33</f>
        <v>0</v>
      </c>
      <c r="G18" s="8">
        <f>'Stavební rozpočet'!L33</f>
        <v>0</v>
      </c>
      <c r="H18" s="8"/>
      <c r="I18" s="8">
        <f t="shared" si="0"/>
        <v>0</v>
      </c>
    </row>
    <row r="19" spans="1:9" ht="15" customHeight="1">
      <c r="A19" s="70" t="s">
        <v>44</v>
      </c>
      <c r="B19" s="71"/>
      <c r="C19" s="71" t="s">
        <v>387</v>
      </c>
      <c r="D19" s="71"/>
      <c r="E19" s="8">
        <f>'Stavební rozpočet'!J42</f>
        <v>0</v>
      </c>
      <c r="F19" s="8">
        <f>'Stavební rozpočet'!K42</f>
        <v>0</v>
      </c>
      <c r="G19" s="8">
        <f>'Stavební rozpočet'!L42</f>
        <v>0</v>
      </c>
      <c r="H19" s="8"/>
      <c r="I19" s="8">
        <f t="shared" si="0"/>
        <v>0</v>
      </c>
    </row>
    <row r="20" spans="1:9" ht="15" customHeight="1">
      <c r="A20" s="70" t="s">
        <v>125</v>
      </c>
      <c r="B20" s="71"/>
      <c r="C20" s="71" t="s">
        <v>162</v>
      </c>
      <c r="D20" s="71"/>
      <c r="E20" s="8">
        <f>'Stavební rozpočet'!J45</f>
        <v>0</v>
      </c>
      <c r="F20" s="8">
        <f>'Stavební rozpočet'!K45</f>
        <v>0</v>
      </c>
      <c r="G20" s="8">
        <f>'Stavební rozpočet'!L45</f>
        <v>0</v>
      </c>
      <c r="H20" s="8"/>
      <c r="I20" s="8">
        <f t="shared" si="0"/>
        <v>0</v>
      </c>
    </row>
    <row r="21" spans="1:9" ht="15" customHeight="1">
      <c r="A21" s="70" t="s">
        <v>237</v>
      </c>
      <c r="B21" s="71"/>
      <c r="C21" s="71" t="s">
        <v>398</v>
      </c>
      <c r="D21" s="71"/>
      <c r="E21" s="8">
        <f>'Stavební rozpočet'!J53</f>
        <v>0</v>
      </c>
      <c r="F21" s="8">
        <f>'Stavební rozpočet'!K53</f>
        <v>0</v>
      </c>
      <c r="G21" s="8">
        <f>'Stavební rozpočet'!L53</f>
        <v>0</v>
      </c>
      <c r="H21" s="8"/>
      <c r="I21" s="8">
        <f t="shared" si="0"/>
        <v>0</v>
      </c>
    </row>
    <row r="22" spans="1:9" ht="15" customHeight="1">
      <c r="A22" s="70" t="s">
        <v>227</v>
      </c>
      <c r="B22" s="71"/>
      <c r="C22" s="71" t="s">
        <v>371</v>
      </c>
      <c r="D22" s="71"/>
      <c r="E22" s="8">
        <f>'Stavební rozpočet'!J56</f>
        <v>0</v>
      </c>
      <c r="F22" s="8">
        <f>'Stavební rozpočet'!K56</f>
        <v>0</v>
      </c>
      <c r="G22" s="8">
        <f>'Stavební rozpočet'!L56</f>
        <v>0</v>
      </c>
      <c r="H22" s="8"/>
      <c r="I22" s="8">
        <f t="shared" si="0"/>
        <v>0</v>
      </c>
    </row>
    <row r="23" spans="1:9" ht="15" customHeight="1">
      <c r="A23" s="70" t="s">
        <v>27</v>
      </c>
      <c r="B23" s="71"/>
      <c r="C23" s="71" t="s">
        <v>54</v>
      </c>
      <c r="D23" s="71"/>
      <c r="E23" s="8">
        <f>'Stavební rozpočet'!J72</f>
        <v>0</v>
      </c>
      <c r="F23" s="8">
        <f>'Stavební rozpočet'!K72</f>
        <v>0</v>
      </c>
      <c r="G23" s="8">
        <f>'Stavební rozpočet'!L72</f>
        <v>0</v>
      </c>
      <c r="H23" s="8"/>
      <c r="I23" s="8">
        <f t="shared" si="0"/>
        <v>0</v>
      </c>
    </row>
    <row r="24" spans="1:9" ht="15" customHeight="1">
      <c r="A24" s="70" t="s">
        <v>102</v>
      </c>
      <c r="B24" s="71"/>
      <c r="C24" s="71" t="s">
        <v>309</v>
      </c>
      <c r="D24" s="71"/>
      <c r="E24" s="8">
        <f>'Stavební rozpočet'!J92</f>
        <v>0</v>
      </c>
      <c r="F24" s="8">
        <f>'Stavební rozpočet'!K92</f>
        <v>0</v>
      </c>
      <c r="G24" s="8">
        <f>'Stavební rozpočet'!L92</f>
        <v>0</v>
      </c>
      <c r="H24" s="8"/>
      <c r="I24" s="8">
        <f t="shared" si="0"/>
        <v>0</v>
      </c>
    </row>
    <row r="25" spans="1:9" ht="15" customHeight="1">
      <c r="A25" s="70" t="s">
        <v>174</v>
      </c>
      <c r="B25" s="71"/>
      <c r="C25" s="71" t="s">
        <v>112</v>
      </c>
      <c r="D25" s="71"/>
      <c r="E25" s="8">
        <f>'Stavební rozpočet'!J109</f>
        <v>0</v>
      </c>
      <c r="F25" s="8">
        <f>'Stavební rozpočet'!K109</f>
        <v>0</v>
      </c>
      <c r="G25" s="8">
        <f>'Stavební rozpočet'!L109</f>
        <v>0</v>
      </c>
      <c r="H25" s="8"/>
      <c r="I25" s="8">
        <f t="shared" si="0"/>
        <v>0</v>
      </c>
    </row>
    <row r="26" spans="1:9" ht="15" customHeight="1">
      <c r="A26" s="70" t="s">
        <v>212</v>
      </c>
      <c r="B26" s="71"/>
      <c r="C26" s="71" t="s">
        <v>288</v>
      </c>
      <c r="D26" s="71"/>
      <c r="E26" s="8">
        <f>'Stavební rozpočet'!J115</f>
        <v>0</v>
      </c>
      <c r="F26" s="8">
        <f>'Stavební rozpočet'!K115</f>
        <v>0</v>
      </c>
      <c r="G26" s="8">
        <f>'Stavební rozpočet'!L115</f>
        <v>0</v>
      </c>
      <c r="H26" s="8"/>
      <c r="I26" s="8">
        <f t="shared" si="0"/>
        <v>0</v>
      </c>
    </row>
    <row r="27" spans="1:9" ht="15" customHeight="1">
      <c r="A27" s="70" t="s">
        <v>59</v>
      </c>
      <c r="B27" s="71"/>
      <c r="C27" s="71" t="s">
        <v>271</v>
      </c>
      <c r="D27" s="71"/>
      <c r="E27" s="8">
        <f>'Stavební rozpočet'!J120</f>
        <v>0</v>
      </c>
      <c r="F27" s="8">
        <f>'Stavební rozpočet'!K120</f>
        <v>0</v>
      </c>
      <c r="G27" s="8">
        <f>'Stavební rozpočet'!L120</f>
        <v>0</v>
      </c>
      <c r="H27" s="8"/>
      <c r="I27" s="8">
        <f t="shared" si="0"/>
        <v>0</v>
      </c>
    </row>
    <row r="28" spans="1:9" ht="15" customHeight="1">
      <c r="A28" s="70" t="s">
        <v>133</v>
      </c>
      <c r="B28" s="71"/>
      <c r="C28" s="71" t="s">
        <v>341</v>
      </c>
      <c r="D28" s="71"/>
      <c r="E28" s="8">
        <f>'Stavební rozpočet'!J140</f>
        <v>0</v>
      </c>
      <c r="F28" s="8">
        <f>'Stavební rozpočet'!K140</f>
        <v>0</v>
      </c>
      <c r="G28" s="8">
        <f>'Stavební rozpočet'!L140</f>
        <v>0</v>
      </c>
      <c r="H28" s="8"/>
      <c r="I28" s="8">
        <f t="shared" si="0"/>
        <v>0</v>
      </c>
    </row>
    <row r="29" spans="1:9" ht="15" customHeight="1">
      <c r="A29" s="70" t="s">
        <v>6</v>
      </c>
      <c r="B29" s="71"/>
      <c r="C29" s="71" t="s">
        <v>199</v>
      </c>
      <c r="D29" s="71"/>
      <c r="E29" s="8">
        <f>'Stavební rozpočet'!J142</f>
        <v>0</v>
      </c>
      <c r="F29" s="8">
        <f>'Stavební rozpočet'!K142</f>
        <v>0</v>
      </c>
      <c r="G29" s="8">
        <f>'Stavební rozpočet'!L142</f>
        <v>0</v>
      </c>
      <c r="H29" s="8"/>
      <c r="I29" s="8">
        <f t="shared" si="0"/>
        <v>0</v>
      </c>
    </row>
    <row r="30" spans="6:7" ht="15" customHeight="1">
      <c r="F30" s="50" t="s">
        <v>284</v>
      </c>
      <c r="G30" s="4">
        <f>SUM(H11:H29)</f>
        <v>0</v>
      </c>
    </row>
  </sheetData>
  <sheetProtection password="CC09" sheet="1" selectLockedCells="1"/>
  <mergeCells count="64">
    <mergeCell ref="A29:B29"/>
    <mergeCell ref="C29:D29"/>
    <mergeCell ref="A25:B25"/>
    <mergeCell ref="C25:D25"/>
    <mergeCell ref="A26:B26"/>
    <mergeCell ref="C26:D26"/>
    <mergeCell ref="A27:B27"/>
    <mergeCell ref="C27:D27"/>
    <mergeCell ref="A23:B23"/>
    <mergeCell ref="C23:D23"/>
    <mergeCell ref="A24:B24"/>
    <mergeCell ref="C24:D24"/>
    <mergeCell ref="A28:B28"/>
    <mergeCell ref="C28:D28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G2:G3"/>
    <mergeCell ref="G4:G5"/>
    <mergeCell ref="G6:G7"/>
    <mergeCell ref="G8:G9"/>
    <mergeCell ref="A10:B10"/>
    <mergeCell ref="F4:F5"/>
    <mergeCell ref="F6:F7"/>
    <mergeCell ref="F8:F9"/>
    <mergeCell ref="C2:C3"/>
    <mergeCell ref="C4:C5"/>
    <mergeCell ref="C6:C7"/>
    <mergeCell ref="C8:C9"/>
    <mergeCell ref="E2:E3"/>
    <mergeCell ref="E4:E5"/>
    <mergeCell ref="E6:E7"/>
    <mergeCell ref="E8:E9"/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OutlineSymbols="0" zoomScalePageLayoutView="0" workbookViewId="0" topLeftCell="A1">
      <selection activeCell="A2" sqref="A2:B3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106" t="s">
        <v>83</v>
      </c>
      <c r="B1" s="67"/>
      <c r="C1" s="67"/>
      <c r="D1" s="67"/>
      <c r="E1" s="67"/>
      <c r="F1" s="67"/>
      <c r="G1" s="67"/>
      <c r="H1" s="67"/>
      <c r="I1" s="67"/>
    </row>
    <row r="2" spans="1:9" ht="15" customHeight="1">
      <c r="A2" s="68" t="s">
        <v>21</v>
      </c>
      <c r="B2" s="69"/>
      <c r="C2" s="88" t="str">
        <f>'Stavební rozpočet'!C2</f>
        <v>Oprava krovu a střešního pláště objektu stájí ve Slavicích</v>
      </c>
      <c r="D2" s="89"/>
      <c r="E2" s="73" t="s">
        <v>305</v>
      </c>
      <c r="F2" s="73" t="str">
        <f>'Stavební rozpočet'!J2</f>
        <v>Národní hřebčín Kladruby nad Labem</v>
      </c>
      <c r="G2" s="69"/>
      <c r="H2" s="73" t="s">
        <v>239</v>
      </c>
      <c r="I2" s="110" t="s">
        <v>400</v>
      </c>
    </row>
    <row r="3" spans="1:9" ht="15" customHeight="1">
      <c r="A3" s="70"/>
      <c r="B3" s="71"/>
      <c r="C3" s="90"/>
      <c r="D3" s="90"/>
      <c r="E3" s="71"/>
      <c r="F3" s="71"/>
      <c r="G3" s="71"/>
      <c r="H3" s="71"/>
      <c r="I3" s="81"/>
    </row>
    <row r="4" spans="1:9" ht="15" customHeight="1">
      <c r="A4" s="72" t="s">
        <v>205</v>
      </c>
      <c r="B4" s="71"/>
      <c r="C4" s="74" t="str">
        <f>'Stavební rozpočet'!C4</f>
        <v>Stavební a konstrukční řešení</v>
      </c>
      <c r="D4" s="71"/>
      <c r="E4" s="74" t="s">
        <v>249</v>
      </c>
      <c r="F4" s="74" t="str">
        <f>'Stavební rozpočet'!J4</f>
        <v>Projektový servis Chrudim, spol. s r. o.</v>
      </c>
      <c r="G4" s="71"/>
      <c r="H4" s="74" t="s">
        <v>239</v>
      </c>
      <c r="I4" s="111" t="s">
        <v>401</v>
      </c>
    </row>
    <row r="5" spans="1:9" ht="15" customHeight="1">
      <c r="A5" s="70"/>
      <c r="B5" s="71"/>
      <c r="C5" s="71"/>
      <c r="D5" s="71"/>
      <c r="E5" s="71"/>
      <c r="F5" s="71"/>
      <c r="G5" s="71"/>
      <c r="H5" s="71"/>
      <c r="I5" s="81"/>
    </row>
    <row r="6" spans="1:9" ht="15" customHeight="1">
      <c r="A6" s="72" t="s">
        <v>30</v>
      </c>
      <c r="B6" s="71"/>
      <c r="C6" s="74" t="str">
        <f>'Stavební rozpočet'!C6</f>
        <v>kat. úz. Licibořice parc. č. st. 39, 786/12</v>
      </c>
      <c r="D6" s="71"/>
      <c r="E6" s="74" t="s">
        <v>313</v>
      </c>
      <c r="F6" s="74">
        <f>'Stavební rozpočet'!J6</f>
        <v>0</v>
      </c>
      <c r="G6" s="71"/>
      <c r="H6" s="74" t="s">
        <v>239</v>
      </c>
      <c r="I6" s="111"/>
    </row>
    <row r="7" spans="1:9" ht="15" customHeight="1">
      <c r="A7" s="70"/>
      <c r="B7" s="71"/>
      <c r="C7" s="71"/>
      <c r="D7" s="71"/>
      <c r="E7" s="71"/>
      <c r="F7" s="71"/>
      <c r="G7" s="71"/>
      <c r="H7" s="71"/>
      <c r="I7" s="81"/>
    </row>
    <row r="8" spans="1:9" ht="15" customHeight="1">
      <c r="A8" s="72" t="s">
        <v>316</v>
      </c>
      <c r="B8" s="71"/>
      <c r="C8" s="109"/>
      <c r="D8" s="77"/>
      <c r="E8" s="74" t="s">
        <v>118</v>
      </c>
      <c r="F8" s="109" t="str">
        <f>'Stavební rozpočet'!G6</f>
        <v> </v>
      </c>
      <c r="G8" s="77"/>
      <c r="H8" s="71" t="s">
        <v>357</v>
      </c>
      <c r="I8" s="112">
        <f>'Stavební rozpočet'!A143</f>
        <v>91</v>
      </c>
    </row>
    <row r="9" spans="1:9" ht="15" customHeight="1">
      <c r="A9" s="70"/>
      <c r="B9" s="71"/>
      <c r="C9" s="77"/>
      <c r="D9" s="77"/>
      <c r="E9" s="71"/>
      <c r="F9" s="77"/>
      <c r="G9" s="77"/>
      <c r="H9" s="71"/>
      <c r="I9" s="81"/>
    </row>
    <row r="10" spans="1:9" ht="15" customHeight="1">
      <c r="A10" s="72" t="s">
        <v>181</v>
      </c>
      <c r="B10" s="71"/>
      <c r="C10" s="74" t="str">
        <f>'Stavební rozpočet'!C8</f>
        <v> </v>
      </c>
      <c r="D10" s="71"/>
      <c r="E10" s="74" t="s">
        <v>243</v>
      </c>
      <c r="F10" s="74" t="str">
        <f>'Stavební rozpočet'!J8</f>
        <v> </v>
      </c>
      <c r="G10" s="71"/>
      <c r="H10" s="71" t="s">
        <v>343</v>
      </c>
      <c r="I10" s="113">
        <f>'Stavební rozpočet'!G8</f>
        <v>0</v>
      </c>
    </row>
    <row r="11" spans="1:9" ht="15" customHeight="1">
      <c r="A11" s="107"/>
      <c r="B11" s="108"/>
      <c r="C11" s="108"/>
      <c r="D11" s="108"/>
      <c r="E11" s="108"/>
      <c r="F11" s="108"/>
      <c r="G11" s="108"/>
      <c r="H11" s="108"/>
      <c r="I11" s="114"/>
    </row>
    <row r="12" spans="1:9" ht="22.5" customHeight="1">
      <c r="A12" s="115" t="s">
        <v>62</v>
      </c>
      <c r="B12" s="115"/>
      <c r="C12" s="115"/>
      <c r="D12" s="115"/>
      <c r="E12" s="115"/>
      <c r="F12" s="115"/>
      <c r="G12" s="115"/>
      <c r="H12" s="115"/>
      <c r="I12" s="115"/>
    </row>
    <row r="13" spans="1:9" ht="26.25" customHeight="1">
      <c r="A13" s="41" t="s">
        <v>320</v>
      </c>
      <c r="B13" s="116" t="s">
        <v>49</v>
      </c>
      <c r="C13" s="117"/>
      <c r="D13" s="25" t="s">
        <v>68</v>
      </c>
      <c r="E13" s="116" t="s">
        <v>136</v>
      </c>
      <c r="F13" s="117"/>
      <c r="G13" s="25" t="s">
        <v>232</v>
      </c>
      <c r="H13" s="116" t="s">
        <v>69</v>
      </c>
      <c r="I13" s="117"/>
    </row>
    <row r="14" spans="1:9" ht="15" customHeight="1">
      <c r="A14" s="10" t="s">
        <v>138</v>
      </c>
      <c r="B14" s="57" t="s">
        <v>91</v>
      </c>
      <c r="C14" s="6">
        <f>SUM('Stavební rozpočet'!AB12:AB143)</f>
        <v>0</v>
      </c>
      <c r="D14" s="124" t="s">
        <v>258</v>
      </c>
      <c r="E14" s="125"/>
      <c r="F14" s="6">
        <f>VORN!I15</f>
        <v>0</v>
      </c>
      <c r="G14" s="124" t="s">
        <v>37</v>
      </c>
      <c r="H14" s="125"/>
      <c r="I14" s="18">
        <f>VORN!I21</f>
        <v>0</v>
      </c>
    </row>
    <row r="15" spans="1:9" ht="15" customHeight="1">
      <c r="A15" s="17" t="s">
        <v>253</v>
      </c>
      <c r="B15" s="57" t="s">
        <v>72</v>
      </c>
      <c r="C15" s="6">
        <f>SUM('Stavební rozpočet'!AC12:AC143)</f>
        <v>0</v>
      </c>
      <c r="D15" s="124" t="s">
        <v>35</v>
      </c>
      <c r="E15" s="125"/>
      <c r="F15" s="6">
        <f>VORN!I16</f>
        <v>0</v>
      </c>
      <c r="G15" s="124" t="s">
        <v>286</v>
      </c>
      <c r="H15" s="125"/>
      <c r="I15" s="18">
        <f>VORN!I22</f>
        <v>0</v>
      </c>
    </row>
    <row r="16" spans="1:9" ht="15" customHeight="1">
      <c r="A16" s="10" t="s">
        <v>33</v>
      </c>
      <c r="B16" s="57" t="s">
        <v>91</v>
      </c>
      <c r="C16" s="6">
        <f>SUM('Stavební rozpočet'!AD12:AD143)</f>
        <v>0</v>
      </c>
      <c r="D16" s="124" t="s">
        <v>265</v>
      </c>
      <c r="E16" s="125"/>
      <c r="F16" s="6">
        <f>VORN!I17</f>
        <v>0</v>
      </c>
      <c r="G16" s="124" t="s">
        <v>339</v>
      </c>
      <c r="H16" s="125"/>
      <c r="I16" s="18">
        <f>VORN!I23</f>
        <v>0</v>
      </c>
    </row>
    <row r="17" spans="1:9" ht="15" customHeight="1">
      <c r="A17" s="17" t="s">
        <v>253</v>
      </c>
      <c r="B17" s="57" t="s">
        <v>72</v>
      </c>
      <c r="C17" s="6">
        <f>SUM('Stavební rozpočet'!AE12:AE143)</f>
        <v>0</v>
      </c>
      <c r="D17" s="124" t="s">
        <v>253</v>
      </c>
      <c r="E17" s="125"/>
      <c r="F17" s="18" t="s">
        <v>253</v>
      </c>
      <c r="G17" s="124" t="s">
        <v>200</v>
      </c>
      <c r="H17" s="125"/>
      <c r="I17" s="18">
        <f>VORN!I24</f>
        <v>0</v>
      </c>
    </row>
    <row r="18" spans="1:9" ht="15" customHeight="1">
      <c r="A18" s="10" t="s">
        <v>111</v>
      </c>
      <c r="B18" s="57" t="s">
        <v>91</v>
      </c>
      <c r="C18" s="6">
        <f>SUM('Stavební rozpočet'!AF12:AF143)</f>
        <v>0</v>
      </c>
      <c r="D18" s="124" t="s">
        <v>253</v>
      </c>
      <c r="E18" s="125"/>
      <c r="F18" s="18" t="s">
        <v>253</v>
      </c>
      <c r="G18" s="124" t="s">
        <v>240</v>
      </c>
      <c r="H18" s="125"/>
      <c r="I18" s="18">
        <f>VORN!I25</f>
        <v>0</v>
      </c>
    </row>
    <row r="19" spans="1:9" ht="15" customHeight="1">
      <c r="A19" s="17" t="s">
        <v>253</v>
      </c>
      <c r="B19" s="57" t="s">
        <v>72</v>
      </c>
      <c r="C19" s="6">
        <f>SUM('Stavební rozpočet'!AG12:AG143)</f>
        <v>0</v>
      </c>
      <c r="D19" s="124" t="s">
        <v>253</v>
      </c>
      <c r="E19" s="125"/>
      <c r="F19" s="18" t="s">
        <v>253</v>
      </c>
      <c r="G19" s="124" t="s">
        <v>349</v>
      </c>
      <c r="H19" s="125"/>
      <c r="I19" s="18">
        <f>VORN!I26</f>
        <v>0</v>
      </c>
    </row>
    <row r="20" spans="1:9" ht="15" customHeight="1">
      <c r="A20" s="118" t="s">
        <v>23</v>
      </c>
      <c r="B20" s="119"/>
      <c r="C20" s="6">
        <f>SUM('Stavební rozpočet'!AH12:AH143)</f>
        <v>0</v>
      </c>
      <c r="D20" s="124" t="s">
        <v>253</v>
      </c>
      <c r="E20" s="125"/>
      <c r="F20" s="18" t="s">
        <v>253</v>
      </c>
      <c r="G20" s="124" t="s">
        <v>253</v>
      </c>
      <c r="H20" s="125"/>
      <c r="I20" s="18" t="s">
        <v>253</v>
      </c>
    </row>
    <row r="21" spans="1:9" ht="15" customHeight="1">
      <c r="A21" s="120" t="s">
        <v>348</v>
      </c>
      <c r="B21" s="121"/>
      <c r="C21" s="3">
        <f>SUM('Stavební rozpočet'!Z12:Z143)</f>
        <v>0</v>
      </c>
      <c r="D21" s="126" t="s">
        <v>253</v>
      </c>
      <c r="E21" s="127"/>
      <c r="F21" s="24" t="s">
        <v>253</v>
      </c>
      <c r="G21" s="126" t="s">
        <v>253</v>
      </c>
      <c r="H21" s="127"/>
      <c r="I21" s="24" t="s">
        <v>253</v>
      </c>
    </row>
    <row r="22" spans="1:9" ht="16.5" customHeight="1">
      <c r="A22" s="122" t="s">
        <v>76</v>
      </c>
      <c r="B22" s="123"/>
      <c r="C22" s="2">
        <f>SUM(C14:C21)</f>
        <v>0</v>
      </c>
      <c r="D22" s="128" t="s">
        <v>194</v>
      </c>
      <c r="E22" s="123"/>
      <c r="F22" s="2">
        <f>SUM(F14:F21)</f>
        <v>0</v>
      </c>
      <c r="G22" s="128" t="s">
        <v>358</v>
      </c>
      <c r="H22" s="123"/>
      <c r="I22" s="2">
        <f>SUM(I14:I21)</f>
        <v>0</v>
      </c>
    </row>
    <row r="23" spans="4:9" ht="15" customHeight="1">
      <c r="D23" s="118" t="s">
        <v>290</v>
      </c>
      <c r="E23" s="119"/>
      <c r="F23" s="27">
        <v>0</v>
      </c>
      <c r="G23" s="129" t="s">
        <v>17</v>
      </c>
      <c r="H23" s="119"/>
      <c r="I23" s="6">
        <v>0</v>
      </c>
    </row>
    <row r="24" spans="7:9" ht="15" customHeight="1">
      <c r="G24" s="118" t="s">
        <v>250</v>
      </c>
      <c r="H24" s="119"/>
      <c r="I24" s="3">
        <f>vorn_sum</f>
        <v>0</v>
      </c>
    </row>
    <row r="25" spans="7:9" ht="15" customHeight="1">
      <c r="G25" s="118" t="s">
        <v>275</v>
      </c>
      <c r="H25" s="119"/>
      <c r="I25" s="2">
        <v>0</v>
      </c>
    </row>
    <row r="27" spans="1:3" ht="15" customHeight="1">
      <c r="A27" s="130" t="s">
        <v>157</v>
      </c>
      <c r="B27" s="131"/>
      <c r="C27" s="45">
        <f>SUM('Stavební rozpočet'!AJ12:AJ143)</f>
        <v>0</v>
      </c>
    </row>
    <row r="28" spans="1:9" ht="15" customHeight="1">
      <c r="A28" s="132" t="s">
        <v>7</v>
      </c>
      <c r="B28" s="133"/>
      <c r="C28" s="16">
        <f>SUM('Stavební rozpočet'!AK12:AK143)</f>
        <v>0</v>
      </c>
      <c r="D28" s="131" t="s">
        <v>82</v>
      </c>
      <c r="E28" s="131"/>
      <c r="F28" s="45">
        <f>ROUND(C28*(15/100),2)</f>
        <v>0</v>
      </c>
      <c r="G28" s="131" t="s">
        <v>56</v>
      </c>
      <c r="H28" s="131"/>
      <c r="I28" s="45">
        <f>SUM(C27:C29)</f>
        <v>0</v>
      </c>
    </row>
    <row r="29" spans="1:9" ht="15" customHeight="1">
      <c r="A29" s="132" t="s">
        <v>14</v>
      </c>
      <c r="B29" s="133"/>
      <c r="C29" s="16">
        <f>SUM('Stavební rozpočet'!AL12:AL143)+(F22+I22+F23+I23+I24+I25)</f>
        <v>0</v>
      </c>
      <c r="D29" s="133" t="s">
        <v>268</v>
      </c>
      <c r="E29" s="133"/>
      <c r="F29" s="16">
        <f>ROUND(C29*(21/100),2)</f>
        <v>0</v>
      </c>
      <c r="G29" s="133" t="s">
        <v>155</v>
      </c>
      <c r="H29" s="133"/>
      <c r="I29" s="16">
        <f>SUM(F28:F29)+I28</f>
        <v>0</v>
      </c>
    </row>
    <row r="31" spans="1:9" ht="15" customHeight="1">
      <c r="A31" s="140" t="s">
        <v>3</v>
      </c>
      <c r="B31" s="137"/>
      <c r="C31" s="138"/>
      <c r="D31" s="137" t="s">
        <v>335</v>
      </c>
      <c r="E31" s="137"/>
      <c r="F31" s="138"/>
      <c r="G31" s="137" t="s">
        <v>247</v>
      </c>
      <c r="H31" s="137"/>
      <c r="I31" s="138"/>
    </row>
    <row r="32" spans="1:9" ht="15" customHeight="1">
      <c r="A32" s="141" t="s">
        <v>253</v>
      </c>
      <c r="B32" s="126"/>
      <c r="C32" s="139"/>
      <c r="D32" s="126" t="s">
        <v>253</v>
      </c>
      <c r="E32" s="126"/>
      <c r="F32" s="139"/>
      <c r="G32" s="126" t="s">
        <v>253</v>
      </c>
      <c r="H32" s="126"/>
      <c r="I32" s="139"/>
    </row>
    <row r="33" spans="1:9" ht="15" customHeight="1">
      <c r="A33" s="141" t="s">
        <v>253</v>
      </c>
      <c r="B33" s="126"/>
      <c r="C33" s="139"/>
      <c r="D33" s="126" t="s">
        <v>253</v>
      </c>
      <c r="E33" s="126"/>
      <c r="F33" s="139"/>
      <c r="G33" s="126" t="s">
        <v>253</v>
      </c>
      <c r="H33" s="126"/>
      <c r="I33" s="139"/>
    </row>
    <row r="34" spans="1:9" ht="15" customHeight="1">
      <c r="A34" s="141" t="s">
        <v>253</v>
      </c>
      <c r="B34" s="126"/>
      <c r="C34" s="139"/>
      <c r="D34" s="126" t="s">
        <v>253</v>
      </c>
      <c r="E34" s="126"/>
      <c r="F34" s="139"/>
      <c r="G34" s="126" t="s">
        <v>253</v>
      </c>
      <c r="H34" s="126"/>
      <c r="I34" s="139"/>
    </row>
    <row r="35" spans="1:9" ht="15" customHeight="1">
      <c r="A35" s="134" t="s">
        <v>74</v>
      </c>
      <c r="B35" s="135"/>
      <c r="C35" s="136"/>
      <c r="D35" s="135" t="s">
        <v>74</v>
      </c>
      <c r="E35" s="135"/>
      <c r="F35" s="136"/>
      <c r="G35" s="135" t="s">
        <v>74</v>
      </c>
      <c r="H35" s="135"/>
      <c r="I35" s="136"/>
    </row>
    <row r="36" ht="15" customHeight="1">
      <c r="A36" s="26" t="s">
        <v>29</v>
      </c>
    </row>
    <row r="37" spans="1:9" ht="12.75" customHeight="1">
      <c r="A37" s="74" t="s">
        <v>253</v>
      </c>
      <c r="B37" s="71"/>
      <c r="C37" s="71"/>
      <c r="D37" s="71"/>
      <c r="E37" s="71"/>
      <c r="F37" s="71"/>
      <c r="G37" s="71"/>
      <c r="H37" s="71"/>
      <c r="I37" s="71"/>
    </row>
  </sheetData>
  <sheetProtection password="CC09" sheet="1" selectLockedCells="1"/>
  <mergeCells count="83"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  <mergeCell ref="A35:C35"/>
    <mergeCell ref="D31:F31"/>
    <mergeCell ref="D32:F32"/>
    <mergeCell ref="D33:F33"/>
    <mergeCell ref="D34:F34"/>
    <mergeCell ref="D35:F35"/>
    <mergeCell ref="A27:B27"/>
    <mergeCell ref="A28:B28"/>
    <mergeCell ref="A29:B29"/>
    <mergeCell ref="D28:E28"/>
    <mergeCell ref="D29:E29"/>
    <mergeCell ref="G28:H28"/>
    <mergeCell ref="G29:H29"/>
    <mergeCell ref="G20:H20"/>
    <mergeCell ref="G21:H21"/>
    <mergeCell ref="G22:H22"/>
    <mergeCell ref="G23:H23"/>
    <mergeCell ref="G24:H24"/>
    <mergeCell ref="G25:H25"/>
    <mergeCell ref="G14:H14"/>
    <mergeCell ref="G15:H15"/>
    <mergeCell ref="G16:H16"/>
    <mergeCell ref="G17:H17"/>
    <mergeCell ref="G18:H18"/>
    <mergeCell ref="G19:H19"/>
    <mergeCell ref="D18:E18"/>
    <mergeCell ref="D19:E19"/>
    <mergeCell ref="D20:E20"/>
    <mergeCell ref="D21:E21"/>
    <mergeCell ref="D22:E22"/>
    <mergeCell ref="D23:E23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F10:G11"/>
    <mergeCell ref="H2:H3"/>
    <mergeCell ref="H4:H5"/>
    <mergeCell ref="H6:H7"/>
    <mergeCell ref="H8:H9"/>
    <mergeCell ref="H10:H11"/>
    <mergeCell ref="E10:E11"/>
    <mergeCell ref="C2:D3"/>
    <mergeCell ref="C4:D5"/>
    <mergeCell ref="C6:D7"/>
    <mergeCell ref="C8:D9"/>
    <mergeCell ref="C10:D11"/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</mergeCells>
  <printOptions/>
  <pageMargins left="0.394" right="0.394" top="0.591" bottom="0.591" header="0" footer="0"/>
  <pageSetup firstPageNumber="0" useFirstPageNumber="1"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2" sqref="A2:B3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106" t="s">
        <v>58</v>
      </c>
      <c r="B1" s="67"/>
      <c r="C1" s="67"/>
      <c r="D1" s="67"/>
      <c r="E1" s="67"/>
      <c r="F1" s="67"/>
      <c r="G1" s="67"/>
      <c r="H1" s="67"/>
      <c r="I1" s="67"/>
    </row>
    <row r="2" spans="1:9" ht="15" customHeight="1">
      <c r="A2" s="68" t="s">
        <v>21</v>
      </c>
      <c r="B2" s="69"/>
      <c r="C2" s="88" t="str">
        <f>'Stavební rozpočet'!C2</f>
        <v>Oprava krovu a střešního pláště objektu stájí ve Slavicích</v>
      </c>
      <c r="D2" s="89"/>
      <c r="E2" s="73" t="s">
        <v>305</v>
      </c>
      <c r="F2" s="73" t="str">
        <f>'Stavební rozpočet'!J2</f>
        <v>Národní hřebčín Kladruby nad Labem</v>
      </c>
      <c r="G2" s="69"/>
      <c r="H2" s="73" t="s">
        <v>239</v>
      </c>
      <c r="I2" s="80" t="str">
        <f>'Krycí list rozpočtu'!I2:I3</f>
        <v>72048972/CZ72048972</v>
      </c>
    </row>
    <row r="3" spans="1:9" ht="15" customHeight="1">
      <c r="A3" s="70"/>
      <c r="B3" s="71"/>
      <c r="C3" s="90"/>
      <c r="D3" s="90"/>
      <c r="E3" s="71"/>
      <c r="F3" s="71"/>
      <c r="G3" s="71"/>
      <c r="H3" s="71"/>
      <c r="I3" s="81"/>
    </row>
    <row r="4" spans="1:9" ht="15" customHeight="1">
      <c r="A4" s="72" t="s">
        <v>205</v>
      </c>
      <c r="B4" s="71"/>
      <c r="C4" s="74" t="str">
        <f>'Stavební rozpočet'!C4</f>
        <v>Stavební a konstrukční řešení</v>
      </c>
      <c r="D4" s="71"/>
      <c r="E4" s="74" t="s">
        <v>249</v>
      </c>
      <c r="F4" s="74" t="str">
        <f>'Stavební rozpočet'!J4</f>
        <v>Projektový servis Chrudim, spol. s r. o.</v>
      </c>
      <c r="G4" s="71"/>
      <c r="H4" s="74" t="s">
        <v>239</v>
      </c>
      <c r="I4" s="81" t="str">
        <f>'Krycí list rozpočtu'!I4:I5</f>
        <v>46504401/CZ46504401</v>
      </c>
    </row>
    <row r="5" spans="1:9" ht="15" customHeight="1">
      <c r="A5" s="70"/>
      <c r="B5" s="71"/>
      <c r="C5" s="71"/>
      <c r="D5" s="71"/>
      <c r="E5" s="71"/>
      <c r="F5" s="71"/>
      <c r="G5" s="71"/>
      <c r="H5" s="71"/>
      <c r="I5" s="81"/>
    </row>
    <row r="6" spans="1:9" ht="15" customHeight="1">
      <c r="A6" s="72" t="s">
        <v>30</v>
      </c>
      <c r="B6" s="71"/>
      <c r="C6" s="74" t="str">
        <f>'Stavební rozpočet'!C6</f>
        <v>kat. úz. Licibořice parc. č. st. 39, 786/12</v>
      </c>
      <c r="D6" s="71"/>
      <c r="E6" s="74" t="s">
        <v>313</v>
      </c>
      <c r="F6" s="74">
        <f>'Stavební rozpočet'!J6</f>
        <v>0</v>
      </c>
      <c r="G6" s="71"/>
      <c r="H6" s="74" t="s">
        <v>239</v>
      </c>
      <c r="I6" s="81">
        <f>'Krycí list rozpočtu'!I6:I7</f>
        <v>0</v>
      </c>
    </row>
    <row r="7" spans="1:9" ht="15" customHeight="1">
      <c r="A7" s="70"/>
      <c r="B7" s="71"/>
      <c r="C7" s="71"/>
      <c r="D7" s="71"/>
      <c r="E7" s="71"/>
      <c r="F7" s="71"/>
      <c r="G7" s="71"/>
      <c r="H7" s="71"/>
      <c r="I7" s="81"/>
    </row>
    <row r="8" spans="1:9" ht="15" customHeight="1">
      <c r="A8" s="72" t="s">
        <v>316</v>
      </c>
      <c r="B8" s="71"/>
      <c r="C8" s="74"/>
      <c r="D8" s="71"/>
      <c r="E8" s="74" t="s">
        <v>118</v>
      </c>
      <c r="F8" s="74" t="str">
        <f>'Stavební rozpočet'!G6</f>
        <v> </v>
      </c>
      <c r="G8" s="71"/>
      <c r="H8" s="71" t="s">
        <v>357</v>
      </c>
      <c r="I8" s="112">
        <v>93</v>
      </c>
    </row>
    <row r="9" spans="1:9" ht="15" customHeight="1">
      <c r="A9" s="70"/>
      <c r="B9" s="71"/>
      <c r="C9" s="71"/>
      <c r="D9" s="71"/>
      <c r="E9" s="71"/>
      <c r="F9" s="71"/>
      <c r="G9" s="71"/>
      <c r="H9" s="71"/>
      <c r="I9" s="81"/>
    </row>
    <row r="10" spans="1:9" ht="15" customHeight="1">
      <c r="A10" s="72" t="s">
        <v>181</v>
      </c>
      <c r="B10" s="71"/>
      <c r="C10" s="74" t="str">
        <f>'Stavební rozpočet'!C8</f>
        <v> </v>
      </c>
      <c r="D10" s="71"/>
      <c r="E10" s="74" t="s">
        <v>243</v>
      </c>
      <c r="F10" s="74" t="str">
        <f>'Stavební rozpočet'!J8</f>
        <v> </v>
      </c>
      <c r="G10" s="71"/>
      <c r="H10" s="71" t="s">
        <v>343</v>
      </c>
      <c r="I10" s="103">
        <f>'Stavební rozpočet'!G8</f>
        <v>0</v>
      </c>
    </row>
    <row r="11" spans="1:9" ht="15" customHeight="1">
      <c r="A11" s="107"/>
      <c r="B11" s="108"/>
      <c r="C11" s="108"/>
      <c r="D11" s="108"/>
      <c r="E11" s="108"/>
      <c r="F11" s="108"/>
      <c r="G11" s="108"/>
      <c r="H11" s="108"/>
      <c r="I11" s="142"/>
    </row>
    <row r="13" spans="1:5" ht="15.75" customHeight="1">
      <c r="A13" s="143" t="s">
        <v>140</v>
      </c>
      <c r="B13" s="143"/>
      <c r="C13" s="143"/>
      <c r="D13" s="143"/>
      <c r="E13" s="143"/>
    </row>
    <row r="14" spans="1:9" ht="15" customHeight="1">
      <c r="A14" s="144" t="s">
        <v>389</v>
      </c>
      <c r="B14" s="145"/>
      <c r="C14" s="145"/>
      <c r="D14" s="145"/>
      <c r="E14" s="146"/>
      <c r="F14" s="28" t="s">
        <v>366</v>
      </c>
      <c r="G14" s="28" t="s">
        <v>314</v>
      </c>
      <c r="H14" s="28" t="s">
        <v>86</v>
      </c>
      <c r="I14" s="28" t="s">
        <v>366</v>
      </c>
    </row>
    <row r="15" spans="1:9" ht="15" customHeight="1">
      <c r="A15" s="107" t="s">
        <v>258</v>
      </c>
      <c r="B15" s="108"/>
      <c r="C15" s="108"/>
      <c r="D15" s="108"/>
      <c r="E15" s="142"/>
      <c r="F15" s="30">
        <v>0</v>
      </c>
      <c r="G15" s="56" t="s">
        <v>253</v>
      </c>
      <c r="H15" s="56" t="s">
        <v>253</v>
      </c>
      <c r="I15" s="30">
        <f>F15</f>
        <v>0</v>
      </c>
    </row>
    <row r="16" spans="1:9" ht="15" customHeight="1">
      <c r="A16" s="107" t="s">
        <v>35</v>
      </c>
      <c r="B16" s="108"/>
      <c r="C16" s="108"/>
      <c r="D16" s="108"/>
      <c r="E16" s="142"/>
      <c r="F16" s="30">
        <v>0</v>
      </c>
      <c r="G16" s="56" t="s">
        <v>253</v>
      </c>
      <c r="H16" s="56" t="s">
        <v>253</v>
      </c>
      <c r="I16" s="30">
        <f>F16</f>
        <v>0</v>
      </c>
    </row>
    <row r="17" spans="1:9" ht="15" customHeight="1">
      <c r="A17" s="70" t="s">
        <v>265</v>
      </c>
      <c r="B17" s="71"/>
      <c r="C17" s="71"/>
      <c r="D17" s="71"/>
      <c r="E17" s="81"/>
      <c r="F17" s="22">
        <v>0</v>
      </c>
      <c r="G17" s="51" t="s">
        <v>253</v>
      </c>
      <c r="H17" s="51" t="s">
        <v>253</v>
      </c>
      <c r="I17" s="22">
        <f>F17</f>
        <v>0</v>
      </c>
    </row>
    <row r="18" spans="1:9" ht="15" customHeight="1">
      <c r="A18" s="147" t="s">
        <v>373</v>
      </c>
      <c r="B18" s="148"/>
      <c r="C18" s="148"/>
      <c r="D18" s="148"/>
      <c r="E18" s="149"/>
      <c r="F18" s="58" t="s">
        <v>253</v>
      </c>
      <c r="G18" s="35" t="s">
        <v>253</v>
      </c>
      <c r="H18" s="35" t="s">
        <v>253</v>
      </c>
      <c r="I18" s="5">
        <f>SUM(I15:I17)</f>
        <v>0</v>
      </c>
    </row>
    <row r="20" spans="1:9" ht="15" customHeight="1">
      <c r="A20" s="144" t="s">
        <v>69</v>
      </c>
      <c r="B20" s="145"/>
      <c r="C20" s="145"/>
      <c r="D20" s="145"/>
      <c r="E20" s="146"/>
      <c r="F20" s="28" t="s">
        <v>366</v>
      </c>
      <c r="G20" s="28" t="s">
        <v>314</v>
      </c>
      <c r="H20" s="28" t="s">
        <v>86</v>
      </c>
      <c r="I20" s="28" t="s">
        <v>366</v>
      </c>
    </row>
    <row r="21" spans="1:9" ht="15" customHeight="1">
      <c r="A21" s="107" t="s">
        <v>37</v>
      </c>
      <c r="B21" s="108"/>
      <c r="C21" s="108"/>
      <c r="D21" s="108"/>
      <c r="E21" s="142"/>
      <c r="F21" s="56" t="s">
        <v>253</v>
      </c>
      <c r="G21" s="30">
        <v>2.5</v>
      </c>
      <c r="H21" s="30">
        <f>'Krycí list rozpočtu'!C22</f>
        <v>0</v>
      </c>
      <c r="I21" s="30">
        <f>ROUND((G21/100)*H21,2)</f>
        <v>0</v>
      </c>
    </row>
    <row r="22" spans="1:9" ht="15" customHeight="1">
      <c r="A22" s="107" t="s">
        <v>286</v>
      </c>
      <c r="B22" s="108"/>
      <c r="C22" s="108"/>
      <c r="D22" s="108"/>
      <c r="E22" s="142"/>
      <c r="F22" s="30">
        <v>0</v>
      </c>
      <c r="G22" s="56" t="s">
        <v>253</v>
      </c>
      <c r="H22" s="56" t="s">
        <v>253</v>
      </c>
      <c r="I22" s="30">
        <f>F22</f>
        <v>0</v>
      </c>
    </row>
    <row r="23" spans="1:9" ht="15" customHeight="1">
      <c r="A23" s="107" t="s">
        <v>339</v>
      </c>
      <c r="B23" s="108"/>
      <c r="C23" s="108"/>
      <c r="D23" s="108"/>
      <c r="E23" s="142"/>
      <c r="F23" s="30">
        <v>0</v>
      </c>
      <c r="G23" s="56" t="s">
        <v>253</v>
      </c>
      <c r="H23" s="56" t="s">
        <v>253</v>
      </c>
      <c r="I23" s="30">
        <f>F23</f>
        <v>0</v>
      </c>
    </row>
    <row r="24" spans="1:9" ht="15" customHeight="1">
      <c r="A24" s="107" t="s">
        <v>200</v>
      </c>
      <c r="B24" s="108"/>
      <c r="C24" s="108"/>
      <c r="D24" s="108"/>
      <c r="E24" s="142"/>
      <c r="F24" s="30">
        <v>0</v>
      </c>
      <c r="G24" s="56" t="s">
        <v>253</v>
      </c>
      <c r="H24" s="56" t="s">
        <v>253</v>
      </c>
      <c r="I24" s="30">
        <f>F24</f>
        <v>0</v>
      </c>
    </row>
    <row r="25" spans="1:9" ht="15" customHeight="1">
      <c r="A25" s="107" t="s">
        <v>240</v>
      </c>
      <c r="B25" s="108"/>
      <c r="C25" s="108"/>
      <c r="D25" s="108"/>
      <c r="E25" s="142"/>
      <c r="F25" s="30">
        <v>0</v>
      </c>
      <c r="G25" s="56" t="s">
        <v>253</v>
      </c>
      <c r="H25" s="56" t="s">
        <v>253</v>
      </c>
      <c r="I25" s="30">
        <f>F25</f>
        <v>0</v>
      </c>
    </row>
    <row r="26" spans="1:9" ht="15" customHeight="1">
      <c r="A26" s="70" t="s">
        <v>349</v>
      </c>
      <c r="B26" s="71"/>
      <c r="C26" s="71"/>
      <c r="D26" s="71"/>
      <c r="E26" s="81"/>
      <c r="F26" s="22">
        <v>0</v>
      </c>
      <c r="G26" s="51" t="s">
        <v>253</v>
      </c>
      <c r="H26" s="51" t="s">
        <v>253</v>
      </c>
      <c r="I26" s="22">
        <f>F26</f>
        <v>0</v>
      </c>
    </row>
    <row r="27" spans="1:9" ht="15" customHeight="1">
      <c r="A27" s="147" t="s">
        <v>156</v>
      </c>
      <c r="B27" s="148"/>
      <c r="C27" s="148"/>
      <c r="D27" s="148"/>
      <c r="E27" s="149"/>
      <c r="F27" s="58" t="s">
        <v>253</v>
      </c>
      <c r="G27" s="35" t="s">
        <v>253</v>
      </c>
      <c r="H27" s="35" t="s">
        <v>253</v>
      </c>
      <c r="I27" s="5">
        <f>SUM(I21:I26)</f>
        <v>0</v>
      </c>
    </row>
    <row r="29" spans="1:9" ht="15.75" customHeight="1">
      <c r="A29" s="150" t="s">
        <v>370</v>
      </c>
      <c r="B29" s="151"/>
      <c r="C29" s="151"/>
      <c r="D29" s="151"/>
      <c r="E29" s="152"/>
      <c r="F29" s="153">
        <f>I18+I27</f>
        <v>0</v>
      </c>
      <c r="G29" s="154"/>
      <c r="H29" s="154"/>
      <c r="I29" s="155"/>
    </row>
    <row r="33" spans="1:5" ht="15.75" customHeight="1">
      <c r="A33" s="143" t="s">
        <v>364</v>
      </c>
      <c r="B33" s="143"/>
      <c r="C33" s="143"/>
      <c r="D33" s="143"/>
      <c r="E33" s="143"/>
    </row>
    <row r="34" spans="1:9" ht="15" customHeight="1">
      <c r="A34" s="144" t="s">
        <v>372</v>
      </c>
      <c r="B34" s="145"/>
      <c r="C34" s="145"/>
      <c r="D34" s="145"/>
      <c r="E34" s="146"/>
      <c r="F34" s="28" t="s">
        <v>366</v>
      </c>
      <c r="G34" s="28" t="s">
        <v>314</v>
      </c>
      <c r="H34" s="28" t="s">
        <v>86</v>
      </c>
      <c r="I34" s="28" t="s">
        <v>366</v>
      </c>
    </row>
    <row r="35" spans="1:9" ht="15" customHeight="1">
      <c r="A35" s="70" t="s">
        <v>253</v>
      </c>
      <c r="B35" s="71"/>
      <c r="C35" s="71"/>
      <c r="D35" s="71"/>
      <c r="E35" s="81"/>
      <c r="F35" s="22">
        <v>0</v>
      </c>
      <c r="G35" s="51" t="s">
        <v>253</v>
      </c>
      <c r="H35" s="51" t="s">
        <v>253</v>
      </c>
      <c r="I35" s="22">
        <f>F35</f>
        <v>0</v>
      </c>
    </row>
    <row r="36" spans="1:9" ht="15" customHeight="1">
      <c r="A36" s="147" t="s">
        <v>132</v>
      </c>
      <c r="B36" s="148"/>
      <c r="C36" s="148"/>
      <c r="D36" s="148"/>
      <c r="E36" s="149"/>
      <c r="F36" s="58" t="s">
        <v>253</v>
      </c>
      <c r="G36" s="35" t="s">
        <v>253</v>
      </c>
      <c r="H36" s="35" t="s">
        <v>253</v>
      </c>
      <c r="I36" s="5">
        <f>SUM(I35:I35)</f>
        <v>0</v>
      </c>
    </row>
  </sheetData>
  <sheetProtection password="CC09" sheet="1" selectLockedCells="1"/>
  <mergeCells count="51">
    <mergeCell ref="F29:I29"/>
    <mergeCell ref="A33:E33"/>
    <mergeCell ref="A34:E34"/>
    <mergeCell ref="A35:E35"/>
    <mergeCell ref="A22:E22"/>
    <mergeCell ref="A23:E23"/>
    <mergeCell ref="A24:E24"/>
    <mergeCell ref="A25:E25"/>
    <mergeCell ref="A26:E26"/>
    <mergeCell ref="A36:E36"/>
    <mergeCell ref="A27:E27"/>
    <mergeCell ref="A29:E29"/>
    <mergeCell ref="A15:E15"/>
    <mergeCell ref="A16:E16"/>
    <mergeCell ref="A17:E17"/>
    <mergeCell ref="A18:E18"/>
    <mergeCell ref="A20:E20"/>
    <mergeCell ref="A21:E21"/>
    <mergeCell ref="A13:E13"/>
    <mergeCell ref="C2:D3"/>
    <mergeCell ref="C4:D5"/>
    <mergeCell ref="C6:D7"/>
    <mergeCell ref="C8:D9"/>
    <mergeCell ref="A14:E14"/>
    <mergeCell ref="F10:G11"/>
    <mergeCell ref="E10:E11"/>
    <mergeCell ref="I2:I3"/>
    <mergeCell ref="I4:I5"/>
    <mergeCell ref="I6:I7"/>
    <mergeCell ref="I8:I9"/>
    <mergeCell ref="I10:I11"/>
    <mergeCell ref="A1:I1"/>
    <mergeCell ref="A2:B3"/>
    <mergeCell ref="A4:B5"/>
    <mergeCell ref="A6:B7"/>
    <mergeCell ref="A8:B9"/>
    <mergeCell ref="C10:D11"/>
    <mergeCell ref="F2:G3"/>
    <mergeCell ref="F4:G5"/>
    <mergeCell ref="F6:G7"/>
    <mergeCell ref="F8:G9"/>
    <mergeCell ref="A10:B11"/>
    <mergeCell ref="E2:E3"/>
    <mergeCell ref="E4:E5"/>
    <mergeCell ref="E6:E7"/>
    <mergeCell ref="E8:E9"/>
    <mergeCell ref="H2:H3"/>
    <mergeCell ref="H4:H5"/>
    <mergeCell ref="H6:H7"/>
    <mergeCell ref="H8:H9"/>
    <mergeCell ref="H10:H11"/>
  </mergeCells>
  <printOptions/>
  <pageMargins left="0.394" right="0.394" top="0.591" bottom="0.591" header="0" footer="0"/>
  <pageSetup firstPageNumber="0" useFirstPageNumber="1"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Lenka Suchánková</cp:lastModifiedBy>
  <cp:lastPrinted>2024-01-17T12:38:24Z</cp:lastPrinted>
  <dcterms:created xsi:type="dcterms:W3CDTF">2021-06-10T20:06:38Z</dcterms:created>
  <dcterms:modified xsi:type="dcterms:W3CDTF">2024-01-17T12:43:51Z</dcterms:modified>
  <cp:category/>
  <cp:version/>
  <cp:contentType/>
  <cp:contentStatus/>
</cp:coreProperties>
</file>