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verejny\Štefek\02.061 Jez Brantice, OHO - DPS+soupis\Příloha č. 2 - Soupis stavebních prací, dodávek a služeb s výkazem výměr\III_2_Vykaz_vymer\"/>
    </mc:Choice>
  </mc:AlternateContent>
  <bookViews>
    <workbookView xWindow="-120" yWindow="-120" windowWidth="29040" windowHeight="18240" tabRatio="602"/>
  </bookViews>
  <sheets>
    <sheet name="SO_02 Rekapitulace" sheetId="1" r:id="rId1"/>
    <sheet name="SO_02_KL1_zemní_práce" sheetId="2" r:id="rId2"/>
    <sheet name="SO_02 KL2_konstrukce" sheetId="9" r:id="rId3"/>
    <sheet name="pracovní" sheetId="10" r:id="rId4"/>
  </sheets>
  <definedNames>
    <definedName name="_xlnm.Print_Titles" localSheetId="0">'SO_02 Rekapitulace'!$9:$9</definedName>
    <definedName name="_xlnm.Print_Area" localSheetId="2">'SO_02 KL2_konstrukce'!$B$1:$J$591</definedName>
    <definedName name="_xlnm.Print_Area" localSheetId="0">'SO_02 Rekapitulace'!$A$1:$E$102</definedName>
    <definedName name="_xlnm.Print_Area" localSheetId="1">SO_02_KL1_zemní_práce!$B$1:$J$180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8" i="1" l="1"/>
  <c r="E26" i="1" l="1"/>
  <c r="E37" i="1" l="1"/>
  <c r="G126" i="2"/>
  <c r="G127" i="2" s="1"/>
  <c r="G78" i="9"/>
  <c r="G73" i="9"/>
  <c r="E63" i="9"/>
  <c r="G65" i="9" s="1"/>
  <c r="G48" i="9" l="1"/>
  <c r="E89" i="1"/>
  <c r="E88" i="1"/>
  <c r="E515" i="9" l="1"/>
  <c r="E87" i="1" s="1"/>
  <c r="F507" i="9"/>
  <c r="F506" i="9"/>
  <c r="F505" i="9"/>
  <c r="F504" i="9"/>
  <c r="F503" i="9"/>
  <c r="F502" i="9"/>
  <c r="F500" i="9"/>
  <c r="F498" i="9"/>
  <c r="F496" i="9"/>
  <c r="F495" i="9"/>
  <c r="F486" i="9"/>
  <c r="F485" i="9"/>
  <c r="F484" i="9"/>
  <c r="F483" i="9"/>
  <c r="F481" i="9"/>
  <c r="I179" i="10"/>
  <c r="L179" i="10"/>
  <c r="F179" i="10"/>
  <c r="F177" i="10"/>
  <c r="I175" i="10"/>
  <c r="F173" i="10"/>
  <c r="F171" i="10"/>
  <c r="F169" i="10"/>
  <c r="I168" i="10"/>
  <c r="I167" i="10"/>
  <c r="I165" i="10"/>
  <c r="F508" i="9" l="1"/>
  <c r="E86" i="1" s="1"/>
  <c r="F490" i="9"/>
  <c r="E85" i="1" s="1"/>
  <c r="F191" i="10"/>
  <c r="G210" i="9" l="1"/>
  <c r="G209" i="9"/>
  <c r="G208" i="9"/>
  <c r="G207" i="9"/>
  <c r="G201" i="9"/>
  <c r="I201" i="9" s="1"/>
  <c r="G195" i="9"/>
  <c r="G192" i="9"/>
  <c r="G186" i="9"/>
  <c r="G182" i="9"/>
  <c r="G178" i="9"/>
  <c r="G174" i="9"/>
  <c r="G167" i="9"/>
  <c r="G163" i="9"/>
  <c r="G159" i="9"/>
  <c r="G153" i="9"/>
  <c r="G151" i="9"/>
  <c r="G147" i="9"/>
  <c r="G143" i="9"/>
  <c r="G139" i="9"/>
  <c r="G138" i="9"/>
  <c r="G130" i="9"/>
  <c r="G128" i="9"/>
  <c r="D122" i="9"/>
  <c r="G124" i="9" s="1"/>
  <c r="G116" i="9"/>
  <c r="G111" i="9"/>
  <c r="D108" i="9"/>
  <c r="G110" i="9" s="1"/>
  <c r="G104" i="9"/>
  <c r="G97" i="9"/>
  <c r="E91" i="9"/>
  <c r="G93" i="9" s="1"/>
  <c r="G88" i="9"/>
  <c r="G80" i="9"/>
  <c r="G69" i="9"/>
  <c r="I196" i="9" l="1"/>
  <c r="I97" i="9"/>
  <c r="I211" i="9"/>
  <c r="I187" i="9"/>
  <c r="I168" i="9"/>
  <c r="I81" i="9"/>
  <c r="I154" i="9"/>
  <c r="I132" i="9"/>
  <c r="I213" i="9" l="1"/>
  <c r="G155" i="10"/>
  <c r="J149" i="10"/>
  <c r="J150" i="10"/>
  <c r="J151" i="10"/>
  <c r="J152" i="10"/>
  <c r="J73" i="10"/>
  <c r="J71" i="10"/>
  <c r="E49" i="1" l="1"/>
  <c r="C337" i="9"/>
  <c r="F337" i="9"/>
  <c r="M153" i="10"/>
  <c r="G65" i="10"/>
  <c r="J67" i="10" s="1"/>
  <c r="J54" i="10"/>
  <c r="J59" i="10"/>
  <c r="G51" i="10"/>
  <c r="J53" i="10" s="1"/>
  <c r="J47" i="10"/>
  <c r="F167" i="10"/>
  <c r="F166" i="10"/>
  <c r="J40" i="10"/>
  <c r="H34" i="10"/>
  <c r="J36" i="10" s="1"/>
  <c r="J31" i="10"/>
  <c r="J23" i="10"/>
  <c r="J95" i="10"/>
  <c r="J21" i="10"/>
  <c r="J16" i="10"/>
  <c r="J12" i="10"/>
  <c r="H6" i="10"/>
  <c r="J8" i="10" s="1"/>
  <c r="J93" i="10"/>
  <c r="J89" i="10"/>
  <c r="J85" i="10"/>
  <c r="J109" i="10"/>
  <c r="J105" i="10"/>
  <c r="J81" i="10"/>
  <c r="I174" i="10"/>
  <c r="M75" i="10" l="1"/>
  <c r="M40" i="10"/>
  <c r="M24" i="10"/>
  <c r="F175" i="10"/>
  <c r="F174" i="10"/>
  <c r="J80" i="10"/>
  <c r="M96" i="10" s="1"/>
  <c r="J101" i="10"/>
  <c r="M110" i="10" s="1"/>
  <c r="J143" i="10"/>
  <c r="M143" i="10" s="1"/>
  <c r="F178" i="10"/>
  <c r="J137" i="10"/>
  <c r="J134" i="10"/>
  <c r="J128" i="10"/>
  <c r="J124" i="10"/>
  <c r="J120" i="10"/>
  <c r="J116" i="10"/>
  <c r="F176" i="10"/>
  <c r="M138" i="10" l="1"/>
  <c r="M129" i="10"/>
  <c r="M155" i="10" s="1"/>
  <c r="G565" i="9"/>
  <c r="E94" i="1"/>
  <c r="E93" i="1"/>
  <c r="E95" i="1"/>
  <c r="E229" i="2" l="1"/>
  <c r="E119" i="1" s="1"/>
  <c r="E118" i="1"/>
  <c r="D216" i="2"/>
  <c r="E117" i="1" s="1"/>
  <c r="D210" i="2"/>
  <c r="E116" i="1" s="1"/>
  <c r="J201" i="2" l="1"/>
  <c r="E203" i="2" s="1"/>
  <c r="E115" i="1" s="1"/>
  <c r="J200" i="2"/>
  <c r="F194" i="2"/>
  <c r="F186" i="2"/>
  <c r="F196" i="2" s="1"/>
  <c r="E114" i="1" s="1"/>
  <c r="E98" i="1" l="1"/>
  <c r="E474" i="9"/>
  <c r="F579" i="9" l="1"/>
  <c r="F580" i="9" s="1"/>
  <c r="G582" i="9" s="1"/>
  <c r="E103" i="1" s="1"/>
  <c r="F588" i="9"/>
  <c r="F590" i="9" s="1"/>
  <c r="E104" i="1" s="1"/>
  <c r="G26" i="2" l="1"/>
  <c r="E454" i="9"/>
  <c r="G456" i="9" s="1"/>
  <c r="E80" i="1" s="1"/>
  <c r="G443" i="9"/>
  <c r="E433" i="9"/>
  <c r="G404" i="9"/>
  <c r="G405" i="9" s="1"/>
  <c r="E380" i="9"/>
  <c r="E27" i="1" l="1"/>
  <c r="G361" i="9" l="1"/>
  <c r="H363" i="9" s="1"/>
  <c r="E101" i="1" l="1"/>
  <c r="G563" i="9"/>
  <c r="E100" i="1" s="1"/>
  <c r="F333" i="9"/>
  <c r="E58" i="1" s="1"/>
  <c r="F244" i="9"/>
  <c r="E91" i="1"/>
  <c r="F433" i="9"/>
  <c r="E78" i="1" s="1"/>
  <c r="E384" i="9"/>
  <c r="F243" i="9" l="1"/>
  <c r="G535" i="9"/>
  <c r="E90" i="1" s="1"/>
  <c r="F441" i="9" l="1"/>
  <c r="G445" i="9" s="1"/>
  <c r="G447" i="9" s="1"/>
  <c r="E79" i="1" s="1"/>
  <c r="E464" i="9"/>
  <c r="E465" i="9" s="1"/>
  <c r="F467" i="9" s="1"/>
  <c r="E476" i="9" s="1"/>
  <c r="E83" i="1" s="1"/>
  <c r="G419" i="9"/>
  <c r="G421" i="9" s="1"/>
  <c r="G423" i="9" s="1"/>
  <c r="G426" i="9" s="1"/>
  <c r="G407" i="9"/>
  <c r="G409" i="9" s="1"/>
  <c r="G427" i="9" s="1"/>
  <c r="G398" i="9"/>
  <c r="G399" i="9" s="1"/>
  <c r="E76" i="1" s="1"/>
  <c r="G388" i="9"/>
  <c r="G390" i="9" s="1"/>
  <c r="G392" i="9" s="1"/>
  <c r="E75" i="1" s="1"/>
  <c r="F385" i="9"/>
  <c r="E73" i="1" s="1"/>
  <c r="G428" i="9" l="1"/>
  <c r="E77" i="1" s="1"/>
  <c r="F347" i="9"/>
  <c r="H357" i="9" l="1"/>
  <c r="F348" i="9"/>
  <c r="E66" i="1" s="1"/>
  <c r="E65" i="1"/>
  <c r="E67" i="1" s="1"/>
  <c r="F352" i="9"/>
  <c r="E69" i="1" s="1"/>
  <c r="H364" i="9" l="1"/>
  <c r="F269" i="9"/>
  <c r="F321" i="9"/>
  <c r="F316" i="9"/>
  <c r="F311" i="9"/>
  <c r="F306" i="9"/>
  <c r="F301" i="9"/>
  <c r="F264" i="9"/>
  <c r="F296" i="9"/>
  <c r="F291" i="9"/>
  <c r="F227" i="9"/>
  <c r="F223" i="9"/>
  <c r="F286" i="9"/>
  <c r="F282" i="9"/>
  <c r="F326" i="9"/>
  <c r="E54" i="1" s="1"/>
  <c r="F267" i="9"/>
  <c r="F260" i="9"/>
  <c r="F256" i="9"/>
  <c r="F251" i="9"/>
  <c r="F240" i="9"/>
  <c r="F235" i="9"/>
  <c r="F231" i="9"/>
  <c r="F277" i="9"/>
  <c r="F220" i="9"/>
  <c r="H365" i="9" l="1"/>
  <c r="E68" i="1" s="1"/>
  <c r="F271" i="9"/>
  <c r="F323" i="9"/>
  <c r="F166" i="2"/>
  <c r="G166" i="2" s="1"/>
  <c r="H177" i="2"/>
  <c r="J176" i="2" s="1"/>
  <c r="E177" i="2"/>
  <c r="F176" i="2" s="1"/>
  <c r="G176" i="2" s="1"/>
  <c r="J174" i="2"/>
  <c r="F174" i="2"/>
  <c r="G174" i="2" s="1"/>
  <c r="J172" i="2"/>
  <c r="F172" i="2"/>
  <c r="G172" i="2" s="1"/>
  <c r="I170" i="2"/>
  <c r="J170" i="2" s="1"/>
  <c r="F170" i="2"/>
  <c r="G170" i="2" s="1"/>
  <c r="I168" i="2"/>
  <c r="J168" i="2" s="1"/>
  <c r="F168" i="2"/>
  <c r="G168" i="2" s="1"/>
  <c r="I166" i="2"/>
  <c r="J166" i="2" s="1"/>
  <c r="H163" i="2"/>
  <c r="I163" i="2" s="1"/>
  <c r="J163" i="2" s="1"/>
  <c r="E163" i="2"/>
  <c r="F163" i="2" s="1"/>
  <c r="G163" i="2" s="1"/>
  <c r="E52" i="1" l="1"/>
  <c r="D330" i="9"/>
  <c r="E53" i="1"/>
  <c r="D331" i="9"/>
  <c r="G179" i="2"/>
  <c r="E40" i="1" s="1"/>
  <c r="J179" i="2"/>
  <c r="E41" i="1" s="1"/>
  <c r="G54" i="9"/>
  <c r="F332" i="9" l="1"/>
  <c r="E57" i="1" s="1"/>
  <c r="G43" i="9"/>
  <c r="E21" i="1"/>
  <c r="E35" i="9"/>
  <c r="F34" i="9" s="1"/>
  <c r="G34" i="9" s="1"/>
  <c r="F32" i="9"/>
  <c r="G32" i="9" s="1"/>
  <c r="F30" i="9"/>
  <c r="G30" i="9" s="1"/>
  <c r="F28" i="9"/>
  <c r="G28" i="9" s="1"/>
  <c r="F26" i="9"/>
  <c r="G26" i="9" s="1"/>
  <c r="F24" i="9"/>
  <c r="G24" i="9" s="1"/>
  <c r="F22" i="9"/>
  <c r="G22" i="9" s="1"/>
  <c r="F19" i="9"/>
  <c r="G19" i="9" s="1"/>
  <c r="D89" i="2"/>
  <c r="F42" i="2"/>
  <c r="D53" i="2"/>
  <c r="G37" i="9" l="1"/>
  <c r="G56" i="9" s="1"/>
  <c r="H150" i="2"/>
  <c r="I149" i="2" s="1"/>
  <c r="J149" i="2" s="1"/>
  <c r="E150" i="2"/>
  <c r="F149" i="2" s="1"/>
  <c r="G149" i="2" s="1"/>
  <c r="I147" i="2"/>
  <c r="J147" i="2" s="1"/>
  <c r="F147" i="2"/>
  <c r="G147" i="2" s="1"/>
  <c r="I145" i="2"/>
  <c r="J145" i="2" s="1"/>
  <c r="F145" i="2"/>
  <c r="G145" i="2" s="1"/>
  <c r="I143" i="2"/>
  <c r="J143" i="2" s="1"/>
  <c r="F143" i="2"/>
  <c r="G143" i="2" s="1"/>
  <c r="I141" i="2"/>
  <c r="J141" i="2" s="1"/>
  <c r="F141" i="2"/>
  <c r="G141" i="2" s="1"/>
  <c r="I139" i="2"/>
  <c r="J139" i="2" s="1"/>
  <c r="F139" i="2"/>
  <c r="G139" i="2" s="1"/>
  <c r="H136" i="2"/>
  <c r="I136" i="2" s="1"/>
  <c r="J136" i="2" s="1"/>
  <c r="E136" i="2"/>
  <c r="F136" i="2" s="1"/>
  <c r="G136" i="2" s="1"/>
  <c r="H117" i="2"/>
  <c r="I116" i="2" s="1"/>
  <c r="J116" i="2" s="1"/>
  <c r="H113" i="2"/>
  <c r="I112" i="2" s="1"/>
  <c r="J112" i="2" s="1"/>
  <c r="H101" i="2"/>
  <c r="I101" i="2" s="1"/>
  <c r="J101" i="2" s="1"/>
  <c r="E117" i="2"/>
  <c r="F116" i="2" s="1"/>
  <c r="G116" i="2" s="1"/>
  <c r="E113" i="2"/>
  <c r="F112" i="2" s="1"/>
  <c r="E101" i="2"/>
  <c r="F101" i="2" s="1"/>
  <c r="G101" i="2" s="1"/>
  <c r="I110" i="2"/>
  <c r="J110" i="2" s="1"/>
  <c r="F110" i="2"/>
  <c r="G110" i="2" s="1"/>
  <c r="I108" i="2"/>
  <c r="J108" i="2" s="1"/>
  <c r="F108" i="2"/>
  <c r="G108" i="2" s="1"/>
  <c r="I106" i="2"/>
  <c r="J106" i="2" s="1"/>
  <c r="F106" i="2"/>
  <c r="G106" i="2" s="1"/>
  <c r="I104" i="2"/>
  <c r="J104" i="2" s="1"/>
  <c r="F104" i="2"/>
  <c r="G104" i="2" s="1"/>
  <c r="I83" i="2"/>
  <c r="F89" i="2"/>
  <c r="G89" i="2" s="1"/>
  <c r="H90" i="2"/>
  <c r="I89" i="2" s="1"/>
  <c r="J89" i="2" s="1"/>
  <c r="H86" i="2"/>
  <c r="I87" i="2" s="1"/>
  <c r="J87" i="2" s="1"/>
  <c r="E48" i="1" l="1"/>
  <c r="G152" i="2"/>
  <c r="E38" i="1" s="1"/>
  <c r="J152" i="2"/>
  <c r="E39" i="1" s="1"/>
  <c r="I85" i="2"/>
  <c r="I114" i="2"/>
  <c r="J114" i="2" s="1"/>
  <c r="J119" i="2" s="1"/>
  <c r="E36" i="1" s="1"/>
  <c r="F114" i="2"/>
  <c r="G114" i="2" s="1"/>
  <c r="G112" i="2"/>
  <c r="F340" i="9" l="1"/>
  <c r="E62" i="1" s="1"/>
  <c r="F339" i="9"/>
  <c r="E61" i="1" s="1"/>
  <c r="G119" i="2"/>
  <c r="E35" i="1" s="1"/>
  <c r="E78" i="2" l="1"/>
  <c r="F79" i="2" s="1"/>
  <c r="G79" i="2" s="1"/>
  <c r="E76" i="2"/>
  <c r="F75" i="2" s="1"/>
  <c r="G75" i="2" s="1"/>
  <c r="F71" i="2"/>
  <c r="G71" i="2" s="1"/>
  <c r="E66" i="2"/>
  <c r="F66" i="2" s="1"/>
  <c r="G66" i="2" s="1"/>
  <c r="I66" i="2"/>
  <c r="I71" i="2"/>
  <c r="J71" i="2" s="1"/>
  <c r="I81" i="2"/>
  <c r="J81" i="2" s="1"/>
  <c r="I79" i="2"/>
  <c r="J79" i="2" s="1"/>
  <c r="I77" i="2"/>
  <c r="J77" i="2" s="1"/>
  <c r="I75" i="2"/>
  <c r="J75" i="2" s="1"/>
  <c r="I73" i="2"/>
  <c r="J73" i="2" s="1"/>
  <c r="I69" i="2"/>
  <c r="J69" i="2" s="1"/>
  <c r="F69" i="2"/>
  <c r="G69" i="2" s="1"/>
  <c r="F81" i="2"/>
  <c r="G81" i="2" s="1"/>
  <c r="F73" i="2"/>
  <c r="G73" i="2" s="1"/>
  <c r="F87" i="2"/>
  <c r="G87" i="2" s="1"/>
  <c r="J85" i="2"/>
  <c r="F85" i="2"/>
  <c r="G85" i="2" s="1"/>
  <c r="J83" i="2"/>
  <c r="F83" i="2"/>
  <c r="G83" i="2" s="1"/>
  <c r="I50" i="2"/>
  <c r="J50" i="2" s="1"/>
  <c r="F50" i="2"/>
  <c r="G50" i="2" s="1"/>
  <c r="I48" i="2"/>
  <c r="J48" i="2" s="1"/>
  <c r="F48" i="2"/>
  <c r="G48" i="2" s="1"/>
  <c r="I46" i="2"/>
  <c r="J46" i="2" s="1"/>
  <c r="F46" i="2"/>
  <c r="G46" i="2" s="1"/>
  <c r="I44" i="2"/>
  <c r="J44" i="2" s="1"/>
  <c r="F44" i="2"/>
  <c r="G44" i="2" s="1"/>
  <c r="I42" i="2"/>
  <c r="J42" i="2" s="1"/>
  <c r="I40" i="2"/>
  <c r="J40" i="2" s="1"/>
  <c r="F40" i="2"/>
  <c r="G40" i="2" s="1"/>
  <c r="H37" i="2"/>
  <c r="I37" i="2" s="1"/>
  <c r="G19" i="2"/>
  <c r="F13" i="2"/>
  <c r="E14" i="1" s="1"/>
  <c r="E18" i="2" l="1"/>
  <c r="E18" i="9"/>
  <c r="I52" i="2"/>
  <c r="F77" i="2"/>
  <c r="G77" i="2" s="1"/>
  <c r="J66" i="2"/>
  <c r="G53" i="2"/>
  <c r="E22" i="1" s="1"/>
  <c r="J37" i="2"/>
  <c r="J92" i="2" l="1"/>
  <c r="E30" i="1" s="1"/>
  <c r="G92" i="2"/>
  <c r="J52" i="2"/>
  <c r="J53" i="2" s="1"/>
  <c r="E24" i="1" s="1"/>
  <c r="E32" i="1" l="1"/>
  <c r="E33" i="1"/>
  <c r="E31" i="1"/>
</calcChain>
</file>

<file path=xl/sharedStrings.xml><?xml version="1.0" encoding="utf-8"?>
<sst xmlns="http://schemas.openxmlformats.org/spreadsheetml/2006/main" count="1773" uniqueCount="607">
  <si>
    <t>Objednavatel : Povodí Odry, s.p.</t>
  </si>
  <si>
    <t>Zhotovitel : AQUATIS a.s.</t>
  </si>
  <si>
    <t>Popis položky</t>
  </si>
  <si>
    <t>Jednotka</t>
  </si>
  <si>
    <t>Zemní práce</t>
  </si>
  <si>
    <t>Svahování násypů</t>
  </si>
  <si>
    <t>m</t>
  </si>
  <si>
    <t>km</t>
  </si>
  <si>
    <t>Ozn.</t>
  </si>
  <si>
    <t>Staničení</t>
  </si>
  <si>
    <t>Vzdálenost profilů / řezů</t>
  </si>
  <si>
    <t>Příčný profil / řez</t>
  </si>
  <si>
    <t>JEDNOTL.</t>
  </si>
  <si>
    <t>PRŮMĚR</t>
  </si>
  <si>
    <t>MNOŽSTVÍ</t>
  </si>
  <si>
    <t>Množství DPS</t>
  </si>
  <si>
    <t>dílčí stavba 02.061 Jez Brantice, stavba č. 5882.</t>
  </si>
  <si>
    <t xml:space="preserve">02.060 Opatření v úseku Brantice, OHO, </t>
  </si>
  <si>
    <t>1.1</t>
  </si>
  <si>
    <t>Objem</t>
  </si>
  <si>
    <t>m2</t>
  </si>
  <si>
    <t>m3</t>
  </si>
  <si>
    <t>Délka</t>
  </si>
  <si>
    <t>Bourání objektů</t>
  </si>
  <si>
    <t>ZÚ</t>
  </si>
  <si>
    <t>ks</t>
  </si>
  <si>
    <t>KÚ</t>
  </si>
  <si>
    <r>
      <t>m</t>
    </r>
    <r>
      <rPr>
        <vertAlign val="superscript"/>
        <sz val="8"/>
        <rFont val="Arial"/>
        <family val="2"/>
        <charset val="238"/>
      </rPr>
      <t>2</t>
    </r>
  </si>
  <si>
    <r>
      <t>m</t>
    </r>
    <r>
      <rPr>
        <vertAlign val="superscript"/>
        <sz val="8"/>
        <rFont val="Arial"/>
        <family val="2"/>
        <charset val="238"/>
      </rPr>
      <t>3</t>
    </r>
  </si>
  <si>
    <t>Skrývka svrchní vrstvy         tl.200 mm</t>
  </si>
  <si>
    <t>Celkem</t>
  </si>
  <si>
    <t>1.2</t>
  </si>
  <si>
    <t>kg</t>
  </si>
  <si>
    <t>Ocelové konstrukce rozepření</t>
  </si>
  <si>
    <t>Bourací práce</t>
  </si>
  <si>
    <t>2</t>
  </si>
  <si>
    <t>2.1</t>
  </si>
  <si>
    <t>2.2</t>
  </si>
  <si>
    <t>Položka č. 2.3</t>
  </si>
  <si>
    <t>Položka č. 2.4</t>
  </si>
  <si>
    <t>Položka č. 2.5</t>
  </si>
  <si>
    <t>Položka č. 2.6</t>
  </si>
  <si>
    <t>2.7</t>
  </si>
  <si>
    <t>2.6</t>
  </si>
  <si>
    <t>2.10</t>
  </si>
  <si>
    <t>2.11</t>
  </si>
  <si>
    <t>2.12</t>
  </si>
  <si>
    <t>3</t>
  </si>
  <si>
    <t>Betony</t>
  </si>
  <si>
    <t>3.1</t>
  </si>
  <si>
    <t>3.2</t>
  </si>
  <si>
    <t>Výkop v nezapažené jámě</t>
  </si>
  <si>
    <t>2.9</t>
  </si>
  <si>
    <t>Ohumusování a zatravnění svahů v tl 200 mm</t>
  </si>
  <si>
    <t>šířka</t>
  </si>
  <si>
    <t>Železobeton C30/37 XF3XC3</t>
  </si>
  <si>
    <t>Šířka</t>
  </si>
  <si>
    <t>2.3</t>
  </si>
  <si>
    <r>
      <t>m</t>
    </r>
    <r>
      <rPr>
        <vertAlign val="superscript"/>
        <sz val="10"/>
        <rFont val="Arial"/>
        <family val="2"/>
        <charset val="238"/>
      </rPr>
      <t>2</t>
    </r>
  </si>
  <si>
    <t>2.4</t>
  </si>
  <si>
    <t>2.5</t>
  </si>
  <si>
    <t>Výpočty viz výkaz výměr - kubaturové listy- KL 1</t>
  </si>
  <si>
    <t>Výpočty viz výkaz výměr - kubaturové listy- KL 2</t>
  </si>
  <si>
    <t>SO 02 Rybí přechod</t>
  </si>
  <si>
    <t>Betonové opevnění svahů - započteno v SO 01 Vakový jez</t>
  </si>
  <si>
    <t>udírna</t>
  </si>
  <si>
    <t>2,5*2,7</t>
  </si>
  <si>
    <t>Rozebrání kamenného záhozu</t>
  </si>
  <si>
    <t>Zpětný hutněný zásyp</t>
  </si>
  <si>
    <t>2.8</t>
  </si>
  <si>
    <t>Úprava planě bez hutnění</t>
  </si>
  <si>
    <t>Plocha opevnění v řezu</t>
  </si>
  <si>
    <t>Poznámka :</t>
  </si>
  <si>
    <t>Od štětové stěny jezu rozebrání záhozu započteno v SO 05 Úpravy koryta</t>
  </si>
  <si>
    <t>Skrývka svrchní vrstvy v tl. 200 mm</t>
  </si>
  <si>
    <t>PF02/1</t>
  </si>
  <si>
    <t>PF02/2</t>
  </si>
  <si>
    <t>PF02/3</t>
  </si>
  <si>
    <t>PF02/4</t>
  </si>
  <si>
    <t>PF02/5</t>
  </si>
  <si>
    <t>PF02/6</t>
  </si>
  <si>
    <t>Nad předkopem</t>
  </si>
  <si>
    <t>Předkop pro zakládání</t>
  </si>
  <si>
    <t>Ostatní započteno v SO 05</t>
  </si>
  <si>
    <t>Výkop pro založení objektu v nezapažené jámě</t>
  </si>
  <si>
    <t>PF02/2.1 pracovní</t>
  </si>
  <si>
    <t>PF02/2.2 pracovní</t>
  </si>
  <si>
    <t>PF02/2.3 pracovní</t>
  </si>
  <si>
    <t>PF02/2.4 pracovní</t>
  </si>
  <si>
    <t>PF 6.1 pracovní</t>
  </si>
  <si>
    <t xml:space="preserve"> je v ose vnitřní štětové stěny</t>
  </si>
  <si>
    <t>je na stěně rybího přechodu</t>
  </si>
  <si>
    <t>Hutněný násyp</t>
  </si>
  <si>
    <t>Položka č. 2.7</t>
  </si>
  <si>
    <t>PF02/6.1_vložený</t>
  </si>
  <si>
    <t>Ohumusování a zatravnění roviny v tl 200 mm</t>
  </si>
  <si>
    <t>Položka č. 2.8</t>
  </si>
  <si>
    <t>Podkladní beton C20/25</t>
  </si>
  <si>
    <r>
      <t>m</t>
    </r>
    <r>
      <rPr>
        <vertAlign val="superscript"/>
        <sz val="10"/>
        <color theme="1"/>
        <rFont val="Arial"/>
        <family val="2"/>
        <charset val="238"/>
      </rPr>
      <t>3</t>
    </r>
  </si>
  <si>
    <r>
      <t>m</t>
    </r>
    <r>
      <rPr>
        <vertAlign val="superscript"/>
        <sz val="10"/>
        <rFont val="Arial"/>
        <family val="2"/>
        <charset val="238"/>
      </rPr>
      <t>3</t>
    </r>
  </si>
  <si>
    <t>z</t>
  </si>
  <si>
    <t>Bourání betonových konstrukcí</t>
  </si>
  <si>
    <t>Betonové opevnění břehů započteno v SO 01 Vakový jez</t>
  </si>
  <si>
    <t>Poznámka - Rozhraní objektů SO 01 Vakový jez a SO 02 Rybí přechod</t>
  </si>
  <si>
    <t>Výkop v pažené jámě</t>
  </si>
  <si>
    <t xml:space="preserve">Poznámka - Rozhraní objektů SO 01 Vakový jez a SO 02 Rybí přechod </t>
  </si>
  <si>
    <t xml:space="preserve">Poznámka - Rozhraní objektů SO 01 SO 02 </t>
  </si>
  <si>
    <t>Položka č. 2.9</t>
  </si>
  <si>
    <t>Odtěžení dnového materiálu v tl. 300 mm</t>
  </si>
  <si>
    <t>plocha</t>
  </si>
  <si>
    <t>Ostatní započteno v SO 05 Úprava koryta</t>
  </si>
  <si>
    <t>Položka č. 2.10</t>
  </si>
  <si>
    <t>Za vtokovou částí</t>
  </si>
  <si>
    <t>plocha v řez</t>
  </si>
  <si>
    <t>Podkladní beton a výplňový  C20/25</t>
  </si>
  <si>
    <t>Podkladní a výplňový beton beton C 20/25</t>
  </si>
  <si>
    <t>Tl.</t>
  </si>
  <si>
    <t>Plocha v řezu</t>
  </si>
  <si>
    <t>Římsa</t>
  </si>
  <si>
    <t>Plocha</t>
  </si>
  <si>
    <t>Střední zeď</t>
  </si>
  <si>
    <t>Vyhlídka</t>
  </si>
  <si>
    <t>Půdorysná plocha</t>
  </si>
  <si>
    <t>Půd. plocha</t>
  </si>
  <si>
    <t>tl</t>
  </si>
  <si>
    <t xml:space="preserve">Objem </t>
  </si>
  <si>
    <t>Železobeton C30/37 XF3XC3 Celkem</t>
  </si>
  <si>
    <t>Beton C 20/ 25 celkem</t>
  </si>
  <si>
    <t>Položka č.3.1.1</t>
  </si>
  <si>
    <t xml:space="preserve">3.1.2 Výplňový beton </t>
  </si>
  <si>
    <t>Objem 1 řady</t>
  </si>
  <si>
    <t>Počet řad</t>
  </si>
  <si>
    <t>Objem celkem</t>
  </si>
  <si>
    <t>;</t>
  </si>
  <si>
    <t>Položka č. 2.11</t>
  </si>
  <si>
    <t>Položka č. 2.12</t>
  </si>
  <si>
    <t>Bednění</t>
  </si>
  <si>
    <t>Lešení</t>
  </si>
  <si>
    <t>4</t>
  </si>
  <si>
    <t>5</t>
  </si>
  <si>
    <t>6</t>
  </si>
  <si>
    <t>8</t>
  </si>
  <si>
    <t>9</t>
  </si>
  <si>
    <t>Výrobky</t>
  </si>
  <si>
    <t>4.1</t>
  </si>
  <si>
    <t>Rovinné</t>
  </si>
  <si>
    <t>4.2</t>
  </si>
  <si>
    <t>výška</t>
  </si>
  <si>
    <t>délka</t>
  </si>
  <si>
    <t>Venkovní do svahu</t>
  </si>
  <si>
    <t>Rovinné k oblouku bez štětovnic</t>
  </si>
  <si>
    <t>Zavazovací zeď do svahu</t>
  </si>
  <si>
    <t>Zavazovací zeď do toku</t>
  </si>
  <si>
    <t>čelo</t>
  </si>
  <si>
    <t>Dilatační spáry</t>
  </si>
  <si>
    <t>1</t>
  </si>
  <si>
    <r>
      <rPr>
        <b/>
        <sz val="8"/>
        <rFont val="Arial"/>
        <family val="2"/>
        <charset val="238"/>
      </rPr>
      <t>Venkovní</t>
    </r>
    <r>
      <rPr>
        <sz val="8"/>
        <rFont val="Arial"/>
        <family val="2"/>
        <charset val="238"/>
      </rPr>
      <t xml:space="preserve"> na straně jezu (výška koruny 346,60)</t>
    </r>
  </si>
  <si>
    <r>
      <rPr>
        <b/>
        <sz val="8"/>
        <rFont val="Arial"/>
        <family val="2"/>
        <charset val="238"/>
      </rPr>
      <t xml:space="preserve">Vnitřní </t>
    </r>
    <r>
      <rPr>
        <sz val="8"/>
        <rFont val="Arial"/>
        <family val="2"/>
        <charset val="238"/>
      </rPr>
      <t>na straně jezu (výška koruny 346,60)</t>
    </r>
  </si>
  <si>
    <r>
      <rPr>
        <b/>
        <sz val="8"/>
        <rFont val="Arial"/>
        <family val="2"/>
        <charset val="238"/>
      </rPr>
      <t xml:space="preserve">Vnitřní </t>
    </r>
    <r>
      <rPr>
        <sz val="8"/>
        <rFont val="Arial"/>
        <family val="2"/>
        <charset val="238"/>
      </rPr>
      <t>na straně svahu</t>
    </r>
  </si>
  <si>
    <t>Plocha boční</t>
  </si>
  <si>
    <t>v příčném směru</t>
  </si>
  <si>
    <t>3*0,7* 0,6</t>
  </si>
  <si>
    <t>4.3</t>
  </si>
  <si>
    <t>Negativní</t>
  </si>
  <si>
    <t>Na vtoku do RP</t>
  </si>
  <si>
    <t>1,7*2,5</t>
  </si>
  <si>
    <t>Zaoblené</t>
  </si>
  <si>
    <t>Bednění rovinné celkem</t>
  </si>
  <si>
    <t>U štětové stěny venkovní ( u svahu)</t>
  </si>
  <si>
    <t>Zeď za vyhlídkou</t>
  </si>
  <si>
    <t>Vnitřní na vtoku</t>
  </si>
  <si>
    <r>
      <rPr>
        <b/>
        <sz val="8"/>
        <rFont val="Arial"/>
        <family val="2"/>
        <charset val="238"/>
      </rPr>
      <t xml:space="preserve">Vnitřní </t>
    </r>
    <r>
      <rPr>
        <sz val="8"/>
        <rFont val="Arial"/>
        <family val="2"/>
        <charset val="238"/>
      </rPr>
      <t>na vtoku</t>
    </r>
  </si>
  <si>
    <t xml:space="preserve">vnitřní oblouk 90 </t>
  </si>
  <si>
    <t>oblouk - střední zeď</t>
  </si>
  <si>
    <t>oblouk - na vtoku</t>
  </si>
  <si>
    <t>obloukové bednění celkem</t>
  </si>
  <si>
    <t>vnitřní vyhlídka</t>
  </si>
  <si>
    <t>zeď za vyhlídkou</t>
  </si>
  <si>
    <t>Výkaz výměr - Kubaturový list 1</t>
  </si>
  <si>
    <t>Předkop pro zaberanění štětové stěny pro zakládání objektu</t>
  </si>
  <si>
    <t>Výkaz výměr - Kubaturový list 2</t>
  </si>
  <si>
    <t>3.1. 3 Obetonování kamenných bloků rybochodu</t>
  </si>
  <si>
    <t>U štětové stěny ( u svahu</t>
  </si>
  <si>
    <t>Lešení celkem</t>
  </si>
  <si>
    <t>Výztuž 10 505(R)</t>
  </si>
  <si>
    <t xml:space="preserve">Z toho </t>
  </si>
  <si>
    <t>6.1</t>
  </si>
  <si>
    <r>
      <t xml:space="preserve">Vázaná výztuž do </t>
    </r>
    <r>
      <rPr>
        <sz val="10"/>
        <rFont val="Symbol"/>
        <family val="1"/>
        <charset val="2"/>
      </rPr>
      <t xml:space="preserve">f </t>
    </r>
    <r>
      <rPr>
        <sz val="10"/>
        <rFont val="Arial"/>
        <family val="2"/>
        <charset val="238"/>
      </rPr>
      <t>12 mm</t>
    </r>
  </si>
  <si>
    <t>6.2</t>
  </si>
  <si>
    <r>
      <t xml:space="preserve">Vázaná výztuž nad </t>
    </r>
    <r>
      <rPr>
        <sz val="10"/>
        <rFont val="Symbol"/>
        <family val="1"/>
        <charset val="2"/>
      </rPr>
      <t>f</t>
    </r>
    <r>
      <rPr>
        <sz val="10"/>
        <rFont val="Arial CE"/>
        <charset val="238"/>
      </rPr>
      <t xml:space="preserve"> 12 mm</t>
    </r>
  </si>
  <si>
    <t>Uvažováno 120 kg/m3</t>
  </si>
  <si>
    <t>Výztuž 10 505(R) - 120kg/m3 betonu</t>
  </si>
  <si>
    <t>7</t>
  </si>
  <si>
    <t>7.1</t>
  </si>
  <si>
    <t>Hmotnost</t>
  </si>
  <si>
    <t>kg/m2</t>
  </si>
  <si>
    <t>7.2</t>
  </si>
  <si>
    <t>7.3</t>
  </si>
  <si>
    <t>hmotnost kg/m</t>
  </si>
  <si>
    <t>kg/m</t>
  </si>
  <si>
    <t>Spojovací materiál 7% hmotnosti nosníku</t>
  </si>
  <si>
    <t>Konstrukce z kamene</t>
  </si>
  <si>
    <t>Výška</t>
  </si>
  <si>
    <t>Délka v půdorysu</t>
  </si>
  <si>
    <t>Výška v řezu A</t>
  </si>
  <si>
    <t xml:space="preserve">Vodorovný nosník U 200 </t>
  </si>
  <si>
    <t>Hmotnost celkem</t>
  </si>
  <si>
    <t>Beraněná plocha</t>
  </si>
  <si>
    <t>Pažení štětovou stěnou za levobřežní zdí</t>
  </si>
  <si>
    <t>8.1</t>
  </si>
  <si>
    <t>Poznámka:</t>
  </si>
  <si>
    <t>Do rozpočtu</t>
  </si>
  <si>
    <t xml:space="preserve">Ke specifikaci kamenných bloků do RP : vybrané kameny budou kamenicky </t>
  </si>
  <si>
    <t xml:space="preserve"> Výběr kamenů,hrubé kamenické opracování, řezání spodní hrany,</t>
  </si>
  <si>
    <t xml:space="preserve">úprava rozměrů tj. tvaru na místě, pootáčení kamenů do vhodné polohy </t>
  </si>
  <si>
    <t xml:space="preserve"> případně jejich výměnu. Jednotlivé řady kamenů budou postupně přejímány </t>
  </si>
  <si>
    <t>Kamenné bloky (balvany min výšky 1.2 - 1,3m),mezeru 0.13-0.30 m</t>
  </si>
  <si>
    <t>Počet kamenů</t>
  </si>
  <si>
    <t>Prům. Plocha 1 ks</t>
  </si>
  <si>
    <t>Z půdorysu</t>
  </si>
  <si>
    <t xml:space="preserve">prům výška </t>
  </si>
  <si>
    <t>Objem 1 kamene</t>
  </si>
  <si>
    <t>8.2</t>
  </si>
  <si>
    <t>Beton C 30/37 - obetonování kamenů</t>
  </si>
  <si>
    <t xml:space="preserve">Výška </t>
  </si>
  <si>
    <t>3,2-1,5</t>
  </si>
  <si>
    <t>cca</t>
  </si>
  <si>
    <t>Objem 1  řady</t>
  </si>
  <si>
    <t>8.3</t>
  </si>
  <si>
    <t>Bednění rovinné</t>
  </si>
  <si>
    <t>Plocha bednění celkem</t>
  </si>
  <si>
    <t>Výška z jedné strany z PP</t>
  </si>
  <si>
    <t>Plocha z obou stran jedné strany</t>
  </si>
  <si>
    <t>2,4*0,5*2</t>
  </si>
  <si>
    <t>17 řad</t>
  </si>
  <si>
    <t>8.4</t>
  </si>
  <si>
    <t xml:space="preserve">Kotvení kamenů </t>
  </si>
  <si>
    <t>celková délka kotvy 0,6 m</t>
  </si>
  <si>
    <r>
      <rPr>
        <sz val="11"/>
        <rFont val="Aharoni"/>
      </rPr>
      <t>Ø</t>
    </r>
    <r>
      <rPr>
        <sz val="12.65"/>
        <rFont val="Calibri"/>
        <family val="2"/>
        <charset val="238"/>
      </rPr>
      <t>16</t>
    </r>
    <r>
      <rPr>
        <sz val="11"/>
        <rFont val="Calibri"/>
        <family val="2"/>
        <charset val="238"/>
      </rPr>
      <t>/30</t>
    </r>
  </si>
  <si>
    <t>2,4/0,3*2</t>
  </si>
  <si>
    <t>Délka celkem</t>
  </si>
  <si>
    <t>Hmotnost kg/m</t>
  </si>
  <si>
    <t>Rozdělovací výztuž</t>
  </si>
  <si>
    <r>
      <rPr>
        <sz val="11"/>
        <rFont val="Aharoni"/>
      </rPr>
      <t>Ø</t>
    </r>
    <r>
      <rPr>
        <sz val="12.65"/>
        <rFont val="Calibri"/>
        <family val="2"/>
        <charset val="238"/>
      </rPr>
      <t>12</t>
    </r>
    <r>
      <rPr>
        <sz val="11"/>
        <rFont val="Calibri"/>
        <family val="2"/>
        <charset val="238"/>
      </rPr>
      <t>/15</t>
    </r>
  </si>
  <si>
    <t xml:space="preserve">délka </t>
  </si>
  <si>
    <t>4*2,4</t>
  </si>
  <si>
    <r>
      <t xml:space="preserve">Výztuž do </t>
    </r>
    <r>
      <rPr>
        <sz val="10"/>
        <rFont val="Symbol"/>
        <family val="1"/>
        <charset val="2"/>
      </rPr>
      <t xml:space="preserve">f </t>
    </r>
    <r>
      <rPr>
        <sz val="10"/>
        <rFont val="Arial"/>
        <family val="2"/>
        <charset val="238"/>
      </rPr>
      <t>12 mm</t>
    </r>
    <r>
      <rPr>
        <sz val="10"/>
        <rFont val="Arial CE"/>
        <charset val="238"/>
      </rPr>
      <t xml:space="preserve"> Celkem</t>
    </r>
  </si>
  <si>
    <t>Ø16/30</t>
  </si>
  <si>
    <t>Poznámka</t>
  </si>
  <si>
    <t>8.5</t>
  </si>
  <si>
    <t>Tabulka vrtů</t>
  </si>
  <si>
    <t>Ø</t>
  </si>
  <si>
    <t>mm</t>
  </si>
  <si>
    <t xml:space="preserve">počet </t>
  </si>
  <si>
    <t>Dno rybochodu</t>
  </si>
  <si>
    <t>Celková půdorysna plocha</t>
  </si>
  <si>
    <t>celková plocha</t>
  </si>
  <si>
    <t>odpočet plochy betonů</t>
  </si>
  <si>
    <t>plocha drceného kameniva celkem</t>
  </si>
  <si>
    <t>Hrazení na vtoku</t>
  </si>
  <si>
    <t>9.1</t>
  </si>
  <si>
    <t>Drážky pro vedení hrazení + dosedací práh</t>
  </si>
  <si>
    <t>dodávka - montáž</t>
  </si>
  <si>
    <t>Válcovaný profil U 140</t>
  </si>
  <si>
    <t xml:space="preserve">práh </t>
  </si>
  <si>
    <t xml:space="preserve">Drážka </t>
  </si>
  <si>
    <t>2*2,3</t>
  </si>
  <si>
    <t>9.2</t>
  </si>
  <si>
    <t>9.3</t>
  </si>
  <si>
    <t>Těsnění dilatačních spar</t>
  </si>
  <si>
    <t>Kombinovaný těsnící pás PVC pro pracovní spáru</t>
  </si>
  <si>
    <t>počet</t>
  </si>
  <si>
    <t>9.5</t>
  </si>
  <si>
    <t>9.6</t>
  </si>
  <si>
    <t>9.7</t>
  </si>
  <si>
    <t>svislá výplň, tr.38/5, dl. 0,88m</t>
  </si>
  <si>
    <t>madlo-D profil 50x50/5, sloupek-čtvercová trubka 51x51/6, dl.1,10m,</t>
  </si>
  <si>
    <t>včetně kotvení patky nerez, vodorovný profil 51x51/6</t>
  </si>
  <si>
    <t xml:space="preserve">Spojovací a ukončovací prvky, dilatační spojky, kotvení patek sloupků </t>
  </si>
  <si>
    <t>chemickými kotvami</t>
  </si>
  <si>
    <t>Opěrná zeď</t>
  </si>
  <si>
    <t xml:space="preserve">9.8 </t>
  </si>
  <si>
    <t>Kompozitová lávka přes rybí přechod šířky 1,0 m , délky 2,8m</t>
  </si>
  <si>
    <t>Zábradlí na koruně pravobřežní zdi + dvě uzamykatelné  branky</t>
  </si>
  <si>
    <t xml:space="preserve"> ks</t>
  </si>
  <si>
    <t>Materiál viz pol. 9.7</t>
  </si>
  <si>
    <t xml:space="preserve"> </t>
  </si>
  <si>
    <t>4 sloupky kotveny přes destičky do betonu</t>
  </si>
  <si>
    <t>Ostatní kotveny k lávce</t>
  </si>
  <si>
    <t>9.10</t>
  </si>
  <si>
    <t>Kompozitový uzamykatelný poklop na regulační šachtě</t>
  </si>
  <si>
    <t>přepouštěcího potrubí</t>
  </si>
  <si>
    <t>Regulační šoupě na potrubí DN 200 kanalizační opatřené ovládací</t>
  </si>
  <si>
    <t>9.13</t>
  </si>
  <si>
    <t>9.14</t>
  </si>
  <si>
    <t>(1,2+1,2)*2*4,65</t>
  </si>
  <si>
    <t>16 ks na řadu</t>
  </si>
  <si>
    <t>Výplň dilatačních spar extrudovaný polystyrenem tl 20 mm</t>
  </si>
  <si>
    <t>šachta na vyhlídce</t>
  </si>
  <si>
    <t>strop</t>
  </si>
  <si>
    <t>0,5*1,2</t>
  </si>
  <si>
    <t>5.1</t>
  </si>
  <si>
    <t>Stěny</t>
  </si>
  <si>
    <t>5.2</t>
  </si>
  <si>
    <t>0,5*1,2*4,6</t>
  </si>
  <si>
    <t>Stěn 450+420</t>
  </si>
  <si>
    <t xml:space="preserve">Lešení                    </t>
  </si>
  <si>
    <t>9.15</t>
  </si>
  <si>
    <t>Okapový nos do bednění říms - plast</t>
  </si>
  <si>
    <t>obě strany římsy</t>
  </si>
  <si>
    <t>9.16</t>
  </si>
  <si>
    <t>Lišta na zkosení rohů 15/15</t>
  </si>
  <si>
    <t>9.17</t>
  </si>
  <si>
    <t>počet kamenů v řadě 3 ks</t>
  </si>
  <si>
    <t>řad</t>
  </si>
  <si>
    <t>počet kamenů v řadě 4ks</t>
  </si>
  <si>
    <t>Průchod potrubí dn 200 přes dilatační spáru</t>
  </si>
  <si>
    <t>Stropu šachty na vyhlídce</t>
  </si>
  <si>
    <t>Kamenné bloky (balvany min výšky 1.2 - 1,3m),mezeru 0.13-0.30 m. Vybrané kameny budou kamenicky  hrubě opracovány, spodní strana řezaná.</t>
  </si>
  <si>
    <t>Těsnící provazec a trvale pružný tmel v dilatačních spárách šířky 20 mm</t>
  </si>
  <si>
    <t>Strop šachty</t>
  </si>
  <si>
    <t xml:space="preserve"> hrubě opracovány, spodní strana řezaná.</t>
  </si>
  <si>
    <t>Celkem Výztuž 10 505(R)</t>
  </si>
  <si>
    <t>Kompozitové zábradlí se svislou výplní výšky 1,1 m</t>
  </si>
  <si>
    <t>včetně oboustranného zábradlí ( celková délka zábradlí 2*2,8= 5,6m)</t>
  </si>
  <si>
    <t>tyčí délky 3,5 m s ručním kolem</t>
  </si>
  <si>
    <t>po osazení potrubí buse chránička zaplněna polyuretanovou pěnou</t>
  </si>
  <si>
    <t>trubka rozepření  DN 102x4</t>
  </si>
  <si>
    <t>délka 1 ks</t>
  </si>
  <si>
    <t xml:space="preserve">Počet - rozteč 2,0 m </t>
  </si>
  <si>
    <t>Hmotnost kg</t>
  </si>
  <si>
    <t xml:space="preserve">kg </t>
  </si>
  <si>
    <t>Vnitřní těsnící pás pro dilatační spáru PVC pro zatížení</t>
  </si>
  <si>
    <t xml:space="preserve">Počet na jednu řadu kamen. bloků </t>
  </si>
  <si>
    <t xml:space="preserve">Délka na jednu řadu kamen. bloků </t>
  </si>
  <si>
    <t>Výztuž bude vlepena do vrtů provedených v betonové desce rybochodu, předpokládaný průměr průvrtu je 25 mm do hloubky 200 mm průvrt bude                  utěsněn zálivkou</t>
  </si>
  <si>
    <t>z toho tř. 3.1</t>
  </si>
  <si>
    <t>tř.4.II</t>
  </si>
  <si>
    <t>Předkop pro zaberanění štětové stěny pro zakládání objektu výkop  v hornině třídy 3.I</t>
  </si>
  <si>
    <t>Výkop pro založení objektu v nezapažené jámě, výkop tř. 3.I</t>
  </si>
  <si>
    <t>Výkop v pažené jámě,  tř. 3.I</t>
  </si>
  <si>
    <r>
      <t>m</t>
    </r>
    <r>
      <rPr>
        <b/>
        <vertAlign val="superscript"/>
        <sz val="10"/>
        <rFont val="Calibri"/>
        <family val="2"/>
        <charset val="238"/>
        <scheme val="minor"/>
      </rPr>
      <t>3</t>
    </r>
  </si>
  <si>
    <t>Vázaná výztuž do f 12 mm (35%)</t>
  </si>
  <si>
    <t>Vázaná výztuž nad f 12 mm (65%)</t>
  </si>
  <si>
    <t>Odvodnění za levobřežní zdí</t>
  </si>
  <si>
    <t>Dočasná štětová stěna VL 604</t>
  </si>
  <si>
    <t>Pažení štětovou stěnou za zdí rybího přechodu</t>
  </si>
  <si>
    <t>Délka 5,1 až 3,6m. Větší část 4,9m</t>
  </si>
  <si>
    <t>Objem 58 kamenů</t>
  </si>
  <si>
    <r>
      <t xml:space="preserve">Výztuž 10 505(R)  </t>
    </r>
    <r>
      <rPr>
        <sz val="10"/>
        <rFont val="Calibri"/>
        <family val="2"/>
        <charset val="238"/>
      </rPr>
      <t>ø</t>
    </r>
    <r>
      <rPr>
        <sz val="13"/>
        <rFont val="Calibri"/>
        <family val="2"/>
        <charset val="238"/>
      </rPr>
      <t xml:space="preserve"> </t>
    </r>
    <r>
      <rPr>
        <sz val="10"/>
        <rFont val="Calibri"/>
        <family val="2"/>
        <charset val="238"/>
      </rPr>
      <t>12 vázaná a ø16 kotevni</t>
    </r>
    <r>
      <rPr>
        <sz val="10"/>
        <rFont val="Calibri"/>
        <family val="2"/>
        <charset val="238"/>
        <scheme val="minor"/>
      </rPr>
      <t xml:space="preserve">
</t>
    </r>
    <r>
      <rPr>
        <b/>
        <sz val="10"/>
        <rFont val="Calibri"/>
        <family val="2"/>
        <charset val="238"/>
        <scheme val="minor"/>
      </rPr>
      <t>Poznámka :</t>
    </r>
    <r>
      <rPr>
        <sz val="10"/>
        <rFont val="Calibri"/>
        <family val="2"/>
        <charset val="238"/>
        <scheme val="minor"/>
      </rPr>
      <t xml:space="preserve">  Část výztuž bude vlepena do vrtů provedených v betonové desce rybochodu, předpokládaný průměr průvrtu je 25 mm do hloubky 200 mm průvrt bude utěsněn zálivkou</t>
    </r>
  </si>
  <si>
    <t>0,6*18</t>
  </si>
  <si>
    <t>Vrty do betonu pro vlepení výztuže Ø 22 až 25 délky 200 mm, 18 ks na řadu. Celkový počet vrtů 306 ks</t>
  </si>
  <si>
    <t>17*2,7</t>
  </si>
  <si>
    <t>130-45,90</t>
  </si>
  <si>
    <t>ze 70% se bude jedbat o materiál koryta Opavy při težení a 30% bude nákup kameniva</t>
  </si>
  <si>
    <t>8.6</t>
  </si>
  <si>
    <t>Drcené nebo kopané kamenivo di betonu v místě obetonování kamenů rybího přechodu
Kamenivo velikost zna 50 až 100 mm</t>
  </si>
  <si>
    <t>8.7</t>
  </si>
  <si>
    <t>Kamenivo velikost zna 50 až 100 mm</t>
  </si>
  <si>
    <t>počet řad</t>
  </si>
  <si>
    <t>Plocha v jedné řadě</t>
  </si>
  <si>
    <t>Celková plocha</t>
  </si>
  <si>
    <t xml:space="preserve">tl. kameniva </t>
  </si>
  <si>
    <t>42*0,3</t>
  </si>
  <si>
    <t>Rozebrání kamenného záhozu.</t>
  </si>
  <si>
    <t>Další výrobky</t>
  </si>
  <si>
    <r>
      <t>m</t>
    </r>
    <r>
      <rPr>
        <vertAlign val="superscript"/>
        <sz val="10"/>
        <rFont val="Calibri"/>
        <family val="2"/>
        <charset val="238"/>
        <scheme val="minor"/>
      </rPr>
      <t>2</t>
    </r>
  </si>
  <si>
    <t xml:space="preserve"> Do rozpočtu :Výběr kamenů, hrubé kamenické opracování, řezání spodní hrany, úprava rozměrů tj. tvaru na místě, pootáčení kamenů do vhodné polohy  případně jejich výměna. Jednotlivé řady kamenů budou postupně přejímány .  Celkově 17 řad. 58 ks kamenných bloků</t>
  </si>
  <si>
    <t xml:space="preserve"> Včetně spojovacích a uchycovacích prvků</t>
  </si>
  <si>
    <t>Celková plocha ( kontaktu štětovnice -beton</t>
  </si>
  <si>
    <t xml:space="preserve">výška </t>
  </si>
  <si>
    <t xml:space="preserve">Plocha </t>
  </si>
  <si>
    <t>Plocha celkem</t>
  </si>
  <si>
    <t>Stavební voděvzdorná překližka tl 6mm</t>
  </si>
  <si>
    <t>9.18</t>
  </si>
  <si>
    <t>9.19</t>
  </si>
  <si>
    <t>18/P</t>
  </si>
  <si>
    <t>17/P</t>
  </si>
  <si>
    <t>92/2</t>
  </si>
  <si>
    <t>vytažení štětovnic po dokončení stavy – za ruben zdi rybího přechodu</t>
  </si>
  <si>
    <t>kpl</t>
  </si>
  <si>
    <r>
      <t xml:space="preserve">Provizorní hrazení na vtoku
Drážky pro vedení hrazení + dosedací práh, Válcovaný profil U 140, včetně kotvení. Dodávka a montáž
Viz výpis výrobků - </t>
    </r>
    <r>
      <rPr>
        <b/>
        <sz val="10"/>
        <rFont val="Calibri"/>
        <family val="2"/>
        <charset val="238"/>
        <scheme val="minor"/>
      </rPr>
      <t>1/Z a 2/Z</t>
    </r>
  </si>
  <si>
    <r>
      <t xml:space="preserve">Kotvení -prutová výztuž </t>
    </r>
    <r>
      <rPr>
        <sz val="11"/>
        <rFont val="Calibri"/>
        <family val="2"/>
        <charset val="238"/>
      </rPr>
      <t>ø 10 délky 0,56m s roztečí 300 mm</t>
    </r>
  </si>
  <si>
    <t>drážky</t>
  </si>
  <si>
    <t>práh</t>
  </si>
  <si>
    <t>Celková hmotnost</t>
  </si>
  <si>
    <r>
      <t xml:space="preserve">Kompozitové zábradlí se svislou výplní výšky 1,1 m, Zábradlí na koruně pravobřežní zdi + dvě uzamykatelné  branky, madlo-D profil 50x50/5, sloupek-čtvercová trubka 51x51/6, dl.1,10m,včetně kotvení patky nerez, vodorovný profil 51x51/6 svislá výplň, tr.38/5, dl. Spojovací a ukončovací prvky, dilatační spojky, kotvení patek sloupků  0,88mchemickými kotvami.
Viz výpis výrobků </t>
    </r>
    <r>
      <rPr>
        <b/>
        <sz val="10"/>
        <rFont val="Calibri"/>
        <family val="2"/>
        <charset val="238"/>
        <scheme val="minor"/>
      </rPr>
      <t>4/P a 5/P</t>
    </r>
  </si>
  <si>
    <r>
      <t xml:space="preserve">Kompozitová lávka přes rybí přechod šířky 1,0 m , délky 2,8m, včetně oboustranného zábradlí ( celková délka zábradlí 2*2,8= 5,6m), Materiál viz pol. 9.7.
sloupky kotveny přes destičky do betonu, ostatní kotveny k ocelové kostře lávky -  </t>
    </r>
    <r>
      <rPr>
        <b/>
        <sz val="10"/>
        <rFont val="Calibri"/>
        <family val="2"/>
        <charset val="238"/>
        <scheme val="minor"/>
      </rPr>
      <t>7/P, 8/P</t>
    </r>
  </si>
  <si>
    <t>900x 600</t>
  </si>
  <si>
    <t>Neobsazeno</t>
  </si>
  <si>
    <r>
      <t>Ocelové stupadlo</t>
    </r>
    <r>
      <rPr>
        <sz val="10"/>
        <color theme="1"/>
        <rFont val="Arial"/>
        <family val="2"/>
        <charset val="238"/>
      </rPr>
      <t xml:space="preserve"> do šachet PE-HD povlakem</t>
    </r>
  </si>
  <si>
    <t>(blok 02/3) pro dodatečnou montáž do betonových konstrukcí.</t>
  </si>
  <si>
    <r>
      <t xml:space="preserve">Ocelové stupadlo do šachet PE-HD povlakem 
(blok 02/3) pro dodatečnou montáž do betonových konstrukcí. </t>
    </r>
    <r>
      <rPr>
        <b/>
        <sz val="10"/>
        <rFont val="Calibri"/>
        <family val="2"/>
        <charset val="238"/>
        <scheme val="minor"/>
      </rPr>
      <t>7/Z</t>
    </r>
  </si>
  <si>
    <t>10.5</t>
  </si>
  <si>
    <t xml:space="preserve">Hutněný štěrkopískový podsyp a obsyp potrubí a šachet fr. 4-8  mm
</t>
  </si>
  <si>
    <t xml:space="preserve">Potrubí: </t>
  </si>
  <si>
    <t>délka potrubí</t>
  </si>
  <si>
    <t>Objem pro potrubí</t>
  </si>
  <si>
    <t>Hutněný štěrkopískový podsyp a obsyp potrubí a šachet
fr. 4-8  mm</t>
  </si>
  <si>
    <t xml:space="preserve">Šachty: </t>
  </si>
  <si>
    <t>délka šachty</t>
  </si>
  <si>
    <t>objem v řezu</t>
  </si>
  <si>
    <t>m4</t>
  </si>
  <si>
    <t>m5</t>
  </si>
  <si>
    <t>Objem kolem šachet</t>
  </si>
  <si>
    <t>Celkový objem</t>
  </si>
  <si>
    <t>10.6</t>
  </si>
  <si>
    <t>Podkladní beton C 20/25 pod potrubím na výtoku</t>
  </si>
  <si>
    <t>Plocha v řezu 1</t>
  </si>
  <si>
    <t>Délka v řezu 1</t>
  </si>
  <si>
    <t>Plocha v řezu2</t>
  </si>
  <si>
    <t>0,16</t>
  </si>
  <si>
    <t>Délka v řezu 2</t>
  </si>
  <si>
    <t>1,55</t>
  </si>
  <si>
    <t>Obetonování potrubí na výtoku betonem C 30/37 XC4 XF3</t>
  </si>
  <si>
    <t>10.7</t>
  </si>
  <si>
    <t>10.8</t>
  </si>
  <si>
    <t>10.9</t>
  </si>
  <si>
    <t>Kamenná dlažba tl. 150 až 250 mm do betonu tl. min 200mm</t>
  </si>
  <si>
    <t>10.10</t>
  </si>
  <si>
    <t>Rovinné bednění -  obetonování potrubý</t>
  </si>
  <si>
    <t>délka v řezu</t>
  </si>
  <si>
    <t>délka obet.</t>
  </si>
  <si>
    <t>Plocha v půdorysu</t>
  </si>
  <si>
    <t>délka 1 strany</t>
  </si>
  <si>
    <t>délka 2 stran</t>
  </si>
  <si>
    <t>Délka obetonování</t>
  </si>
  <si>
    <t>Celková plocha bednění</t>
  </si>
  <si>
    <t>Demontáž štětové stěny v plném rozsahu</t>
  </si>
  <si>
    <t xml:space="preserve">Chránička ocel dn 300 dl. 0,5 m </t>
  </si>
  <si>
    <r>
      <t xml:space="preserve">Ocelová chránička na dilataci mezi bloky 02/4 a 02/3 pro provedení PVC potrubí DN 200 vábícího proudu přes dilataci . Tenkostěnná ocelová trubka DN 300  délka 0,5 m
po osazení potrubí buse chránička zaplněna polyuretanovou pěnou.  Viz výpis výrobků </t>
    </r>
    <r>
      <rPr>
        <b/>
        <sz val="10"/>
        <rFont val="Calibri"/>
        <family val="2"/>
        <charset val="238"/>
        <scheme val="minor"/>
      </rPr>
      <t>3/Z</t>
    </r>
    <r>
      <rPr>
        <sz val="10"/>
        <rFont val="Calibri"/>
        <family val="2"/>
        <charset val="238"/>
        <scheme val="minor"/>
      </rPr>
      <t xml:space="preserve"> </t>
    </r>
  </si>
  <si>
    <t>9.12.1</t>
  </si>
  <si>
    <r>
      <t xml:space="preserve">Litinové šoupátko s přírubami DN 250 – uzávěr na potrubí vábícího proudu - </t>
    </r>
    <r>
      <rPr>
        <b/>
        <sz val="10"/>
        <rFont val="Calibri"/>
        <family val="2"/>
        <charset val="238"/>
        <scheme val="minor"/>
      </rPr>
      <t xml:space="preserve"> 5/Z</t>
    </r>
  </si>
  <si>
    <r>
      <t xml:space="preserve">Vysokopevnostní kanalizační potrubí z PVC s hladkou stěnou KG SN 12 KG DN 250 včetně tvarovek 
Celková délka
Na úrovní cca 342,75 – 3,4 m
Šikmá 3,6 m
Na úrovní cca 345,34 -1,0 m
Kolena s hrdlem „
Koleno KG DN 200/30° - 1ks
Redukce DN 200/250    - 1 ks
Koleno KG DN 250/45° -  4 ks
VIz výpis výrobků </t>
    </r>
    <r>
      <rPr>
        <b/>
        <sz val="10"/>
        <rFont val="Calibri"/>
        <family val="2"/>
        <charset val="238"/>
        <scheme val="minor"/>
      </rPr>
      <t>12/P</t>
    </r>
  </si>
  <si>
    <t>9.11.1</t>
  </si>
  <si>
    <t>Vysokopevnostní kanalizační potrubí z PVC s hladkou stěnou KG SN 12 KG DN 250 včetně tvarovek</t>
  </si>
  <si>
    <t>9.11.2</t>
  </si>
  <si>
    <t xml:space="preserve">Vysokopevnostní kanalizační potrubí z PVC s hladkou stěnou KG SN 12 KG DN 200 včetně tvarovek </t>
  </si>
  <si>
    <t>Drcené nebo kopané kamenivo do betonu v místě obetonování kamenů rybího přechodu</t>
  </si>
  <si>
    <r>
      <t xml:space="preserve">Lišta na zkosení rohů 15/15 -  </t>
    </r>
    <r>
      <rPr>
        <b/>
        <sz val="10"/>
        <rFont val="Calibri"/>
        <family val="2"/>
        <charset val="238"/>
        <scheme val="minor"/>
      </rPr>
      <t>9/P</t>
    </r>
  </si>
  <si>
    <r>
      <t xml:space="preserve">Okapový nos do bednění říms - plast - </t>
    </r>
    <r>
      <rPr>
        <b/>
        <sz val="10"/>
        <rFont val="Calibri"/>
        <family val="2"/>
        <charset val="238"/>
        <scheme val="minor"/>
      </rPr>
      <t>10/P</t>
    </r>
  </si>
  <si>
    <t>Poznámka - Rozhraní objektů SO 01 Vakový jez a SO 02 Rybí přechod  je v ose vnitřní štětové stěny</t>
  </si>
  <si>
    <t>Kamenná dlažba tl 250 mm do betonu C 20/25 tl. 200 mm</t>
  </si>
  <si>
    <t xml:space="preserve">Čerpání vody na dopravní výšku 4 m průměrný průtok do 300 l/min. 8 hodin denně po dobu 4 měsíců
5 hodin denně po dobu zimní přestávky </t>
  </si>
  <si>
    <t>Pohotovost čerpací soustavy pro dopravní výšku 4 m s uvažovaným průměrným přítokem 300 l/s</t>
  </si>
  <si>
    <t>výškou vodního sloupce  do 15 m, šířky 240 mm</t>
  </si>
  <si>
    <t>Půdorys</t>
  </si>
  <si>
    <t>Blok 02_6</t>
  </si>
  <si>
    <t xml:space="preserve"> 02/6/1</t>
  </si>
  <si>
    <t xml:space="preserve"> 02/6/2</t>
  </si>
  <si>
    <t>1/P</t>
  </si>
  <si>
    <t>2/P</t>
  </si>
  <si>
    <t>3/P</t>
  </si>
  <si>
    <t>zdi - levá</t>
  </si>
  <si>
    <t>2,2+4,5</t>
  </si>
  <si>
    <t>Blok 02_7</t>
  </si>
  <si>
    <t>Blok 02_8</t>
  </si>
  <si>
    <t>Pravá</t>
  </si>
  <si>
    <t>Plocha v podélném řezu</t>
  </si>
  <si>
    <t>Blok 02_6 celkem</t>
  </si>
  <si>
    <t xml:space="preserve">Objenm </t>
  </si>
  <si>
    <t>Blok 02_7 celkem</t>
  </si>
  <si>
    <t>Blok 02_5</t>
  </si>
  <si>
    <t>Blok 02_5 celkem</t>
  </si>
  <si>
    <t>Blok 02_4</t>
  </si>
  <si>
    <t>5,2+4,7</t>
  </si>
  <si>
    <t>5,3+4,9</t>
  </si>
  <si>
    <t>Dno</t>
  </si>
  <si>
    <t>Přípoče prohlubení</t>
  </si>
  <si>
    <t>0,15*0,5</t>
  </si>
  <si>
    <t>Jezová část</t>
  </si>
  <si>
    <t xml:space="preserve">Délka </t>
  </si>
  <si>
    <t>Délk</t>
  </si>
  <si>
    <t>Levá zeď</t>
  </si>
  <si>
    <t>Pravá zeď</t>
  </si>
  <si>
    <t>Blok 02_4 celkem</t>
  </si>
  <si>
    <t>Blok 02_1</t>
  </si>
  <si>
    <t>Blok 02_3</t>
  </si>
  <si>
    <t>Blok 02_2</t>
  </si>
  <si>
    <t>střední</t>
  </si>
  <si>
    <t>DNO</t>
  </si>
  <si>
    <t>Plocha 1 v řezu</t>
  </si>
  <si>
    <t xml:space="preserve">Plocha 2 v řezu </t>
  </si>
  <si>
    <t>plocha prům</t>
  </si>
  <si>
    <t>Dno oblouk</t>
  </si>
  <si>
    <t>tl.</t>
  </si>
  <si>
    <t>Rozvinutý řez</t>
  </si>
  <si>
    <t>Blok 02_1 celkem</t>
  </si>
  <si>
    <t>0,2*0,07*(2,05+1,9</t>
  </si>
  <si>
    <t>4,8+5,2)</t>
  </si>
  <si>
    <t>0,2*0,07*19</t>
  </si>
  <si>
    <t>Blok 02_2 celkem</t>
  </si>
  <si>
    <t>2*5,4</t>
  </si>
  <si>
    <t>4*6</t>
  </si>
  <si>
    <t xml:space="preserve">Beton dna po kótu </t>
  </si>
  <si>
    <t>m n.m.</t>
  </si>
  <si>
    <t>Plocha 1</t>
  </si>
  <si>
    <t>Plocha2</t>
  </si>
  <si>
    <t>Střední plocha</t>
  </si>
  <si>
    <t>Pilíř na vtoku</t>
  </si>
  <si>
    <t>půdorysná plocha</t>
  </si>
  <si>
    <t>Odpočet_průtočný profil</t>
  </si>
  <si>
    <t>0,3*3,1*2,5</t>
  </si>
  <si>
    <t>blok 02/3/2</t>
  </si>
  <si>
    <t>blok 02/3/3</t>
  </si>
  <si>
    <t>blok 02/3/11</t>
  </si>
  <si>
    <t>od kóty 342,40</t>
  </si>
  <si>
    <t>Bez pravé zdi</t>
  </si>
  <si>
    <t>plocha v řezu 1</t>
  </si>
  <si>
    <t>plocha v řezu 2</t>
  </si>
  <si>
    <t>Plocha střední</t>
  </si>
  <si>
    <t>Výška po kóto 342,4</t>
  </si>
  <si>
    <t xml:space="preserve">Celkový objem </t>
  </si>
  <si>
    <t>Odpočet</t>
  </si>
  <si>
    <t>Šachta</t>
  </si>
  <si>
    <t xml:space="preserve">Potrubí </t>
  </si>
  <si>
    <t>1,2*1,2*5</t>
  </si>
  <si>
    <t>Beton pro vyplnění trvalých štětovnic</t>
  </si>
  <si>
    <t>02_8 -02_7</t>
  </si>
  <si>
    <t>Výška betonu</t>
  </si>
  <si>
    <t>objem</t>
  </si>
  <si>
    <t>délka * 0,4*výška/2</t>
  </si>
  <si>
    <t>02_6</t>
  </si>
  <si>
    <t>02_5</t>
  </si>
  <si>
    <t>02_4</t>
  </si>
  <si>
    <t>Prořezání spáry</t>
  </si>
  <si>
    <r>
      <t xml:space="preserve">Prořezání dilatačních spar  výška 40 mm a vyplnění trvale pružným tmelem  </t>
    </r>
    <r>
      <rPr>
        <b/>
        <sz val="10"/>
        <rFont val="Calibri"/>
        <family val="2"/>
        <charset val="238"/>
        <scheme val="minor"/>
      </rPr>
      <t>13/P</t>
    </r>
  </si>
  <si>
    <t>Délka spáry</t>
  </si>
  <si>
    <t>14,5+3,5</t>
  </si>
  <si>
    <t>12+5+5</t>
  </si>
  <si>
    <t>7,7+ 3,7</t>
  </si>
  <si>
    <t>0,8+18,5</t>
  </si>
  <si>
    <t>0,8+15,3</t>
  </si>
  <si>
    <t>Pilíř</t>
  </si>
  <si>
    <t>spára na kótě 342,00</t>
  </si>
  <si>
    <t>2*(11,5+11)</t>
  </si>
  <si>
    <t>2*3,6</t>
  </si>
  <si>
    <t xml:space="preserve">m </t>
  </si>
  <si>
    <t>2*12,8</t>
  </si>
  <si>
    <t>2*5,5</t>
  </si>
  <si>
    <r>
      <t>šířky 150 mm. tlak vody 5 m</t>
    </r>
    <r>
      <rPr>
        <b/>
        <sz val="11"/>
        <rFont val="Calibri"/>
        <family val="2"/>
        <charset val="238"/>
        <scheme val="minor"/>
      </rPr>
      <t xml:space="preserve"> 2/P</t>
    </r>
  </si>
  <si>
    <r>
      <t xml:space="preserve">Těsnící pás do pracovních spár ( Svislé) </t>
    </r>
    <r>
      <rPr>
        <b/>
        <sz val="11"/>
        <rFont val="Calibri"/>
        <family val="2"/>
        <charset val="238"/>
        <scheme val="minor"/>
      </rPr>
      <t>3/P</t>
    </r>
  </si>
  <si>
    <t>Spára mezi 02/7a 02/8</t>
  </si>
  <si>
    <t>Podbetonování bloku 05/1</t>
  </si>
  <si>
    <t>Plocha v pp</t>
  </si>
  <si>
    <t>Délka v řezy</t>
  </si>
  <si>
    <t>Výkaz výměr - Rekapitulace</t>
  </si>
  <si>
    <t>Položka</t>
  </si>
  <si>
    <t>2.13</t>
  </si>
  <si>
    <t>2.14</t>
  </si>
  <si>
    <t>2.15</t>
  </si>
  <si>
    <t>3.</t>
  </si>
  <si>
    <t>4.</t>
  </si>
  <si>
    <t>5.</t>
  </si>
  <si>
    <t>7.4</t>
  </si>
  <si>
    <t>9.</t>
  </si>
  <si>
    <t>9.4.1</t>
  </si>
  <si>
    <t>9.4.2</t>
  </si>
  <si>
    <t>9.12.2</t>
  </si>
  <si>
    <t>9.12.3</t>
  </si>
  <si>
    <t>9.20</t>
  </si>
  <si>
    <t>9.21</t>
  </si>
  <si>
    <t>9.22</t>
  </si>
  <si>
    <t>10.</t>
  </si>
  <si>
    <t>10.1</t>
  </si>
  <si>
    <t>10.2</t>
  </si>
  <si>
    <t>10.3</t>
  </si>
  <si>
    <t>10.4</t>
  </si>
  <si>
    <t>tl.prům.</t>
  </si>
  <si>
    <t>Úprava planě se zhutněním- základová spára</t>
  </si>
  <si>
    <t>2.8.1</t>
  </si>
  <si>
    <t>Hutněný zásyp štěrkovitým materiálem z výkopů po vytažení štětovnic</t>
  </si>
  <si>
    <t xml:space="preserve"> Celková plocha</t>
  </si>
  <si>
    <t>Zásyp</t>
  </si>
  <si>
    <t>plocha*0,4/2</t>
  </si>
  <si>
    <r>
      <t xml:space="preserve">Výplň dilatačních spar extrudovaný polystyrenem, tl 20 mm  </t>
    </r>
    <r>
      <rPr>
        <b/>
        <sz val="10"/>
        <rFont val="Calibri"/>
        <family val="2"/>
        <charset val="238"/>
        <scheme val="minor"/>
      </rPr>
      <t>20/P</t>
    </r>
  </si>
  <si>
    <r>
      <t xml:space="preserve">Těsnící provazec a trvale pružný tmel v dilatačních spárách šířky 20 mm  </t>
    </r>
    <r>
      <rPr>
        <b/>
        <sz val="10"/>
        <rFont val="Calibri"/>
        <family val="2"/>
        <charset val="238"/>
        <scheme val="minor"/>
      </rPr>
      <t>21/P</t>
    </r>
  </si>
  <si>
    <t>Datum : Červen 2022</t>
  </si>
  <si>
    <r>
      <rPr>
        <b/>
        <sz val="10"/>
        <color theme="1"/>
        <rFont val="Calibri"/>
        <family val="2"/>
        <charset val="238"/>
        <scheme val="minor"/>
      </rPr>
      <t>z toho</t>
    </r>
    <r>
      <rPr>
        <sz val="10"/>
        <color theme="1"/>
        <rFont val="Calibri"/>
        <family val="2"/>
        <charset val="238"/>
        <scheme val="minor"/>
      </rPr>
      <t xml:space="preserve"> tř. 3.1</t>
    </r>
  </si>
  <si>
    <t>tř.5</t>
  </si>
  <si>
    <t>Od štětové stěny jezu je rozebrání záhozu započteno v SO 05 Úpravy koryta
Kámen bude opětovně použit při opevnění břehů v rámci  
SO 05</t>
  </si>
  <si>
    <t>Odtěžení dnového materiálu v tl. 300 mm.
Materiál bude vzužit k úpravě dna rybího přechodu</t>
  </si>
  <si>
    <t>Úprava planě se zhutněním - základová spára RP</t>
  </si>
  <si>
    <t>Dočasné ocelové konstrukce rozepření - montáž, demontáž. Opětovná využitelnost u SO 005</t>
  </si>
  <si>
    <t>Kopané kamenivo velikost zrna 10-15 cm tl cca 0,3m
70% se bude jednat o stávající matreiál koryta Opavy.. Nebude se nakupovat a dovážet. 30% bude nákup nového materiálu</t>
  </si>
  <si>
    <r>
      <t xml:space="preserve">Vnitřní spárový pás do dilatací – těsnění dilatačních  spar mezi dilatačními bloky rybochodu
Vnitřní spárový pás z měkčeného PVC pro dilatační spáry š. 240  mm pro zatížení výškou vodního sloupce do 20 m.  Včetně kotvení a montážních prvků - </t>
    </r>
    <r>
      <rPr>
        <b/>
        <sz val="10"/>
        <rFont val="Calibri"/>
        <family val="2"/>
        <charset val="238"/>
        <scheme val="minor"/>
      </rPr>
      <t>1/P</t>
    </r>
  </si>
  <si>
    <r>
      <t xml:space="preserve">Spárový těsnící pás – těsnění pracovních spar bloků 02/1 – 02/8.  Kombinovaný těsnící pás pro pracovní spáry –
PVC těsnící pás s integrovaným bobtnavým profilem,  umístěným ve spodní části výšky 150 mm včetně  materiálu pro stabilizaci pásu. Těsnící pás je umístěn na horní vrstvě výztuže pro zatížení 2 bar </t>
    </r>
    <r>
      <rPr>
        <b/>
        <sz val="10"/>
        <rFont val="Calibri"/>
        <family val="2"/>
        <charset val="238"/>
        <scheme val="minor"/>
      </rPr>
      <t>2/P</t>
    </r>
  </si>
  <si>
    <r>
      <t xml:space="preserve">Vnitřní spárový pás 
Vnitřní spárový pás z  PVC pro pracovní spáry pro zatížení výškou vodního sloupce do 15 m. ŠÍŘJKA 0,2 M,  </t>
    </r>
    <r>
      <rPr>
        <b/>
        <sz val="10"/>
        <rFont val="Calibri"/>
        <family val="2"/>
        <charset val="238"/>
        <scheme val="minor"/>
      </rPr>
      <t>3/P</t>
    </r>
  </si>
  <si>
    <r>
      <t xml:space="preserve">Kompozitový uzamykatelný poklop na regulační šachtě, přepouštěcího potrubí 600x900 - </t>
    </r>
    <r>
      <rPr>
        <b/>
        <sz val="10"/>
        <rFont val="Calibri"/>
        <family val="2"/>
        <charset val="238"/>
        <scheme val="minor"/>
      </rPr>
      <t>6/P</t>
    </r>
  </si>
  <si>
    <r>
      <t xml:space="preserve">Vysokopevnostní kanalizační potrubí z PVC s hladkou stěnou KG SN 12 KG DN 200 včetně tvarovek 
Celková délka
Na úrovní cca 345,34 -2,5  m
Kolena s hrdlem „
Koleno KG DN 200/30° - 1 ks
Na vtoku do potrubí ( nad jezem) bude osazena odnímatelná nerezová  mřížka včetně krycí manžety kotvené do betonu chemickými kotvami. Viz pol. 4/Z
Viz výpis výrobků </t>
    </r>
    <r>
      <rPr>
        <b/>
        <sz val="10"/>
        <rFont val="Calibri"/>
        <family val="2"/>
        <charset val="238"/>
        <scheme val="minor"/>
      </rPr>
      <t>13/P</t>
    </r>
  </si>
  <si>
    <r>
      <t xml:space="preserve">Litinová spojka s přírubou jištěná proti posunu pro litinové a PVC potrubí DN 250 - </t>
    </r>
    <r>
      <rPr>
        <b/>
        <sz val="10"/>
        <rFont val="Calibri"/>
        <family val="2"/>
        <charset val="238"/>
        <scheme val="minor"/>
      </rPr>
      <t>6/Z</t>
    </r>
  </si>
  <si>
    <r>
      <t xml:space="preserve">Krycí ocelová nerez mřížka osazená na vtoku do potrubí vábícího proudu včetně montážního rámečku.
Kotveného do stěny chemickými kotvami
Vnější rozměr mřížky 200x 230 mm oka 15 x15 mm - </t>
    </r>
    <r>
      <rPr>
        <b/>
        <sz val="10"/>
        <rFont val="Calibri"/>
        <family val="2"/>
        <charset val="238"/>
        <scheme val="minor"/>
      </rPr>
      <t>4/Z</t>
    </r>
  </si>
  <si>
    <r>
      <t xml:space="preserve">Polystyrenové desky tl. 20 mm – pomocná konstrukce umožňující následné vytažení štětovnic po dokončení stavy – vytažení štětovnic po dokončení stavy – za ruben zdi rybího přechodu. Včetně spojovacích a uchycovacích prvků.
Viz výpis výrobků -  </t>
    </r>
    <r>
      <rPr>
        <b/>
        <sz val="10"/>
        <rFont val="Calibri"/>
        <family val="2"/>
        <charset val="238"/>
        <scheme val="minor"/>
      </rPr>
      <t>17/P</t>
    </r>
    <r>
      <rPr>
        <sz val="10"/>
        <rFont val="Calibri"/>
        <family val="2"/>
        <charset val="238"/>
        <scheme val="minor"/>
      </rPr>
      <t xml:space="preserve">
</t>
    </r>
  </si>
  <si>
    <r>
      <t xml:space="preserve">Stavební voděvzdorná překližka tl 6mm – pomocná konstrukce umožňující následné vytažení štětovnic po dokončení stavy – za ruben zdi rybího přechodu. Včetně spojovacích materiálů. 
Viz výpis výrobků -  </t>
    </r>
    <r>
      <rPr>
        <b/>
        <sz val="10"/>
        <rFont val="Calibri"/>
        <family val="2"/>
        <charset val="238"/>
        <scheme val="minor"/>
      </rPr>
      <t>18/P</t>
    </r>
  </si>
  <si>
    <r>
      <t xml:space="preserve">Sklolaminátová vodočetná lať šířky 15 cm, tl. 5 mm s centimetrovým dělením délky 3,30 m pro svislou stěnu, včetně návrtů, nerezových kotev lepených rychle tvrdnoucích kotev vhodné do betonu (mrazuvzdorná)
Viz výpis výrobků -  </t>
    </r>
    <r>
      <rPr>
        <b/>
        <sz val="10"/>
        <rFont val="Calibri"/>
        <family val="2"/>
        <charset val="238"/>
        <scheme val="minor"/>
      </rPr>
      <t>19/P</t>
    </r>
  </si>
  <si>
    <r>
      <t xml:space="preserve">Nivelační hřebová značka z nerez oceli délky 120 mm průměru 16 mm. Včetně vodorovného návrtu do betonu průměru 22 mm délky 120 mm, včetně vlepení dle zásad výrobce lepené rychle tvrdnoucí chemické kotvy vhodné do betonu, mrazuvzdorná.
Viz výpis výrobků - </t>
    </r>
    <r>
      <rPr>
        <b/>
        <sz val="10"/>
        <rFont val="Calibri"/>
        <family val="2"/>
        <charset val="238"/>
        <scheme val="minor"/>
      </rPr>
      <t>8/Z</t>
    </r>
  </si>
  <si>
    <r>
      <t xml:space="preserve">Kotvené plouvoucí dřevo pro zamezení vniku plaví do ryío přechodu.
Dodávka a montáž včetně kotvení -  nerez kortvy, nerez okanerez řetěz -  pro upěvnení plovoucího dřeva.
Viz výpis výrobků - </t>
    </r>
    <r>
      <rPr>
        <b/>
        <sz val="10"/>
        <rFont val="Calibri"/>
        <family val="2"/>
        <charset val="238"/>
        <scheme val="minor"/>
      </rPr>
      <t>9/Z</t>
    </r>
  </si>
  <si>
    <r>
      <t xml:space="preserve">Drenážní flexibilní trubka s vlnitou děrovanou stěnou z PVC DN 100 ( ohebná drenáž) – drenážní systém za rubem pravobřežní zdi rybího přrechodu. </t>
    </r>
    <r>
      <rPr>
        <b/>
        <sz val="10"/>
        <rFont val="Calibri"/>
        <family val="2"/>
        <charset val="238"/>
        <scheme val="minor"/>
      </rPr>
      <t>15/P</t>
    </r>
  </si>
  <si>
    <r>
      <t xml:space="preserve">Potrubí KG SN 8 DN 100 - drenážní systém za rubem pravobřežní zdí - </t>
    </r>
    <r>
      <rPr>
        <b/>
        <sz val="10"/>
        <rFont val="Calibri"/>
        <family val="2"/>
        <charset val="238"/>
        <scheme val="minor"/>
      </rPr>
      <t>16/P</t>
    </r>
  </si>
  <si>
    <r>
      <t xml:space="preserve">Revizní šachty – průtočná šachta s výkyvnými hrdly DN 315  nasazené na drenážním potrubí DN 100 za rubem pravobřežní zdi rybího přechodu
Šachtová trouba DN 315 – vlnovec 
</t>
    </r>
    <r>
      <rPr>
        <b/>
        <sz val="10"/>
        <rFont val="Calibri"/>
        <family val="2"/>
        <charset val="238"/>
        <scheme val="minor"/>
      </rPr>
      <t>14/P</t>
    </r>
  </si>
  <si>
    <r>
      <t xml:space="preserve">Pochůzný plastový poklop na šachtu DN 315 
1,5 t. Zahrnuto v </t>
    </r>
    <r>
      <rPr>
        <b/>
        <sz val="10"/>
        <rFont val="Calibri"/>
        <family val="2"/>
        <charset val="238"/>
        <scheme val="minor"/>
      </rPr>
      <t>14/P</t>
    </r>
  </si>
  <si>
    <r>
      <t xml:space="preserve">Svařovaní síť Kari s </t>
    </r>
    <r>
      <rPr>
        <sz val="10"/>
        <rFont val="Calibri"/>
        <family val="2"/>
        <charset val="238"/>
      </rPr>
      <t>ø6 mm s velikostí ok 100x100</t>
    </r>
    <r>
      <rPr>
        <sz val="10"/>
        <rFont val="Calibri"/>
        <family val="2"/>
        <charset val="238"/>
        <scheme val="minor"/>
      </rPr>
      <t>. 
Započítta ohyby, prostřihy a pod.</t>
    </r>
  </si>
  <si>
    <r>
      <t>m</t>
    </r>
    <r>
      <rPr>
        <b/>
        <vertAlign val="superscript"/>
        <sz val="10"/>
        <rFont val="Calibri"/>
        <family val="2"/>
        <charset val="238"/>
        <scheme val="minor"/>
      </rPr>
      <t>2</t>
    </r>
  </si>
  <si>
    <r>
      <t xml:space="preserve">Svařovaní síť Kari s </t>
    </r>
    <r>
      <rPr>
        <sz val="10"/>
        <rFont val="Calibri"/>
        <family val="2"/>
        <charset val="238"/>
      </rPr>
      <t>ø6 mm s velikostí ok 100x100</t>
    </r>
  </si>
  <si>
    <t>Kopané kamenivo velikost zrna 10-15 cm na dno RP</t>
  </si>
  <si>
    <r>
      <t>Polystyrenové desky tl. 20 mm</t>
    </r>
    <r>
      <rPr>
        <sz val="10"/>
        <rFont val="Arial"/>
        <family val="2"/>
        <charset val="238"/>
      </rPr>
      <t xml:space="preserve"> – pomocná konstrukce umožňující následné </t>
    </r>
  </si>
  <si>
    <r>
      <t xml:space="preserve">Polystyren na 1/2 plochy </t>
    </r>
    <r>
      <rPr>
        <sz val="10"/>
        <rFont val="Calibri"/>
        <family val="2"/>
        <charset val="238"/>
      </rPr>
      <t>=&gt;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</si>
</sst>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
  </numFmts>
  <fonts count="60">
    <font>
      <sz val="11"/>
      <color theme="1"/>
      <name val="Calibri"/>
      <family val="2"/>
      <charset val="238"/>
      <scheme val="minor"/>
    </font>
    <font>
      <sz val="11"/>
      <color rgb="FFFF0000"/>
      <name val="Calibri"/>
      <family val="2"/>
      <charset val="238"/>
      <scheme val="minor"/>
    </font>
    <font>
      <b/>
      <sz val="12"/>
      <name val="Arial CE"/>
      <charset val="238"/>
    </font>
    <font>
      <b/>
      <sz val="14"/>
      <name val="Arial CE"/>
      <charset val="238"/>
    </font>
    <font>
      <b/>
      <sz val="11"/>
      <name val="Arial CE"/>
      <charset val="238"/>
    </font>
    <font>
      <b/>
      <sz val="11"/>
      <name val="Calibri"/>
      <family val="2"/>
      <charset val="238"/>
      <scheme val="minor"/>
    </font>
    <font>
      <sz val="11"/>
      <name val="Calibri"/>
      <family val="2"/>
      <charset val="238"/>
      <scheme val="minor"/>
    </font>
    <font>
      <sz val="10"/>
      <name val="Arial"/>
      <family val="2"/>
      <charset val="238"/>
    </font>
    <font>
      <b/>
      <sz val="11"/>
      <color theme="1"/>
      <name val="Calibri"/>
      <family val="2"/>
      <charset val="238"/>
      <scheme val="minor"/>
    </font>
    <font>
      <b/>
      <sz val="8"/>
      <color rgb="FFFF0000"/>
      <name val="Arial"/>
      <family val="2"/>
      <charset val="238"/>
    </font>
    <font>
      <sz val="8"/>
      <color rgb="FFFF0000"/>
      <name val="Arial"/>
      <family val="2"/>
      <charset val="238"/>
    </font>
    <font>
      <b/>
      <sz val="8"/>
      <name val="Arial"/>
      <family val="2"/>
      <charset val="238"/>
    </font>
    <font>
      <sz val="8"/>
      <name val="Arial"/>
      <family val="2"/>
      <charset val="238"/>
    </font>
    <font>
      <vertAlign val="superscript"/>
      <sz val="8"/>
      <name val="Arial"/>
      <family val="2"/>
      <charset val="238"/>
    </font>
    <font>
      <sz val="10"/>
      <color rgb="FFFF0000"/>
      <name val="Arial"/>
      <family val="2"/>
      <charset val="238"/>
    </font>
    <font>
      <b/>
      <sz val="10"/>
      <name val="Arial"/>
      <family val="2"/>
      <charset val="238"/>
    </font>
    <font>
      <b/>
      <sz val="10"/>
      <color rgb="FFFF0000"/>
      <name val="Arial"/>
      <family val="2"/>
      <charset val="238"/>
    </font>
    <font>
      <b/>
      <sz val="10"/>
      <name val="Calibri"/>
      <family val="2"/>
      <charset val="238"/>
      <scheme val="minor"/>
    </font>
    <font>
      <sz val="10"/>
      <name val="Arial"/>
      <family val="2"/>
      <charset val="238"/>
    </font>
    <font>
      <sz val="10"/>
      <color theme="1"/>
      <name val="Arial"/>
      <family val="2"/>
      <charset val="238"/>
    </font>
    <font>
      <vertAlign val="superscript"/>
      <sz val="10"/>
      <name val="Arial"/>
      <family val="2"/>
      <charset val="238"/>
    </font>
    <font>
      <sz val="10"/>
      <color rgb="FFFF0000"/>
      <name val="Calibri"/>
      <family val="2"/>
      <charset val="238"/>
      <scheme val="minor"/>
    </font>
    <font>
      <vertAlign val="superscript"/>
      <sz val="10"/>
      <color theme="1"/>
      <name val="Arial"/>
      <family val="2"/>
      <charset val="238"/>
    </font>
    <font>
      <sz val="9"/>
      <name val="Arial CE"/>
      <charset val="238"/>
    </font>
    <font>
      <sz val="9"/>
      <color theme="1"/>
      <name val="Calibri"/>
      <family val="2"/>
      <charset val="238"/>
      <scheme val="minor"/>
    </font>
    <font>
      <sz val="10"/>
      <name val="Arial CE"/>
      <charset val="238"/>
    </font>
    <font>
      <sz val="10"/>
      <name val="Symbol"/>
      <family val="1"/>
      <charset val="2"/>
    </font>
    <font>
      <sz val="8"/>
      <color rgb="FF00B050"/>
      <name val="Arial"/>
      <family val="2"/>
      <charset val="238"/>
    </font>
    <font>
      <sz val="10"/>
      <name val="Calibri"/>
      <family val="2"/>
      <charset val="238"/>
      <scheme val="minor"/>
    </font>
    <font>
      <b/>
      <sz val="10"/>
      <name val="Arial CE"/>
      <charset val="238"/>
    </font>
    <font>
      <b/>
      <sz val="11"/>
      <name val="Arial"/>
      <family val="2"/>
      <charset val="238"/>
    </font>
    <font>
      <sz val="11"/>
      <name val="Aharoni"/>
    </font>
    <font>
      <sz val="12.65"/>
      <name val="Calibri"/>
      <family val="2"/>
      <charset val="238"/>
    </font>
    <font>
      <sz val="11"/>
      <name val="Calibri"/>
      <family val="2"/>
      <charset val="238"/>
    </font>
    <font>
      <sz val="11"/>
      <color rgb="FF000000"/>
      <name val="Arial"/>
      <family val="2"/>
      <charset val="238"/>
    </font>
    <font>
      <sz val="11"/>
      <name val="Arial"/>
      <family val="2"/>
      <charset val="238"/>
    </font>
    <font>
      <sz val="11"/>
      <color rgb="FF00B050"/>
      <name val="Calibri"/>
      <family val="2"/>
      <charset val="238"/>
      <scheme val="minor"/>
    </font>
    <font>
      <sz val="10"/>
      <color theme="1"/>
      <name val="Calibri"/>
      <family val="2"/>
      <charset val="238"/>
      <scheme val="minor"/>
    </font>
    <font>
      <b/>
      <sz val="10"/>
      <color theme="1"/>
      <name val="Calibri"/>
      <family val="2"/>
      <charset val="238"/>
      <scheme val="minor"/>
    </font>
    <font>
      <b/>
      <vertAlign val="superscript"/>
      <sz val="10"/>
      <name val="Calibri"/>
      <family val="2"/>
      <charset val="238"/>
      <scheme val="minor"/>
    </font>
    <font>
      <sz val="10"/>
      <name val="Calibri"/>
      <family val="2"/>
      <charset val="238"/>
    </font>
    <font>
      <sz val="13"/>
      <name val="Calibri"/>
      <family val="2"/>
      <charset val="238"/>
    </font>
    <font>
      <vertAlign val="superscript"/>
      <sz val="10"/>
      <name val="Calibri"/>
      <family val="2"/>
      <charset val="238"/>
      <scheme val="minor"/>
    </font>
    <font>
      <b/>
      <sz val="10"/>
      <color theme="1"/>
      <name val="Arial"/>
      <family val="2"/>
      <charset val="238"/>
    </font>
    <font>
      <sz val="8"/>
      <name val="Calibri"/>
      <family val="2"/>
      <charset val="238"/>
      <scheme val="minor"/>
    </font>
    <font>
      <b/>
      <sz val="12"/>
      <color theme="1"/>
      <name val="Calibri"/>
      <family val="2"/>
      <charset val="238"/>
      <scheme val="minor"/>
    </font>
    <font>
      <sz val="11"/>
      <color theme="1"/>
      <name val="Calibri"/>
      <family val="2"/>
      <charset val="238"/>
      <scheme val="minor"/>
    </font>
    <font>
      <sz val="12"/>
      <color theme="1"/>
      <name val="Calibri"/>
      <family val="2"/>
      <charset val="238"/>
      <scheme val="minor"/>
    </font>
    <font>
      <b/>
      <sz val="16"/>
      <color theme="1"/>
      <name val="Calibri"/>
      <family val="2"/>
      <charset val="238"/>
      <scheme val="minor"/>
    </font>
    <font>
      <sz val="12"/>
      <name val="Calibri"/>
      <family val="2"/>
      <charset val="238"/>
      <scheme val="minor"/>
    </font>
    <font>
      <strike/>
      <sz val="11"/>
      <color theme="1"/>
      <name val="Calibri"/>
      <family val="2"/>
      <charset val="238"/>
      <scheme val="minor"/>
    </font>
    <font>
      <b/>
      <strike/>
      <sz val="28"/>
      <color rgb="FFFF0000"/>
      <name val="Calibri"/>
      <family val="2"/>
      <charset val="238"/>
      <scheme val="minor"/>
    </font>
    <font>
      <b/>
      <strike/>
      <sz val="10"/>
      <color rgb="FFFF0000"/>
      <name val="Arial"/>
      <family val="2"/>
      <charset val="238"/>
    </font>
    <font>
      <b/>
      <strike/>
      <sz val="10"/>
      <color rgb="FFFF0000"/>
      <name val="Calibri"/>
      <family val="2"/>
      <charset val="238"/>
      <scheme val="minor"/>
    </font>
    <font>
      <strike/>
      <sz val="8"/>
      <color rgb="FFFF0000"/>
      <name val="Arial"/>
      <family val="2"/>
      <charset val="238"/>
    </font>
    <font>
      <strike/>
      <sz val="11"/>
      <color rgb="FFFF0000"/>
      <name val="Calibri"/>
      <family val="2"/>
      <charset val="238"/>
      <scheme val="minor"/>
    </font>
    <font>
      <strike/>
      <sz val="10"/>
      <color rgb="FFFF0000"/>
      <name val="Arial"/>
      <family val="2"/>
      <charset val="238"/>
    </font>
    <font>
      <sz val="10"/>
      <color rgb="FF00B050"/>
      <name val="Arial"/>
      <family val="2"/>
      <charset val="238"/>
    </font>
    <font>
      <b/>
      <sz val="9"/>
      <name val="Calibri"/>
      <family val="2"/>
      <charset val="238"/>
      <scheme val="minor"/>
    </font>
    <font>
      <sz val="9"/>
      <name val="Calibri"/>
      <family val="2"/>
      <charset val="238"/>
      <scheme val="minor"/>
    </font>
  </fonts>
  <fills count="7">
    <fill>
      <patternFill patternType="none"/>
    </fill>
    <fill>
      <patternFill patternType="gray125"/>
    </fill>
    <fill>
      <patternFill patternType="solid">
        <fgColor theme="6"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4" tint="0.79998168889431442"/>
        <bgColor indexed="64"/>
      </patternFill>
    </fill>
    <fill>
      <patternFill patternType="solid">
        <fgColor theme="4" tint="0.59999389629810485"/>
        <bgColor indexed="64"/>
      </patternFill>
    </fill>
  </fills>
  <borders count="48">
    <border>
      <left/>
      <right/>
      <top/>
      <bottom/>
      <diagonal/>
    </border>
    <border>
      <left style="medium">
        <color auto="1"/>
      </left>
      <right style="thin">
        <color auto="1"/>
      </right>
      <top style="medium">
        <color auto="1"/>
      </top>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medium">
        <color auto="1"/>
      </right>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style="thin">
        <color auto="1"/>
      </left>
      <right style="medium">
        <color auto="1"/>
      </right>
      <top style="medium">
        <color auto="1"/>
      </top>
      <bottom/>
      <diagonal/>
    </border>
    <border>
      <left/>
      <right/>
      <top/>
      <bottom style="thin">
        <color indexed="64"/>
      </bottom>
      <diagonal/>
    </border>
    <border>
      <left/>
      <right style="thin">
        <color auto="1"/>
      </right>
      <top style="thin">
        <color auto="1"/>
      </top>
      <bottom style="thin">
        <color auto="1"/>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thin">
        <color auto="1"/>
      </right>
      <top style="medium">
        <color indexed="64"/>
      </top>
      <bottom style="thin">
        <color auto="1"/>
      </bottom>
      <diagonal/>
    </border>
    <border>
      <left/>
      <right style="thin">
        <color auto="1"/>
      </right>
      <top style="medium">
        <color indexed="64"/>
      </top>
      <bottom style="thin">
        <color auto="1"/>
      </bottom>
      <diagonal/>
    </border>
    <border>
      <left style="medium">
        <color indexed="64"/>
      </left>
      <right style="thin">
        <color auto="1"/>
      </right>
      <top/>
      <bottom style="thin">
        <color auto="1"/>
      </bottom>
      <diagonal/>
    </border>
    <border>
      <left style="medium">
        <color indexed="64"/>
      </left>
      <right style="thin">
        <color auto="1"/>
      </right>
      <top style="thin">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indexed="64"/>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medium">
        <color indexed="64"/>
      </right>
      <top/>
      <bottom/>
      <diagonal/>
    </border>
    <border>
      <left style="medium">
        <color indexed="64"/>
      </left>
      <right/>
      <top/>
      <bottom/>
      <diagonal/>
    </border>
    <border>
      <left style="medium">
        <color indexed="64"/>
      </left>
      <right style="thin">
        <color auto="1"/>
      </right>
      <top/>
      <bottom/>
      <diagonal/>
    </border>
    <border>
      <left/>
      <right/>
      <top/>
      <bottom style="medium">
        <color auto="1"/>
      </bottom>
      <diagonal/>
    </border>
  </borders>
  <cellStyleXfs count="3">
    <xf numFmtId="0" fontId="0" fillId="0" borderId="0"/>
    <xf numFmtId="0" fontId="7" fillId="0" borderId="0"/>
    <xf numFmtId="9" fontId="46" fillId="0" borderId="0" applyFont="0" applyFill="0" applyBorder="0" applyAlignment="0" applyProtection="0"/>
  </cellStyleXfs>
  <cellXfs count="648">
    <xf numFmtId="0" fontId="0" fillId="0" borderId="0" xfId="0"/>
    <xf numFmtId="0" fontId="0" fillId="0" borderId="0" xfId="0"/>
    <xf numFmtId="0" fontId="3" fillId="0" borderId="0" xfId="0" applyFont="1" applyBorder="1" applyAlignment="1">
      <alignment horizontal="left" vertical="top"/>
    </xf>
    <xf numFmtId="0" fontId="1" fillId="0" borderId="0" xfId="0" applyFont="1"/>
    <xf numFmtId="0" fontId="0" fillId="0" borderId="0" xfId="0" applyBorder="1"/>
    <xf numFmtId="2" fontId="10" fillId="0" borderId="0" xfId="0" applyNumberFormat="1" applyFont="1" applyBorder="1"/>
    <xf numFmtId="0" fontId="11" fillId="0" borderId="12" xfId="0" applyFont="1" applyBorder="1"/>
    <xf numFmtId="0" fontId="11" fillId="0" borderId="13" xfId="0" applyFont="1" applyBorder="1" applyAlignment="1">
      <alignment horizontal="center" vertical="center"/>
    </xf>
    <xf numFmtId="0" fontId="12" fillId="0" borderId="12" xfId="0" applyFont="1" applyBorder="1" applyAlignment="1">
      <alignment horizontal="center"/>
    </xf>
    <xf numFmtId="2" fontId="12" fillId="0" borderId="12" xfId="0" applyNumberFormat="1" applyFont="1" applyBorder="1" applyAlignment="1">
      <alignment horizontal="center"/>
    </xf>
    <xf numFmtId="0" fontId="12" fillId="0" borderId="13" xfId="0" applyFont="1" applyBorder="1" applyAlignment="1">
      <alignment horizontal="center" vertical="center"/>
    </xf>
    <xf numFmtId="2" fontId="12" fillId="0" borderId="13" xfId="0" applyNumberFormat="1" applyFont="1" applyBorder="1" applyAlignment="1">
      <alignment horizontal="center" vertical="center"/>
    </xf>
    <xf numFmtId="0" fontId="6" fillId="0" borderId="0" xfId="0" applyFont="1"/>
    <xf numFmtId="0" fontId="6" fillId="0" borderId="23" xfId="0" applyFont="1" applyBorder="1"/>
    <xf numFmtId="0" fontId="11" fillId="0" borderId="28" xfId="0" applyFont="1" applyBorder="1" applyAlignment="1">
      <alignment horizontal="center" vertical="center"/>
    </xf>
    <xf numFmtId="0" fontId="0" fillId="0" borderId="0" xfId="0" applyAlignment="1">
      <alignment horizontal="right"/>
    </xf>
    <xf numFmtId="49" fontId="0" fillId="0" borderId="0" xfId="0" applyNumberFormat="1" applyAlignment="1">
      <alignment horizontal="right"/>
    </xf>
    <xf numFmtId="0" fontId="11" fillId="0" borderId="28" xfId="0" applyFont="1" applyBorder="1" applyAlignment="1">
      <alignment horizontal="right"/>
    </xf>
    <xf numFmtId="0" fontId="11" fillId="0" borderId="0" xfId="0" applyFont="1" applyBorder="1" applyAlignment="1">
      <alignment horizontal="right"/>
    </xf>
    <xf numFmtId="0" fontId="11" fillId="0" borderId="13" xfId="0" applyFont="1" applyBorder="1" applyAlignment="1">
      <alignment horizontal="right"/>
    </xf>
    <xf numFmtId="0" fontId="12" fillId="0" borderId="28" xfId="0" applyFont="1" applyBorder="1" applyAlignment="1">
      <alignment horizontal="center" vertical="center"/>
    </xf>
    <xf numFmtId="2" fontId="12" fillId="0" borderId="28" xfId="0" applyNumberFormat="1" applyFont="1" applyBorder="1" applyAlignment="1">
      <alignment horizontal="center" vertical="center"/>
    </xf>
    <xf numFmtId="0" fontId="12" fillId="0" borderId="0" xfId="0" applyFont="1" applyBorder="1" applyAlignment="1">
      <alignment horizontal="center" vertical="center"/>
    </xf>
    <xf numFmtId="0" fontId="11" fillId="0" borderId="12" xfId="0" applyFont="1" applyBorder="1" applyAlignment="1">
      <alignment horizontal="center"/>
    </xf>
    <xf numFmtId="0" fontId="12" fillId="0" borderId="0" xfId="0" applyFont="1" applyBorder="1" applyAlignment="1">
      <alignment horizontal="center"/>
    </xf>
    <xf numFmtId="2" fontId="12" fillId="0" borderId="0" xfId="0" applyNumberFormat="1" applyFont="1" applyBorder="1" applyAlignment="1">
      <alignment horizontal="center"/>
    </xf>
    <xf numFmtId="0" fontId="1" fillId="0" borderId="0" xfId="0" applyFont="1" applyBorder="1"/>
    <xf numFmtId="2" fontId="16" fillId="0" borderId="0" xfId="0" applyNumberFormat="1" applyFont="1" applyBorder="1" applyAlignment="1">
      <alignment horizontal="center" vertical="center"/>
    </xf>
    <xf numFmtId="49" fontId="15" fillId="0" borderId="0" xfId="0" applyNumberFormat="1" applyFont="1" applyBorder="1" applyAlignment="1">
      <alignment horizontal="right"/>
    </xf>
    <xf numFmtId="0" fontId="6" fillId="0" borderId="0" xfId="0" applyFont="1" applyBorder="1"/>
    <xf numFmtId="2" fontId="12" fillId="0" borderId="0" xfId="0" applyNumberFormat="1" applyFont="1" applyBorder="1" applyAlignment="1">
      <alignment horizontal="center" vertical="center"/>
    </xf>
    <xf numFmtId="2" fontId="15" fillId="0" borderId="0" xfId="0" applyNumberFormat="1" applyFont="1" applyBorder="1"/>
    <xf numFmtId="2" fontId="15" fillId="0" borderId="0" xfId="0" applyNumberFormat="1" applyFont="1" applyBorder="1" applyAlignment="1">
      <alignment horizontal="center" vertical="center"/>
    </xf>
    <xf numFmtId="2" fontId="18" fillId="0" borderId="0" xfId="0" applyNumberFormat="1" applyFont="1" applyBorder="1" applyAlignment="1">
      <alignment horizontal="center" vertical="center"/>
    </xf>
    <xf numFmtId="2" fontId="10" fillId="0" borderId="0" xfId="0" applyNumberFormat="1" applyFont="1" applyBorder="1" applyAlignment="1">
      <alignment horizontal="center" vertical="center"/>
    </xf>
    <xf numFmtId="0" fontId="0" fillId="0" borderId="0" xfId="0" applyFont="1" applyBorder="1"/>
    <xf numFmtId="0" fontId="0" fillId="0" borderId="0" xfId="0" applyFont="1"/>
    <xf numFmtId="0" fontId="12" fillId="0" borderId="0" xfId="0" applyFont="1" applyBorder="1" applyAlignment="1">
      <alignment horizontal="right"/>
    </xf>
    <xf numFmtId="0" fontId="0" fillId="0" borderId="0" xfId="0" applyFont="1" applyAlignment="1">
      <alignment horizontal="right"/>
    </xf>
    <xf numFmtId="0" fontId="5" fillId="0" borderId="0" xfId="0" applyFont="1"/>
    <xf numFmtId="49" fontId="18" fillId="0" borderId="0" xfId="0" applyNumberFormat="1" applyFont="1" applyBorder="1" applyAlignment="1">
      <alignment horizontal="left"/>
    </xf>
    <xf numFmtId="2" fontId="14" fillId="0" borderId="0" xfId="0" applyNumberFormat="1" applyFont="1" applyBorder="1"/>
    <xf numFmtId="2" fontId="14" fillId="0" borderId="0" xfId="0" applyNumberFormat="1" applyFont="1" applyBorder="1" applyAlignment="1">
      <alignment horizontal="center" vertical="center"/>
    </xf>
    <xf numFmtId="0" fontId="12" fillId="0" borderId="0" xfId="0" applyFont="1" applyBorder="1" applyAlignment="1">
      <alignment horizontal="right" vertical="center" wrapText="1"/>
    </xf>
    <xf numFmtId="0" fontId="12" fillId="0" borderId="0" xfId="0" applyFont="1" applyBorder="1" applyAlignment="1">
      <alignment horizontal="center" vertical="center" wrapText="1"/>
    </xf>
    <xf numFmtId="0" fontId="12" fillId="0" borderId="0" xfId="0" applyFont="1" applyBorder="1"/>
    <xf numFmtId="49" fontId="6" fillId="0" borderId="0" xfId="0" applyNumberFormat="1" applyFont="1" applyBorder="1"/>
    <xf numFmtId="0" fontId="0" fillId="0" borderId="0" xfId="0" applyAlignment="1">
      <alignment wrapText="1"/>
    </xf>
    <xf numFmtId="0" fontId="19" fillId="0" borderId="2" xfId="0" applyFont="1" applyFill="1" applyBorder="1" applyAlignment="1">
      <alignment horizontal="left" vertical="center" wrapText="1"/>
    </xf>
    <xf numFmtId="49" fontId="19" fillId="0" borderId="2" xfId="0" applyNumberFormat="1" applyFont="1" applyFill="1" applyBorder="1" applyAlignment="1">
      <alignment vertical="center"/>
    </xf>
    <xf numFmtId="0" fontId="0" fillId="0" borderId="0" xfId="0" applyAlignment="1">
      <alignment horizontal="left"/>
    </xf>
    <xf numFmtId="0" fontId="11" fillId="0" borderId="11" xfId="0" applyFont="1" applyBorder="1" applyAlignment="1">
      <alignment horizontal="center"/>
    </xf>
    <xf numFmtId="0" fontId="10" fillId="0" borderId="0" xfId="0" applyFont="1" applyBorder="1" applyAlignment="1">
      <alignment horizontal="center"/>
    </xf>
    <xf numFmtId="0" fontId="1" fillId="0" borderId="0" xfId="0" applyFont="1" applyFill="1" applyBorder="1"/>
    <xf numFmtId="0" fontId="21" fillId="0" borderId="0" xfId="0" applyFont="1" applyBorder="1"/>
    <xf numFmtId="49" fontId="10" fillId="0" borderId="0" xfId="0" applyNumberFormat="1" applyFont="1" applyBorder="1" applyAlignment="1">
      <alignment horizontal="right"/>
    </xf>
    <xf numFmtId="49" fontId="14" fillId="0" borderId="0" xfId="0" applyNumberFormat="1" applyFont="1" applyBorder="1" applyAlignment="1">
      <alignment horizontal="left"/>
    </xf>
    <xf numFmtId="0" fontId="14" fillId="0" borderId="0" xfId="0" applyFont="1" applyBorder="1"/>
    <xf numFmtId="0" fontId="0" fillId="0" borderId="0" xfId="0" applyFill="1"/>
    <xf numFmtId="0" fontId="15" fillId="0" borderId="2" xfId="0" applyFont="1" applyFill="1" applyBorder="1"/>
    <xf numFmtId="0" fontId="19" fillId="0" borderId="2" xfId="0" applyFont="1" applyFill="1" applyBorder="1" applyAlignment="1">
      <alignment horizontal="center"/>
    </xf>
    <xf numFmtId="0" fontId="19" fillId="0" borderId="2" xfId="0" applyFont="1" applyFill="1" applyBorder="1"/>
    <xf numFmtId="0" fontId="16" fillId="0" borderId="2" xfId="0" applyFont="1" applyFill="1" applyBorder="1" applyAlignment="1">
      <alignment horizontal="center" vertical="center"/>
    </xf>
    <xf numFmtId="0" fontId="19" fillId="0" borderId="2" xfId="0" applyFont="1" applyFill="1" applyBorder="1" applyAlignment="1">
      <alignment horizontal="center" wrapText="1"/>
    </xf>
    <xf numFmtId="0" fontId="8" fillId="0" borderId="0" xfId="0" applyFont="1" applyAlignment="1">
      <alignment horizontal="left"/>
    </xf>
    <xf numFmtId="0" fontId="6" fillId="0" borderId="0" xfId="0" applyFont="1" applyFill="1" applyBorder="1" applyAlignment="1">
      <alignment horizontal="right" vertical="center"/>
    </xf>
    <xf numFmtId="49" fontId="6" fillId="0" borderId="0" xfId="0" applyNumberFormat="1" applyFont="1" applyFill="1" applyBorder="1" applyAlignment="1">
      <alignment horizontal="right" vertical="center"/>
    </xf>
    <xf numFmtId="49" fontId="5" fillId="0" borderId="0" xfId="0" applyNumberFormat="1" applyFont="1" applyFill="1" applyBorder="1" applyAlignment="1">
      <alignment horizontal="right" vertical="center"/>
    </xf>
    <xf numFmtId="49" fontId="5" fillId="0" borderId="0" xfId="0" applyNumberFormat="1" applyFont="1"/>
    <xf numFmtId="49" fontId="6" fillId="0" borderId="0" xfId="0" applyNumberFormat="1" applyFont="1" applyAlignment="1">
      <alignment horizontal="right"/>
    </xf>
    <xf numFmtId="0" fontId="5" fillId="0" borderId="0" xfId="0" applyFont="1" applyFill="1" applyBorder="1" applyAlignment="1">
      <alignment horizontal="left" vertical="center"/>
    </xf>
    <xf numFmtId="0" fontId="6" fillId="0" borderId="29" xfId="0" applyFont="1" applyBorder="1"/>
    <xf numFmtId="0" fontId="6" fillId="0" borderId="30" xfId="0" applyFont="1" applyBorder="1"/>
    <xf numFmtId="2" fontId="6" fillId="0" borderId="30" xfId="0" applyNumberFormat="1" applyFont="1" applyBorder="1"/>
    <xf numFmtId="164" fontId="6" fillId="0" borderId="31" xfId="0" applyNumberFormat="1" applyFont="1" applyBorder="1"/>
    <xf numFmtId="49" fontId="6" fillId="0" borderId="14" xfId="0" applyNumberFormat="1" applyFont="1" applyBorder="1"/>
    <xf numFmtId="0" fontId="6" fillId="0" borderId="15" xfId="0" applyFont="1" applyBorder="1"/>
    <xf numFmtId="0" fontId="6" fillId="0" borderId="16" xfId="0" applyFont="1" applyBorder="1"/>
    <xf numFmtId="2" fontId="14" fillId="0" borderId="0" xfId="0" applyNumberFormat="1" applyFont="1" applyBorder="1" applyAlignment="1">
      <alignment horizontal="left"/>
    </xf>
    <xf numFmtId="2" fontId="18" fillId="0" borderId="0" xfId="0" applyNumberFormat="1" applyFont="1" applyBorder="1" applyAlignment="1">
      <alignment horizontal="left"/>
    </xf>
    <xf numFmtId="0" fontId="11" fillId="0" borderId="0" xfId="0" applyFont="1" applyBorder="1"/>
    <xf numFmtId="0" fontId="3" fillId="0" borderId="0" xfId="0" applyFont="1" applyFill="1" applyBorder="1" applyAlignment="1">
      <alignment horizontal="left" vertical="top"/>
    </xf>
    <xf numFmtId="0" fontId="2" fillId="0" borderId="0" xfId="0" applyFont="1" applyFill="1" applyBorder="1" applyAlignment="1">
      <alignment horizontal="center" vertical="top" wrapText="1"/>
    </xf>
    <xf numFmtId="0" fontId="0" fillId="0" borderId="0" xfId="0" applyFill="1" applyAlignment="1">
      <alignment horizontal="center"/>
    </xf>
    <xf numFmtId="0" fontId="6" fillId="0" borderId="0" xfId="0" applyFont="1" applyBorder="1" applyAlignment="1">
      <alignment wrapText="1"/>
    </xf>
    <xf numFmtId="0" fontId="11" fillId="0" borderId="0" xfId="0" applyFont="1" applyBorder="1" applyAlignment="1">
      <alignment horizontal="center"/>
    </xf>
    <xf numFmtId="49" fontId="6" fillId="0" borderId="0" xfId="0" applyNumberFormat="1" applyFont="1" applyBorder="1" applyAlignment="1">
      <alignment horizontal="right"/>
    </xf>
    <xf numFmtId="2" fontId="12" fillId="0" borderId="0" xfId="0" applyNumberFormat="1" applyFont="1" applyBorder="1"/>
    <xf numFmtId="2" fontId="6" fillId="0" borderId="0" xfId="0" applyNumberFormat="1" applyFont="1" applyBorder="1"/>
    <xf numFmtId="164" fontId="6" fillId="0" borderId="0" xfId="0" applyNumberFormat="1" applyFont="1" applyBorder="1"/>
    <xf numFmtId="2" fontId="6" fillId="0" borderId="23" xfId="0" applyNumberFormat="1" applyFont="1" applyBorder="1"/>
    <xf numFmtId="164" fontId="6" fillId="0" borderId="23" xfId="0" applyNumberFormat="1" applyFont="1" applyBorder="1"/>
    <xf numFmtId="2" fontId="12" fillId="0" borderId="23" xfId="0" applyNumberFormat="1" applyFont="1" applyBorder="1" applyAlignment="1">
      <alignment horizontal="center" vertical="center"/>
    </xf>
    <xf numFmtId="49" fontId="12" fillId="0" borderId="0" xfId="0" applyNumberFormat="1" applyFont="1" applyFill="1" applyBorder="1" applyAlignment="1">
      <alignment horizontal="left"/>
    </xf>
    <xf numFmtId="49" fontId="12" fillId="0" borderId="23" xfId="0" applyNumberFormat="1" applyFont="1" applyFill="1" applyBorder="1" applyAlignment="1">
      <alignment horizontal="left"/>
    </xf>
    <xf numFmtId="2" fontId="0" fillId="0" borderId="0" xfId="0" applyNumberFormat="1"/>
    <xf numFmtId="0" fontId="0" fillId="0" borderId="23" xfId="0" applyBorder="1"/>
    <xf numFmtId="2" fontId="10" fillId="0" borderId="0" xfId="0" applyNumberFormat="1" applyFont="1" applyBorder="1" applyAlignment="1">
      <alignment horizontal="center"/>
    </xf>
    <xf numFmtId="0" fontId="10" fillId="0" borderId="0" xfId="0" applyFont="1" applyBorder="1" applyAlignment="1">
      <alignment horizontal="center" vertical="center"/>
    </xf>
    <xf numFmtId="2" fontId="12" fillId="0" borderId="6" xfId="0" applyNumberFormat="1" applyFont="1" applyBorder="1" applyAlignment="1">
      <alignment horizontal="center" vertical="center"/>
    </xf>
    <xf numFmtId="2" fontId="12" fillId="0" borderId="7" xfId="0" applyNumberFormat="1" applyFont="1" applyBorder="1" applyAlignment="1">
      <alignment horizontal="center" vertical="center"/>
    </xf>
    <xf numFmtId="2" fontId="6" fillId="0" borderId="31" xfId="0" applyNumberFormat="1" applyFont="1" applyBorder="1"/>
    <xf numFmtId="0" fontId="6" fillId="3" borderId="29" xfId="0" applyFont="1" applyFill="1" applyBorder="1"/>
    <xf numFmtId="0" fontId="6" fillId="3" borderId="30" xfId="0" applyFont="1" applyFill="1" applyBorder="1"/>
    <xf numFmtId="164" fontId="6" fillId="3" borderId="30" xfId="0" applyNumberFormat="1" applyFont="1" applyFill="1" applyBorder="1"/>
    <xf numFmtId="0" fontId="0" fillId="3" borderId="31" xfId="0" applyFill="1" applyBorder="1"/>
    <xf numFmtId="2" fontId="10" fillId="0" borderId="0" xfId="0" applyNumberFormat="1" applyFont="1" applyBorder="1" applyAlignment="1">
      <alignment horizontal="center" vertical="center"/>
    </xf>
    <xf numFmtId="0" fontId="11" fillId="0" borderId="0" xfId="0" applyFont="1" applyBorder="1" applyAlignment="1">
      <alignment horizontal="center" vertical="center"/>
    </xf>
    <xf numFmtId="2" fontId="12" fillId="0" borderId="0" xfId="0" applyNumberFormat="1" applyFont="1" applyBorder="1" applyAlignment="1">
      <alignment horizontal="center" vertical="center"/>
    </xf>
    <xf numFmtId="2" fontId="12" fillId="0" borderId="0" xfId="0" applyNumberFormat="1" applyFont="1" applyBorder="1" applyAlignment="1">
      <alignment horizontal="center" vertical="center"/>
    </xf>
    <xf numFmtId="0" fontId="7" fillId="0" borderId="0" xfId="0" applyFont="1" applyBorder="1"/>
    <xf numFmtId="2" fontId="7" fillId="0" borderId="0" xfId="0" applyNumberFormat="1" applyFont="1" applyBorder="1"/>
    <xf numFmtId="2" fontId="7" fillId="0" borderId="0" xfId="0" applyNumberFormat="1" applyFont="1" applyBorder="1" applyAlignment="1">
      <alignment horizontal="center" vertical="center"/>
    </xf>
    <xf numFmtId="0" fontId="7" fillId="0" borderId="23" xfId="0" applyFont="1" applyBorder="1"/>
    <xf numFmtId="2" fontId="7" fillId="0" borderId="23" xfId="0" applyNumberFormat="1" applyFont="1" applyBorder="1"/>
    <xf numFmtId="2" fontId="7" fillId="0" borderId="23" xfId="0" applyNumberFormat="1" applyFont="1" applyBorder="1" applyAlignment="1">
      <alignment horizontal="center" vertical="center"/>
    </xf>
    <xf numFmtId="49" fontId="11" fillId="0" borderId="0" xfId="0" applyNumberFormat="1" applyFont="1" applyFill="1" applyBorder="1" applyAlignment="1">
      <alignment horizontal="left"/>
    </xf>
    <xf numFmtId="0" fontId="15" fillId="0" borderId="0" xfId="0" applyFont="1" applyBorder="1"/>
    <xf numFmtId="49" fontId="12" fillId="4" borderId="29" xfId="0" applyNumberFormat="1" applyFont="1" applyFill="1" applyBorder="1" applyAlignment="1">
      <alignment horizontal="left"/>
    </xf>
    <xf numFmtId="0" fontId="7" fillId="4" borderId="30" xfId="0" applyFont="1" applyFill="1" applyBorder="1"/>
    <xf numFmtId="2" fontId="7" fillId="4" borderId="30" xfId="0" applyNumberFormat="1" applyFont="1" applyFill="1" applyBorder="1"/>
    <xf numFmtId="0" fontId="6" fillId="4" borderId="30" xfId="0" applyFont="1" applyFill="1" applyBorder="1"/>
    <xf numFmtId="2" fontId="7" fillId="4" borderId="30" xfId="0" applyNumberFormat="1" applyFont="1" applyFill="1" applyBorder="1" applyAlignment="1">
      <alignment horizontal="center" vertical="center"/>
    </xf>
    <xf numFmtId="2" fontId="7" fillId="4" borderId="31" xfId="0" applyNumberFormat="1" applyFont="1" applyFill="1" applyBorder="1"/>
    <xf numFmtId="0" fontId="7" fillId="5" borderId="29" xfId="0" applyFont="1" applyFill="1" applyBorder="1"/>
    <xf numFmtId="0" fontId="7" fillId="5" borderId="30" xfId="0" applyFont="1" applyFill="1" applyBorder="1"/>
    <xf numFmtId="0" fontId="7" fillId="5" borderId="31" xfId="0" applyFont="1" applyFill="1" applyBorder="1"/>
    <xf numFmtId="1" fontId="7" fillId="5" borderId="30" xfId="0" applyNumberFormat="1" applyFont="1" applyFill="1" applyBorder="1"/>
    <xf numFmtId="2" fontId="12" fillId="0" borderId="0" xfId="0" applyNumberFormat="1" applyFont="1" applyBorder="1" applyAlignment="1">
      <alignment horizontal="center" vertical="center"/>
    </xf>
    <xf numFmtId="0" fontId="4" fillId="0" borderId="0" xfId="0" applyFont="1" applyAlignment="1">
      <alignment horizontal="left"/>
    </xf>
    <xf numFmtId="1" fontId="4" fillId="0" borderId="0" xfId="0" applyNumberFormat="1" applyFont="1" applyAlignment="1">
      <alignment horizontal="center" vertical="top" wrapText="1"/>
    </xf>
    <xf numFmtId="0" fontId="4" fillId="0" borderId="0" xfId="0" applyFont="1" applyAlignment="1">
      <alignment horizontal="left" vertical="top"/>
    </xf>
    <xf numFmtId="0" fontId="23" fillId="0" borderId="0" xfId="0" applyFont="1" applyAlignment="1">
      <alignment horizontal="left" vertical="center"/>
    </xf>
    <xf numFmtId="1" fontId="24" fillId="0" borderId="0" xfId="0" applyNumberFormat="1" applyFont="1"/>
    <xf numFmtId="0" fontId="24" fillId="0" borderId="0" xfId="0" applyFont="1" applyAlignment="1">
      <alignment horizontal="left" vertical="center"/>
    </xf>
    <xf numFmtId="1" fontId="0" fillId="0" borderId="0" xfId="0" applyNumberFormat="1"/>
    <xf numFmtId="0" fontId="7" fillId="0" borderId="2" xfId="0" applyFont="1" applyBorder="1"/>
    <xf numFmtId="1" fontId="7" fillId="0" borderId="0" xfId="0" applyNumberFormat="1" applyFont="1" applyBorder="1"/>
    <xf numFmtId="1" fontId="7" fillId="0" borderId="23" xfId="0" applyNumberFormat="1" applyFont="1" applyBorder="1"/>
    <xf numFmtId="49" fontId="11" fillId="0" borderId="0" xfId="0" applyNumberFormat="1" applyFont="1" applyFill="1" applyBorder="1" applyAlignment="1">
      <alignment horizontal="right"/>
    </xf>
    <xf numFmtId="0" fontId="7" fillId="0" borderId="0" xfId="0" applyFont="1"/>
    <xf numFmtId="2" fontId="7" fillId="0" borderId="0" xfId="0" applyNumberFormat="1" applyFont="1"/>
    <xf numFmtId="2" fontId="7" fillId="0" borderId="0" xfId="0" applyNumberFormat="1" applyFont="1" applyAlignment="1">
      <alignment horizontal="center" vertical="center"/>
    </xf>
    <xf numFmtId="0" fontId="15" fillId="0" borderId="0" xfId="0" applyFont="1"/>
    <xf numFmtId="2" fontId="15" fillId="0" borderId="0" xfId="0" applyNumberFormat="1" applyFont="1"/>
    <xf numFmtId="49" fontId="15" fillId="0" borderId="0" xfId="0" applyNumberFormat="1" applyFont="1" applyAlignment="1">
      <alignment horizontal="right"/>
    </xf>
    <xf numFmtId="49" fontId="7" fillId="0" borderId="0" xfId="0" applyNumberFormat="1" applyFont="1" applyAlignment="1">
      <alignment horizontal="right"/>
    </xf>
    <xf numFmtId="0" fontId="15" fillId="0" borderId="0" xfId="0" applyFont="1" applyBorder="1" applyAlignment="1">
      <alignment horizontal="right"/>
    </xf>
    <xf numFmtId="0" fontId="25" fillId="0" borderId="0" xfId="0" applyFont="1" applyAlignment="1">
      <alignment vertical="top"/>
    </xf>
    <xf numFmtId="0" fontId="25" fillId="0" borderId="0" xfId="0" applyFont="1" applyAlignment="1">
      <alignment vertical="center"/>
    </xf>
    <xf numFmtId="164" fontId="7" fillId="0" borderId="0" xfId="0" applyNumberFormat="1" applyFont="1"/>
    <xf numFmtId="0" fontId="0" fillId="0" borderId="0" xfId="0" applyFill="1" applyBorder="1"/>
    <xf numFmtId="2" fontId="27" fillId="0" borderId="0" xfId="0" applyNumberFormat="1" applyFont="1" applyBorder="1" applyAlignment="1">
      <alignment horizontal="center" vertical="center"/>
    </xf>
    <xf numFmtId="2" fontId="27" fillId="0" borderId="0" xfId="0" applyNumberFormat="1" applyFont="1" applyBorder="1"/>
    <xf numFmtId="49" fontId="14" fillId="0" borderId="0" xfId="0" applyNumberFormat="1" applyFont="1" applyAlignment="1">
      <alignment horizontal="right"/>
    </xf>
    <xf numFmtId="2" fontId="14" fillId="0" borderId="0" xfId="0" applyNumberFormat="1" applyFont="1" applyAlignment="1">
      <alignment horizontal="center" vertical="center"/>
    </xf>
    <xf numFmtId="2" fontId="14" fillId="0" borderId="0" xfId="0" applyNumberFormat="1" applyFont="1"/>
    <xf numFmtId="2" fontId="12" fillId="0" borderId="0" xfId="0" applyNumberFormat="1" applyFont="1" applyBorder="1" applyAlignment="1">
      <alignment horizontal="center" vertical="center"/>
    </xf>
    <xf numFmtId="0" fontId="28" fillId="0" borderId="0" xfId="0" applyFont="1"/>
    <xf numFmtId="0" fontId="6" fillId="0" borderId="0" xfId="0" applyFont="1" applyAlignment="1">
      <alignment vertical="top" wrapText="1"/>
    </xf>
    <xf numFmtId="1" fontId="7" fillId="0" borderId="0" xfId="0" applyNumberFormat="1" applyFont="1" applyAlignment="1">
      <alignment horizontal="center" vertical="center"/>
    </xf>
    <xf numFmtId="2" fontId="7" fillId="0" borderId="0" xfId="0" applyNumberFormat="1" applyFont="1" applyAlignment="1">
      <alignment horizontal="center"/>
    </xf>
    <xf numFmtId="1" fontId="7" fillId="0" borderId="0" xfId="0" applyNumberFormat="1" applyFont="1" applyBorder="1" applyAlignment="1">
      <alignment horizontal="center" vertical="center"/>
    </xf>
    <xf numFmtId="2" fontId="7" fillId="0" borderId="0" xfId="0" applyNumberFormat="1" applyFont="1" applyBorder="1" applyAlignment="1">
      <alignment horizontal="center"/>
    </xf>
    <xf numFmtId="0" fontId="7" fillId="0" borderId="41" xfId="0" applyFont="1" applyBorder="1"/>
    <xf numFmtId="2" fontId="7" fillId="0" borderId="41" xfId="0" applyNumberFormat="1" applyFont="1" applyBorder="1"/>
    <xf numFmtId="2" fontId="7" fillId="0" borderId="41" xfId="0" applyNumberFormat="1" applyFont="1" applyBorder="1" applyAlignment="1">
      <alignment horizontal="center" vertical="center"/>
    </xf>
    <xf numFmtId="0" fontId="28" fillId="0" borderId="0" xfId="0" applyFont="1" applyBorder="1"/>
    <xf numFmtId="0" fontId="17" fillId="0" borderId="0" xfId="0" applyFont="1"/>
    <xf numFmtId="2" fontId="15" fillId="0" borderId="0" xfId="0" applyNumberFormat="1" applyFont="1" applyAlignment="1">
      <alignment horizontal="center" vertical="center"/>
    </xf>
    <xf numFmtId="49" fontId="0" fillId="0" borderId="0" xfId="0" applyNumberFormat="1" applyAlignment="1">
      <alignment horizontal="left"/>
    </xf>
    <xf numFmtId="2" fontId="0" fillId="0" borderId="0" xfId="0" applyNumberFormat="1" applyAlignment="1">
      <alignment horizontal="center"/>
    </xf>
    <xf numFmtId="0" fontId="0" fillId="0" borderId="0" xfId="0" applyAlignment="1"/>
    <xf numFmtId="49" fontId="0" fillId="0" borderId="0" xfId="0" applyNumberFormat="1" applyAlignment="1"/>
    <xf numFmtId="2" fontId="0" fillId="0" borderId="0" xfId="0" applyNumberFormat="1" applyAlignment="1"/>
    <xf numFmtId="49" fontId="1" fillId="0" borderId="0" xfId="0" applyNumberFormat="1" applyFont="1" applyBorder="1" applyAlignment="1">
      <alignment horizontal="right"/>
    </xf>
    <xf numFmtId="0" fontId="29" fillId="0" borderId="0" xfId="0" applyFont="1"/>
    <xf numFmtId="49" fontId="29" fillId="0" borderId="0" xfId="0" applyNumberFormat="1" applyFont="1" applyAlignment="1">
      <alignment horizontal="left"/>
    </xf>
    <xf numFmtId="2" fontId="29" fillId="0" borderId="0" xfId="0" applyNumberFormat="1" applyFont="1" applyAlignment="1">
      <alignment horizontal="center"/>
    </xf>
    <xf numFmtId="49" fontId="30" fillId="0" borderId="0" xfId="0" applyNumberFormat="1" applyFont="1" applyFill="1" applyBorder="1" applyAlignment="1">
      <alignment horizontal="right"/>
    </xf>
    <xf numFmtId="0" fontId="6" fillId="0" borderId="0" xfId="0" applyFont="1" applyAlignment="1"/>
    <xf numFmtId="0" fontId="6" fillId="0" borderId="0" xfId="0" applyFont="1" applyFill="1" applyBorder="1" applyAlignment="1"/>
    <xf numFmtId="0" fontId="6" fillId="0" borderId="23" xfId="0" applyFont="1" applyBorder="1" applyAlignment="1"/>
    <xf numFmtId="49" fontId="6" fillId="0" borderId="0" xfId="0" applyNumberFormat="1" applyFont="1" applyAlignment="1"/>
    <xf numFmtId="0" fontId="6" fillId="0" borderId="0" xfId="0" applyFont="1" applyBorder="1" applyAlignment="1">
      <alignment horizontal="right"/>
    </xf>
    <xf numFmtId="0" fontId="6" fillId="0" borderId="0" xfId="0" applyFont="1" applyAlignment="1">
      <alignment horizontal="right"/>
    </xf>
    <xf numFmtId="0" fontId="6" fillId="0" borderId="0" xfId="0" applyFont="1" applyBorder="1" applyAlignment="1"/>
    <xf numFmtId="0" fontId="33" fillId="0" borderId="0" xfId="0" applyFont="1" applyBorder="1"/>
    <xf numFmtId="0" fontId="25" fillId="0" borderId="0" xfId="0" applyFont="1" applyBorder="1" applyAlignment="1">
      <alignment horizontal="left" vertical="center"/>
    </xf>
    <xf numFmtId="0" fontId="6" fillId="0" borderId="0" xfId="0" applyFont="1" applyAlignment="1">
      <alignment horizontal="center"/>
    </xf>
    <xf numFmtId="0" fontId="7" fillId="0" borderId="0" xfId="0" applyFont="1" applyBorder="1" applyAlignment="1">
      <alignment horizontal="center"/>
    </xf>
    <xf numFmtId="0" fontId="6" fillId="0" borderId="0" xfId="0" applyFont="1" applyAlignment="1">
      <alignment horizontal="left" vertical="top" wrapText="1"/>
    </xf>
    <xf numFmtId="2" fontId="7" fillId="0" borderId="0" xfId="0" applyNumberFormat="1" applyFont="1" applyBorder="1" applyAlignment="1">
      <alignment horizontal="center" vertical="center" wrapText="1"/>
    </xf>
    <xf numFmtId="0" fontId="31" fillId="0" borderId="0" xfId="0" applyFont="1" applyBorder="1" applyAlignment="1">
      <alignment horizontal="center"/>
    </xf>
    <xf numFmtId="2" fontId="15" fillId="0" borderId="11" xfId="0" applyNumberFormat="1" applyFont="1" applyBorder="1" applyAlignment="1">
      <alignment horizontal="center" vertical="center"/>
    </xf>
    <xf numFmtId="0" fontId="34" fillId="0" borderId="0" xfId="0" applyFont="1" applyAlignment="1">
      <alignment vertical="center"/>
    </xf>
    <xf numFmtId="2" fontId="7" fillId="0" borderId="0" xfId="0" applyNumberFormat="1" applyFont="1" applyBorder="1" applyAlignment="1">
      <alignment wrapText="1"/>
    </xf>
    <xf numFmtId="2" fontId="12" fillId="0" borderId="0" xfId="0" applyNumberFormat="1" applyFont="1" applyBorder="1" applyAlignment="1">
      <alignment horizontal="center" vertical="center"/>
    </xf>
    <xf numFmtId="0" fontId="5" fillId="0" borderId="0" xfId="0" applyFont="1" applyBorder="1" applyAlignment="1"/>
    <xf numFmtId="2" fontId="6" fillId="0" borderId="0" xfId="0" applyNumberFormat="1" applyFont="1" applyAlignment="1"/>
    <xf numFmtId="0" fontId="6" fillId="0" borderId="2" xfId="0" applyFont="1" applyBorder="1" applyAlignment="1"/>
    <xf numFmtId="0" fontId="0" fillId="0" borderId="41" xfId="0" applyBorder="1"/>
    <xf numFmtId="0" fontId="0" fillId="0" borderId="0" xfId="0" applyAlignment="1">
      <alignment vertical="center"/>
    </xf>
    <xf numFmtId="49" fontId="6" fillId="0" borderId="0" xfId="0" applyNumberFormat="1" applyFont="1" applyBorder="1" applyAlignment="1">
      <alignment horizontal="left"/>
    </xf>
    <xf numFmtId="1" fontId="30" fillId="0" borderId="0" xfId="0" applyNumberFormat="1" applyFont="1" applyBorder="1"/>
    <xf numFmtId="2" fontId="0" fillId="0" borderId="0" xfId="0" applyNumberFormat="1" applyAlignment="1">
      <alignment wrapText="1"/>
    </xf>
    <xf numFmtId="49" fontId="0" fillId="0" borderId="0" xfId="0" applyNumberFormat="1" applyAlignment="1">
      <alignment wrapText="1"/>
    </xf>
    <xf numFmtId="2" fontId="0" fillId="0" borderId="0" xfId="0" applyNumberFormat="1" applyAlignment="1">
      <alignment horizontal="center" wrapText="1"/>
    </xf>
    <xf numFmtId="0" fontId="7" fillId="0" borderId="2" xfId="0" applyFont="1" applyFill="1" applyBorder="1" applyAlignment="1">
      <alignment horizontal="center" vertical="center" wrapText="1"/>
    </xf>
    <xf numFmtId="0" fontId="7" fillId="0" borderId="2" xfId="0" applyFont="1" applyBorder="1" applyAlignment="1">
      <alignment horizontal="center" vertical="center"/>
    </xf>
    <xf numFmtId="0" fontId="7" fillId="0" borderId="8" xfId="0" applyFont="1" applyBorder="1" applyAlignment="1">
      <alignment horizontal="center" vertical="center"/>
    </xf>
    <xf numFmtId="2" fontId="12" fillId="0" borderId="0" xfId="0" applyNumberFormat="1" applyFont="1" applyBorder="1" applyAlignment="1">
      <alignment horizontal="center" vertical="center" wrapText="1"/>
    </xf>
    <xf numFmtId="0" fontId="7" fillId="0" borderId="0" xfId="0" applyFont="1" applyFill="1" applyBorder="1"/>
    <xf numFmtId="164" fontId="7" fillId="0" borderId="0" xfId="0" applyNumberFormat="1" applyFont="1" applyBorder="1"/>
    <xf numFmtId="0" fontId="7" fillId="0" borderId="2" xfId="0" applyFont="1" applyFill="1" applyBorder="1" applyAlignment="1">
      <alignment horizontal="center" vertical="center"/>
    </xf>
    <xf numFmtId="49" fontId="12" fillId="0" borderId="41" xfId="0" applyNumberFormat="1" applyFont="1" applyFill="1" applyBorder="1" applyAlignment="1">
      <alignment horizontal="left"/>
    </xf>
    <xf numFmtId="0" fontId="19" fillId="0" borderId="4" xfId="0" applyFont="1" applyFill="1" applyBorder="1" applyAlignment="1">
      <alignment horizontal="center"/>
    </xf>
    <xf numFmtId="0" fontId="19" fillId="0" borderId="4" xfId="0" applyFont="1" applyFill="1" applyBorder="1" applyAlignment="1">
      <alignment horizontal="center" wrapText="1"/>
    </xf>
    <xf numFmtId="1" fontId="7" fillId="0" borderId="4" xfId="0" applyNumberFormat="1" applyFont="1" applyBorder="1" applyAlignment="1">
      <alignment horizontal="center" vertical="center"/>
    </xf>
    <xf numFmtId="0" fontId="7" fillId="0" borderId="4" xfId="0" applyFont="1" applyBorder="1" applyAlignment="1">
      <alignment horizontal="center" vertical="center"/>
    </xf>
    <xf numFmtId="0" fontId="7" fillId="0" borderId="17" xfId="0" applyFont="1" applyBorder="1" applyAlignment="1">
      <alignment horizontal="center" vertical="center"/>
    </xf>
    <xf numFmtId="1" fontId="7" fillId="0" borderId="4" xfId="0" applyNumberFormat="1" applyFont="1" applyFill="1" applyBorder="1" applyAlignment="1">
      <alignment horizontal="center" vertical="center"/>
    </xf>
    <xf numFmtId="0" fontId="19" fillId="0" borderId="8" xfId="0" applyFont="1" applyFill="1" applyBorder="1" applyAlignment="1">
      <alignment horizontal="center" wrapText="1"/>
    </xf>
    <xf numFmtId="2" fontId="12" fillId="0" borderId="0" xfId="0" applyNumberFormat="1" applyFont="1" applyBorder="1" applyAlignment="1">
      <alignment horizontal="center" vertical="center"/>
    </xf>
    <xf numFmtId="0" fontId="1" fillId="0" borderId="0" xfId="0" applyFont="1" applyFill="1"/>
    <xf numFmtId="1" fontId="35" fillId="0" borderId="0" xfId="0" applyNumberFormat="1" applyFont="1" applyBorder="1"/>
    <xf numFmtId="2" fontId="35" fillId="0" borderId="0" xfId="0" applyNumberFormat="1" applyFont="1" applyBorder="1"/>
    <xf numFmtId="2" fontId="14" fillId="0" borderId="0" xfId="0" applyNumberFormat="1" applyFont="1" applyBorder="1" applyAlignment="1">
      <alignment horizontal="left" vertical="center"/>
    </xf>
    <xf numFmtId="0" fontId="36" fillId="0" borderId="0" xfId="0" applyFont="1" applyFill="1"/>
    <xf numFmtId="0" fontId="28" fillId="0" borderId="0" xfId="0" applyFont="1" applyFill="1"/>
    <xf numFmtId="2" fontId="10" fillId="0" borderId="0" xfId="0" applyNumberFormat="1" applyFont="1" applyFill="1" applyBorder="1"/>
    <xf numFmtId="2" fontId="7" fillId="0" borderId="0" xfId="0" applyNumberFormat="1" applyFont="1" applyFill="1" applyBorder="1" applyAlignment="1">
      <alignment horizontal="center" vertical="center"/>
    </xf>
    <xf numFmtId="2" fontId="7" fillId="0" borderId="0" xfId="0" applyNumberFormat="1" applyFont="1" applyFill="1" applyAlignment="1">
      <alignment horizontal="center" vertical="center"/>
    </xf>
    <xf numFmtId="2" fontId="7" fillId="0" borderId="0" xfId="0" applyNumberFormat="1" applyFont="1" applyFill="1" applyAlignment="1">
      <alignment horizontal="left" vertical="center"/>
    </xf>
    <xf numFmtId="1" fontId="0" fillId="0" borderId="0" xfId="0" applyNumberFormat="1" applyFill="1"/>
    <xf numFmtId="0" fontId="37" fillId="2" borderId="39" xfId="0" applyFont="1" applyFill="1" applyBorder="1" applyAlignment="1">
      <alignment horizontal="center" vertical="center"/>
    </xf>
    <xf numFmtId="0" fontId="37" fillId="2" borderId="40" xfId="0" applyFont="1" applyFill="1" applyBorder="1" applyAlignment="1">
      <alignment horizontal="center" vertical="center"/>
    </xf>
    <xf numFmtId="0" fontId="37" fillId="0" borderId="0" xfId="0" applyFont="1" applyBorder="1"/>
    <xf numFmtId="0" fontId="28" fillId="0" borderId="2" xfId="0" applyFont="1" applyFill="1" applyBorder="1" applyAlignment="1">
      <alignment horizontal="center"/>
    </xf>
    <xf numFmtId="164" fontId="28" fillId="0" borderId="4" xfId="0" applyNumberFormat="1" applyFont="1" applyBorder="1" applyAlignment="1">
      <alignment horizontal="center"/>
    </xf>
    <xf numFmtId="0" fontId="28" fillId="0" borderId="2" xfId="0" applyFont="1" applyBorder="1"/>
    <xf numFmtId="0" fontId="28" fillId="0" borderId="2" xfId="0" applyFont="1" applyBorder="1" applyAlignment="1">
      <alignment wrapText="1"/>
    </xf>
    <xf numFmtId="164" fontId="28" fillId="0" borderId="17" xfId="0" applyNumberFormat="1" applyFont="1" applyBorder="1" applyAlignment="1">
      <alignment horizontal="center"/>
    </xf>
    <xf numFmtId="0" fontId="37" fillId="0" borderId="42" xfId="0" applyFont="1" applyBorder="1"/>
    <xf numFmtId="0" fontId="37" fillId="0" borderId="2" xfId="0" applyFont="1" applyBorder="1"/>
    <xf numFmtId="49" fontId="37" fillId="0" borderId="2" xfId="0" applyNumberFormat="1" applyFont="1" applyBorder="1" applyAlignment="1">
      <alignment wrapText="1"/>
    </xf>
    <xf numFmtId="0" fontId="37" fillId="0" borderId="4" xfId="0" applyFont="1" applyBorder="1"/>
    <xf numFmtId="49" fontId="37" fillId="0" borderId="2" xfId="0" applyNumberFormat="1" applyFont="1" applyBorder="1"/>
    <xf numFmtId="49" fontId="28" fillId="0" borderId="2" xfId="0" applyNumberFormat="1" applyFont="1" applyBorder="1"/>
    <xf numFmtId="0" fontId="7" fillId="0" borderId="2" xfId="0" applyFont="1" applyFill="1" applyBorder="1" applyAlignment="1">
      <alignment horizontal="center" wrapText="1"/>
    </xf>
    <xf numFmtId="0" fontId="7" fillId="0" borderId="2" xfId="0" applyFont="1" applyFill="1" applyBorder="1"/>
    <xf numFmtId="0" fontId="21" fillId="0" borderId="2" xfId="0" applyFont="1" applyFill="1" applyBorder="1"/>
    <xf numFmtId="0" fontId="28" fillId="0" borderId="2" xfId="0" applyFont="1" applyFill="1" applyBorder="1"/>
    <xf numFmtId="0" fontId="37" fillId="0" borderId="2" xfId="0" applyFont="1" applyFill="1" applyBorder="1"/>
    <xf numFmtId="0" fontId="37" fillId="0" borderId="4" xfId="0" applyFont="1" applyFill="1" applyBorder="1"/>
    <xf numFmtId="1" fontId="37" fillId="0" borderId="4" xfId="0" applyNumberFormat="1" applyFont="1" applyFill="1" applyBorder="1" applyAlignment="1">
      <alignment horizontal="center"/>
    </xf>
    <xf numFmtId="164" fontId="37" fillId="0" borderId="4" xfId="0" applyNumberFormat="1" applyFont="1" applyFill="1" applyBorder="1" applyAlignment="1">
      <alignment horizontal="center"/>
    </xf>
    <xf numFmtId="0" fontId="37" fillId="0" borderId="4" xfId="0" applyFont="1" applyFill="1" applyBorder="1" applyAlignment="1">
      <alignment horizontal="center" vertical="center"/>
    </xf>
    <xf numFmtId="0" fontId="37" fillId="0" borderId="8" xfId="0" applyFont="1" applyFill="1" applyBorder="1"/>
    <xf numFmtId="0" fontId="37" fillId="0" borderId="17" xfId="0" applyFont="1" applyFill="1" applyBorder="1"/>
    <xf numFmtId="0" fontId="37" fillId="0" borderId="41" xfId="0" applyFont="1" applyBorder="1" applyAlignment="1">
      <alignment vertical="top" wrapText="1"/>
    </xf>
    <xf numFmtId="0" fontId="7" fillId="0" borderId="8" xfId="0" applyFont="1" applyFill="1" applyBorder="1" applyAlignment="1">
      <alignment horizontal="center" vertical="center" wrapText="1"/>
    </xf>
    <xf numFmtId="1" fontId="37" fillId="0" borderId="17" xfId="0" applyNumberFormat="1" applyFont="1" applyBorder="1" applyAlignment="1">
      <alignment horizontal="center" vertical="center" wrapText="1"/>
    </xf>
    <xf numFmtId="49" fontId="37" fillId="0" borderId="23" xfId="0" applyNumberFormat="1" applyFont="1" applyBorder="1" applyAlignment="1">
      <alignment horizontal="left" wrapText="1"/>
    </xf>
    <xf numFmtId="49" fontId="37" fillId="0" borderId="9" xfId="0" applyNumberFormat="1" applyFont="1" applyBorder="1" applyAlignment="1">
      <alignment horizontal="left" wrapText="1"/>
    </xf>
    <xf numFmtId="0" fontId="37" fillId="0" borderId="19" xfId="0" applyFont="1" applyBorder="1" applyAlignment="1">
      <alignment wrapText="1"/>
    </xf>
    <xf numFmtId="0" fontId="28" fillId="0" borderId="43" xfId="0" applyFont="1" applyBorder="1" applyAlignment="1"/>
    <xf numFmtId="0" fontId="7" fillId="0" borderId="9" xfId="0" applyFont="1" applyFill="1" applyBorder="1" applyAlignment="1">
      <alignment horizontal="center" vertical="center" wrapText="1"/>
    </xf>
    <xf numFmtId="1" fontId="37" fillId="0" borderId="19" xfId="0" applyNumberFormat="1" applyFont="1" applyBorder="1" applyAlignment="1">
      <alignment horizontal="center" vertical="center" wrapText="1"/>
    </xf>
    <xf numFmtId="0" fontId="28" fillId="0" borderId="2" xfId="0" applyFont="1" applyBorder="1" applyAlignment="1"/>
    <xf numFmtId="1" fontId="37" fillId="0" borderId="4" xfId="0" applyNumberFormat="1" applyFont="1" applyFill="1" applyBorder="1" applyAlignment="1">
      <alignment horizontal="center" vertical="center"/>
    </xf>
    <xf numFmtId="0" fontId="21" fillId="0" borderId="2" xfId="0" applyFont="1" applyBorder="1" applyAlignment="1"/>
    <xf numFmtId="0" fontId="28" fillId="0" borderId="2" xfId="0" applyFont="1" applyBorder="1" applyAlignment="1">
      <alignment horizontal="left" vertical="center" wrapText="1"/>
    </xf>
    <xf numFmtId="0" fontId="28" fillId="0" borderId="2" xfId="0" applyFont="1" applyFill="1" applyBorder="1" applyAlignment="1">
      <alignment horizontal="left" vertical="center"/>
    </xf>
    <xf numFmtId="2" fontId="15" fillId="6" borderId="2" xfId="0" applyNumberFormat="1" applyFont="1" applyFill="1" applyBorder="1"/>
    <xf numFmtId="0" fontId="37" fillId="6" borderId="4" xfId="0" applyFont="1" applyFill="1" applyBorder="1"/>
    <xf numFmtId="0" fontId="17" fillId="6" borderId="2" xfId="0" applyFont="1" applyFill="1" applyBorder="1"/>
    <xf numFmtId="2" fontId="28" fillId="0" borderId="2" xfId="0" applyNumberFormat="1" applyFont="1" applyBorder="1" applyAlignment="1">
      <alignment horizontal="center" vertical="center"/>
    </xf>
    <xf numFmtId="164" fontId="28" fillId="0" borderId="4" xfId="0" applyNumberFormat="1" applyFont="1" applyBorder="1" applyAlignment="1">
      <alignment horizontal="center" vertical="center"/>
    </xf>
    <xf numFmtId="0" fontId="17" fillId="6" borderId="26" xfId="0" applyFont="1" applyFill="1" applyBorder="1" applyAlignment="1">
      <alignment horizontal="left" vertical="center"/>
    </xf>
    <xf numFmtId="0" fontId="37" fillId="6" borderId="26" xfId="0" applyFont="1" applyFill="1" applyBorder="1" applyAlignment="1">
      <alignment horizontal="center" vertical="center"/>
    </xf>
    <xf numFmtId="0" fontId="37" fillId="6" borderId="27" xfId="0" applyFont="1" applyFill="1" applyBorder="1" applyAlignment="1">
      <alignment horizontal="center" vertical="center"/>
    </xf>
    <xf numFmtId="49" fontId="38" fillId="6" borderId="2" xfId="0" applyNumberFormat="1" applyFont="1" applyFill="1" applyBorder="1"/>
    <xf numFmtId="0" fontId="17" fillId="6" borderId="2" xfId="0" applyFont="1" applyFill="1" applyBorder="1" applyAlignment="1">
      <alignment horizontal="center"/>
    </xf>
    <xf numFmtId="164" fontId="17" fillId="6" borderId="4" xfId="0" applyNumberFormat="1" applyFont="1" applyFill="1" applyBorder="1" applyAlignment="1">
      <alignment horizontal="center"/>
    </xf>
    <xf numFmtId="0" fontId="28" fillId="6" borderId="2" xfId="0" applyFont="1" applyFill="1" applyBorder="1"/>
    <xf numFmtId="164" fontId="28" fillId="6" borderId="4" xfId="0" applyNumberFormat="1" applyFont="1" applyFill="1" applyBorder="1" applyAlignment="1">
      <alignment horizontal="center"/>
    </xf>
    <xf numFmtId="0" fontId="38" fillId="6" borderId="2" xfId="0" applyFont="1" applyFill="1" applyBorder="1"/>
    <xf numFmtId="0" fontId="37" fillId="6" borderId="2" xfId="0" applyFont="1" applyFill="1" applyBorder="1"/>
    <xf numFmtId="0" fontId="38" fillId="6" borderId="4" xfId="0" applyFont="1" applyFill="1" applyBorder="1"/>
    <xf numFmtId="2" fontId="7" fillId="0" borderId="2" xfId="0" applyNumberFormat="1" applyFont="1" applyFill="1" applyBorder="1" applyAlignment="1">
      <alignment horizontal="center"/>
    </xf>
    <xf numFmtId="2" fontId="7" fillId="0" borderId="4" xfId="0" applyNumberFormat="1" applyFont="1" applyFill="1" applyBorder="1" applyAlignment="1">
      <alignment horizontal="center" vertical="center"/>
    </xf>
    <xf numFmtId="0" fontId="17" fillId="0" borderId="8" xfId="0" applyFont="1" applyFill="1" applyBorder="1"/>
    <xf numFmtId="0" fontId="38" fillId="6" borderId="2" xfId="0" applyFont="1" applyFill="1" applyBorder="1" applyAlignment="1">
      <alignment horizontal="center" vertical="top"/>
    </xf>
    <xf numFmtId="2" fontId="12" fillId="0" borderId="0" xfId="0" applyNumberFormat="1" applyFont="1" applyBorder="1" applyAlignment="1">
      <alignment horizontal="center" vertical="center"/>
    </xf>
    <xf numFmtId="2" fontId="10" fillId="0" borderId="0" xfId="0" applyNumberFormat="1" applyFont="1" applyBorder="1" applyAlignment="1">
      <alignment horizontal="left" vertical="center"/>
    </xf>
    <xf numFmtId="2" fontId="12" fillId="0" borderId="0" xfId="0" applyNumberFormat="1" applyFont="1" applyBorder="1" applyAlignment="1">
      <alignment horizontal="center" vertical="center"/>
    </xf>
    <xf numFmtId="0" fontId="21" fillId="0" borderId="0" xfId="0" applyFont="1" applyBorder="1" applyAlignment="1">
      <alignment wrapText="1"/>
    </xf>
    <xf numFmtId="0" fontId="21" fillId="0" borderId="0" xfId="0" applyFont="1"/>
    <xf numFmtId="49" fontId="28" fillId="0" borderId="0" xfId="0" applyNumberFormat="1" applyFont="1" applyFill="1" applyAlignment="1">
      <alignment horizontal="right"/>
    </xf>
    <xf numFmtId="2" fontId="28" fillId="0" borderId="0" xfId="0" applyNumberFormat="1" applyFont="1" applyFill="1"/>
    <xf numFmtId="2" fontId="28" fillId="0" borderId="0" xfId="0" applyNumberFormat="1" applyFont="1" applyFill="1" applyAlignment="1">
      <alignment horizontal="center" vertical="center"/>
    </xf>
    <xf numFmtId="0" fontId="37" fillId="0" borderId="0" xfId="0" applyFont="1" applyFill="1"/>
    <xf numFmtId="0" fontId="28" fillId="0" borderId="0" xfId="0" applyFont="1" applyFill="1" applyAlignment="1">
      <alignment horizontal="center"/>
    </xf>
    <xf numFmtId="0" fontId="28" fillId="0" borderId="0" xfId="0" applyFont="1" applyFill="1" applyBorder="1" applyAlignment="1">
      <alignment horizontal="right"/>
    </xf>
    <xf numFmtId="2" fontId="28" fillId="0" borderId="0" xfId="0" applyNumberFormat="1" applyFont="1" applyFill="1" applyBorder="1"/>
    <xf numFmtId="2" fontId="28" fillId="0" borderId="0" xfId="0" applyNumberFormat="1" applyFont="1" applyFill="1" applyBorder="1" applyAlignment="1">
      <alignment horizontal="center" vertical="center"/>
    </xf>
    <xf numFmtId="0" fontId="28" fillId="0" borderId="0" xfId="0" applyFont="1" applyFill="1" applyBorder="1"/>
    <xf numFmtId="2" fontId="28" fillId="0" borderId="0" xfId="0" applyNumberFormat="1" applyFont="1" applyFill="1" applyAlignment="1">
      <alignment horizontal="center"/>
    </xf>
    <xf numFmtId="1" fontId="28" fillId="0" borderId="0" xfId="0" applyNumberFormat="1" applyFont="1" applyFill="1"/>
    <xf numFmtId="0" fontId="28" fillId="0" borderId="0" xfId="0" applyFont="1" applyFill="1" applyAlignment="1">
      <alignment vertical="top"/>
    </xf>
    <xf numFmtId="0" fontId="28" fillId="0" borderId="0" xfId="0" applyFont="1" applyFill="1" applyAlignment="1">
      <alignment wrapText="1"/>
    </xf>
    <xf numFmtId="2" fontId="28" fillId="0" borderId="0" xfId="0" applyNumberFormat="1" applyFont="1" applyFill="1" applyAlignment="1">
      <alignment horizontal="left" vertical="center"/>
    </xf>
    <xf numFmtId="1" fontId="28" fillId="0" borderId="0" xfId="0" applyNumberFormat="1" applyFont="1" applyFill="1" applyAlignment="1">
      <alignment horizontal="center" vertical="center"/>
    </xf>
    <xf numFmtId="2" fontId="28" fillId="0" borderId="23" xfId="0" applyNumberFormat="1" applyFont="1" applyFill="1" applyBorder="1" applyAlignment="1">
      <alignment horizontal="center"/>
    </xf>
    <xf numFmtId="2" fontId="28" fillId="0" borderId="0" xfId="0" applyNumberFormat="1" applyFont="1" applyFill="1" applyBorder="1" applyAlignment="1">
      <alignment horizontal="left" vertical="center"/>
    </xf>
    <xf numFmtId="1" fontId="28" fillId="0" borderId="0" xfId="0" applyNumberFormat="1" applyFont="1" applyFill="1" applyBorder="1" applyAlignment="1">
      <alignment horizontal="center"/>
    </xf>
    <xf numFmtId="0" fontId="28" fillId="0" borderId="0" xfId="0" applyFont="1" applyFill="1" applyAlignment="1">
      <alignment horizontal="right"/>
    </xf>
    <xf numFmtId="0" fontId="28" fillId="0" borderId="41" xfId="0" applyFont="1" applyFill="1" applyBorder="1"/>
    <xf numFmtId="2" fontId="28" fillId="0" borderId="41" xfId="0" applyNumberFormat="1" applyFont="1" applyFill="1" applyBorder="1"/>
    <xf numFmtId="2" fontId="28" fillId="0" borderId="41" xfId="0" applyNumberFormat="1" applyFont="1" applyFill="1" applyBorder="1" applyAlignment="1">
      <alignment horizontal="center" vertical="center"/>
    </xf>
    <xf numFmtId="0" fontId="37" fillId="0" borderId="0" xfId="0" applyFont="1" applyFill="1" applyAlignment="1">
      <alignment horizontal="left"/>
    </xf>
    <xf numFmtId="2" fontId="28" fillId="0" borderId="2" xfId="0" applyNumberFormat="1" applyFont="1" applyFill="1" applyBorder="1" applyAlignment="1">
      <alignment horizontal="center" vertical="center"/>
    </xf>
    <xf numFmtId="2" fontId="28" fillId="0" borderId="4" xfId="0" applyNumberFormat="1" applyFont="1" applyFill="1" applyBorder="1" applyAlignment="1">
      <alignment horizontal="center" vertical="center"/>
    </xf>
    <xf numFmtId="0" fontId="28" fillId="0" borderId="2" xfId="0" applyFont="1" applyFill="1" applyBorder="1" applyAlignment="1">
      <alignment horizontal="center" vertical="center" wrapText="1"/>
    </xf>
    <xf numFmtId="0" fontId="28" fillId="0" borderId="2" xfId="0" applyFont="1" applyFill="1" applyBorder="1" applyAlignment="1">
      <alignment horizontal="center" vertical="top" wrapText="1"/>
    </xf>
    <xf numFmtId="0" fontId="28" fillId="0" borderId="2" xfId="0" applyFont="1" applyBorder="1" applyAlignment="1">
      <alignment horizontal="center" vertical="center"/>
    </xf>
    <xf numFmtId="2" fontId="12" fillId="0" borderId="0" xfId="0" applyNumberFormat="1" applyFont="1" applyFill="1" applyBorder="1"/>
    <xf numFmtId="0" fontId="28" fillId="0" borderId="2" xfId="0" applyFont="1" applyBorder="1" applyAlignment="1">
      <alignment vertical="center" wrapText="1"/>
    </xf>
    <xf numFmtId="0" fontId="19" fillId="0" borderId="2" xfId="0" applyFont="1" applyFill="1" applyBorder="1" applyAlignment="1">
      <alignment horizontal="center" vertical="center" wrapText="1"/>
    </xf>
    <xf numFmtId="0" fontId="37" fillId="0" borderId="2" xfId="0" applyFont="1" applyBorder="1" applyAlignment="1">
      <alignment vertical="center" wrapText="1"/>
    </xf>
    <xf numFmtId="0" fontId="19" fillId="0" borderId="9" xfId="0" applyFont="1" applyFill="1" applyBorder="1" applyAlignment="1">
      <alignment horizontal="center" vertical="center" wrapText="1"/>
    </xf>
    <xf numFmtId="164" fontId="28" fillId="0" borderId="19" xfId="0" applyNumberFormat="1" applyFont="1" applyBorder="1" applyAlignment="1">
      <alignment horizontal="center" vertical="center"/>
    </xf>
    <xf numFmtId="0" fontId="28" fillId="0" borderId="2" xfId="0" applyFont="1" applyFill="1" applyBorder="1" applyAlignment="1">
      <alignment horizontal="center" wrapText="1"/>
    </xf>
    <xf numFmtId="2" fontId="28" fillId="0" borderId="4" xfId="0" applyNumberFormat="1" applyFont="1" applyBorder="1" applyAlignment="1">
      <alignment horizontal="center" vertical="center"/>
    </xf>
    <xf numFmtId="2" fontId="28" fillId="0" borderId="2" xfId="0" applyNumberFormat="1" applyFont="1" applyBorder="1" applyAlignment="1">
      <alignment horizontal="center"/>
    </xf>
    <xf numFmtId="0" fontId="43" fillId="0" borderId="0" xfId="0" applyFont="1"/>
    <xf numFmtId="2" fontId="7" fillId="0" borderId="4" xfId="0" applyNumberFormat="1" applyFont="1" applyFill="1" applyBorder="1" applyAlignment="1">
      <alignment horizontal="center" vertical="center" wrapText="1"/>
    </xf>
    <xf numFmtId="0" fontId="19" fillId="0" borderId="0" xfId="0" applyFont="1"/>
    <xf numFmtId="2" fontId="14" fillId="0" borderId="0" xfId="0" applyNumberFormat="1" applyFont="1" applyFill="1" applyBorder="1" applyAlignment="1">
      <alignment horizontal="left" vertical="center"/>
    </xf>
    <xf numFmtId="0" fontId="21" fillId="0" borderId="0" xfId="0" applyFont="1" applyBorder="1" applyAlignment="1">
      <alignment vertical="center" wrapText="1"/>
    </xf>
    <xf numFmtId="0" fontId="14" fillId="0" borderId="0" xfId="0" applyFont="1" applyBorder="1" applyAlignment="1">
      <alignment horizontal="center" vertical="center"/>
    </xf>
    <xf numFmtId="0" fontId="21" fillId="0" borderId="0" xfId="0" applyFont="1" applyFill="1" applyBorder="1" applyAlignment="1">
      <alignment horizontal="center" vertical="center"/>
    </xf>
    <xf numFmtId="0" fontId="28" fillId="0" borderId="4" xfId="0" applyFont="1" applyFill="1" applyBorder="1" applyAlignment="1">
      <alignment horizontal="center" vertical="center" wrapText="1"/>
    </xf>
    <xf numFmtId="0" fontId="37" fillId="0" borderId="44" xfId="0" applyFont="1" applyFill="1" applyBorder="1" applyAlignment="1">
      <alignment horizontal="center"/>
    </xf>
    <xf numFmtId="0" fontId="17" fillId="0" borderId="2" xfId="0" applyFont="1" applyFill="1" applyBorder="1"/>
    <xf numFmtId="0" fontId="21" fillId="0" borderId="0" xfId="0" applyFont="1" applyFill="1"/>
    <xf numFmtId="0" fontId="37" fillId="0" borderId="0" xfId="0" applyFont="1"/>
    <xf numFmtId="0" fontId="21" fillId="0" borderId="0" xfId="0" applyFont="1" applyFill="1" applyAlignment="1">
      <alignment vertical="center"/>
    </xf>
    <xf numFmtId="0" fontId="37" fillId="0" borderId="0" xfId="0" applyFont="1" applyAlignment="1">
      <alignment vertical="center"/>
    </xf>
    <xf numFmtId="0" fontId="37" fillId="0" borderId="0" xfId="0" applyFont="1" applyAlignment="1">
      <alignment vertical="top"/>
    </xf>
    <xf numFmtId="0" fontId="28" fillId="0" borderId="2" xfId="0" applyFont="1" applyFill="1" applyBorder="1" applyAlignment="1">
      <alignment vertical="top" wrapText="1"/>
    </xf>
    <xf numFmtId="2" fontId="7" fillId="0" borderId="2" xfId="0" applyNumberFormat="1" applyFont="1" applyFill="1" applyBorder="1" applyAlignment="1">
      <alignment horizontal="center" vertical="center"/>
    </xf>
    <xf numFmtId="49" fontId="6" fillId="0" borderId="0" xfId="0" applyNumberFormat="1" applyFont="1" applyFill="1" applyBorder="1" applyAlignment="1">
      <alignment horizontal="right"/>
    </xf>
    <xf numFmtId="0" fontId="6" fillId="0" borderId="0" xfId="0" applyFont="1" applyFill="1" applyBorder="1"/>
    <xf numFmtId="2" fontId="7" fillId="0" borderId="0" xfId="0" applyNumberFormat="1" applyFont="1" applyFill="1" applyBorder="1"/>
    <xf numFmtId="2" fontId="12" fillId="0" borderId="0" xfId="0" applyNumberFormat="1" applyFont="1" applyFill="1" applyBorder="1" applyAlignment="1">
      <alignment horizontal="center" vertical="center"/>
    </xf>
    <xf numFmtId="0" fontId="6" fillId="0" borderId="0" xfId="0" applyFont="1" applyFill="1"/>
    <xf numFmtId="1" fontId="7" fillId="0" borderId="0" xfId="0" applyNumberFormat="1" applyFont="1" applyFill="1" applyBorder="1"/>
    <xf numFmtId="0" fontId="28" fillId="0" borderId="2" xfId="0" applyFont="1" applyFill="1" applyBorder="1" applyAlignment="1">
      <alignment vertical="center" wrapText="1"/>
    </xf>
    <xf numFmtId="0" fontId="28" fillId="0" borderId="2" xfId="0" applyFont="1" applyFill="1" applyBorder="1" applyAlignment="1">
      <alignment wrapText="1"/>
    </xf>
    <xf numFmtId="2" fontId="7" fillId="0" borderId="4" xfId="0" applyNumberFormat="1" applyFont="1" applyFill="1" applyBorder="1" applyAlignment="1">
      <alignment horizontal="center" vertical="top" wrapText="1"/>
    </xf>
    <xf numFmtId="2" fontId="7" fillId="0" borderId="0" xfId="0" applyNumberFormat="1" applyFont="1" applyFill="1" applyBorder="1" applyAlignment="1">
      <alignment horizontal="center" vertical="center" wrapText="1"/>
    </xf>
    <xf numFmtId="0" fontId="6" fillId="0" borderId="23" xfId="0" applyFont="1" applyFill="1" applyBorder="1"/>
    <xf numFmtId="0" fontId="7" fillId="0" borderId="23" xfId="0" applyFont="1" applyFill="1" applyBorder="1"/>
    <xf numFmtId="2" fontId="7" fillId="0" borderId="23" xfId="0" applyNumberFormat="1" applyFont="1" applyFill="1" applyBorder="1"/>
    <xf numFmtId="2" fontId="7" fillId="0" borderId="23" xfId="0" applyNumberFormat="1" applyFont="1" applyFill="1" applyBorder="1" applyAlignment="1">
      <alignment horizontal="center" vertical="center"/>
    </xf>
    <xf numFmtId="0" fontId="1" fillId="0" borderId="0" xfId="0" applyFont="1" applyFill="1" applyAlignment="1">
      <alignment horizontal="left"/>
    </xf>
    <xf numFmtId="0" fontId="1" fillId="0" borderId="0" xfId="0" applyFont="1" applyFill="1" applyAlignment="1">
      <alignment horizontal="left" vertical="center"/>
    </xf>
    <xf numFmtId="2" fontId="12" fillId="0" borderId="0" xfId="0" applyNumberFormat="1" applyFont="1" applyBorder="1" applyAlignment="1">
      <alignment horizontal="center" vertical="center"/>
    </xf>
    <xf numFmtId="2" fontId="10" fillId="0" borderId="0" xfId="0" applyNumberFormat="1" applyFont="1" applyBorder="1" applyAlignment="1">
      <alignment horizontal="center" vertical="center"/>
    </xf>
    <xf numFmtId="0" fontId="45" fillId="0" borderId="0" xfId="0" applyFont="1"/>
    <xf numFmtId="164" fontId="0" fillId="0" borderId="0" xfId="0" applyNumberFormat="1"/>
    <xf numFmtId="2" fontId="45" fillId="0" borderId="0" xfId="0" applyNumberFormat="1" applyFont="1"/>
    <xf numFmtId="164" fontId="0" fillId="0" borderId="0" xfId="0" applyNumberFormat="1" applyBorder="1"/>
    <xf numFmtId="0" fontId="0" fillId="0" borderId="23" xfId="0" applyFill="1" applyBorder="1"/>
    <xf numFmtId="164" fontId="0" fillId="0" borderId="23" xfId="0" applyNumberFormat="1" applyBorder="1"/>
    <xf numFmtId="164" fontId="45" fillId="0" borderId="0" xfId="0" applyNumberFormat="1" applyFont="1"/>
    <xf numFmtId="0" fontId="47" fillId="0" borderId="0" xfId="0" applyFont="1"/>
    <xf numFmtId="0" fontId="47" fillId="0" borderId="23" xfId="0" applyFont="1" applyBorder="1"/>
    <xf numFmtId="0" fontId="0" fillId="0" borderId="23" xfId="0" applyFont="1" applyBorder="1"/>
    <xf numFmtId="0" fontId="36" fillId="0" borderId="0" xfId="0" applyFont="1"/>
    <xf numFmtId="0" fontId="47" fillId="0" borderId="0" xfId="0" applyFont="1" applyFill="1" applyBorder="1"/>
    <xf numFmtId="0" fontId="47" fillId="0" borderId="23" xfId="0" applyFont="1" applyFill="1" applyBorder="1"/>
    <xf numFmtId="0" fontId="45" fillId="0" borderId="0" xfId="0" applyFont="1" applyFill="1" applyBorder="1"/>
    <xf numFmtId="164" fontId="45" fillId="0" borderId="0" xfId="0" applyNumberFormat="1" applyFont="1" applyFill="1"/>
    <xf numFmtId="164" fontId="0" fillId="0" borderId="0" xfId="0" applyNumberFormat="1" applyFill="1"/>
    <xf numFmtId="164" fontId="0" fillId="0" borderId="0" xfId="0" applyNumberFormat="1" applyFill="1" applyBorder="1"/>
    <xf numFmtId="2" fontId="45" fillId="0" borderId="0" xfId="0" applyNumberFormat="1" applyFont="1" applyFill="1"/>
    <xf numFmtId="0" fontId="45" fillId="0" borderId="0" xfId="0" applyFont="1" applyFill="1"/>
    <xf numFmtId="0" fontId="48" fillId="0" borderId="0" xfId="0" applyFont="1" applyFill="1"/>
    <xf numFmtId="164" fontId="8" fillId="0" borderId="0" xfId="0" applyNumberFormat="1" applyFont="1"/>
    <xf numFmtId="0" fontId="49" fillId="0" borderId="0" xfId="0" applyFont="1"/>
    <xf numFmtId="0" fontId="49" fillId="0" borderId="23" xfId="0" applyFont="1" applyBorder="1"/>
    <xf numFmtId="0" fontId="49" fillId="0" borderId="0" xfId="0" applyFont="1" applyFill="1" applyBorder="1"/>
    <xf numFmtId="0" fontId="49" fillId="0" borderId="23" xfId="0" applyFont="1" applyFill="1" applyBorder="1"/>
    <xf numFmtId="164" fontId="6" fillId="0" borderId="0" xfId="0" applyNumberFormat="1" applyFont="1"/>
    <xf numFmtId="164" fontId="49" fillId="0" borderId="0" xfId="0" applyNumberFormat="1" applyFont="1" applyFill="1" applyBorder="1"/>
    <xf numFmtId="0" fontId="8" fillId="0" borderId="0" xfId="0" applyFont="1"/>
    <xf numFmtId="2" fontId="45" fillId="0" borderId="23" xfId="0" applyNumberFormat="1" applyFont="1" applyFill="1" applyBorder="1"/>
    <xf numFmtId="2" fontId="45" fillId="0" borderId="23" xfId="0" applyNumberFormat="1" applyFont="1" applyBorder="1"/>
    <xf numFmtId="49" fontId="52" fillId="0" borderId="0" xfId="0" applyNumberFormat="1" applyFont="1" applyBorder="1" applyAlignment="1">
      <alignment horizontal="right"/>
    </xf>
    <xf numFmtId="0" fontId="53" fillId="0" borderId="0" xfId="0" applyFont="1" applyBorder="1"/>
    <xf numFmtId="2" fontId="52" fillId="0" borderId="0" xfId="0" applyNumberFormat="1" applyFont="1" applyBorder="1"/>
    <xf numFmtId="2" fontId="54" fillId="0" borderId="0" xfId="0" applyNumberFormat="1" applyFont="1" applyBorder="1" applyAlignment="1">
      <alignment horizontal="center" vertical="center"/>
    </xf>
    <xf numFmtId="2" fontId="54" fillId="0" borderId="0" xfId="0" applyNumberFormat="1" applyFont="1" applyBorder="1"/>
    <xf numFmtId="0" fontId="55" fillId="0" borderId="0" xfId="0" applyFont="1"/>
    <xf numFmtId="2" fontId="52" fillId="0" borderId="0" xfId="0" applyNumberFormat="1" applyFont="1" applyBorder="1" applyAlignment="1">
      <alignment horizontal="center" vertical="center"/>
    </xf>
    <xf numFmtId="49" fontId="56" fillId="0" borderId="0" xfId="0" applyNumberFormat="1" applyFont="1" applyBorder="1" applyAlignment="1">
      <alignment horizontal="left"/>
    </xf>
    <xf numFmtId="49" fontId="56" fillId="0" borderId="0" xfId="0" applyNumberFormat="1" applyFont="1" applyBorder="1" applyAlignment="1">
      <alignment horizontal="center"/>
    </xf>
    <xf numFmtId="164" fontId="56" fillId="0" borderId="0" xfId="0" applyNumberFormat="1" applyFont="1" applyBorder="1" applyAlignment="1">
      <alignment horizontal="left"/>
    </xf>
    <xf numFmtId="49" fontId="55" fillId="0" borderId="0" xfId="0" applyNumberFormat="1" applyFont="1" applyBorder="1"/>
    <xf numFmtId="0" fontId="55" fillId="0" borderId="0" xfId="0" applyFont="1" applyBorder="1"/>
    <xf numFmtId="164" fontId="54" fillId="0" borderId="0" xfId="0" applyNumberFormat="1" applyFont="1" applyBorder="1"/>
    <xf numFmtId="49" fontId="56" fillId="0" borderId="0" xfId="0" applyNumberFormat="1" applyFont="1" applyFill="1" applyBorder="1" applyAlignment="1">
      <alignment horizontal="left"/>
    </xf>
    <xf numFmtId="0" fontId="56" fillId="0" borderId="0" xfId="0" applyFont="1" applyBorder="1"/>
    <xf numFmtId="2" fontId="56" fillId="0" borderId="0" xfId="0" applyNumberFormat="1" applyFont="1" applyBorder="1"/>
    <xf numFmtId="2" fontId="56" fillId="0" borderId="0" xfId="0" applyNumberFormat="1" applyFont="1" applyBorder="1" applyAlignment="1">
      <alignment horizontal="center" vertical="center"/>
    </xf>
    <xf numFmtId="164" fontId="56" fillId="0" borderId="0" xfId="0" applyNumberFormat="1" applyFont="1" applyBorder="1"/>
    <xf numFmtId="49" fontId="54" fillId="0" borderId="0" xfId="0" applyNumberFormat="1" applyFont="1" applyFill="1" applyBorder="1" applyAlignment="1">
      <alignment horizontal="left"/>
    </xf>
    <xf numFmtId="2" fontId="55" fillId="0" borderId="0" xfId="0" applyNumberFormat="1" applyFont="1" applyBorder="1"/>
    <xf numFmtId="164" fontId="38" fillId="0" borderId="0" xfId="0" applyNumberFormat="1" applyFont="1" applyFill="1"/>
    <xf numFmtId="2" fontId="38" fillId="0" borderId="0" xfId="0" applyNumberFormat="1" applyFont="1"/>
    <xf numFmtId="164" fontId="38" fillId="0" borderId="0" xfId="0" applyNumberFormat="1" applyFont="1"/>
    <xf numFmtId="164" fontId="37" fillId="0" borderId="0" xfId="0" applyNumberFormat="1" applyFont="1" applyFill="1"/>
    <xf numFmtId="0" fontId="37" fillId="0" borderId="0" xfId="0" applyFont="1" applyFill="1" applyBorder="1"/>
    <xf numFmtId="164" fontId="37" fillId="0" borderId="0" xfId="0" applyNumberFormat="1" applyFont="1" applyFill="1" applyBorder="1"/>
    <xf numFmtId="0" fontId="38" fillId="0" borderId="0" xfId="0" applyFont="1"/>
    <xf numFmtId="2" fontId="38" fillId="0" borderId="0" xfId="0" applyNumberFormat="1" applyFont="1" applyFill="1"/>
    <xf numFmtId="0" fontId="38" fillId="0" borderId="0" xfId="0" applyFont="1" applyFill="1"/>
    <xf numFmtId="2" fontId="57" fillId="0" borderId="0" xfId="0" applyNumberFormat="1" applyFont="1" applyBorder="1" applyAlignment="1">
      <alignment horizontal="center" vertical="center"/>
    </xf>
    <xf numFmtId="2" fontId="14" fillId="0" borderId="0" xfId="0" applyNumberFormat="1" applyFont="1" applyFill="1" applyBorder="1"/>
    <xf numFmtId="2" fontId="14" fillId="0" borderId="0" xfId="0" applyNumberFormat="1" applyFont="1" applyFill="1" applyBorder="1" applyAlignment="1">
      <alignment horizontal="center" vertical="center"/>
    </xf>
    <xf numFmtId="1" fontId="15" fillId="0" borderId="0" xfId="0" applyNumberFormat="1" applyFont="1" applyBorder="1"/>
    <xf numFmtId="0" fontId="7" fillId="0" borderId="0" xfId="0" applyFont="1" applyBorder="1" applyAlignment="1">
      <alignment horizontal="center" vertical="center"/>
    </xf>
    <xf numFmtId="164" fontId="6" fillId="0" borderId="0" xfId="0" applyNumberFormat="1" applyFont="1" applyFill="1" applyBorder="1"/>
    <xf numFmtId="49" fontId="30" fillId="0" borderId="0" xfId="0" applyNumberFormat="1" applyFont="1" applyBorder="1" applyAlignment="1">
      <alignment horizontal="right"/>
    </xf>
    <xf numFmtId="0" fontId="5" fillId="0" borderId="0" xfId="0" applyFont="1" applyBorder="1"/>
    <xf numFmtId="2" fontId="30" fillId="0" borderId="0" xfId="0" applyNumberFormat="1" applyFont="1" applyBorder="1"/>
    <xf numFmtId="2" fontId="35" fillId="0" borderId="0" xfId="0" applyNumberFormat="1" applyFont="1" applyBorder="1" applyAlignment="1">
      <alignment horizontal="center" vertical="center"/>
    </xf>
    <xf numFmtId="0" fontId="37" fillId="0" borderId="23" xfId="0" applyFont="1" applyBorder="1"/>
    <xf numFmtId="0" fontId="37" fillId="0" borderId="23" xfId="0" applyFont="1" applyFill="1" applyBorder="1"/>
    <xf numFmtId="0" fontId="28" fillId="0" borderId="23" xfId="0" applyFont="1" applyBorder="1"/>
    <xf numFmtId="0" fontId="28" fillId="0" borderId="23" xfId="0" applyFont="1" applyFill="1" applyBorder="1"/>
    <xf numFmtId="164" fontId="28" fillId="0" borderId="0" xfId="0" applyNumberFormat="1" applyFont="1"/>
    <xf numFmtId="164" fontId="28" fillId="0" borderId="0" xfId="0" applyNumberFormat="1" applyFont="1" applyFill="1" applyBorder="1"/>
    <xf numFmtId="164" fontId="37" fillId="0" borderId="0" xfId="0" applyNumberFormat="1" applyFont="1" applyBorder="1"/>
    <xf numFmtId="164" fontId="37" fillId="0" borderId="0" xfId="0" applyNumberFormat="1" applyFont="1"/>
    <xf numFmtId="164" fontId="37" fillId="0" borderId="23" xfId="0" applyNumberFormat="1" applyFont="1" applyBorder="1"/>
    <xf numFmtId="0" fontId="38" fillId="0" borderId="0" xfId="0" applyFont="1" applyFill="1" applyBorder="1"/>
    <xf numFmtId="164" fontId="47" fillId="0" borderId="0" xfId="0" applyNumberFormat="1" applyFont="1"/>
    <xf numFmtId="0" fontId="47" fillId="0" borderId="0" xfId="0" applyFont="1" applyAlignment="1">
      <alignment wrapText="1"/>
    </xf>
    <xf numFmtId="0" fontId="47" fillId="0" borderId="0" xfId="0" applyFont="1" applyBorder="1"/>
    <xf numFmtId="164" fontId="47" fillId="0" borderId="0" xfId="0" applyNumberFormat="1" applyFont="1" applyBorder="1"/>
    <xf numFmtId="2" fontId="45" fillId="0" borderId="0" xfId="0" applyNumberFormat="1" applyFont="1" applyFill="1" applyBorder="1"/>
    <xf numFmtId="2" fontId="45" fillId="0" borderId="0" xfId="0" applyNumberFormat="1" applyFont="1" applyBorder="1"/>
    <xf numFmtId="49" fontId="15" fillId="3" borderId="29" xfId="0" applyNumberFormat="1" applyFont="1" applyFill="1" applyBorder="1" applyAlignment="1">
      <alignment horizontal="left"/>
    </xf>
    <xf numFmtId="0" fontId="15" fillId="3" borderId="30" xfId="0" applyFont="1" applyFill="1" applyBorder="1"/>
    <xf numFmtId="2" fontId="15" fillId="3" borderId="30" xfId="0" applyNumberFormat="1" applyFont="1" applyFill="1" applyBorder="1"/>
    <xf numFmtId="2" fontId="15" fillId="3" borderId="30" xfId="0" applyNumberFormat="1" applyFont="1" applyFill="1" applyBorder="1" applyAlignment="1">
      <alignment horizontal="center" vertical="center"/>
    </xf>
    <xf numFmtId="164" fontId="15" fillId="3" borderId="30" xfId="0" applyNumberFormat="1" applyFont="1" applyFill="1" applyBorder="1"/>
    <xf numFmtId="0" fontId="0" fillId="3" borderId="30" xfId="0" applyFill="1" applyBorder="1"/>
    <xf numFmtId="164" fontId="38" fillId="3" borderId="30" xfId="0" applyNumberFormat="1" applyFont="1" applyFill="1" applyBorder="1"/>
    <xf numFmtId="0" fontId="38" fillId="3" borderId="31" xfId="0" applyFont="1" applyFill="1" applyBorder="1"/>
    <xf numFmtId="0" fontId="1" fillId="0" borderId="0" xfId="0" applyFont="1" applyBorder="1" applyAlignment="1"/>
    <xf numFmtId="49" fontId="1" fillId="0" borderId="0" xfId="0" applyNumberFormat="1" applyFont="1" applyFill="1" applyBorder="1" applyAlignment="1">
      <alignment horizontal="right"/>
    </xf>
    <xf numFmtId="0" fontId="51" fillId="0" borderId="0" xfId="0" applyFont="1" applyBorder="1"/>
    <xf numFmtId="0" fontId="50" fillId="0" borderId="0" xfId="0" applyFont="1" applyBorder="1"/>
    <xf numFmtId="0" fontId="55" fillId="0" borderId="0" xfId="0" applyFont="1" applyBorder="1" applyAlignment="1">
      <alignment horizontal="right"/>
    </xf>
    <xf numFmtId="0" fontId="28" fillId="0" borderId="0" xfId="0" applyFont="1" applyAlignment="1"/>
    <xf numFmtId="0" fontId="58" fillId="0" borderId="0" xfId="0" applyFont="1"/>
    <xf numFmtId="49" fontId="28" fillId="0" borderId="2" xfId="0" applyNumberFormat="1" applyFont="1" applyFill="1" applyBorder="1"/>
    <xf numFmtId="164" fontId="28" fillId="0" borderId="4" xfId="0" applyNumberFormat="1" applyFont="1" applyFill="1" applyBorder="1" applyAlignment="1">
      <alignment horizontal="center"/>
    </xf>
    <xf numFmtId="0" fontId="3" fillId="0" borderId="0" xfId="0" applyFont="1" applyAlignment="1">
      <alignment horizontal="left" vertical="top"/>
    </xf>
    <xf numFmtId="0" fontId="37" fillId="2" borderId="38" xfId="0" applyFont="1" applyFill="1" applyBorder="1" applyAlignment="1">
      <alignment horizontal="center" vertical="center"/>
    </xf>
    <xf numFmtId="0" fontId="17" fillId="6" borderId="32" xfId="0" applyFont="1" applyFill="1" applyBorder="1" applyAlignment="1">
      <alignment horizontal="right" vertical="top"/>
    </xf>
    <xf numFmtId="49" fontId="28" fillId="0" borderId="3" xfId="0" applyNumberFormat="1" applyFont="1" applyBorder="1" applyAlignment="1">
      <alignment horizontal="right"/>
    </xf>
    <xf numFmtId="49" fontId="17" fillId="6" borderId="3" xfId="0" applyNumberFormat="1" applyFont="1" applyFill="1" applyBorder="1" applyAlignment="1">
      <alignment horizontal="right"/>
    </xf>
    <xf numFmtId="49" fontId="28" fillId="0" borderId="3" xfId="0" applyNumberFormat="1" applyFont="1" applyBorder="1" applyAlignment="1">
      <alignment horizontal="right" vertical="center"/>
    </xf>
    <xf numFmtId="49" fontId="37" fillId="0" borderId="3" xfId="0" applyNumberFormat="1" applyFont="1" applyBorder="1" applyAlignment="1">
      <alignment horizontal="right" vertical="center"/>
    </xf>
    <xf numFmtId="49" fontId="37" fillId="0" borderId="3" xfId="0" applyNumberFormat="1" applyFont="1" applyBorder="1" applyAlignment="1">
      <alignment horizontal="right"/>
    </xf>
    <xf numFmtId="49" fontId="37" fillId="0" borderId="3" xfId="0" applyNumberFormat="1" applyFont="1" applyBorder="1" applyAlignment="1">
      <alignment horizontal="center" vertical="center"/>
    </xf>
    <xf numFmtId="49" fontId="21" fillId="0" borderId="3" xfId="0" applyNumberFormat="1" applyFont="1" applyBorder="1" applyAlignment="1">
      <alignment horizontal="center" vertical="center"/>
    </xf>
    <xf numFmtId="49" fontId="17" fillId="6" borderId="3" xfId="0" applyNumberFormat="1" applyFont="1" applyFill="1" applyBorder="1" applyAlignment="1">
      <alignment horizontal="right" vertical="center"/>
    </xf>
    <xf numFmtId="49" fontId="28" fillId="0" borderId="3" xfId="0" applyNumberFormat="1" applyFont="1" applyBorder="1" applyAlignment="1">
      <alignment horizontal="center" vertical="center"/>
    </xf>
    <xf numFmtId="0" fontId="38" fillId="6" borderId="3" xfId="0" applyFont="1" applyFill="1" applyBorder="1" applyAlignment="1">
      <alignment horizontal="right"/>
    </xf>
    <xf numFmtId="0" fontId="7" fillId="0" borderId="3" xfId="0" applyFont="1" applyBorder="1" applyAlignment="1">
      <alignment horizontal="right"/>
    </xf>
    <xf numFmtId="49" fontId="7" fillId="0" borderId="3" xfId="0" applyNumberFormat="1" applyFont="1" applyBorder="1" applyAlignment="1">
      <alignment horizontal="right"/>
    </xf>
    <xf numFmtId="0" fontId="38" fillId="6" borderId="3" xfId="0" applyFont="1" applyFill="1" applyBorder="1"/>
    <xf numFmtId="49" fontId="37" fillId="0" borderId="3" xfId="0" applyNumberFormat="1" applyFont="1" applyBorder="1"/>
    <xf numFmtId="0" fontId="37" fillId="0" borderId="35" xfId="0" applyFont="1" applyBorder="1"/>
    <xf numFmtId="49" fontId="37" fillId="0" borderId="35" xfId="0" applyNumberFormat="1" applyFont="1" applyBorder="1" applyAlignment="1">
      <alignment horizontal="right" vertical="top" wrapText="1"/>
    </xf>
    <xf numFmtId="0" fontId="37" fillId="0" borderId="46" xfId="0" applyFont="1" applyBorder="1"/>
    <xf numFmtId="49" fontId="28" fillId="0" borderId="3" xfId="0" applyNumberFormat="1" applyFont="1" applyBorder="1" applyAlignment="1">
      <alignment horizontal="right" vertical="top"/>
    </xf>
    <xf numFmtId="49" fontId="28" fillId="0" borderId="45" xfId="0" applyNumberFormat="1" applyFont="1" applyBorder="1" applyAlignment="1">
      <alignment horizontal="right" vertical="center"/>
    </xf>
    <xf numFmtId="49" fontId="28" fillId="0" borderId="35" xfId="0" applyNumberFormat="1" applyFont="1" applyBorder="1" applyAlignment="1">
      <alignment horizontal="right" vertical="top"/>
    </xf>
    <xf numFmtId="49" fontId="28" fillId="0" borderId="3" xfId="0" applyNumberFormat="1" applyFont="1" applyBorder="1" applyAlignment="1">
      <alignment horizontal="right" wrapText="1"/>
    </xf>
    <xf numFmtId="0" fontId="37" fillId="0" borderId="45" xfId="0" applyFont="1" applyBorder="1" applyAlignment="1">
      <alignment horizontal="right"/>
    </xf>
    <xf numFmtId="0" fontId="28" fillId="0" borderId="24" xfId="0" applyFont="1" applyBorder="1" applyAlignment="1">
      <alignment vertical="top"/>
    </xf>
    <xf numFmtId="0" fontId="28" fillId="0" borderId="24" xfId="0" applyFont="1" applyBorder="1" applyAlignment="1">
      <alignment vertical="center"/>
    </xf>
    <xf numFmtId="0" fontId="37" fillId="0" borderId="24" xfId="0" applyFont="1" applyFill="1" applyBorder="1"/>
    <xf numFmtId="49" fontId="28" fillId="0" borderId="3" xfId="0" applyNumberFormat="1" applyFont="1" applyFill="1" applyBorder="1" applyAlignment="1">
      <alignment horizontal="right" vertical="top"/>
    </xf>
    <xf numFmtId="49" fontId="21" fillId="0" borderId="0" xfId="0" applyNumberFormat="1" applyFont="1" applyBorder="1" applyAlignment="1">
      <alignment horizontal="right" vertical="center"/>
    </xf>
    <xf numFmtId="49" fontId="0" fillId="0" borderId="3" xfId="0" applyNumberFormat="1" applyBorder="1"/>
    <xf numFmtId="49" fontId="28" fillId="0" borderId="3" xfId="0" applyNumberFormat="1" applyFont="1" applyFill="1" applyBorder="1" applyAlignment="1">
      <alignment horizontal="right" vertical="center"/>
    </xf>
    <xf numFmtId="0" fontId="7" fillId="0" borderId="24" xfId="0" applyFont="1" applyBorder="1" applyAlignment="1">
      <alignment horizontal="center" vertical="center"/>
    </xf>
    <xf numFmtId="0" fontId="28" fillId="0" borderId="8" xfId="0" applyFont="1" applyFill="1" applyBorder="1" applyAlignment="1">
      <alignment wrapText="1"/>
    </xf>
    <xf numFmtId="0" fontId="28" fillId="0" borderId="10" xfId="0" applyFont="1" applyBorder="1" applyAlignment="1">
      <alignment wrapText="1"/>
    </xf>
    <xf numFmtId="2" fontId="0" fillId="0" borderId="0" xfId="0" applyNumberFormat="1" applyBorder="1"/>
    <xf numFmtId="0" fontId="1" fillId="0" borderId="0" xfId="0" applyFont="1" applyFill="1" applyAlignment="1">
      <alignment horizontal="center"/>
    </xf>
    <xf numFmtId="0" fontId="6" fillId="0" borderId="14" xfId="0" applyFont="1" applyBorder="1"/>
    <xf numFmtId="2" fontId="6" fillId="0" borderId="15" xfId="0" applyNumberFormat="1" applyFont="1" applyBorder="1"/>
    <xf numFmtId="164" fontId="6" fillId="0" borderId="16" xfId="0" applyNumberFormat="1" applyFont="1" applyBorder="1"/>
    <xf numFmtId="0" fontId="6" fillId="0" borderId="20" xfId="0" applyFont="1" applyBorder="1"/>
    <xf numFmtId="0" fontId="6" fillId="0" borderId="47" xfId="0" applyFont="1" applyBorder="1"/>
    <xf numFmtId="0" fontId="6" fillId="0" borderId="47" xfId="0" applyFont="1" applyFill="1" applyBorder="1"/>
    <xf numFmtId="0" fontId="6" fillId="0" borderId="21" xfId="0" applyFont="1" applyFill="1" applyBorder="1"/>
    <xf numFmtId="2" fontId="28" fillId="0" borderId="0" xfId="0" applyNumberFormat="1" applyFont="1" applyBorder="1" applyAlignment="1">
      <alignment horizontal="center" vertical="center"/>
    </xf>
    <xf numFmtId="0" fontId="17" fillId="0" borderId="0" xfId="0" applyFont="1" applyBorder="1"/>
    <xf numFmtId="49" fontId="28" fillId="0" borderId="3" xfId="0" applyNumberFormat="1" applyFont="1" applyFill="1" applyBorder="1" applyAlignment="1">
      <alignment horizontal="right"/>
    </xf>
    <xf numFmtId="49" fontId="37" fillId="0" borderId="2" xfId="0" applyNumberFormat="1" applyFont="1" applyFill="1" applyBorder="1" applyAlignment="1">
      <alignment vertical="center" wrapText="1"/>
    </xf>
    <xf numFmtId="164" fontId="28" fillId="0" borderId="4" xfId="0" applyNumberFormat="1" applyFont="1" applyFill="1" applyBorder="1" applyAlignment="1">
      <alignment horizontal="center" vertical="center"/>
    </xf>
    <xf numFmtId="49" fontId="37" fillId="0" borderId="2" xfId="0" applyNumberFormat="1" applyFont="1" applyFill="1" applyBorder="1" applyAlignment="1">
      <alignment wrapText="1"/>
    </xf>
    <xf numFmtId="0" fontId="11" fillId="0" borderId="11" xfId="0" applyFont="1" applyBorder="1" applyAlignment="1">
      <alignment horizontal="center"/>
    </xf>
    <xf numFmtId="2" fontId="12" fillId="0" borderId="8" xfId="0" applyNumberFormat="1" applyFont="1" applyBorder="1" applyAlignment="1">
      <alignment horizontal="center" vertical="center"/>
    </xf>
    <xf numFmtId="2" fontId="12" fillId="0" borderId="17" xfId="0" applyNumberFormat="1" applyFont="1" applyBorder="1" applyAlignment="1">
      <alignment horizontal="center" vertical="center"/>
    </xf>
    <xf numFmtId="0" fontId="12" fillId="0" borderId="0" xfId="0" applyFont="1" applyBorder="1" applyAlignment="1">
      <alignment horizontal="center" vertical="center"/>
    </xf>
    <xf numFmtId="2" fontId="12" fillId="0" borderId="0" xfId="0" applyNumberFormat="1" applyFont="1" applyBorder="1" applyAlignment="1">
      <alignment horizontal="center" vertical="center"/>
    </xf>
    <xf numFmtId="0" fontId="12" fillId="0" borderId="0" xfId="0" applyFont="1" applyBorder="1" applyAlignment="1">
      <alignment horizontal="center"/>
    </xf>
    <xf numFmtId="2" fontId="28" fillId="0" borderId="4" xfId="0" applyNumberFormat="1" applyFont="1" applyBorder="1" applyAlignment="1">
      <alignment horizontal="center"/>
    </xf>
    <xf numFmtId="0" fontId="11" fillId="0" borderId="11" xfId="0" applyFont="1" applyBorder="1" applyAlignment="1">
      <alignment horizontal="center"/>
    </xf>
    <xf numFmtId="164" fontId="28" fillId="0" borderId="44" xfId="0" applyNumberFormat="1" applyFont="1" applyBorder="1" applyAlignment="1">
      <alignment horizontal="center" vertical="center"/>
    </xf>
    <xf numFmtId="0" fontId="28" fillId="0" borderId="3" xfId="0" applyFont="1" applyBorder="1"/>
    <xf numFmtId="4" fontId="28" fillId="0" borderId="4" xfId="0" applyNumberFormat="1" applyFont="1" applyFill="1" applyBorder="1" applyAlignment="1">
      <alignment horizontal="center"/>
    </xf>
    <xf numFmtId="2" fontId="28" fillId="0" borderId="4" xfId="0" applyNumberFormat="1" applyFont="1" applyFill="1" applyBorder="1" applyAlignment="1">
      <alignment horizontal="center"/>
    </xf>
    <xf numFmtId="0" fontId="28" fillId="0" borderId="41" xfId="0" applyFont="1" applyFill="1" applyBorder="1" applyAlignment="1">
      <alignment vertical="top" wrapText="1"/>
    </xf>
    <xf numFmtId="0" fontId="28" fillId="0" borderId="2" xfId="0" applyFont="1" applyBorder="1" applyAlignment="1">
      <alignment vertical="top" wrapText="1"/>
    </xf>
    <xf numFmtId="1" fontId="28" fillId="0" borderId="4" xfId="0" applyNumberFormat="1" applyFont="1" applyFill="1" applyBorder="1" applyAlignment="1">
      <alignment horizontal="center" vertical="center"/>
    </xf>
    <xf numFmtId="164" fontId="7" fillId="0" borderId="4" xfId="0" applyNumberFormat="1" applyFont="1" applyFill="1" applyBorder="1" applyAlignment="1">
      <alignment horizontal="center" vertical="center" wrapText="1"/>
    </xf>
    <xf numFmtId="0" fontId="7" fillId="0" borderId="4" xfId="0" applyFont="1" applyFill="1" applyBorder="1" applyAlignment="1">
      <alignment horizontal="center" vertical="center"/>
    </xf>
    <xf numFmtId="0" fontId="28" fillId="0" borderId="4" xfId="0" applyFont="1" applyFill="1" applyBorder="1" applyAlignment="1">
      <alignment horizontal="center" vertical="center"/>
    </xf>
    <xf numFmtId="49" fontId="28" fillId="0" borderId="5" xfId="0" applyNumberFormat="1" applyFont="1" applyBorder="1" applyAlignment="1">
      <alignment horizontal="right" vertical="center"/>
    </xf>
    <xf numFmtId="0" fontId="28" fillId="0" borderId="6" xfId="0" applyFont="1" applyBorder="1" applyAlignment="1">
      <alignment vertical="center" wrapText="1"/>
    </xf>
    <xf numFmtId="0" fontId="7" fillId="0" borderId="37" xfId="0" applyFont="1" applyFill="1" applyBorder="1" applyAlignment="1">
      <alignment horizontal="center" vertical="center" wrapText="1"/>
    </xf>
    <xf numFmtId="2" fontId="28" fillId="0" borderId="7" xfId="0" applyNumberFormat="1" applyFont="1" applyFill="1" applyBorder="1" applyAlignment="1">
      <alignment horizontal="center" vertical="center"/>
    </xf>
    <xf numFmtId="1" fontId="59" fillId="0" borderId="0" xfId="0" applyNumberFormat="1" applyFont="1"/>
    <xf numFmtId="0" fontId="59" fillId="0" borderId="0" xfId="0" applyFont="1" applyAlignment="1">
      <alignment horizontal="left" vertical="center"/>
    </xf>
    <xf numFmtId="1" fontId="6" fillId="0" borderId="0" xfId="0" applyNumberFormat="1" applyFont="1"/>
    <xf numFmtId="49" fontId="6" fillId="0" borderId="0" xfId="0" applyNumberFormat="1" applyFont="1"/>
    <xf numFmtId="49" fontId="28" fillId="0" borderId="0" xfId="0" applyNumberFormat="1" applyFont="1" applyFill="1" applyBorder="1" applyAlignment="1">
      <alignment horizontal="right"/>
    </xf>
    <xf numFmtId="0" fontId="7" fillId="0" borderId="0" xfId="0" applyFont="1" applyFill="1" applyBorder="1" applyAlignment="1"/>
    <xf numFmtId="49" fontId="28" fillId="0" borderId="0" xfId="0" applyNumberFormat="1" applyFont="1" applyFill="1" applyBorder="1" applyAlignment="1">
      <alignment horizontal="right" vertical="center"/>
    </xf>
    <xf numFmtId="0" fontId="28" fillId="0" borderId="0" xfId="0" applyFont="1" applyBorder="1" applyAlignment="1">
      <alignment vertical="center"/>
    </xf>
    <xf numFmtId="0" fontId="28" fillId="0" borderId="0" xfId="0" applyFont="1" applyBorder="1" applyAlignment="1">
      <alignment vertical="center" wrapText="1"/>
    </xf>
    <xf numFmtId="49" fontId="28" fillId="0" borderId="0" xfId="0" applyNumberFormat="1" applyFont="1" applyBorder="1"/>
    <xf numFmtId="49" fontId="28" fillId="0" borderId="0" xfId="0" applyNumberFormat="1" applyFont="1" applyAlignment="1">
      <alignment horizontal="right"/>
    </xf>
    <xf numFmtId="49" fontId="28" fillId="0" borderId="0" xfId="0" applyNumberFormat="1" applyFont="1" applyBorder="1" applyAlignment="1">
      <alignment horizontal="right"/>
    </xf>
    <xf numFmtId="0" fontId="28" fillId="0" borderId="0" xfId="0" applyFont="1" applyFill="1" applyBorder="1" applyAlignment="1">
      <alignment horizontal="center" vertical="center"/>
    </xf>
    <xf numFmtId="49" fontId="7" fillId="0" borderId="0" xfId="0" applyNumberFormat="1" applyFont="1" applyBorder="1" applyAlignment="1">
      <alignment horizontal="right"/>
    </xf>
    <xf numFmtId="49" fontId="7" fillId="0" borderId="0" xfId="0" applyNumberFormat="1" applyFont="1" applyFill="1" applyBorder="1" applyAlignment="1">
      <alignment horizontal="left"/>
    </xf>
    <xf numFmtId="49" fontId="12" fillId="0" borderId="0" xfId="0" applyNumberFormat="1" applyFont="1" applyBorder="1" applyAlignment="1">
      <alignment horizontal="right"/>
    </xf>
    <xf numFmtId="0" fontId="7" fillId="0" borderId="0" xfId="0" applyFont="1" applyFill="1" applyBorder="1" applyAlignment="1">
      <alignment horizontal="center" vertical="center" wrapText="1"/>
    </xf>
    <xf numFmtId="0" fontId="6" fillId="0" borderId="0" xfId="0" applyFont="1" applyFill="1" applyAlignment="1">
      <alignment vertical="top" wrapText="1"/>
    </xf>
    <xf numFmtId="2" fontId="7" fillId="0" borderId="23" xfId="0" applyNumberFormat="1" applyFont="1" applyBorder="1" applyAlignment="1">
      <alignment horizontal="left"/>
    </xf>
    <xf numFmtId="2" fontId="7" fillId="0" borderId="0" xfId="0" applyNumberFormat="1" applyFont="1" applyBorder="1" applyAlignment="1">
      <alignment horizontal="left" vertical="center"/>
    </xf>
    <xf numFmtId="0" fontId="15" fillId="0" borderId="0" xfId="0" applyFont="1" applyAlignment="1">
      <alignment horizontal="left" vertical="center"/>
    </xf>
    <xf numFmtId="0" fontId="7" fillId="0" borderId="0" xfId="0" applyFont="1" applyAlignment="1">
      <alignment horizontal="left" vertical="center"/>
    </xf>
    <xf numFmtId="0" fontId="7" fillId="0" borderId="23" xfId="0" applyFont="1" applyBorder="1" applyAlignment="1">
      <alignment horizontal="left" vertical="center"/>
    </xf>
    <xf numFmtId="0" fontId="12" fillId="0" borderId="0" xfId="0" applyFont="1" applyBorder="1" applyAlignment="1">
      <alignment horizontal="center"/>
    </xf>
    <xf numFmtId="0" fontId="12" fillId="0" borderId="0" xfId="0" applyFont="1" applyBorder="1" applyAlignment="1">
      <alignment horizontal="center" vertical="top" wrapText="1"/>
    </xf>
    <xf numFmtId="0" fontId="12" fillId="0" borderId="0" xfId="0" applyFont="1" applyBorder="1" applyAlignment="1">
      <alignment horizontal="center" textRotation="90" wrapText="1"/>
    </xf>
    <xf numFmtId="0" fontId="10" fillId="0" borderId="0" xfId="0" applyFont="1" applyBorder="1" applyAlignment="1">
      <alignment horizontal="center"/>
    </xf>
    <xf numFmtId="0" fontId="11" fillId="0" borderId="14"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11" xfId="0" applyFont="1" applyBorder="1" applyAlignment="1">
      <alignment horizontal="center" textRotation="90" wrapText="1"/>
    </xf>
    <xf numFmtId="0" fontId="11" fillId="0" borderId="29" xfId="0" applyFont="1" applyBorder="1" applyAlignment="1">
      <alignment horizontal="center" textRotation="90" wrapText="1"/>
    </xf>
    <xf numFmtId="0" fontId="11" fillId="0" borderId="11" xfId="0" applyFont="1" applyBorder="1" applyAlignment="1">
      <alignment horizontal="center"/>
    </xf>
    <xf numFmtId="0" fontId="11" fillId="0" borderId="14" xfId="0" applyFont="1" applyBorder="1" applyAlignment="1">
      <alignment horizontal="center" vertical="top" wrapText="1"/>
    </xf>
    <xf numFmtId="0" fontId="11" fillId="0" borderId="15" xfId="0" applyFont="1" applyBorder="1" applyAlignment="1">
      <alignment horizontal="center" vertical="top" wrapText="1"/>
    </xf>
    <xf numFmtId="0" fontId="11" fillId="0" borderId="16" xfId="0" applyFont="1" applyBorder="1" applyAlignment="1">
      <alignment horizontal="center" vertical="top" wrapText="1"/>
    </xf>
    <xf numFmtId="0" fontId="12" fillId="0" borderId="1" xfId="0" applyFont="1" applyBorder="1" applyAlignment="1">
      <alignment horizontal="center" vertical="center"/>
    </xf>
    <xf numFmtId="0" fontId="12" fillId="0" borderId="34" xfId="0" applyFont="1" applyBorder="1" applyAlignment="1">
      <alignment horizontal="center" vertical="center"/>
    </xf>
    <xf numFmtId="0" fontId="12" fillId="0" borderId="26" xfId="0" applyFont="1" applyBorder="1" applyAlignment="1">
      <alignment horizontal="center" vertical="center"/>
    </xf>
    <xf numFmtId="0" fontId="12" fillId="0" borderId="2" xfId="0" applyFont="1" applyBorder="1" applyAlignment="1">
      <alignment horizontal="center" vertical="center"/>
    </xf>
    <xf numFmtId="2" fontId="12" fillId="0" borderId="26" xfId="0" applyNumberFormat="1" applyFont="1" applyBorder="1" applyAlignment="1">
      <alignment horizontal="center" vertical="center"/>
    </xf>
    <xf numFmtId="2" fontId="12" fillId="0" borderId="2" xfId="0" applyNumberFormat="1" applyFont="1" applyBorder="1" applyAlignment="1">
      <alignment horizontal="center" vertical="center"/>
    </xf>
    <xf numFmtId="2" fontId="12" fillId="0" borderId="33" xfId="0" applyNumberFormat="1" applyFont="1" applyBorder="1" applyAlignment="1">
      <alignment horizontal="center" vertical="center"/>
    </xf>
    <xf numFmtId="2" fontId="12" fillId="0" borderId="24" xfId="0" applyNumberFormat="1" applyFont="1" applyBorder="1" applyAlignment="1">
      <alignment horizontal="center" vertical="center"/>
    </xf>
    <xf numFmtId="2" fontId="12" fillId="0" borderId="27" xfId="0" applyNumberFormat="1" applyFont="1" applyBorder="1" applyAlignment="1">
      <alignment horizontal="center" vertical="center"/>
    </xf>
    <xf numFmtId="2" fontId="12" fillId="0" borderId="4" xfId="0" applyNumberFormat="1" applyFont="1" applyBorder="1" applyAlignment="1">
      <alignment horizontal="center" vertical="center"/>
    </xf>
    <xf numFmtId="0" fontId="12" fillId="0" borderId="35" xfId="0" applyFont="1" applyBorder="1" applyAlignment="1">
      <alignment horizontal="center" vertical="center"/>
    </xf>
    <xf numFmtId="2" fontId="12" fillId="0" borderId="8" xfId="0" applyNumberFormat="1" applyFont="1" applyBorder="1" applyAlignment="1">
      <alignment horizontal="center" vertical="center"/>
    </xf>
    <xf numFmtId="2" fontId="12" fillId="0" borderId="9" xfId="0" applyNumberFormat="1" applyFont="1" applyBorder="1" applyAlignment="1">
      <alignment horizontal="center" vertical="center"/>
    </xf>
    <xf numFmtId="165" fontId="12" fillId="0" borderId="2" xfId="0" applyNumberFormat="1" applyFont="1" applyBorder="1" applyAlignment="1">
      <alignment horizontal="center" vertical="center"/>
    </xf>
    <xf numFmtId="0" fontId="12" fillId="0" borderId="36" xfId="0" applyFont="1" applyBorder="1" applyAlignment="1">
      <alignment horizontal="center" vertical="center"/>
    </xf>
    <xf numFmtId="165" fontId="12" fillId="0" borderId="8" xfId="0" applyNumberFormat="1" applyFont="1" applyBorder="1" applyAlignment="1">
      <alignment horizontal="center" vertical="center"/>
    </xf>
    <xf numFmtId="2" fontId="12" fillId="0" borderId="10" xfId="0" applyNumberFormat="1" applyFont="1" applyBorder="1" applyAlignment="1">
      <alignment horizontal="center" vertical="center"/>
    </xf>
    <xf numFmtId="2" fontId="12" fillId="0" borderId="25" xfId="0" applyNumberFormat="1" applyFont="1" applyBorder="1" applyAlignment="1">
      <alignment horizontal="center" vertical="center"/>
    </xf>
    <xf numFmtId="0" fontId="12" fillId="0" borderId="35" xfId="0" applyFont="1" applyBorder="1" applyAlignment="1">
      <alignment horizontal="center" vertical="center" wrapText="1"/>
    </xf>
    <xf numFmtId="0" fontId="12" fillId="0" borderId="34" xfId="0" applyFont="1" applyBorder="1" applyAlignment="1">
      <alignment horizontal="center" vertical="center" wrapText="1"/>
    </xf>
    <xf numFmtId="0" fontId="11" fillId="0" borderId="12" xfId="0" applyFont="1" applyBorder="1" applyAlignment="1">
      <alignment horizontal="center" textRotation="90" wrapText="1"/>
    </xf>
    <xf numFmtId="0" fontId="11" fillId="0" borderId="28" xfId="0" applyFont="1" applyBorder="1" applyAlignment="1">
      <alignment horizontal="center" textRotation="90" wrapText="1"/>
    </xf>
    <xf numFmtId="0" fontId="11" fillId="0" borderId="13" xfId="0" applyFont="1" applyBorder="1" applyAlignment="1">
      <alignment horizontal="center" textRotation="90" wrapText="1"/>
    </xf>
    <xf numFmtId="0" fontId="11" fillId="0" borderId="29" xfId="0" applyFont="1" applyBorder="1" applyAlignment="1">
      <alignment horizontal="center"/>
    </xf>
    <xf numFmtId="0" fontId="11" fillId="0" borderId="30" xfId="0" applyFont="1" applyBorder="1" applyAlignment="1">
      <alignment horizontal="center"/>
    </xf>
    <xf numFmtId="0" fontId="11" fillId="0" borderId="31" xfId="0" applyFont="1" applyBorder="1" applyAlignment="1">
      <alignment horizontal="center"/>
    </xf>
    <xf numFmtId="0" fontId="11" fillId="0" borderId="29" xfId="0" applyFont="1" applyBorder="1" applyAlignment="1">
      <alignment horizontal="center" vertical="top" wrapText="1"/>
    </xf>
    <xf numFmtId="0" fontId="11" fillId="0" borderId="30" xfId="0" applyFont="1" applyBorder="1" applyAlignment="1">
      <alignment horizontal="center" vertical="top" wrapText="1"/>
    </xf>
    <xf numFmtId="0" fontId="11" fillId="0" borderId="31" xfId="0" applyFont="1" applyBorder="1" applyAlignment="1">
      <alignment horizontal="center" vertical="top" wrapText="1"/>
    </xf>
    <xf numFmtId="0" fontId="12" fillId="0" borderId="25" xfId="0" applyFont="1" applyBorder="1" applyAlignment="1">
      <alignment horizontal="center" vertical="center"/>
    </xf>
    <xf numFmtId="0" fontId="12" fillId="0" borderId="9" xfId="0" applyFont="1" applyBorder="1" applyAlignment="1">
      <alignment horizontal="center" vertical="center"/>
    </xf>
    <xf numFmtId="2" fontId="12" fillId="0" borderId="22" xfId="0" applyNumberFormat="1" applyFont="1" applyBorder="1" applyAlignment="1">
      <alignment horizontal="center" vertical="center"/>
    </xf>
    <xf numFmtId="2" fontId="12" fillId="0" borderId="18" xfId="0" applyNumberFormat="1" applyFont="1" applyBorder="1" applyAlignment="1">
      <alignment horizontal="center" vertical="center"/>
    </xf>
    <xf numFmtId="2" fontId="12" fillId="0" borderId="19" xfId="0" applyNumberFormat="1" applyFont="1" applyBorder="1" applyAlignment="1">
      <alignment horizontal="center" vertical="center"/>
    </xf>
    <xf numFmtId="0" fontId="12" fillId="0" borderId="8" xfId="0" applyFont="1" applyBorder="1" applyAlignment="1">
      <alignment horizontal="center" vertical="center"/>
    </xf>
    <xf numFmtId="2" fontId="12" fillId="0" borderId="17" xfId="0" applyNumberFormat="1" applyFont="1" applyBorder="1" applyAlignment="1">
      <alignment horizontal="center" vertical="center"/>
    </xf>
    <xf numFmtId="165" fontId="12" fillId="0" borderId="9" xfId="0" applyNumberFormat="1" applyFont="1" applyBorder="1" applyAlignment="1">
      <alignment horizontal="center" vertical="center"/>
    </xf>
    <xf numFmtId="2" fontId="12" fillId="0" borderId="37" xfId="0" applyNumberFormat="1" applyFont="1" applyBorder="1" applyAlignment="1">
      <alignment horizontal="center" vertical="center"/>
    </xf>
    <xf numFmtId="165" fontId="12" fillId="0" borderId="37" xfId="0" applyNumberFormat="1" applyFont="1" applyBorder="1" applyAlignment="1">
      <alignment horizontal="center" vertical="center"/>
    </xf>
    <xf numFmtId="0" fontId="12" fillId="0" borderId="0" xfId="0" applyFont="1" applyBorder="1" applyAlignment="1">
      <alignment horizontal="right" vertical="center"/>
    </xf>
    <xf numFmtId="0" fontId="12" fillId="0" borderId="32" xfId="0" applyFont="1" applyBorder="1" applyAlignment="1">
      <alignment horizontal="right" vertical="center"/>
    </xf>
    <xf numFmtId="0" fontId="12" fillId="0" borderId="3" xfId="0" applyFont="1" applyBorder="1" applyAlignment="1">
      <alignment horizontal="right" vertical="center"/>
    </xf>
    <xf numFmtId="0" fontId="12" fillId="0" borderId="35" xfId="0" applyFont="1" applyBorder="1" applyAlignment="1">
      <alignment horizontal="right" vertical="center"/>
    </xf>
    <xf numFmtId="0" fontId="11" fillId="0" borderId="0" xfId="0" applyFont="1" applyBorder="1" applyAlignment="1">
      <alignment horizontal="center" vertical="center" wrapText="1"/>
    </xf>
    <xf numFmtId="0" fontId="11" fillId="0" borderId="0" xfId="0" applyFont="1" applyBorder="1" applyAlignment="1">
      <alignment horizontal="center" textRotation="90" wrapText="1"/>
    </xf>
    <xf numFmtId="0" fontId="11" fillId="0" borderId="0" xfId="0" applyFont="1" applyBorder="1" applyAlignment="1">
      <alignment horizontal="center"/>
    </xf>
    <xf numFmtId="0" fontId="11" fillId="0" borderId="0" xfId="0" applyFont="1" applyBorder="1" applyAlignment="1">
      <alignment horizontal="center" vertical="top" wrapText="1"/>
    </xf>
    <xf numFmtId="0" fontId="12" fillId="0" borderId="0" xfId="0" applyFont="1" applyBorder="1" applyAlignment="1">
      <alignment horizontal="center" vertical="center"/>
    </xf>
    <xf numFmtId="2" fontId="12" fillId="0" borderId="0" xfId="0" applyNumberFormat="1" applyFont="1" applyBorder="1" applyAlignment="1">
      <alignment horizontal="center" vertical="center"/>
    </xf>
    <xf numFmtId="165" fontId="12" fillId="0" borderId="0" xfId="0" applyNumberFormat="1" applyFont="1" applyBorder="1" applyAlignment="1">
      <alignment horizontal="center" vertical="center"/>
    </xf>
    <xf numFmtId="0" fontId="6" fillId="0" borderId="0" xfId="0" applyFont="1" applyAlignment="1">
      <alignment horizontal="left" vertical="top" wrapText="1"/>
    </xf>
    <xf numFmtId="2" fontId="10" fillId="0" borderId="0" xfId="0" applyNumberFormat="1" applyFont="1" applyBorder="1" applyAlignment="1">
      <alignment horizontal="center" vertical="center"/>
    </xf>
    <xf numFmtId="0" fontId="12" fillId="0" borderId="5" xfId="0" applyFont="1" applyBorder="1" applyAlignment="1">
      <alignment horizontal="right" vertical="center"/>
    </xf>
    <xf numFmtId="165" fontId="12" fillId="0" borderId="6" xfId="0" applyNumberFormat="1" applyFont="1" applyBorder="1" applyAlignment="1">
      <alignment horizontal="center" vertical="center"/>
    </xf>
    <xf numFmtId="2" fontId="12" fillId="0" borderId="6" xfId="0" applyNumberFormat="1" applyFont="1" applyBorder="1" applyAlignment="1">
      <alignment horizontal="center" vertical="center"/>
    </xf>
    <xf numFmtId="0" fontId="9" fillId="0" borderId="0" xfId="0" applyFont="1" applyBorder="1" applyAlignment="1">
      <alignment horizontal="center"/>
    </xf>
    <xf numFmtId="0" fontId="9" fillId="0" borderId="0" xfId="0" applyFont="1" applyBorder="1" applyAlignment="1">
      <alignment horizontal="center" vertical="top" wrapText="1"/>
    </xf>
    <xf numFmtId="0" fontId="8" fillId="0" borderId="29" xfId="0" applyFont="1" applyBorder="1" applyAlignment="1">
      <alignment horizontal="center"/>
    </xf>
    <xf numFmtId="0" fontId="8" fillId="0" borderId="30" xfId="0" applyFont="1" applyBorder="1" applyAlignment="1">
      <alignment horizontal="center"/>
    </xf>
    <xf numFmtId="0" fontId="8" fillId="0" borderId="31" xfId="0" applyFont="1" applyBorder="1" applyAlignment="1">
      <alignment horizontal="center"/>
    </xf>
    <xf numFmtId="0" fontId="1" fillId="0" borderId="0" xfId="0" applyFont="1" applyBorder="1" applyAlignment="1">
      <alignment horizontal="center"/>
    </xf>
    <xf numFmtId="2" fontId="12" fillId="0" borderId="13" xfId="0" applyNumberFormat="1" applyFont="1" applyBorder="1" applyAlignment="1">
      <alignment horizontal="center"/>
    </xf>
    <xf numFmtId="0" fontId="6" fillId="0" borderId="23" xfId="0" applyFont="1" applyBorder="1" applyAlignment="1">
      <alignment horizontal="center"/>
    </xf>
    <xf numFmtId="1" fontId="56" fillId="0" borderId="0" xfId="0" applyNumberFormat="1" applyFont="1" applyBorder="1" applyAlignment="1">
      <alignment horizontal="center" vertical="center"/>
    </xf>
    <xf numFmtId="9" fontId="0" fillId="0" borderId="0" xfId="2" applyFont="1" applyBorder="1"/>
    <xf numFmtId="2" fontId="7" fillId="0" borderId="0" xfId="0" applyNumberFormat="1" applyFont="1" applyFill="1" applyBorder="1" applyAlignment="1">
      <alignment horizontal="left" vertical="center"/>
    </xf>
  </cellXfs>
  <cellStyles count="3">
    <cellStyle name="Normální" xfId="0" builtinId="0"/>
    <cellStyle name="Normální 2" xfId="1"/>
    <cellStyle name="Procenta"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37"/>
  <sheetViews>
    <sheetView tabSelected="1" zoomScale="145" zoomScaleNormal="145" workbookViewId="0">
      <selection activeCell="H119" sqref="H119"/>
    </sheetView>
  </sheetViews>
  <sheetFormatPr defaultRowHeight="15"/>
  <cols>
    <col min="1" max="1" width="2.85546875" customWidth="1"/>
    <col min="2" max="2" width="9.140625" style="1"/>
    <col min="3" max="3" width="47.28515625" style="58" customWidth="1"/>
    <col min="4" max="4" width="11" style="58" customWidth="1"/>
    <col min="5" max="5" width="15" style="58" customWidth="1"/>
    <col min="6" max="7" width="9.140625" style="58"/>
  </cols>
  <sheetData>
    <row r="1" spans="1:11">
      <c r="B1" s="129" t="s">
        <v>17</v>
      </c>
      <c r="C1" s="130"/>
    </row>
    <row r="2" spans="1:11" ht="15.75" customHeight="1">
      <c r="B2" s="131" t="s">
        <v>16</v>
      </c>
      <c r="C2" s="130"/>
      <c r="D2" s="82"/>
      <c r="E2" s="82"/>
    </row>
    <row r="3" spans="1:11" s="1" customFormat="1" ht="15.75" customHeight="1">
      <c r="B3" s="132" t="s">
        <v>0</v>
      </c>
      <c r="C3" s="133"/>
      <c r="D3" s="82"/>
      <c r="E3" s="82"/>
      <c r="F3" s="58"/>
      <c r="G3" s="58"/>
    </row>
    <row r="4" spans="1:11">
      <c r="B4" s="132" t="s">
        <v>1</v>
      </c>
      <c r="C4" s="133"/>
    </row>
    <row r="5" spans="1:11" ht="18">
      <c r="B5" s="134" t="s">
        <v>577</v>
      </c>
      <c r="C5" s="133"/>
      <c r="J5" s="81"/>
      <c r="K5" s="58"/>
    </row>
    <row r="6" spans="1:11">
      <c r="C6" s="1"/>
    </row>
    <row r="7" spans="1:11" ht="18">
      <c r="B7" s="473" t="s">
        <v>63</v>
      </c>
      <c r="D7" s="1"/>
    </row>
    <row r="8" spans="1:11" ht="15.75" thickBot="1">
      <c r="B8" s="131" t="s">
        <v>546</v>
      </c>
      <c r="C8" s="135"/>
    </row>
    <row r="9" spans="1:11" ht="15.75" thickBot="1">
      <c r="B9" s="474" t="s">
        <v>547</v>
      </c>
      <c r="C9" s="235" t="s">
        <v>2</v>
      </c>
      <c r="D9" s="235" t="s">
        <v>3</v>
      </c>
      <c r="E9" s="236" t="s">
        <v>15</v>
      </c>
    </row>
    <row r="10" spans="1:11" s="1" customFormat="1">
      <c r="A10" s="58"/>
      <c r="B10" s="475">
        <v>1</v>
      </c>
      <c r="C10" s="279" t="s">
        <v>34</v>
      </c>
      <c r="D10" s="280"/>
      <c r="E10" s="281"/>
      <c r="F10" s="58"/>
      <c r="G10" s="58"/>
    </row>
    <row r="11" spans="1:11" s="1" customFormat="1">
      <c r="A11" s="58"/>
      <c r="B11" s="476"/>
      <c r="C11" s="59" t="s">
        <v>61</v>
      </c>
      <c r="D11" s="60"/>
      <c r="E11" s="216"/>
      <c r="F11" s="58"/>
      <c r="G11" s="58"/>
    </row>
    <row r="12" spans="1:11" s="1" customFormat="1">
      <c r="A12" s="58"/>
      <c r="B12" s="476" t="s">
        <v>18</v>
      </c>
      <c r="C12" s="61" t="s">
        <v>101</v>
      </c>
      <c r="D12" s="62"/>
      <c r="E12" s="216"/>
      <c r="F12" s="58"/>
      <c r="G12" s="58"/>
    </row>
    <row r="13" spans="1:11" s="1" customFormat="1" ht="25.5">
      <c r="A13" s="58"/>
      <c r="B13" s="476"/>
      <c r="C13" s="48" t="s">
        <v>64</v>
      </c>
      <c r="D13" s="63"/>
      <c r="E13" s="217"/>
      <c r="F13" s="58"/>
      <c r="G13" s="58"/>
    </row>
    <row r="14" spans="1:11" s="1" customFormat="1">
      <c r="A14" s="58"/>
      <c r="B14" s="476" t="s">
        <v>31</v>
      </c>
      <c r="C14" s="61" t="s">
        <v>23</v>
      </c>
      <c r="D14" s="63" t="s">
        <v>98</v>
      </c>
      <c r="E14" s="217">
        <f>SO_02_KL1_zemní_práce!F13</f>
        <v>6.75</v>
      </c>
      <c r="F14" s="58"/>
      <c r="G14" s="224"/>
      <c r="H14" s="3"/>
    </row>
    <row r="15" spans="1:11" s="1" customFormat="1">
      <c r="A15" s="58"/>
      <c r="B15" s="476"/>
      <c r="C15" s="49"/>
      <c r="D15" s="237"/>
      <c r="E15" s="217"/>
      <c r="F15" s="58"/>
      <c r="G15" s="509"/>
      <c r="H15" s="3"/>
    </row>
    <row r="16" spans="1:11" s="1" customFormat="1">
      <c r="A16" s="58"/>
      <c r="B16" s="477">
        <v>2</v>
      </c>
      <c r="C16" s="282" t="s">
        <v>4</v>
      </c>
      <c r="D16" s="283"/>
      <c r="E16" s="284"/>
      <c r="F16" s="58"/>
      <c r="G16" s="58"/>
    </row>
    <row r="17" spans="1:10" s="1" customFormat="1">
      <c r="A17" s="58"/>
      <c r="B17" s="476"/>
      <c r="C17" s="59" t="s">
        <v>61</v>
      </c>
      <c r="D17" s="238"/>
      <c r="E17" s="239"/>
      <c r="F17" s="58"/>
      <c r="G17" s="58"/>
    </row>
    <row r="18" spans="1:10" s="1" customFormat="1">
      <c r="A18" s="58"/>
      <c r="B18" s="476" t="s">
        <v>36</v>
      </c>
      <c r="C18" s="240" t="s">
        <v>364</v>
      </c>
      <c r="D18" s="63" t="s">
        <v>98</v>
      </c>
      <c r="E18" s="239">
        <f>SO_02_KL1_zemní_práce!G19</f>
        <v>72.600000000000009</v>
      </c>
      <c r="F18" s="642"/>
      <c r="G18" s="58"/>
    </row>
    <row r="19" spans="1:10" s="1" customFormat="1">
      <c r="A19" s="58"/>
      <c r="B19" s="476"/>
      <c r="C19" s="240" t="s">
        <v>72</v>
      </c>
      <c r="D19" s="240"/>
      <c r="E19" s="239"/>
      <c r="F19" s="29"/>
      <c r="G19" s="26"/>
      <c r="H19" s="26"/>
      <c r="I19" s="26"/>
    </row>
    <row r="20" spans="1:10" s="1" customFormat="1" ht="51.75">
      <c r="A20" s="58"/>
      <c r="B20" s="476"/>
      <c r="C20" s="241" t="s">
        <v>580</v>
      </c>
      <c r="D20" s="240"/>
      <c r="E20" s="239"/>
      <c r="F20" s="29"/>
      <c r="G20" s="26"/>
      <c r="H20" s="26"/>
      <c r="I20" s="26"/>
    </row>
    <row r="21" spans="1:10" s="1" customFormat="1" ht="25.5">
      <c r="A21" s="58"/>
      <c r="B21" s="478" t="s">
        <v>37</v>
      </c>
      <c r="C21" s="328" t="s">
        <v>581</v>
      </c>
      <c r="D21" s="208" t="s">
        <v>99</v>
      </c>
      <c r="E21" s="278">
        <f>SO_02_KL1_zemní_práce!G26</f>
        <v>12.6</v>
      </c>
      <c r="F21" s="26"/>
      <c r="G21" s="26"/>
      <c r="H21" s="26"/>
      <c r="I21" s="26"/>
    </row>
    <row r="22" spans="1:10" s="1" customFormat="1">
      <c r="A22" s="58"/>
      <c r="B22" s="476" t="s">
        <v>57</v>
      </c>
      <c r="C22" s="240" t="s">
        <v>29</v>
      </c>
      <c r="D22" s="222" t="s">
        <v>98</v>
      </c>
      <c r="E22" s="242">
        <f>SO_02_KL1_zemní_práce!G53</f>
        <v>51.064999999999998</v>
      </c>
      <c r="F22" s="29"/>
      <c r="G22" s="26"/>
      <c r="H22" s="26"/>
      <c r="I22" s="26"/>
    </row>
    <row r="23" spans="1:10" s="1" customFormat="1">
      <c r="A23" s="58"/>
      <c r="B23" s="476"/>
      <c r="C23" s="243" t="s">
        <v>81</v>
      </c>
      <c r="D23" s="244"/>
      <c r="E23" s="246"/>
      <c r="G23" s="58"/>
    </row>
    <row r="24" spans="1:10" s="1" customFormat="1" ht="25.5">
      <c r="A24" s="58"/>
      <c r="B24" s="479" t="s">
        <v>59</v>
      </c>
      <c r="C24" s="330" t="s">
        <v>338</v>
      </c>
      <c r="D24" s="331" t="s">
        <v>98</v>
      </c>
      <c r="E24" s="332">
        <f>SO_02_KL1_zemní_práce!J53</f>
        <v>1111.635</v>
      </c>
      <c r="F24" s="47"/>
      <c r="G24" s="47"/>
      <c r="H24" s="47"/>
    </row>
    <row r="25" spans="1:10" s="1" customFormat="1" ht="25.5">
      <c r="A25" s="58"/>
      <c r="B25" s="479" t="s">
        <v>60</v>
      </c>
      <c r="C25" s="520" t="s">
        <v>339</v>
      </c>
      <c r="D25" s="329" t="s">
        <v>98</v>
      </c>
      <c r="E25" s="521">
        <v>400</v>
      </c>
      <c r="F25" s="84"/>
      <c r="G25" s="84"/>
      <c r="H25" s="84"/>
      <c r="I25" s="84"/>
      <c r="J25" s="84"/>
    </row>
    <row r="26" spans="1:10" s="1" customFormat="1">
      <c r="A26" s="58"/>
      <c r="B26" s="480"/>
      <c r="C26" s="522" t="s">
        <v>336</v>
      </c>
      <c r="D26" s="63" t="s">
        <v>98</v>
      </c>
      <c r="E26" s="472">
        <f>E25*0.9</f>
        <v>360</v>
      </c>
      <c r="F26" s="84"/>
      <c r="G26" s="84"/>
      <c r="H26" s="84"/>
      <c r="I26" s="84"/>
      <c r="J26" s="84"/>
    </row>
    <row r="27" spans="1:10" s="1" customFormat="1">
      <c r="A27" s="58"/>
      <c r="B27" s="480"/>
      <c r="C27" s="522" t="s">
        <v>337</v>
      </c>
      <c r="D27" s="63" t="s">
        <v>98</v>
      </c>
      <c r="E27" s="472">
        <f>E25*0.1</f>
        <v>40</v>
      </c>
      <c r="F27" s="84"/>
      <c r="G27" s="84"/>
      <c r="H27" s="84"/>
      <c r="I27" s="84"/>
      <c r="J27" s="84"/>
    </row>
    <row r="28" spans="1:10" s="1" customFormat="1">
      <c r="A28" s="58"/>
      <c r="B28" s="480"/>
      <c r="C28" s="245" t="s">
        <v>106</v>
      </c>
      <c r="D28" s="244"/>
      <c r="E28" s="246"/>
      <c r="F28" s="84"/>
      <c r="G28" s="84"/>
      <c r="H28" s="84"/>
      <c r="I28" s="84"/>
      <c r="J28" s="84"/>
    </row>
    <row r="29" spans="1:10" s="1" customFormat="1">
      <c r="A29" s="58"/>
      <c r="B29" s="480"/>
      <c r="C29" s="245" t="s">
        <v>91</v>
      </c>
      <c r="D29" s="241"/>
      <c r="E29" s="239"/>
      <c r="F29" s="84"/>
      <c r="G29" s="84"/>
      <c r="H29" s="84"/>
      <c r="I29" s="84"/>
      <c r="J29" s="84"/>
    </row>
    <row r="30" spans="1:10" s="1" customFormat="1">
      <c r="A30" s="58"/>
      <c r="B30" s="480" t="s">
        <v>43</v>
      </c>
      <c r="C30" s="247" t="s">
        <v>340</v>
      </c>
      <c r="D30" s="63" t="s">
        <v>98</v>
      </c>
      <c r="E30" s="239">
        <f>SO_02_KL1_zemní_práce!J92</f>
        <v>270.25000000000006</v>
      </c>
      <c r="F30" s="29"/>
      <c r="G30" s="29"/>
      <c r="H30" s="29"/>
      <c r="I30" s="29"/>
    </row>
    <row r="31" spans="1:10" s="1" customFormat="1">
      <c r="A31" s="58"/>
      <c r="B31" s="480"/>
      <c r="C31" s="522" t="s">
        <v>578</v>
      </c>
      <c r="D31" s="63" t="s">
        <v>98</v>
      </c>
      <c r="E31" s="239">
        <f>E30*0.75</f>
        <v>202.68750000000006</v>
      </c>
      <c r="F31" s="29"/>
      <c r="G31" s="29"/>
      <c r="H31" s="29"/>
      <c r="I31" s="29"/>
    </row>
    <row r="32" spans="1:10" s="1" customFormat="1">
      <c r="A32" s="58"/>
      <c r="B32" s="480"/>
      <c r="C32" s="522" t="s">
        <v>337</v>
      </c>
      <c r="D32" s="63" t="s">
        <v>98</v>
      </c>
      <c r="E32" s="239">
        <f>E30*0.2</f>
        <v>54.050000000000011</v>
      </c>
      <c r="F32" s="29"/>
      <c r="G32" s="29"/>
      <c r="H32" s="29"/>
      <c r="I32" s="29"/>
    </row>
    <row r="33" spans="1:31" s="1" customFormat="1">
      <c r="A33" s="58"/>
      <c r="B33" s="480"/>
      <c r="C33" s="247" t="s">
        <v>579</v>
      </c>
      <c r="D33" s="63" t="s">
        <v>98</v>
      </c>
      <c r="E33" s="529">
        <f>E30*0.05</f>
        <v>13.512500000000003</v>
      </c>
      <c r="F33" s="89"/>
      <c r="G33" s="29"/>
      <c r="H33" s="29"/>
      <c r="I33" s="29"/>
    </row>
    <row r="34" spans="1:31" s="1" customFormat="1" ht="26.25">
      <c r="A34" s="58"/>
      <c r="B34" s="481"/>
      <c r="C34" s="245" t="s">
        <v>441</v>
      </c>
      <c r="D34" s="244"/>
      <c r="E34" s="246"/>
      <c r="F34" s="29"/>
      <c r="G34" s="29"/>
      <c r="H34" s="29"/>
      <c r="I34" s="29"/>
    </row>
    <row r="35" spans="1:31" s="1" customFormat="1">
      <c r="A35" s="58"/>
      <c r="B35" s="476" t="s">
        <v>42</v>
      </c>
      <c r="C35" s="248" t="s">
        <v>68</v>
      </c>
      <c r="D35" s="249" t="s">
        <v>99</v>
      </c>
      <c r="E35" s="239">
        <f>SO_02_KL1_zemní_práce!G119</f>
        <v>216.12</v>
      </c>
      <c r="F35" s="29"/>
      <c r="G35" s="58"/>
    </row>
    <row r="36" spans="1:31" s="1" customFormat="1">
      <c r="A36" s="58"/>
      <c r="B36" s="519" t="s">
        <v>69</v>
      </c>
      <c r="C36" s="248" t="s">
        <v>92</v>
      </c>
      <c r="D36" s="249" t="s">
        <v>99</v>
      </c>
      <c r="E36" s="472">
        <f>SO_02_KL1_zemní_práce!J119</f>
        <v>52.4</v>
      </c>
      <c r="F36" s="83"/>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row>
    <row r="37" spans="1:31" s="1" customFormat="1">
      <c r="A37" s="58"/>
      <c r="B37" s="504" t="s">
        <v>570</v>
      </c>
      <c r="C37" s="248" t="s">
        <v>571</v>
      </c>
      <c r="D37" s="208" t="s">
        <v>99</v>
      </c>
      <c r="E37" s="521">
        <f>SO_02_KL1_zemní_práce!G127</f>
        <v>45.120000000000005</v>
      </c>
      <c r="F37" s="509"/>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row>
    <row r="38" spans="1:31" s="1" customFormat="1">
      <c r="A38" s="58"/>
      <c r="B38" s="478" t="s">
        <v>52</v>
      </c>
      <c r="C38" s="240" t="s">
        <v>53</v>
      </c>
      <c r="D38" s="249" t="s">
        <v>58</v>
      </c>
      <c r="E38" s="239">
        <f>SO_02_KL1_zemní_práce!G152</f>
        <v>60.185000000000002</v>
      </c>
      <c r="F38" s="29"/>
      <c r="G38" s="29"/>
    </row>
    <row r="39" spans="1:31" s="1" customFormat="1">
      <c r="A39" s="58"/>
      <c r="B39" s="478" t="s">
        <v>44</v>
      </c>
      <c r="C39" s="240" t="s">
        <v>95</v>
      </c>
      <c r="D39" s="249" t="s">
        <v>58</v>
      </c>
      <c r="E39" s="239">
        <f>SO_02_KL1_zemní_práce!J152</f>
        <v>171.94</v>
      </c>
      <c r="F39" s="83"/>
      <c r="G39" s="58"/>
    </row>
    <row r="40" spans="1:31" s="1" customFormat="1">
      <c r="A40" s="58"/>
      <c r="B40" s="478" t="s">
        <v>45</v>
      </c>
      <c r="C40" s="248" t="s">
        <v>5</v>
      </c>
      <c r="D40" s="249" t="s">
        <v>58</v>
      </c>
      <c r="E40" s="239">
        <f>SO_02_KL1_zemní_práce!G179</f>
        <v>60.185000000000002</v>
      </c>
      <c r="F40" s="83"/>
      <c r="G40" s="58"/>
    </row>
    <row r="41" spans="1:31" s="1" customFormat="1">
      <c r="A41" s="58"/>
      <c r="B41" s="478" t="s">
        <v>46</v>
      </c>
      <c r="C41" s="248" t="s">
        <v>582</v>
      </c>
      <c r="D41" s="249" t="s">
        <v>58</v>
      </c>
      <c r="E41" s="531">
        <f>SO_02_KL1_zemní_práce!J179</f>
        <v>174.2</v>
      </c>
      <c r="F41" s="367"/>
      <c r="G41" s="58"/>
    </row>
    <row r="42" spans="1:31" s="1" customFormat="1">
      <c r="A42" s="58"/>
      <c r="B42" s="478" t="s">
        <v>548</v>
      </c>
      <c r="C42" s="248" t="s">
        <v>442</v>
      </c>
      <c r="D42" s="249" t="s">
        <v>58</v>
      </c>
      <c r="E42" s="278">
        <v>3.2</v>
      </c>
      <c r="F42" s="367"/>
      <c r="G42" s="58"/>
    </row>
    <row r="43" spans="1:31" s="1" customFormat="1" ht="38.25">
      <c r="A43" s="58"/>
      <c r="B43" s="478" t="s">
        <v>549</v>
      </c>
      <c r="C43" s="328" t="s">
        <v>443</v>
      </c>
      <c r="D43" s="208" t="s">
        <v>380</v>
      </c>
      <c r="E43" s="278"/>
      <c r="F43" s="368"/>
      <c r="G43" s="58"/>
    </row>
    <row r="44" spans="1:31" s="1" customFormat="1" ht="25.5">
      <c r="A44" s="58"/>
      <c r="B44" s="478" t="s">
        <v>550</v>
      </c>
      <c r="C44" s="328" t="s">
        <v>444</v>
      </c>
      <c r="D44" s="267" t="s">
        <v>380</v>
      </c>
      <c r="E44" s="332"/>
      <c r="F44" s="368"/>
      <c r="G44" s="58"/>
    </row>
    <row r="45" spans="1:31" s="1" customFormat="1">
      <c r="A45" s="58"/>
      <c r="B45" s="482"/>
      <c r="C45" s="251"/>
      <c r="D45" s="251"/>
      <c r="E45" s="239"/>
      <c r="F45" s="58"/>
      <c r="G45" s="58"/>
    </row>
    <row r="46" spans="1:31" s="1" customFormat="1">
      <c r="A46" s="58"/>
      <c r="B46" s="483" t="s">
        <v>551</v>
      </c>
      <c r="C46" s="276" t="s">
        <v>48</v>
      </c>
      <c r="D46" s="285"/>
      <c r="E46" s="286"/>
      <c r="F46" s="58"/>
      <c r="G46" s="58"/>
    </row>
    <row r="47" spans="1:31" s="1" customFormat="1">
      <c r="A47" s="58"/>
      <c r="B47" s="478"/>
      <c r="C47" s="345" t="s">
        <v>62</v>
      </c>
      <c r="D47" s="249"/>
      <c r="E47" s="239"/>
      <c r="F47" s="58"/>
      <c r="G47" s="58"/>
    </row>
    <row r="48" spans="1:31" s="1" customFormat="1" ht="15.75">
      <c r="A48" s="58"/>
      <c r="B48" s="478" t="s">
        <v>49</v>
      </c>
      <c r="C48" s="248" t="s">
        <v>115</v>
      </c>
      <c r="D48" s="249" t="s">
        <v>341</v>
      </c>
      <c r="E48" s="472">
        <f>'SO_02 KL2_konstrukce'!G56</f>
        <v>92.770499999999998</v>
      </c>
      <c r="F48" s="224"/>
      <c r="G48" s="58"/>
    </row>
    <row r="49" spans="1:15" s="1" customFormat="1" ht="15.75">
      <c r="A49" s="58"/>
      <c r="B49" s="478" t="s">
        <v>50</v>
      </c>
      <c r="C49" s="471" t="s">
        <v>55</v>
      </c>
      <c r="D49" s="249" t="s">
        <v>341</v>
      </c>
      <c r="E49" s="472">
        <f>'SO_02 KL2_konstrukce'!I213</f>
        <v>537.33249999999998</v>
      </c>
      <c r="F49" s="58"/>
      <c r="G49" s="58"/>
      <c r="H49" s="58"/>
    </row>
    <row r="50" spans="1:15" s="1" customFormat="1">
      <c r="A50" s="58"/>
      <c r="B50" s="484"/>
      <c r="C50" s="248"/>
      <c r="D50" s="252"/>
      <c r="E50" s="239"/>
      <c r="F50" s="58"/>
      <c r="G50" s="58"/>
    </row>
    <row r="51" spans="1:15">
      <c r="A51" s="58"/>
      <c r="B51" s="485" t="s">
        <v>552</v>
      </c>
      <c r="C51" s="287" t="s">
        <v>136</v>
      </c>
      <c r="D51" s="288"/>
      <c r="E51" s="275"/>
    </row>
    <row r="52" spans="1:15">
      <c r="A52" s="58"/>
      <c r="B52" s="486" t="s">
        <v>144</v>
      </c>
      <c r="C52" s="136" t="s">
        <v>145</v>
      </c>
      <c r="D52" s="249" t="s">
        <v>58</v>
      </c>
      <c r="E52" s="255">
        <f>'SO_02 KL2_konstrukce'!F271</f>
        <v>467.36999999999995</v>
      </c>
    </row>
    <row r="53" spans="1:15" s="1" customFormat="1">
      <c r="A53" s="58"/>
      <c r="B53" s="486" t="s">
        <v>146</v>
      </c>
      <c r="C53" s="136" t="s">
        <v>166</v>
      </c>
      <c r="D53" s="249" t="s">
        <v>58</v>
      </c>
      <c r="E53" s="256">
        <f>'SO_02 KL2_konstrukce'!F323</f>
        <v>420.46000000000004</v>
      </c>
      <c r="F53" s="58"/>
      <c r="G53" s="58"/>
    </row>
    <row r="54" spans="1:15" s="1" customFormat="1">
      <c r="A54" s="58"/>
      <c r="B54" s="487" t="s">
        <v>162</v>
      </c>
      <c r="C54" s="136" t="s">
        <v>163</v>
      </c>
      <c r="D54" s="249" t="s">
        <v>58</v>
      </c>
      <c r="E54" s="256">
        <f>'SO_02 KL2_konstrukce'!F326</f>
        <v>4.25</v>
      </c>
      <c r="F54" s="58"/>
      <c r="G54" s="58"/>
    </row>
    <row r="55" spans="1:15" s="1" customFormat="1">
      <c r="A55" s="58"/>
      <c r="B55" s="487"/>
      <c r="C55" s="136"/>
      <c r="D55" s="253"/>
      <c r="E55" s="254"/>
      <c r="F55" s="58"/>
      <c r="G55" s="58"/>
    </row>
    <row r="56" spans="1:15">
      <c r="A56" s="58"/>
      <c r="B56" s="488" t="s">
        <v>553</v>
      </c>
      <c r="C56" s="287" t="s">
        <v>306</v>
      </c>
      <c r="D56" s="287"/>
      <c r="E56" s="289"/>
    </row>
    <row r="57" spans="1:15" s="1" customFormat="1">
      <c r="A57" s="58"/>
      <c r="B57" s="480" t="s">
        <v>301</v>
      </c>
      <c r="C57" s="253" t="s">
        <v>305</v>
      </c>
      <c r="D57" s="249" t="s">
        <v>58</v>
      </c>
      <c r="E57" s="256">
        <f>'SO_02 KL2_konstrukce'!F332</f>
        <v>887.82999999999993</v>
      </c>
      <c r="F57" s="58"/>
      <c r="G57" s="58"/>
    </row>
    <row r="58" spans="1:15" ht="15.75">
      <c r="A58" s="58"/>
      <c r="B58" s="480" t="s">
        <v>303</v>
      </c>
      <c r="C58" s="253" t="s">
        <v>317</v>
      </c>
      <c r="D58" s="249" t="s">
        <v>341</v>
      </c>
      <c r="E58" s="257">
        <f>'SO_02 KL2_konstrukce'!F333</f>
        <v>2.76</v>
      </c>
    </row>
    <row r="59" spans="1:15" s="1" customFormat="1">
      <c r="A59" s="58"/>
      <c r="B59" s="489"/>
      <c r="C59" s="253"/>
      <c r="D59" s="253"/>
      <c r="E59" s="254"/>
      <c r="F59" s="58"/>
      <c r="G59" s="58"/>
    </row>
    <row r="60" spans="1:15">
      <c r="A60" s="58"/>
      <c r="B60" s="477" t="s">
        <v>140</v>
      </c>
      <c r="C60" s="276" t="s">
        <v>191</v>
      </c>
      <c r="D60" s="274"/>
      <c r="E60" s="275"/>
    </row>
    <row r="61" spans="1:15">
      <c r="A61" s="58"/>
      <c r="B61" s="480" t="s">
        <v>186</v>
      </c>
      <c r="C61" s="498" t="s">
        <v>342</v>
      </c>
      <c r="D61" s="277" t="s">
        <v>32</v>
      </c>
      <c r="E61" s="278">
        <f>'SO_02 KL2_konstrukce'!F339</f>
        <v>22567.964999999997</v>
      </c>
    </row>
    <row r="62" spans="1:15">
      <c r="A62" s="58"/>
      <c r="B62" s="480" t="s">
        <v>188</v>
      </c>
      <c r="C62" s="499" t="s">
        <v>343</v>
      </c>
      <c r="D62" s="277" t="s">
        <v>32</v>
      </c>
      <c r="E62" s="278">
        <f>'SO_02 KL2_konstrukce'!F340</f>
        <v>41911.934999999998</v>
      </c>
    </row>
    <row r="63" spans="1:15">
      <c r="B63" s="503"/>
      <c r="C63" s="500"/>
      <c r="D63" s="253"/>
      <c r="E63" s="254"/>
      <c r="F63" s="302"/>
      <c r="G63" s="302"/>
      <c r="H63" s="347"/>
      <c r="I63" s="347"/>
      <c r="J63" s="347"/>
      <c r="K63" s="347"/>
      <c r="L63" s="347"/>
      <c r="M63" s="347"/>
      <c r="N63" s="347"/>
      <c r="O63" s="347"/>
    </row>
    <row r="64" spans="1:15">
      <c r="B64" s="488">
        <v>7</v>
      </c>
      <c r="C64" s="276" t="s">
        <v>345</v>
      </c>
      <c r="D64" s="287"/>
      <c r="E64" s="289"/>
      <c r="F64" s="346"/>
      <c r="G64" s="346"/>
      <c r="H64" s="298"/>
      <c r="I64" s="298"/>
      <c r="J64" s="347"/>
      <c r="K64" s="347"/>
      <c r="L64" s="347"/>
      <c r="M64" s="347"/>
      <c r="N64" s="347"/>
      <c r="O64" s="347"/>
    </row>
    <row r="65" spans="1:15" ht="15.75">
      <c r="B65" s="480" t="s">
        <v>193</v>
      </c>
      <c r="C65" s="253" t="s">
        <v>346</v>
      </c>
      <c r="D65" s="333" t="s">
        <v>366</v>
      </c>
      <c r="E65" s="334">
        <f>'SO_02 KL2_konstrukce'!F347</f>
        <v>225.60000000000002</v>
      </c>
      <c r="F65" s="141"/>
      <c r="G65" s="302"/>
      <c r="H65" s="347"/>
      <c r="I65" s="347"/>
      <c r="J65" s="347"/>
      <c r="K65" s="347"/>
      <c r="L65" s="347"/>
      <c r="M65" s="347"/>
      <c r="N65" s="347"/>
      <c r="O65" s="347"/>
    </row>
    <row r="66" spans="1:15">
      <c r="B66" s="532"/>
      <c r="C66" s="252"/>
      <c r="D66" s="335" t="s">
        <v>32</v>
      </c>
      <c r="E66" s="533">
        <f>'SO_02 KL2_konstrukce'!F348</f>
        <v>27478.080000000002</v>
      </c>
      <c r="F66" s="302"/>
      <c r="G66" s="302"/>
      <c r="H66" s="347"/>
      <c r="I66" s="347"/>
      <c r="J66" s="347"/>
      <c r="K66" s="347"/>
      <c r="L66" s="347"/>
      <c r="M66" s="347"/>
      <c r="N66" s="347"/>
      <c r="O66" s="347"/>
    </row>
    <row r="67" spans="1:15" ht="15.75">
      <c r="B67" s="480" t="s">
        <v>196</v>
      </c>
      <c r="C67" s="252" t="s">
        <v>207</v>
      </c>
      <c r="D67" s="333" t="s">
        <v>366</v>
      </c>
      <c r="E67" s="534">
        <f>E65</f>
        <v>225.60000000000002</v>
      </c>
      <c r="F67" s="302"/>
      <c r="G67" s="302"/>
      <c r="H67" s="347"/>
      <c r="I67" s="347"/>
      <c r="J67" s="347"/>
      <c r="K67" s="347"/>
      <c r="L67" s="347"/>
      <c r="M67" s="347"/>
      <c r="N67" s="347"/>
      <c r="O67" s="347"/>
    </row>
    <row r="68" spans="1:15" ht="25.5">
      <c r="B68" s="480" t="s">
        <v>197</v>
      </c>
      <c r="C68" s="535" t="s">
        <v>583</v>
      </c>
      <c r="D68" s="322" t="s">
        <v>32</v>
      </c>
      <c r="E68" s="323">
        <f>'SO_02 KL2_konstrukce'!H365</f>
        <v>1206.6959999999999</v>
      </c>
      <c r="F68" s="348"/>
      <c r="G68" s="348"/>
      <c r="H68" s="349"/>
      <c r="I68" s="349"/>
      <c r="J68" s="347"/>
      <c r="K68" s="347"/>
      <c r="L68" s="347"/>
      <c r="M68" s="347"/>
      <c r="N68" s="347"/>
      <c r="O68" s="347"/>
    </row>
    <row r="69" spans="1:15" s="1" customFormat="1" ht="15.75">
      <c r="B69" s="480" t="s">
        <v>554</v>
      </c>
      <c r="C69" s="535" t="s">
        <v>428</v>
      </c>
      <c r="D69" s="333" t="s">
        <v>366</v>
      </c>
      <c r="E69" s="334">
        <f>'SO_02 KL2_konstrukce'!F352</f>
        <v>225.60000000000002</v>
      </c>
      <c r="F69" s="348"/>
      <c r="G69" s="348"/>
      <c r="H69" s="349"/>
      <c r="I69" s="349"/>
      <c r="J69" s="347"/>
      <c r="K69" s="347"/>
      <c r="L69" s="347"/>
      <c r="M69" s="347"/>
      <c r="N69" s="347"/>
      <c r="O69" s="347"/>
    </row>
    <row r="70" spans="1:15" s="1" customFormat="1">
      <c r="B70" s="487"/>
      <c r="C70" s="250"/>
      <c r="D70" s="290"/>
      <c r="E70" s="291"/>
      <c r="F70" s="224"/>
      <c r="G70" s="224"/>
    </row>
    <row r="71" spans="1:15">
      <c r="A71" s="58"/>
      <c r="B71" s="488">
        <v>8</v>
      </c>
      <c r="C71" s="287" t="s">
        <v>201</v>
      </c>
      <c r="D71" s="287"/>
      <c r="E71" s="289"/>
    </row>
    <row r="72" spans="1:15" s="1" customFormat="1">
      <c r="A72" s="58"/>
      <c r="B72" s="490"/>
      <c r="C72" s="292" t="s">
        <v>62</v>
      </c>
      <c r="D72" s="258"/>
      <c r="E72" s="259"/>
      <c r="F72" s="58"/>
      <c r="G72" s="58"/>
    </row>
    <row r="73" spans="1:15" ht="42" customHeight="1">
      <c r="A73" s="58"/>
      <c r="B73" s="491" t="s">
        <v>209</v>
      </c>
      <c r="C73" s="260" t="s">
        <v>318</v>
      </c>
      <c r="D73" s="261" t="s">
        <v>341</v>
      </c>
      <c r="E73" s="262">
        <f>'SO_02 KL2_konstrukce'!F385</f>
        <v>45.24</v>
      </c>
      <c r="F73" s="205"/>
      <c r="G73" s="205"/>
      <c r="H73" s="206"/>
      <c r="I73" s="47"/>
    </row>
    <row r="74" spans="1:15" ht="66" customHeight="1">
      <c r="A74" s="58"/>
      <c r="B74" s="492"/>
      <c r="C74" s="263" t="s">
        <v>367</v>
      </c>
      <c r="D74" s="264"/>
      <c r="E74" s="265"/>
      <c r="F74" s="207"/>
      <c r="G74" s="207"/>
      <c r="H74" s="207"/>
    </row>
    <row r="75" spans="1:15">
      <c r="A75" s="58"/>
      <c r="B75" s="476" t="s">
        <v>222</v>
      </c>
      <c r="C75" s="266" t="s">
        <v>223</v>
      </c>
      <c r="D75" s="267" t="s">
        <v>341</v>
      </c>
      <c r="E75" s="268">
        <f>'SO_02 KL2_konstrukce'!G392</f>
        <v>14.450000000000001</v>
      </c>
      <c r="F75" s="180"/>
    </row>
    <row r="76" spans="1:15">
      <c r="A76" s="58"/>
      <c r="B76" s="476" t="s">
        <v>228</v>
      </c>
      <c r="C76" s="269" t="s">
        <v>229</v>
      </c>
      <c r="D76" s="249" t="s">
        <v>58</v>
      </c>
      <c r="E76" s="255">
        <f>'SO_02 KL2_konstrukce'!G399</f>
        <v>40.799999999999997</v>
      </c>
    </row>
    <row r="77" spans="1:15" s="1" customFormat="1" ht="66.75" customHeight="1">
      <c r="A77" s="58"/>
      <c r="B77" s="478" t="s">
        <v>235</v>
      </c>
      <c r="C77" s="536" t="s">
        <v>349</v>
      </c>
      <c r="D77" s="326" t="s">
        <v>32</v>
      </c>
      <c r="E77" s="537">
        <f>'SO_02 KL2_konstrukce'!G428</f>
        <v>435.00959999999998</v>
      </c>
      <c r="F77" s="348"/>
      <c r="G77" s="302"/>
      <c r="H77" s="347"/>
      <c r="I77" s="347"/>
      <c r="J77" s="347"/>
      <c r="K77" s="347"/>
      <c r="L77" s="347"/>
      <c r="M77" s="347"/>
      <c r="N77" s="347"/>
      <c r="O77" s="347"/>
    </row>
    <row r="78" spans="1:15" s="1" customFormat="1" ht="26.25">
      <c r="A78" s="58"/>
      <c r="B78" s="493" t="s">
        <v>249</v>
      </c>
      <c r="C78" s="241" t="s">
        <v>351</v>
      </c>
      <c r="D78" s="324" t="s">
        <v>6</v>
      </c>
      <c r="E78" s="270">
        <f>'SO_02 KL2_konstrukce'!F433</f>
        <v>61.2</v>
      </c>
      <c r="F78" s="348"/>
      <c r="G78" s="302"/>
      <c r="H78" s="347"/>
      <c r="I78" s="347"/>
      <c r="J78" s="347"/>
      <c r="K78" s="347"/>
      <c r="L78" s="347"/>
      <c r="M78" s="347"/>
      <c r="N78" s="347"/>
      <c r="O78" s="347"/>
    </row>
    <row r="79" spans="1:15" s="1" customFormat="1" ht="51">
      <c r="A79" s="58"/>
      <c r="B79" s="478" t="s">
        <v>355</v>
      </c>
      <c r="C79" s="328" t="s">
        <v>584</v>
      </c>
      <c r="D79" s="208" t="s">
        <v>341</v>
      </c>
      <c r="E79" s="343">
        <f>'SO_02 KL2_konstrukce'!G447</f>
        <v>25.229999999999997</v>
      </c>
      <c r="F79" s="348"/>
      <c r="G79" s="302"/>
      <c r="H79" s="347"/>
      <c r="I79" s="347"/>
      <c r="J79" s="347"/>
      <c r="K79" s="347"/>
      <c r="L79" s="347"/>
      <c r="M79" s="347"/>
      <c r="N79" s="347"/>
      <c r="O79" s="347"/>
    </row>
    <row r="80" spans="1:15" s="1" customFormat="1" ht="38.25">
      <c r="A80" s="58"/>
      <c r="B80" s="478" t="s">
        <v>357</v>
      </c>
      <c r="C80" s="328" t="s">
        <v>356</v>
      </c>
      <c r="D80" s="267" t="s">
        <v>341</v>
      </c>
      <c r="E80" s="537">
        <f>'SO_02 KL2_konstrukce'!G456</f>
        <v>3.0940000000000003</v>
      </c>
      <c r="F80" s="348"/>
      <c r="G80" s="346"/>
      <c r="H80" s="298"/>
      <c r="I80" s="298"/>
      <c r="J80" s="347"/>
      <c r="K80" s="347"/>
      <c r="L80" s="347"/>
      <c r="M80" s="347"/>
      <c r="N80" s="347"/>
      <c r="O80" s="347"/>
    </row>
    <row r="81" spans="1:15" s="1" customFormat="1">
      <c r="A81" s="58"/>
      <c r="B81" s="476"/>
      <c r="C81" s="271"/>
      <c r="D81" s="325"/>
      <c r="E81" s="255"/>
      <c r="F81" s="346"/>
      <c r="G81" s="346"/>
      <c r="H81" s="298"/>
      <c r="I81" s="298"/>
      <c r="J81" s="347"/>
      <c r="K81" s="347"/>
      <c r="L81" s="347"/>
      <c r="M81" s="347"/>
      <c r="N81" s="347"/>
      <c r="O81" s="347"/>
    </row>
    <row r="82" spans="1:15">
      <c r="A82" s="58"/>
      <c r="B82" s="485" t="s">
        <v>555</v>
      </c>
      <c r="C82" s="287" t="s">
        <v>365</v>
      </c>
      <c r="D82" s="293"/>
      <c r="E82" s="289"/>
      <c r="F82" s="302"/>
      <c r="G82" s="302"/>
      <c r="H82" s="347"/>
      <c r="I82" s="350"/>
      <c r="J82" s="347"/>
      <c r="K82" s="347"/>
      <c r="L82" s="347"/>
      <c r="M82" s="347"/>
      <c r="N82" s="347"/>
      <c r="O82" s="347"/>
    </row>
    <row r="83" spans="1:15" ht="51">
      <c r="A83" s="58"/>
      <c r="B83" s="478" t="s">
        <v>260</v>
      </c>
      <c r="C83" s="328" t="s">
        <v>381</v>
      </c>
      <c r="D83" s="209" t="s">
        <v>32</v>
      </c>
      <c r="E83" s="337">
        <f>'SO_02 KL2_konstrukce'!E476</f>
        <v>125.438</v>
      </c>
      <c r="F83" s="348"/>
      <c r="G83" s="302"/>
      <c r="H83" s="347"/>
      <c r="I83" s="347"/>
      <c r="J83" s="347"/>
      <c r="K83" s="347"/>
      <c r="L83" s="347"/>
      <c r="M83" s="347"/>
      <c r="N83" s="347"/>
      <c r="O83" s="347"/>
    </row>
    <row r="84" spans="1:15" s="1" customFormat="1">
      <c r="A84" s="58"/>
      <c r="B84" s="478" t="s">
        <v>267</v>
      </c>
      <c r="C84" s="328" t="s">
        <v>389</v>
      </c>
      <c r="D84" s="209"/>
      <c r="E84" s="337"/>
      <c r="F84" s="348"/>
      <c r="G84" s="302"/>
      <c r="H84" s="347"/>
      <c r="I84" s="347"/>
      <c r="J84" s="347"/>
      <c r="K84" s="347"/>
      <c r="L84" s="347"/>
      <c r="M84" s="347"/>
      <c r="N84" s="347"/>
      <c r="O84" s="347"/>
    </row>
    <row r="85" spans="1:15" ht="66.75" customHeight="1">
      <c r="A85" s="58"/>
      <c r="B85" s="493" t="s">
        <v>268</v>
      </c>
      <c r="C85" s="359" t="s">
        <v>585</v>
      </c>
      <c r="D85" s="208" t="s">
        <v>6</v>
      </c>
      <c r="E85" s="538">
        <f>'SO_02 KL2_konstrukce'!F490</f>
        <v>71.52</v>
      </c>
      <c r="F85" s="42"/>
      <c r="G85" s="111"/>
      <c r="H85" s="111"/>
      <c r="I85" s="197"/>
      <c r="J85" s="87"/>
      <c r="K85" s="87"/>
      <c r="L85" s="12"/>
      <c r="M85" s="195"/>
    </row>
    <row r="86" spans="1:15" ht="76.5">
      <c r="A86" s="58"/>
      <c r="B86" s="501" t="s">
        <v>556</v>
      </c>
      <c r="C86" s="359" t="s">
        <v>586</v>
      </c>
      <c r="D86" s="214" t="s">
        <v>6</v>
      </c>
      <c r="E86" s="538">
        <f>'SO_02 KL2_konstrukce'!F508</f>
        <v>253.31999999999994</v>
      </c>
      <c r="F86" s="112"/>
      <c r="G86" s="111"/>
    </row>
    <row r="87" spans="1:15" s="1" customFormat="1" ht="38.25">
      <c r="A87" s="58"/>
      <c r="B87" s="504" t="s">
        <v>557</v>
      </c>
      <c r="C87" s="359" t="s">
        <v>587</v>
      </c>
      <c r="D87" s="214" t="s">
        <v>6</v>
      </c>
      <c r="E87" s="538">
        <f>'SO_02 KL2_konstrukce'!E515</f>
        <v>34.269999999999996</v>
      </c>
      <c r="F87" s="112"/>
      <c r="G87" s="111"/>
    </row>
    <row r="88" spans="1:15" ht="25.5">
      <c r="A88" s="58"/>
      <c r="B88" s="504" t="s">
        <v>272</v>
      </c>
      <c r="C88" s="359" t="s">
        <v>575</v>
      </c>
      <c r="D88" s="208" t="s">
        <v>58</v>
      </c>
      <c r="E88" s="221">
        <f>'SO_02 KL2_konstrukce'!E519</f>
        <v>5</v>
      </c>
      <c r="F88" s="647"/>
      <c r="G88" s="355"/>
      <c r="H88" s="41"/>
    </row>
    <row r="89" spans="1:15" ht="26.25">
      <c r="A89" s="58"/>
      <c r="B89" s="501" t="s">
        <v>273</v>
      </c>
      <c r="C89" s="506" t="s">
        <v>576</v>
      </c>
      <c r="D89" s="214" t="s">
        <v>6</v>
      </c>
      <c r="E89" s="221">
        <f>'SO_02 KL2_konstrukce'!E522</f>
        <v>3</v>
      </c>
      <c r="F89" s="647"/>
      <c r="G89" s="355"/>
      <c r="H89" s="111"/>
      <c r="I89" s="197"/>
    </row>
    <row r="90" spans="1:15" ht="105" customHeight="1">
      <c r="A90" s="58"/>
      <c r="B90" s="494" t="s">
        <v>274</v>
      </c>
      <c r="C90" s="328" t="s">
        <v>386</v>
      </c>
      <c r="D90" s="505" t="s">
        <v>6</v>
      </c>
      <c r="E90" s="219">
        <f>'SO_02 KL2_konstrukce'!G535</f>
        <v>66</v>
      </c>
      <c r="F90" s="227"/>
      <c r="G90" s="111"/>
      <c r="H90" s="111"/>
      <c r="I90" s="197"/>
    </row>
    <row r="91" spans="1:15" ht="64.5">
      <c r="A91" s="58"/>
      <c r="B91" s="495" t="s">
        <v>281</v>
      </c>
      <c r="C91" s="507" t="s">
        <v>387</v>
      </c>
      <c r="D91" s="210" t="s">
        <v>25</v>
      </c>
      <c r="E91" s="220">
        <f>'SO_02 KL2_konstrukce'!G539</f>
        <v>2</v>
      </c>
      <c r="F91" s="227"/>
      <c r="G91" s="111"/>
      <c r="H91" s="111"/>
      <c r="I91" s="197"/>
    </row>
    <row r="92" spans="1:15" ht="25.5">
      <c r="A92" s="58"/>
      <c r="B92" s="493" t="s">
        <v>289</v>
      </c>
      <c r="C92" s="272" t="s">
        <v>588</v>
      </c>
      <c r="D92" s="209" t="s">
        <v>25</v>
      </c>
      <c r="E92" s="218">
        <v>1</v>
      </c>
      <c r="F92" s="227"/>
      <c r="G92" s="111"/>
      <c r="H92" s="58"/>
    </row>
    <row r="93" spans="1:15" ht="140.25">
      <c r="A93" s="58"/>
      <c r="B93" s="478" t="s">
        <v>434</v>
      </c>
      <c r="C93" s="359" t="s">
        <v>433</v>
      </c>
      <c r="D93" s="214" t="s">
        <v>6</v>
      </c>
      <c r="E93" s="291">
        <f>'SO_02 KL2_konstrukce'!C547</f>
        <v>8</v>
      </c>
      <c r="F93" s="339"/>
      <c r="G93" s="355"/>
    </row>
    <row r="94" spans="1:15" s="1" customFormat="1" ht="127.5">
      <c r="A94" s="58"/>
      <c r="B94" s="478" t="s">
        <v>436</v>
      </c>
      <c r="C94" s="359" t="s">
        <v>589</v>
      </c>
      <c r="D94" s="214" t="s">
        <v>6</v>
      </c>
      <c r="E94" s="539">
        <f>'SO_02 KL2_konstrukce'!C550</f>
        <v>2.5</v>
      </c>
      <c r="F94" s="339"/>
      <c r="G94" s="58"/>
    </row>
    <row r="95" spans="1:15" ht="33.75" customHeight="1">
      <c r="A95" s="58"/>
      <c r="B95" s="478" t="s">
        <v>431</v>
      </c>
      <c r="C95" s="359" t="s">
        <v>432</v>
      </c>
      <c r="D95" s="214" t="s">
        <v>25</v>
      </c>
      <c r="E95" s="221">
        <f>'SO_02 KL2_konstrukce'!G554</f>
        <v>1</v>
      </c>
      <c r="F95" s="339"/>
      <c r="G95" s="355"/>
      <c r="H95" s="111"/>
    </row>
    <row r="96" spans="1:15" s="1" customFormat="1" ht="33.75" customHeight="1">
      <c r="A96" s="58"/>
      <c r="B96" s="478" t="s">
        <v>558</v>
      </c>
      <c r="C96" s="359" t="s">
        <v>590</v>
      </c>
      <c r="D96" s="214" t="s">
        <v>25</v>
      </c>
      <c r="E96" s="221">
        <v>2</v>
      </c>
      <c r="F96" s="339"/>
      <c r="G96" s="111"/>
      <c r="H96" s="111"/>
    </row>
    <row r="97" spans="1:9" s="1" customFormat="1" ht="57" customHeight="1">
      <c r="A97" s="58"/>
      <c r="B97" s="478" t="s">
        <v>559</v>
      </c>
      <c r="C97" s="359" t="s">
        <v>591</v>
      </c>
      <c r="D97" s="214" t="s">
        <v>25</v>
      </c>
      <c r="E97" s="221">
        <v>1</v>
      </c>
      <c r="F97" s="339"/>
      <c r="G97" s="111"/>
      <c r="H97" s="111"/>
    </row>
    <row r="98" spans="1:9" ht="38.25">
      <c r="A98" s="58"/>
      <c r="B98" s="478" t="s">
        <v>293</v>
      </c>
      <c r="C98" s="328" t="s">
        <v>392</v>
      </c>
      <c r="D98" s="209" t="s">
        <v>25</v>
      </c>
      <c r="E98" s="218">
        <f>'SO_02 KL2_konstrukce'!G557</f>
        <v>16</v>
      </c>
      <c r="F98" s="339"/>
      <c r="H98" s="58"/>
      <c r="I98" s="58"/>
    </row>
    <row r="99" spans="1:9">
      <c r="A99" s="58"/>
      <c r="B99" s="496" t="s">
        <v>294</v>
      </c>
      <c r="C99" s="360" t="s">
        <v>389</v>
      </c>
      <c r="D99" s="208"/>
      <c r="E99" s="361"/>
      <c r="F99" s="362"/>
      <c r="G99" s="196"/>
      <c r="H99" s="196"/>
      <c r="I99" s="211"/>
    </row>
    <row r="100" spans="1:9">
      <c r="A100" s="58"/>
      <c r="B100" s="478" t="s">
        <v>307</v>
      </c>
      <c r="C100" s="273" t="s">
        <v>440</v>
      </c>
      <c r="D100" s="214" t="s">
        <v>6</v>
      </c>
      <c r="E100" s="221">
        <f>'SO_02 KL2_konstrukce'!G563</f>
        <v>152.25</v>
      </c>
      <c r="F100" s="339"/>
    </row>
    <row r="101" spans="1:9">
      <c r="A101" s="58"/>
      <c r="B101" s="478" t="s">
        <v>310</v>
      </c>
      <c r="C101" s="273" t="s">
        <v>439</v>
      </c>
      <c r="D101" s="214" t="s">
        <v>6</v>
      </c>
      <c r="E101" s="221">
        <f>'SO_02 KL2_konstrukce'!G565</f>
        <v>190</v>
      </c>
      <c r="F101" s="339"/>
    </row>
    <row r="102" spans="1:9" ht="63.75" customHeight="1">
      <c r="A102" s="58"/>
      <c r="B102" s="478" t="s">
        <v>312</v>
      </c>
      <c r="C102" s="351" t="s">
        <v>430</v>
      </c>
      <c r="D102" s="352" t="s">
        <v>25</v>
      </c>
      <c r="E102" s="291">
        <v>2</v>
      </c>
      <c r="F102" s="339"/>
    </row>
    <row r="103" spans="1:9" s="1" customFormat="1" ht="75.75" customHeight="1">
      <c r="B103" s="478" t="s">
        <v>374</v>
      </c>
      <c r="C103" s="328" t="s">
        <v>592</v>
      </c>
      <c r="D103" s="208" t="s">
        <v>58</v>
      </c>
      <c r="E103" s="537">
        <f>'SO_02 KL2_konstrukce'!G582</f>
        <v>46.2</v>
      </c>
      <c r="F103" s="297"/>
      <c r="G103" s="111"/>
      <c r="H103" s="294"/>
    </row>
    <row r="104" spans="1:9" s="1" customFormat="1" ht="64.5">
      <c r="B104" s="478" t="s">
        <v>375</v>
      </c>
      <c r="C104" s="241" t="s">
        <v>593</v>
      </c>
      <c r="D104" s="208" t="s">
        <v>58</v>
      </c>
      <c r="E104" s="537">
        <f>'SO_02 KL2_konstrukce'!F590</f>
        <v>92.4</v>
      </c>
      <c r="F104" s="297"/>
      <c r="G104" s="111"/>
      <c r="H104" s="294"/>
    </row>
    <row r="105" spans="1:9" s="1" customFormat="1" ht="63.75">
      <c r="B105" s="478" t="s">
        <v>560</v>
      </c>
      <c r="C105" s="328" t="s">
        <v>594</v>
      </c>
      <c r="D105" s="209" t="s">
        <v>25</v>
      </c>
      <c r="E105" s="540">
        <v>1</v>
      </c>
      <c r="F105" s="297"/>
      <c r="G105" s="111"/>
      <c r="H105" s="294"/>
    </row>
    <row r="106" spans="1:9" s="1" customFormat="1" ht="76.5">
      <c r="B106" s="478" t="s">
        <v>561</v>
      </c>
      <c r="C106" s="328" t="s">
        <v>595</v>
      </c>
      <c r="D106" s="209" t="s">
        <v>25</v>
      </c>
      <c r="E106" s="540">
        <v>1</v>
      </c>
      <c r="F106" s="297"/>
      <c r="G106" s="111"/>
      <c r="H106" s="294"/>
    </row>
    <row r="107" spans="1:9" s="1" customFormat="1" ht="63.75">
      <c r="B107" s="478" t="s">
        <v>562</v>
      </c>
      <c r="C107" s="328" t="s">
        <v>596</v>
      </c>
      <c r="D107" s="209" t="s">
        <v>380</v>
      </c>
      <c r="E107" s="540">
        <v>1</v>
      </c>
      <c r="F107" s="297"/>
      <c r="G107" s="111"/>
      <c r="H107" s="294"/>
    </row>
    <row r="108" spans="1:9" s="1" customFormat="1">
      <c r="B108" s="497"/>
      <c r="C108" s="297"/>
      <c r="D108" s="190"/>
      <c r="E108" s="344"/>
      <c r="F108" s="112"/>
      <c r="G108" s="111"/>
      <c r="H108" s="294"/>
    </row>
    <row r="109" spans="1:9" s="1" customFormat="1">
      <c r="B109" s="485" t="s">
        <v>563</v>
      </c>
      <c r="C109" s="287" t="s">
        <v>344</v>
      </c>
      <c r="D109" s="293"/>
      <c r="E109" s="289"/>
      <c r="F109" s="112"/>
      <c r="G109" s="111"/>
      <c r="H109" s="294"/>
    </row>
    <row r="110" spans="1:9" s="1" customFormat="1" ht="38.25">
      <c r="B110" s="478" t="s">
        <v>564</v>
      </c>
      <c r="C110" s="328" t="s">
        <v>597</v>
      </c>
      <c r="D110" s="209" t="s">
        <v>6</v>
      </c>
      <c r="E110" s="540">
        <v>52</v>
      </c>
      <c r="F110" s="297"/>
      <c r="G110" s="111"/>
      <c r="H110" s="294"/>
    </row>
    <row r="111" spans="1:9" s="1" customFormat="1" ht="25.5">
      <c r="B111" s="478" t="s">
        <v>565</v>
      </c>
      <c r="C111" s="328" t="s">
        <v>598</v>
      </c>
      <c r="D111" s="209" t="s">
        <v>6</v>
      </c>
      <c r="E111" s="540">
        <v>5</v>
      </c>
      <c r="F111" s="297"/>
      <c r="G111" s="111"/>
      <c r="H111" s="294"/>
    </row>
    <row r="112" spans="1:9" s="1" customFormat="1" ht="63.75">
      <c r="B112" s="478" t="s">
        <v>566</v>
      </c>
      <c r="C112" s="328" t="s">
        <v>599</v>
      </c>
      <c r="D112" s="209" t="s">
        <v>25</v>
      </c>
      <c r="E112" s="540">
        <v>4</v>
      </c>
      <c r="F112" s="340"/>
      <c r="G112" s="111"/>
      <c r="H112" s="294"/>
    </row>
    <row r="113" spans="2:8" s="1" customFormat="1" ht="25.5">
      <c r="B113" s="478" t="s">
        <v>567</v>
      </c>
      <c r="C113" s="328" t="s">
        <v>600</v>
      </c>
      <c r="D113" s="209" t="s">
        <v>25</v>
      </c>
      <c r="E113" s="540">
        <v>4</v>
      </c>
      <c r="F113" s="297"/>
      <c r="G113" s="111"/>
      <c r="H113" s="294"/>
    </row>
    <row r="114" spans="2:8" s="1" customFormat="1" ht="25.5">
      <c r="B114" s="478" t="s">
        <v>393</v>
      </c>
      <c r="C114" s="328" t="s">
        <v>398</v>
      </c>
      <c r="D114" s="267" t="s">
        <v>341</v>
      </c>
      <c r="E114" s="540">
        <f>SO_02_KL1_zemní_práce!F196</f>
        <v>27.91</v>
      </c>
      <c r="F114" s="297"/>
      <c r="G114" s="111"/>
      <c r="H114" s="294"/>
    </row>
    <row r="115" spans="2:8" s="1" customFormat="1">
      <c r="B115" s="478" t="s">
        <v>406</v>
      </c>
      <c r="C115" s="328" t="s">
        <v>407</v>
      </c>
      <c r="D115" s="267" t="s">
        <v>341</v>
      </c>
      <c r="E115" s="521">
        <f>SO_02_KL1_zemní_práce!E203</f>
        <v>0.36700000000000005</v>
      </c>
      <c r="F115" s="297"/>
      <c r="G115" s="111"/>
      <c r="H115" s="294"/>
    </row>
    <row r="116" spans="2:8" s="1" customFormat="1">
      <c r="B116" s="478" t="s">
        <v>415</v>
      </c>
      <c r="C116" s="328" t="s">
        <v>414</v>
      </c>
      <c r="D116" s="267" t="s">
        <v>341</v>
      </c>
      <c r="E116" s="521">
        <f>SO_02_KL1_zemní_práce!D210</f>
        <v>0.51750000000000007</v>
      </c>
      <c r="F116" s="297"/>
      <c r="G116" s="111"/>
      <c r="H116" s="294"/>
    </row>
    <row r="117" spans="2:8" s="1" customFormat="1" ht="25.5">
      <c r="B117" s="478" t="s">
        <v>416</v>
      </c>
      <c r="C117" s="328" t="s">
        <v>601</v>
      </c>
      <c r="D117" s="267" t="s">
        <v>602</v>
      </c>
      <c r="E117" s="540">
        <f>SO_02_KL1_zemní_práce!D216</f>
        <v>3.42</v>
      </c>
      <c r="F117" s="297"/>
      <c r="G117" s="111"/>
      <c r="H117" s="296"/>
    </row>
    <row r="118" spans="2:8" s="1" customFormat="1" ht="25.5">
      <c r="B118" s="478" t="s">
        <v>417</v>
      </c>
      <c r="C118" s="328" t="s">
        <v>418</v>
      </c>
      <c r="D118" s="267" t="s">
        <v>602</v>
      </c>
      <c r="E118" s="540">
        <f>SO_02_KL1_zemní_práce!E219</f>
        <v>1.9</v>
      </c>
      <c r="F118" s="297"/>
      <c r="G118" s="111"/>
      <c r="H118" s="296"/>
    </row>
    <row r="119" spans="2:8" s="1" customFormat="1" ht="15.75" thickBot="1">
      <c r="B119" s="541" t="s">
        <v>419</v>
      </c>
      <c r="C119" s="542" t="s">
        <v>420</v>
      </c>
      <c r="D119" s="543" t="s">
        <v>602</v>
      </c>
      <c r="E119" s="544">
        <f>SO_02_KL1_zemní_práce!E229</f>
        <v>1.8</v>
      </c>
      <c r="F119" s="297"/>
      <c r="G119" s="111"/>
      <c r="H119" s="296"/>
    </row>
    <row r="120" spans="2:8" s="1" customFormat="1">
      <c r="B120" s="4"/>
      <c r="C120" s="340"/>
      <c r="D120" s="341"/>
      <c r="E120" s="342"/>
      <c r="F120" s="112"/>
      <c r="G120" s="111"/>
      <c r="H120" s="296"/>
    </row>
    <row r="121" spans="2:8" s="1" customFormat="1">
      <c r="B121" s="502"/>
      <c r="C121" s="340"/>
      <c r="D121" s="341"/>
      <c r="E121" s="342"/>
      <c r="F121" s="112"/>
      <c r="G121" s="111"/>
      <c r="H121" s="296"/>
    </row>
    <row r="122" spans="2:8" s="1" customFormat="1">
      <c r="B122" s="502"/>
      <c r="C122" s="340"/>
      <c r="D122" s="341"/>
      <c r="E122" s="342"/>
      <c r="F122" s="112"/>
      <c r="G122" s="111"/>
      <c r="H122" s="294"/>
    </row>
    <row r="123" spans="2:8">
      <c r="B123" s="502"/>
      <c r="C123" s="53"/>
      <c r="D123" s="151"/>
      <c r="E123" s="151"/>
      <c r="F123" s="151"/>
    </row>
    <row r="124" spans="2:8">
      <c r="B124" s="4"/>
      <c r="C124" s="53"/>
      <c r="D124" s="151"/>
      <c r="E124" s="151"/>
      <c r="F124" s="151"/>
    </row>
    <row r="125" spans="2:8">
      <c r="C125" s="53"/>
      <c r="D125" s="151"/>
      <c r="E125" s="151"/>
      <c r="F125" s="151"/>
    </row>
    <row r="126" spans="2:8">
      <c r="C126" s="53"/>
      <c r="D126" s="151"/>
      <c r="E126" s="151"/>
      <c r="F126" s="151"/>
    </row>
    <row r="127" spans="2:8">
      <c r="C127" s="53"/>
      <c r="D127" s="151"/>
      <c r="E127" s="151"/>
      <c r="F127" s="151"/>
    </row>
    <row r="128" spans="2:8">
      <c r="C128" s="53"/>
      <c r="D128" s="151"/>
      <c r="E128" s="151"/>
      <c r="F128" s="151"/>
    </row>
    <row r="129" spans="3:9">
      <c r="C129" s="53"/>
      <c r="D129" s="151"/>
      <c r="E129" s="151"/>
      <c r="F129" s="151"/>
    </row>
    <row r="130" spans="3:9">
      <c r="C130" s="53"/>
      <c r="D130" s="151"/>
      <c r="E130" s="151"/>
      <c r="F130" s="151"/>
    </row>
    <row r="131" spans="3:9">
      <c r="C131" s="53"/>
      <c r="D131" s="151"/>
      <c r="E131" s="151"/>
      <c r="F131" s="151"/>
    </row>
    <row r="132" spans="3:9">
      <c r="C132" s="53"/>
      <c r="D132" s="151"/>
      <c r="E132" s="151"/>
      <c r="F132" s="151"/>
    </row>
    <row r="133" spans="3:9">
      <c r="C133" s="53"/>
      <c r="G133" s="224"/>
      <c r="H133" s="3"/>
      <c r="I133" s="3"/>
    </row>
    <row r="137" spans="3:9">
      <c r="C137" s="228"/>
    </row>
  </sheetData>
  <pageMargins left="0.70866141732283472" right="0.70866141732283472" top="0.78740157480314965" bottom="0.78740157480314965" header="0.31496062992125984" footer="0.31496062992125984"/>
  <pageSetup paperSize="9" orientation="portrait" r:id="rId1"/>
  <headerFooter>
    <oddHeader>&amp;RVýkaz výměr SO 02</oddHeader>
    <oddFooter>&amp;L&amp;F&amp;C&amp;10&amp;A&amp;R&amp;10&amp;P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5"/>
  <sheetViews>
    <sheetView topLeftCell="A4" zoomScale="130" zoomScaleNormal="130" zoomScaleSheetLayoutView="100" workbookViewId="0">
      <selection activeCell="K17" sqref="K17"/>
    </sheetView>
  </sheetViews>
  <sheetFormatPr defaultRowHeight="15"/>
  <cols>
    <col min="1" max="1" width="6" customWidth="1"/>
    <col min="2" max="2" width="12.85546875" style="185" customWidth="1"/>
    <col min="3" max="3" width="12.42578125" style="12" customWidth="1"/>
    <col min="4" max="4" width="12.28515625" style="12" customWidth="1"/>
    <col min="5" max="5" width="11.140625" style="12" customWidth="1"/>
    <col min="6" max="7" width="8.7109375" style="12" customWidth="1"/>
    <col min="8" max="8" width="7.5703125" style="12" customWidth="1"/>
    <col min="9" max="9" width="6.85546875" style="12" customWidth="1"/>
    <col min="10" max="10" width="8.5703125" style="12" customWidth="1"/>
    <col min="11" max="11" width="7.7109375" customWidth="1"/>
    <col min="12" max="12" width="6.85546875" customWidth="1"/>
    <col min="13" max="14" width="8.42578125" customWidth="1"/>
    <col min="15" max="15" width="11.42578125" bestFit="1" customWidth="1"/>
    <col min="17" max="17" width="11.42578125" bestFit="1" customWidth="1"/>
    <col min="19" max="19" width="11.28515625" customWidth="1"/>
  </cols>
  <sheetData>
    <row r="1" spans="1:14" s="1" customFormat="1">
      <c r="A1" s="50"/>
      <c r="B1" s="129" t="s">
        <v>17</v>
      </c>
      <c r="C1" s="130"/>
      <c r="D1" s="12"/>
      <c r="E1" s="12"/>
      <c r="F1" s="12"/>
      <c r="G1" s="12"/>
      <c r="H1" s="12"/>
      <c r="I1" s="12"/>
      <c r="J1" s="12"/>
    </row>
    <row r="2" spans="1:14" s="1" customFormat="1">
      <c r="A2" s="50"/>
      <c r="B2" s="131" t="s">
        <v>16</v>
      </c>
      <c r="C2" s="130"/>
      <c r="D2" s="12"/>
      <c r="E2" s="12"/>
      <c r="F2" s="12"/>
      <c r="G2" s="12"/>
      <c r="H2" s="12"/>
      <c r="I2" s="12"/>
      <c r="J2" s="12"/>
    </row>
    <row r="3" spans="1:14" s="1" customFormat="1">
      <c r="A3" s="50"/>
      <c r="B3" s="132" t="s">
        <v>0</v>
      </c>
      <c r="C3" s="545"/>
      <c r="D3" s="12"/>
      <c r="E3" s="12"/>
      <c r="F3" s="12"/>
      <c r="G3" s="12"/>
      <c r="H3" s="12"/>
      <c r="I3" s="12"/>
      <c r="J3" s="12"/>
    </row>
    <row r="4" spans="1:14" s="1" customFormat="1">
      <c r="A4" s="50"/>
      <c r="B4" s="132" t="s">
        <v>1</v>
      </c>
      <c r="C4" s="545"/>
      <c r="D4" s="12"/>
      <c r="E4" s="12"/>
      <c r="F4" s="12"/>
      <c r="G4" s="12"/>
      <c r="H4" s="12"/>
      <c r="I4" s="12"/>
      <c r="J4" s="12"/>
    </row>
    <row r="5" spans="1:14" s="1" customFormat="1">
      <c r="A5" s="50"/>
      <c r="B5" s="546" t="s">
        <v>577</v>
      </c>
      <c r="C5" s="545"/>
      <c r="D5" s="12"/>
      <c r="E5" s="12"/>
      <c r="F5" s="12"/>
      <c r="G5" s="12"/>
      <c r="H5" s="12"/>
      <c r="I5" s="12"/>
      <c r="J5" s="12"/>
    </row>
    <row r="6" spans="1:14" s="1" customFormat="1" ht="17.25" customHeight="1">
      <c r="A6" s="50"/>
      <c r="B6" s="12"/>
      <c r="C6" s="12"/>
      <c r="D6" s="12"/>
      <c r="E6" s="12"/>
      <c r="F6" s="12"/>
      <c r="G6" s="12"/>
      <c r="H6" s="12"/>
      <c r="I6" s="12"/>
      <c r="J6" s="12"/>
    </row>
    <row r="7" spans="1:14" s="1" customFormat="1" ht="18">
      <c r="A7" s="64"/>
      <c r="B7" s="81" t="s">
        <v>63</v>
      </c>
      <c r="C7" s="357"/>
      <c r="D7" s="39"/>
      <c r="E7" s="39"/>
      <c r="F7" s="39"/>
      <c r="G7" s="12"/>
      <c r="H7" s="12"/>
      <c r="I7" s="12"/>
      <c r="J7" s="12"/>
    </row>
    <row r="8" spans="1:14" s="1" customFormat="1" ht="18">
      <c r="A8" s="64"/>
      <c r="B8" s="131" t="s">
        <v>178</v>
      </c>
      <c r="C8" s="547"/>
      <c r="D8" s="39"/>
      <c r="E8" s="39"/>
      <c r="F8" s="39"/>
      <c r="G8" s="12"/>
      <c r="H8" s="12"/>
      <c r="I8" s="12"/>
      <c r="J8" s="12"/>
      <c r="K8" s="2"/>
      <c r="L8" s="12"/>
      <c r="M8" s="12"/>
      <c r="N8" s="3"/>
    </row>
    <row r="9" spans="1:14" s="1" customFormat="1">
      <c r="B9" s="65">
        <v>1</v>
      </c>
      <c r="C9" s="39" t="s">
        <v>34</v>
      </c>
      <c r="D9" s="39"/>
      <c r="E9" s="12"/>
      <c r="F9" s="12"/>
      <c r="G9" s="12"/>
      <c r="H9" s="12"/>
      <c r="I9" s="12"/>
      <c r="J9" s="12"/>
      <c r="K9" s="3"/>
      <c r="L9" s="3"/>
      <c r="M9" s="3"/>
      <c r="N9" s="3"/>
    </row>
    <row r="10" spans="1:14" s="1" customFormat="1">
      <c r="B10" s="66" t="s">
        <v>18</v>
      </c>
      <c r="C10" s="12" t="s">
        <v>101</v>
      </c>
      <c r="D10" s="12"/>
      <c r="E10" s="12"/>
      <c r="F10" s="12"/>
      <c r="G10" s="12"/>
      <c r="H10" s="12"/>
      <c r="I10" s="12"/>
      <c r="J10" s="12"/>
      <c r="K10" s="3"/>
      <c r="L10" s="3"/>
      <c r="M10" s="3"/>
      <c r="N10" s="3"/>
    </row>
    <row r="11" spans="1:14" s="1" customFormat="1">
      <c r="B11" s="66"/>
      <c r="C11" s="29" t="s">
        <v>102</v>
      </c>
      <c r="D11" s="29"/>
      <c r="E11" s="29"/>
      <c r="F11" s="29"/>
      <c r="G11" s="29"/>
      <c r="H11" s="29"/>
      <c r="I11" s="29"/>
      <c r="J11" s="29"/>
      <c r="K11" s="26"/>
      <c r="L11" s="3"/>
      <c r="M11" s="3"/>
      <c r="N11" s="3"/>
    </row>
    <row r="12" spans="1:14" s="1" customFormat="1">
      <c r="B12" s="66" t="s">
        <v>31</v>
      </c>
      <c r="C12" s="12" t="s">
        <v>23</v>
      </c>
      <c r="D12" s="12"/>
      <c r="E12" s="29"/>
      <c r="F12" s="29"/>
      <c r="G12" s="29"/>
      <c r="H12" s="29"/>
      <c r="I12" s="29"/>
      <c r="J12" s="29"/>
      <c r="K12" s="26"/>
      <c r="L12" s="3"/>
      <c r="M12" s="3"/>
      <c r="N12" s="3"/>
    </row>
    <row r="13" spans="1:14" s="1" customFormat="1">
      <c r="B13" s="29"/>
      <c r="C13" s="29" t="s">
        <v>65</v>
      </c>
      <c r="D13" s="29" t="s">
        <v>66</v>
      </c>
      <c r="E13" s="29"/>
      <c r="F13" s="29">
        <f>2.5*2.7</f>
        <v>6.75</v>
      </c>
      <c r="G13" s="29" t="s">
        <v>21</v>
      </c>
      <c r="H13" s="29"/>
      <c r="I13" s="29"/>
      <c r="J13" s="29"/>
      <c r="K13" s="26"/>
      <c r="L13" s="3"/>
      <c r="M13" s="3"/>
      <c r="N13" s="3"/>
    </row>
    <row r="14" spans="1:14" s="1" customFormat="1">
      <c r="B14" s="29"/>
      <c r="C14" s="29"/>
      <c r="D14" s="29"/>
      <c r="E14" s="29"/>
      <c r="F14" s="29"/>
      <c r="G14" s="29"/>
      <c r="H14" s="29"/>
      <c r="I14" s="29"/>
      <c r="J14" s="29"/>
      <c r="K14" s="26"/>
      <c r="L14" s="3"/>
      <c r="M14" s="3"/>
      <c r="N14" s="3"/>
    </row>
    <row r="15" spans="1:14" s="1" customFormat="1">
      <c r="B15" s="67" t="s">
        <v>35</v>
      </c>
      <c r="C15" s="68" t="s">
        <v>4</v>
      </c>
      <c r="D15" s="39"/>
      <c r="E15" s="39"/>
      <c r="F15" s="12"/>
      <c r="G15" s="189"/>
      <c r="H15" s="12"/>
      <c r="I15" s="12"/>
      <c r="J15" s="12"/>
      <c r="K15" s="3"/>
      <c r="L15" s="3"/>
      <c r="M15" s="3"/>
      <c r="N15" s="3"/>
    </row>
    <row r="16" spans="1:14" s="1" customFormat="1">
      <c r="B16" s="69" t="s">
        <v>36</v>
      </c>
      <c r="C16" s="29" t="s">
        <v>67</v>
      </c>
      <c r="D16" s="29"/>
      <c r="E16" s="29"/>
      <c r="F16" s="29"/>
      <c r="G16" s="29"/>
      <c r="H16" s="29"/>
      <c r="I16" s="29"/>
      <c r="J16" s="29"/>
      <c r="K16" s="26"/>
      <c r="L16" s="26"/>
      <c r="M16" s="3"/>
      <c r="N16" s="3"/>
    </row>
    <row r="17" spans="2:15" s="1" customFormat="1">
      <c r="B17" s="69"/>
      <c r="C17" s="29" t="s">
        <v>71</v>
      </c>
      <c r="D17" s="29"/>
      <c r="E17" s="29"/>
      <c r="F17" s="29">
        <v>2.2000000000000002</v>
      </c>
      <c r="G17" s="29" t="s">
        <v>20</v>
      </c>
      <c r="H17" s="29"/>
      <c r="I17" s="29"/>
      <c r="J17" s="29"/>
      <c r="K17" s="26"/>
      <c r="L17" s="26"/>
      <c r="M17" s="3"/>
      <c r="N17" s="3"/>
    </row>
    <row r="18" spans="2:15" s="1" customFormat="1">
      <c r="B18" s="69"/>
      <c r="C18" s="13" t="s">
        <v>22</v>
      </c>
      <c r="D18" s="13"/>
      <c r="E18" s="13">
        <f>SO_02_KL1_zemní_práce!G19</f>
        <v>72.600000000000009</v>
      </c>
      <c r="F18" s="644">
        <v>33</v>
      </c>
      <c r="G18" s="13" t="s">
        <v>6</v>
      </c>
      <c r="H18" s="29"/>
      <c r="I18" s="29"/>
      <c r="J18" s="29"/>
      <c r="K18" s="26"/>
      <c r="L18" s="26"/>
      <c r="M18" s="3"/>
      <c r="N18" s="3"/>
    </row>
    <row r="19" spans="2:15" s="1" customFormat="1">
      <c r="B19" s="69"/>
      <c r="C19" s="29" t="s">
        <v>19</v>
      </c>
      <c r="D19" s="29"/>
      <c r="E19" s="29"/>
      <c r="F19" s="29"/>
      <c r="G19" s="29">
        <f>F17*F18</f>
        <v>72.600000000000009</v>
      </c>
      <c r="H19" s="29" t="s">
        <v>21</v>
      </c>
      <c r="I19" s="29"/>
      <c r="J19" s="29"/>
      <c r="K19" s="26"/>
      <c r="L19" s="26"/>
      <c r="M19" s="3"/>
      <c r="N19" s="3"/>
    </row>
    <row r="20" spans="2:15" s="1" customFormat="1">
      <c r="B20" s="69"/>
      <c r="C20" s="29"/>
      <c r="D20" s="29"/>
      <c r="E20" s="29"/>
      <c r="F20" s="29"/>
      <c r="G20" s="29"/>
      <c r="H20" s="29"/>
      <c r="I20" s="29"/>
      <c r="J20" s="29"/>
      <c r="K20" s="26"/>
      <c r="L20" s="26"/>
      <c r="M20" s="3"/>
      <c r="N20" s="3"/>
    </row>
    <row r="21" spans="2:15" s="1" customFormat="1">
      <c r="B21" s="69"/>
      <c r="C21" s="29" t="s">
        <v>72</v>
      </c>
      <c r="D21" s="29"/>
      <c r="E21" s="29"/>
      <c r="F21" s="29"/>
      <c r="G21" s="29"/>
      <c r="H21" s="29"/>
      <c r="I21" s="29"/>
      <c r="J21" s="29"/>
      <c r="K21" s="26"/>
      <c r="L21" s="26"/>
      <c r="M21" s="3"/>
      <c r="N21" s="3"/>
    </row>
    <row r="22" spans="2:15" s="1" customFormat="1">
      <c r="B22" s="69"/>
      <c r="C22" s="29" t="s">
        <v>73</v>
      </c>
      <c r="D22" s="29"/>
      <c r="E22" s="29"/>
      <c r="F22" s="29"/>
      <c r="G22" s="29"/>
      <c r="H22" s="29"/>
      <c r="I22" s="29"/>
      <c r="J22" s="29"/>
      <c r="K22" s="26"/>
      <c r="L22" s="26"/>
      <c r="M22" s="3"/>
      <c r="N22" s="3"/>
    </row>
    <row r="23" spans="2:15" s="1" customFormat="1">
      <c r="B23" s="69"/>
      <c r="C23" s="29"/>
      <c r="D23" s="29"/>
      <c r="E23" s="29"/>
      <c r="F23" s="29"/>
      <c r="G23" s="29"/>
      <c r="H23" s="29"/>
      <c r="I23" s="29"/>
      <c r="J23" s="29"/>
      <c r="K23" s="53"/>
      <c r="L23" s="53"/>
      <c r="M23" s="3"/>
      <c r="N23" s="224"/>
      <c r="O23" s="58"/>
    </row>
    <row r="24" spans="2:15" s="1" customFormat="1">
      <c r="B24" s="69" t="s">
        <v>37</v>
      </c>
      <c r="C24" s="29" t="s">
        <v>108</v>
      </c>
      <c r="D24" s="29"/>
      <c r="E24" s="29"/>
      <c r="F24" s="29"/>
      <c r="G24" s="29"/>
      <c r="H24" s="29"/>
      <c r="I24" s="29"/>
      <c r="J24" s="29"/>
      <c r="K24" s="53"/>
      <c r="L24" s="53"/>
      <c r="M24" s="3"/>
      <c r="N24" s="224"/>
      <c r="O24" s="58"/>
    </row>
    <row r="25" spans="2:15" s="1" customFormat="1">
      <c r="B25" s="69"/>
      <c r="C25" s="29" t="s">
        <v>109</v>
      </c>
      <c r="D25" s="29">
        <v>42</v>
      </c>
      <c r="E25" s="29" t="s">
        <v>20</v>
      </c>
      <c r="F25" s="29"/>
      <c r="G25" s="29"/>
      <c r="H25" s="29"/>
      <c r="I25" s="29"/>
      <c r="J25" s="29"/>
      <c r="K25" s="53"/>
      <c r="L25" s="53"/>
      <c r="M25" s="3"/>
      <c r="N25" s="224"/>
      <c r="O25" s="58"/>
    </row>
    <row r="26" spans="2:15" s="1" customFormat="1">
      <c r="B26" s="69"/>
      <c r="C26" s="29" t="s">
        <v>19</v>
      </c>
      <c r="D26" s="29" t="s">
        <v>363</v>
      </c>
      <c r="E26" s="29"/>
      <c r="F26" s="29"/>
      <c r="G26" s="29">
        <f>D25*0.3</f>
        <v>12.6</v>
      </c>
      <c r="H26" s="29" t="s">
        <v>21</v>
      </c>
      <c r="I26" s="29"/>
      <c r="J26" s="29"/>
      <c r="K26" s="53"/>
      <c r="L26" s="53"/>
      <c r="M26" s="3"/>
      <c r="N26" s="224"/>
      <c r="O26" s="58"/>
    </row>
    <row r="27" spans="2:15" s="1" customFormat="1">
      <c r="B27" s="69"/>
      <c r="C27" s="29" t="s">
        <v>110</v>
      </c>
      <c r="D27" s="29"/>
      <c r="E27" s="29"/>
      <c r="F27" s="29"/>
      <c r="G27" s="29"/>
      <c r="H27" s="29"/>
      <c r="I27" s="29"/>
      <c r="J27" s="29"/>
      <c r="K27" s="53"/>
      <c r="L27" s="53"/>
      <c r="M27" s="3"/>
      <c r="N27" s="224"/>
      <c r="O27" s="58"/>
    </row>
    <row r="28" spans="2:15" s="1" customFormat="1">
      <c r="B28" s="69"/>
      <c r="C28" s="29"/>
      <c r="D28" s="29"/>
      <c r="E28" s="29"/>
      <c r="F28" s="29"/>
      <c r="G28" s="29"/>
      <c r="H28" s="29"/>
      <c r="I28" s="29"/>
      <c r="J28" s="29"/>
      <c r="K28" s="53"/>
      <c r="L28" s="53"/>
      <c r="M28" s="224"/>
      <c r="N28" s="224"/>
      <c r="O28" s="58"/>
    </row>
    <row r="29" spans="2:15" s="1" customFormat="1" ht="15" customHeight="1">
      <c r="B29" s="86" t="s">
        <v>57</v>
      </c>
      <c r="C29" s="29" t="s">
        <v>29</v>
      </c>
      <c r="D29" s="29"/>
      <c r="E29" s="29"/>
      <c r="F29" s="29"/>
      <c r="G29" s="29"/>
      <c r="H29" s="29"/>
      <c r="I29" s="29"/>
      <c r="J29" s="29"/>
      <c r="K29" s="26"/>
      <c r="L29" s="26"/>
      <c r="M29" s="3"/>
      <c r="N29" s="3"/>
    </row>
    <row r="30" spans="2:15" s="1" customFormat="1" ht="15" customHeight="1">
      <c r="B30" s="548"/>
      <c r="C30" s="12" t="s">
        <v>81</v>
      </c>
      <c r="D30" s="12"/>
      <c r="E30" s="12"/>
      <c r="F30" s="12"/>
      <c r="G30" s="12"/>
      <c r="H30" s="12"/>
      <c r="I30" s="12"/>
      <c r="J30" s="12"/>
      <c r="K30" s="26"/>
      <c r="L30" s="26"/>
      <c r="M30" s="3"/>
      <c r="N30" s="3"/>
    </row>
    <row r="31" spans="2:15" s="1" customFormat="1" ht="15" customHeight="1">
      <c r="B31" s="69" t="s">
        <v>59</v>
      </c>
      <c r="C31" s="12" t="s">
        <v>179</v>
      </c>
      <c r="D31" s="12"/>
      <c r="E31" s="12"/>
      <c r="F31" s="12"/>
      <c r="G31" s="12"/>
      <c r="H31" s="12"/>
      <c r="I31" s="12"/>
      <c r="J31" s="12"/>
      <c r="K31" s="26"/>
      <c r="L31" s="26"/>
      <c r="M31" s="3"/>
      <c r="N31" s="3"/>
    </row>
    <row r="32" spans="2:15" s="1" customFormat="1" ht="15" customHeight="1" thickBot="1">
      <c r="B32" s="548"/>
      <c r="C32" s="12"/>
      <c r="D32" s="12"/>
      <c r="E32" s="12"/>
      <c r="F32" s="12"/>
      <c r="G32" s="12"/>
      <c r="H32" s="12"/>
      <c r="I32" s="12"/>
      <c r="J32" s="12"/>
      <c r="K32" s="26"/>
      <c r="L32" s="26"/>
      <c r="M32" s="3"/>
      <c r="N32" s="3"/>
    </row>
    <row r="33" spans="2:14" s="1" customFormat="1" ht="15" customHeight="1" thickBot="1">
      <c r="B33" s="572" t="s">
        <v>11</v>
      </c>
      <c r="C33" s="573"/>
      <c r="D33" s="576" t="s">
        <v>10</v>
      </c>
      <c r="E33" s="578" t="s">
        <v>38</v>
      </c>
      <c r="F33" s="578"/>
      <c r="G33" s="578"/>
      <c r="H33" s="578" t="s">
        <v>39</v>
      </c>
      <c r="I33" s="578"/>
      <c r="J33" s="578"/>
      <c r="K33" s="26"/>
      <c r="L33" s="26"/>
      <c r="M33" s="3"/>
      <c r="N33" s="3"/>
    </row>
    <row r="34" spans="2:14" s="1" customFormat="1" ht="16.5" customHeight="1" thickBot="1">
      <c r="B34" s="574"/>
      <c r="C34" s="575"/>
      <c r="D34" s="576"/>
      <c r="E34" s="579" t="s">
        <v>74</v>
      </c>
      <c r="F34" s="580"/>
      <c r="G34" s="581"/>
      <c r="H34" s="579" t="s">
        <v>82</v>
      </c>
      <c r="I34" s="580"/>
      <c r="J34" s="581"/>
      <c r="K34" s="26"/>
      <c r="L34" s="26"/>
      <c r="M34" s="3"/>
      <c r="N34" s="3"/>
    </row>
    <row r="35" spans="2:14" s="1" customFormat="1" ht="34.5" customHeight="1" thickBot="1">
      <c r="B35" s="23" t="s">
        <v>8</v>
      </c>
      <c r="C35" s="6" t="s">
        <v>9</v>
      </c>
      <c r="D35" s="577"/>
      <c r="E35" s="8" t="s">
        <v>12</v>
      </c>
      <c r="F35" s="9" t="s">
        <v>13</v>
      </c>
      <c r="G35" s="8" t="s">
        <v>14</v>
      </c>
      <c r="H35" s="8" t="s">
        <v>12</v>
      </c>
      <c r="I35" s="9" t="s">
        <v>13</v>
      </c>
      <c r="J35" s="8" t="s">
        <v>14</v>
      </c>
      <c r="K35" s="26"/>
      <c r="L35" s="26"/>
      <c r="M35" s="3"/>
      <c r="N35" s="3"/>
    </row>
    <row r="36" spans="2:14" s="1" customFormat="1" ht="15" customHeight="1" thickBot="1">
      <c r="B36" s="17"/>
      <c r="C36" s="14" t="s">
        <v>7</v>
      </c>
      <c r="D36" s="23" t="s">
        <v>6</v>
      </c>
      <c r="E36" s="20" t="s">
        <v>27</v>
      </c>
      <c r="F36" s="21" t="s">
        <v>27</v>
      </c>
      <c r="G36" s="20" t="s">
        <v>28</v>
      </c>
      <c r="H36" s="20" t="s">
        <v>27</v>
      </c>
      <c r="I36" s="21" t="s">
        <v>27</v>
      </c>
      <c r="J36" s="20" t="s">
        <v>28</v>
      </c>
      <c r="K36" s="26"/>
      <c r="L36" s="26"/>
      <c r="M36" s="3"/>
      <c r="N36" s="3"/>
    </row>
    <row r="37" spans="2:14" s="1" customFormat="1" ht="15" customHeight="1">
      <c r="B37" s="582" t="s">
        <v>24</v>
      </c>
      <c r="C37" s="584"/>
      <c r="D37" s="586">
        <v>9.6999999999999993</v>
      </c>
      <c r="E37" s="586">
        <v>0</v>
      </c>
      <c r="F37" s="586"/>
      <c r="G37" s="586"/>
      <c r="H37" s="588">
        <f>H39</f>
        <v>2</v>
      </c>
      <c r="I37" s="586">
        <f>(H37+H39)/2</f>
        <v>2</v>
      </c>
      <c r="J37" s="590">
        <f>I37*D37</f>
        <v>19.399999999999999</v>
      </c>
      <c r="K37" s="26"/>
      <c r="L37" s="26"/>
      <c r="M37" s="3"/>
      <c r="N37" s="3"/>
    </row>
    <row r="38" spans="2:14" s="1" customFormat="1" ht="15" customHeight="1">
      <c r="B38" s="583"/>
      <c r="C38" s="585"/>
      <c r="D38" s="587"/>
      <c r="E38" s="587"/>
      <c r="F38" s="587"/>
      <c r="G38" s="587"/>
      <c r="H38" s="589"/>
      <c r="I38" s="587"/>
      <c r="J38" s="591"/>
      <c r="K38" s="26"/>
      <c r="L38" s="26"/>
      <c r="M38" s="3"/>
      <c r="N38" s="3"/>
    </row>
    <row r="39" spans="2:14" s="1" customFormat="1" ht="15" customHeight="1">
      <c r="B39" s="592" t="s">
        <v>75</v>
      </c>
      <c r="C39" s="585"/>
      <c r="D39" s="587"/>
      <c r="E39" s="587">
        <v>2.1</v>
      </c>
      <c r="F39" s="587"/>
      <c r="G39" s="587"/>
      <c r="H39" s="593">
        <v>2</v>
      </c>
      <c r="I39" s="587"/>
      <c r="J39" s="591"/>
      <c r="K39" s="26"/>
      <c r="L39" s="26"/>
      <c r="M39" s="3"/>
      <c r="N39" s="3"/>
    </row>
    <row r="40" spans="2:14" s="1" customFormat="1" ht="15" customHeight="1">
      <c r="B40" s="583"/>
      <c r="C40" s="585"/>
      <c r="D40" s="587">
        <v>4.8</v>
      </c>
      <c r="E40" s="587"/>
      <c r="F40" s="587">
        <f>(E39+E41)/2</f>
        <v>1.85</v>
      </c>
      <c r="G40" s="587">
        <f>F40*D40</f>
        <v>8.8800000000000008</v>
      </c>
      <c r="H40" s="594"/>
      <c r="I40" s="587">
        <f>(H39+H41)/2</f>
        <v>4.5</v>
      </c>
      <c r="J40" s="591">
        <f>I40*D40</f>
        <v>21.599999999999998</v>
      </c>
      <c r="K40" s="26"/>
      <c r="L40" s="26"/>
      <c r="M40" s="3"/>
      <c r="N40" s="3"/>
    </row>
    <row r="41" spans="2:14" s="1" customFormat="1" ht="15" customHeight="1">
      <c r="B41" s="592" t="s">
        <v>76</v>
      </c>
      <c r="C41" s="585"/>
      <c r="D41" s="587"/>
      <c r="E41" s="587">
        <v>1.6</v>
      </c>
      <c r="F41" s="587"/>
      <c r="G41" s="587"/>
      <c r="H41" s="593">
        <v>7</v>
      </c>
      <c r="I41" s="587"/>
      <c r="J41" s="591"/>
      <c r="K41" s="26"/>
      <c r="L41" s="26"/>
      <c r="M41" s="3"/>
      <c r="N41" s="3"/>
    </row>
    <row r="42" spans="2:14" s="1" customFormat="1" ht="15" customHeight="1">
      <c r="B42" s="592"/>
      <c r="C42" s="585"/>
      <c r="D42" s="587">
        <v>9.6</v>
      </c>
      <c r="E42" s="587"/>
      <c r="F42" s="587">
        <f>(E41+E43)/2</f>
        <v>1.5</v>
      </c>
      <c r="G42" s="587" t="s">
        <v>100</v>
      </c>
      <c r="H42" s="594"/>
      <c r="I42" s="587">
        <f>(H41+H43)/2</f>
        <v>6.45</v>
      </c>
      <c r="J42" s="591">
        <f>I42*D42</f>
        <v>61.92</v>
      </c>
      <c r="K42" s="26"/>
      <c r="L42" s="26"/>
      <c r="M42" s="3"/>
      <c r="N42" s="3"/>
    </row>
    <row r="43" spans="2:14" s="1" customFormat="1" ht="15" customHeight="1">
      <c r="B43" s="592" t="s">
        <v>77</v>
      </c>
      <c r="C43" s="585"/>
      <c r="D43" s="587"/>
      <c r="E43" s="587">
        <v>1.4</v>
      </c>
      <c r="F43" s="587"/>
      <c r="G43" s="587"/>
      <c r="H43" s="589">
        <v>5.9</v>
      </c>
      <c r="I43" s="587"/>
      <c r="J43" s="591"/>
      <c r="K43" s="26"/>
      <c r="L43" s="26"/>
      <c r="M43" s="3"/>
      <c r="N43" s="3"/>
    </row>
    <row r="44" spans="2:14" s="1" customFormat="1" ht="15" customHeight="1">
      <c r="B44" s="592"/>
      <c r="C44" s="585"/>
      <c r="D44" s="587">
        <v>3</v>
      </c>
      <c r="E44" s="587"/>
      <c r="F44" s="587">
        <f>(E43+E45)/2</f>
        <v>1.65</v>
      </c>
      <c r="G44" s="587">
        <f>F44*D44</f>
        <v>4.9499999999999993</v>
      </c>
      <c r="H44" s="589"/>
      <c r="I44" s="587">
        <f>(H43+H45)/2</f>
        <v>8.6000000000000014</v>
      </c>
      <c r="J44" s="591">
        <f>I44*D44</f>
        <v>25.800000000000004</v>
      </c>
      <c r="K44" s="26"/>
      <c r="L44" s="26"/>
      <c r="M44" s="3"/>
      <c r="N44" s="3"/>
    </row>
    <row r="45" spans="2:14" s="1" customFormat="1" ht="15" customHeight="1">
      <c r="B45" s="592" t="s">
        <v>78</v>
      </c>
      <c r="C45" s="595"/>
      <c r="D45" s="587"/>
      <c r="E45" s="587">
        <v>1.9</v>
      </c>
      <c r="F45" s="587"/>
      <c r="G45" s="587"/>
      <c r="H45" s="589">
        <v>11.3</v>
      </c>
      <c r="I45" s="587"/>
      <c r="J45" s="591"/>
      <c r="K45" s="26"/>
      <c r="L45" s="26"/>
      <c r="M45" s="3"/>
      <c r="N45" s="3"/>
    </row>
    <row r="46" spans="2:14" s="1" customFormat="1" ht="15" customHeight="1">
      <c r="B46" s="592"/>
      <c r="C46" s="595"/>
      <c r="D46" s="587">
        <v>6.9</v>
      </c>
      <c r="E46" s="587"/>
      <c r="F46" s="587">
        <f>(E45+E47)/2</f>
        <v>1.85</v>
      </c>
      <c r="G46" s="587">
        <f>F46*D46</f>
        <v>12.765000000000001</v>
      </c>
      <c r="H46" s="589"/>
      <c r="I46" s="587">
        <f>(H45+H47)/2</f>
        <v>13.4</v>
      </c>
      <c r="J46" s="591">
        <f>I46*D46</f>
        <v>92.460000000000008</v>
      </c>
      <c r="K46" s="26"/>
      <c r="L46" s="26"/>
      <c r="M46" s="3"/>
      <c r="N46" s="3"/>
    </row>
    <row r="47" spans="2:14" s="1" customFormat="1">
      <c r="B47" s="592" t="s">
        <v>79</v>
      </c>
      <c r="C47" s="595"/>
      <c r="D47" s="587"/>
      <c r="E47" s="587">
        <v>1.8</v>
      </c>
      <c r="F47" s="587"/>
      <c r="G47" s="587"/>
      <c r="H47" s="589">
        <v>15.5</v>
      </c>
      <c r="I47" s="587"/>
      <c r="J47" s="591"/>
      <c r="K47" s="26"/>
      <c r="L47" s="26"/>
      <c r="M47" s="3"/>
      <c r="N47" s="3"/>
    </row>
    <row r="48" spans="2:14" s="1" customFormat="1">
      <c r="B48" s="592"/>
      <c r="C48" s="595"/>
      <c r="D48" s="587">
        <v>6.65</v>
      </c>
      <c r="E48" s="587"/>
      <c r="F48" s="587">
        <f>(E47+E49)/2</f>
        <v>1.8</v>
      </c>
      <c r="G48" s="587">
        <f>F48*D48</f>
        <v>11.97</v>
      </c>
      <c r="H48" s="589"/>
      <c r="I48" s="587">
        <f>(H47+H49)/2</f>
        <v>16.75</v>
      </c>
      <c r="J48" s="591">
        <f>I48*D48</f>
        <v>111.3875</v>
      </c>
      <c r="K48" s="26"/>
      <c r="L48" s="26"/>
      <c r="M48" s="3"/>
      <c r="N48" s="3"/>
    </row>
    <row r="49" spans="2:14" s="1" customFormat="1">
      <c r="B49" s="592" t="s">
        <v>80</v>
      </c>
      <c r="C49" s="595"/>
      <c r="D49" s="587"/>
      <c r="E49" s="587">
        <v>1.8</v>
      </c>
      <c r="F49" s="587"/>
      <c r="G49" s="587"/>
      <c r="H49" s="589">
        <v>18</v>
      </c>
      <c r="I49" s="587"/>
      <c r="J49" s="591"/>
      <c r="K49" s="26"/>
      <c r="L49" s="26"/>
      <c r="M49" s="3"/>
      <c r="N49" s="3"/>
    </row>
    <row r="50" spans="2:14" s="1" customFormat="1">
      <c r="B50" s="592"/>
      <c r="C50" s="595"/>
      <c r="D50" s="587">
        <v>12.5</v>
      </c>
      <c r="E50" s="587"/>
      <c r="F50" s="587">
        <f>(E49+E51)/2</f>
        <v>1</v>
      </c>
      <c r="G50" s="587">
        <f>F50*D50</f>
        <v>12.5</v>
      </c>
      <c r="H50" s="589"/>
      <c r="I50" s="587">
        <f>(H49+H51)/2</f>
        <v>17.86</v>
      </c>
      <c r="J50" s="591">
        <f>I50*D50</f>
        <v>223.25</v>
      </c>
      <c r="K50" s="26"/>
      <c r="L50" s="26"/>
      <c r="M50" s="3"/>
      <c r="N50" s="3"/>
    </row>
    <row r="51" spans="2:14" s="1" customFormat="1">
      <c r="B51" s="592" t="s">
        <v>26</v>
      </c>
      <c r="C51" s="595"/>
      <c r="D51" s="587"/>
      <c r="E51" s="587">
        <v>0.2</v>
      </c>
      <c r="F51" s="587"/>
      <c r="G51" s="587"/>
      <c r="H51" s="593">
        <v>17.72</v>
      </c>
      <c r="I51" s="587"/>
      <c r="J51" s="591"/>
      <c r="K51" s="26"/>
      <c r="L51" s="26"/>
      <c r="M51" s="3"/>
      <c r="N51" s="3"/>
    </row>
    <row r="52" spans="2:14" s="1" customFormat="1" ht="15.75" thickBot="1">
      <c r="B52" s="596"/>
      <c r="C52" s="597"/>
      <c r="D52" s="524"/>
      <c r="E52" s="593"/>
      <c r="F52" s="524"/>
      <c r="G52" s="524"/>
      <c r="H52" s="598"/>
      <c r="I52" s="524">
        <f>SUM(I37:I51)</f>
        <v>69.56</v>
      </c>
      <c r="J52" s="525">
        <f>SUM(J37:J51)</f>
        <v>555.8175</v>
      </c>
      <c r="K52" s="26"/>
      <c r="L52" s="26"/>
      <c r="M52" s="3"/>
      <c r="N52" s="3"/>
    </row>
    <row r="53" spans="2:14" s="1" customFormat="1" ht="15.75" thickBot="1">
      <c r="B53" s="71"/>
      <c r="C53" s="72"/>
      <c r="D53" s="73">
        <f>SUM(D37:D49)</f>
        <v>40.65</v>
      </c>
      <c r="E53" s="72"/>
      <c r="F53" s="72"/>
      <c r="G53" s="73">
        <f>SUM(G37:G51)</f>
        <v>51.064999999999998</v>
      </c>
      <c r="H53" s="72"/>
      <c r="I53" s="72"/>
      <c r="J53" s="74">
        <f>SUM(J37:J52)</f>
        <v>1111.635</v>
      </c>
      <c r="K53" s="26"/>
      <c r="L53" s="26"/>
      <c r="M53" s="3"/>
      <c r="N53" s="3"/>
    </row>
    <row r="54" spans="2:14" s="1" customFormat="1">
      <c r="B54" s="12"/>
      <c r="C54" s="12"/>
      <c r="D54" s="12"/>
      <c r="E54" s="12"/>
      <c r="F54" s="12"/>
      <c r="G54" s="12" t="s">
        <v>21</v>
      </c>
      <c r="H54" s="12" t="s">
        <v>83</v>
      </c>
      <c r="I54" s="12"/>
      <c r="J54" s="12"/>
      <c r="K54" s="26"/>
      <c r="L54" s="26"/>
      <c r="M54" s="3"/>
      <c r="N54" s="3"/>
    </row>
    <row r="55" spans="2:14" s="1" customFormat="1">
      <c r="B55" s="69"/>
      <c r="C55" s="46"/>
      <c r="D55" s="29"/>
      <c r="E55" s="29"/>
      <c r="F55" s="29"/>
      <c r="G55" s="29"/>
      <c r="H55" s="29"/>
      <c r="I55" s="29"/>
      <c r="J55" s="29"/>
      <c r="K55" s="26"/>
      <c r="L55" s="26"/>
      <c r="M55" s="3"/>
      <c r="N55" s="3"/>
    </row>
    <row r="56" spans="2:14" s="1" customFormat="1">
      <c r="B56" s="69" t="s">
        <v>60</v>
      </c>
      <c r="C56" s="46" t="s">
        <v>84</v>
      </c>
      <c r="D56" s="29"/>
      <c r="E56" s="29"/>
      <c r="F56" s="29"/>
      <c r="G56" s="29"/>
      <c r="H56" s="29"/>
      <c r="I56" s="29"/>
      <c r="J56" s="29"/>
      <c r="K56" s="29"/>
      <c r="L56" s="29"/>
      <c r="M56" s="12"/>
      <c r="N56" s="3"/>
    </row>
    <row r="57" spans="2:14" s="1" customFormat="1">
      <c r="B57" s="69"/>
      <c r="C57" s="46" t="s">
        <v>103</v>
      </c>
      <c r="D57" s="29"/>
      <c r="E57" s="29"/>
      <c r="F57" s="29"/>
      <c r="G57" s="29"/>
      <c r="H57" s="29"/>
      <c r="I57" s="29"/>
      <c r="J57" s="29"/>
      <c r="K57" s="29"/>
      <c r="L57" s="29"/>
      <c r="M57" s="12"/>
      <c r="N57" s="3"/>
    </row>
    <row r="58" spans="2:14" s="1" customFormat="1">
      <c r="B58" s="69"/>
      <c r="C58" s="46" t="s">
        <v>91</v>
      </c>
      <c r="D58" s="29"/>
      <c r="E58" s="29"/>
      <c r="F58" s="29"/>
      <c r="G58" s="29"/>
      <c r="H58" s="29"/>
      <c r="I58" s="29"/>
      <c r="J58" s="29"/>
      <c r="K58" s="29"/>
      <c r="L58" s="29"/>
      <c r="M58" s="12"/>
      <c r="N58" s="3"/>
    </row>
    <row r="59" spans="2:14" s="1" customFormat="1">
      <c r="B59" s="69" t="s">
        <v>43</v>
      </c>
      <c r="C59" s="46" t="s">
        <v>104</v>
      </c>
      <c r="D59" s="29"/>
      <c r="E59" s="29"/>
      <c r="F59" s="29"/>
      <c r="G59" s="29"/>
      <c r="H59" s="29"/>
      <c r="I59" s="29"/>
      <c r="J59" s="29"/>
      <c r="K59" s="29"/>
      <c r="L59" s="29"/>
      <c r="M59" s="12"/>
      <c r="N59" s="3"/>
    </row>
    <row r="60" spans="2:14" s="1" customFormat="1">
      <c r="B60" s="69"/>
      <c r="C60" s="46" t="s">
        <v>105</v>
      </c>
      <c r="D60" s="29"/>
      <c r="E60" s="29"/>
      <c r="F60" s="29"/>
      <c r="G60" s="29"/>
      <c r="H60" s="29"/>
      <c r="I60" s="29"/>
      <c r="J60" s="29"/>
      <c r="K60" s="29"/>
      <c r="L60" s="29"/>
      <c r="M60" s="12"/>
      <c r="N60" s="3"/>
    </row>
    <row r="61" spans="2:14" s="1" customFormat="1" ht="15.75" thickBot="1">
      <c r="B61" s="69"/>
      <c r="C61" s="46" t="s">
        <v>90</v>
      </c>
      <c r="D61" s="29"/>
      <c r="E61" s="29"/>
      <c r="F61" s="29"/>
      <c r="G61" s="29"/>
      <c r="H61" s="29"/>
      <c r="I61" s="29"/>
      <c r="J61" s="29"/>
      <c r="K61" s="29"/>
    </row>
    <row r="62" spans="2:14" s="1" customFormat="1" ht="15.75" thickBot="1">
      <c r="B62" s="572" t="s">
        <v>11</v>
      </c>
      <c r="C62" s="573"/>
      <c r="D62" s="576" t="s">
        <v>10</v>
      </c>
      <c r="E62" s="578" t="s">
        <v>40</v>
      </c>
      <c r="F62" s="578"/>
      <c r="G62" s="578"/>
      <c r="H62" s="578" t="s">
        <v>41</v>
      </c>
      <c r="I62" s="578"/>
      <c r="J62" s="578"/>
      <c r="K62" s="26"/>
    </row>
    <row r="63" spans="2:14" s="1" customFormat="1" ht="15.75" customHeight="1" thickBot="1">
      <c r="B63" s="574"/>
      <c r="C63" s="575"/>
      <c r="D63" s="576"/>
      <c r="E63" s="579" t="s">
        <v>51</v>
      </c>
      <c r="F63" s="580"/>
      <c r="G63" s="581"/>
      <c r="H63" s="579" t="s">
        <v>104</v>
      </c>
      <c r="I63" s="580"/>
      <c r="J63" s="581"/>
      <c r="K63" s="26"/>
    </row>
    <row r="64" spans="2:14" s="1" customFormat="1" ht="15.75" thickBot="1">
      <c r="B64" s="23" t="s">
        <v>8</v>
      </c>
      <c r="C64" s="6" t="s">
        <v>9</v>
      </c>
      <c r="D64" s="577"/>
      <c r="E64" s="8" t="s">
        <v>12</v>
      </c>
      <c r="F64" s="9" t="s">
        <v>13</v>
      </c>
      <c r="G64" s="8" t="s">
        <v>14</v>
      </c>
      <c r="H64" s="8" t="s">
        <v>12</v>
      </c>
      <c r="I64" s="9" t="s">
        <v>13</v>
      </c>
      <c r="J64" s="8" t="s">
        <v>14</v>
      </c>
      <c r="K64" s="26"/>
    </row>
    <row r="65" spans="2:11" s="1" customFormat="1" ht="15.75" thickBot="1">
      <c r="B65" s="17"/>
      <c r="C65" s="14" t="s">
        <v>7</v>
      </c>
      <c r="D65" s="23" t="s">
        <v>6</v>
      </c>
      <c r="E65" s="20" t="s">
        <v>27</v>
      </c>
      <c r="F65" s="21" t="s">
        <v>27</v>
      </c>
      <c r="G65" s="20" t="s">
        <v>28</v>
      </c>
      <c r="H65" s="20" t="s">
        <v>27</v>
      </c>
      <c r="I65" s="21" t="s">
        <v>27</v>
      </c>
      <c r="J65" s="20" t="s">
        <v>28</v>
      </c>
      <c r="K65" s="26"/>
    </row>
    <row r="66" spans="2:11" s="1" customFormat="1">
      <c r="B66" s="582" t="s">
        <v>24</v>
      </c>
      <c r="C66" s="585"/>
      <c r="D66" s="599">
        <v>9.6999999999999993</v>
      </c>
      <c r="E66" s="586">
        <f>E68</f>
        <v>14</v>
      </c>
      <c r="F66" s="586">
        <f>(E66+E68)/2</f>
        <v>14</v>
      </c>
      <c r="G66" s="586">
        <f>F66*D66</f>
        <v>135.79999999999998</v>
      </c>
      <c r="H66" s="588"/>
      <c r="I66" s="586">
        <f>(H66+H68)/2</f>
        <v>0</v>
      </c>
      <c r="J66" s="590">
        <f>I66*D66</f>
        <v>0</v>
      </c>
      <c r="K66" s="26"/>
    </row>
    <row r="67" spans="2:11" s="1" customFormat="1">
      <c r="B67" s="583"/>
      <c r="C67" s="585"/>
      <c r="D67" s="598"/>
      <c r="E67" s="587"/>
      <c r="F67" s="587"/>
      <c r="G67" s="587"/>
      <c r="H67" s="589"/>
      <c r="I67" s="587"/>
      <c r="J67" s="591"/>
      <c r="K67" s="26"/>
    </row>
    <row r="68" spans="2:11" s="1" customFormat="1">
      <c r="B68" s="592" t="s">
        <v>75</v>
      </c>
      <c r="C68" s="585"/>
      <c r="D68" s="594"/>
      <c r="E68" s="587">
        <v>14</v>
      </c>
      <c r="F68" s="587"/>
      <c r="G68" s="587"/>
      <c r="H68" s="593"/>
      <c r="I68" s="587"/>
      <c r="J68" s="591"/>
      <c r="K68" s="26"/>
    </row>
    <row r="69" spans="2:11" s="1" customFormat="1">
      <c r="B69" s="583"/>
      <c r="C69" s="585"/>
      <c r="D69" s="593">
        <v>4.8</v>
      </c>
      <c r="E69" s="587"/>
      <c r="F69" s="587">
        <f>(E68+E70)/2</f>
        <v>17.25</v>
      </c>
      <c r="G69" s="587">
        <f>F69*D69</f>
        <v>82.8</v>
      </c>
      <c r="H69" s="594"/>
      <c r="I69" s="587">
        <f>(H68+H70)/2</f>
        <v>0</v>
      </c>
      <c r="J69" s="591">
        <f>I69*D69</f>
        <v>0</v>
      </c>
      <c r="K69" s="26"/>
    </row>
    <row r="70" spans="2:11" s="1" customFormat="1">
      <c r="B70" s="592" t="s">
        <v>76</v>
      </c>
      <c r="C70" s="585"/>
      <c r="D70" s="594"/>
      <c r="E70" s="587">
        <v>20.5</v>
      </c>
      <c r="F70" s="587"/>
      <c r="G70" s="587"/>
      <c r="H70" s="593"/>
      <c r="I70" s="587"/>
      <c r="J70" s="591"/>
      <c r="K70" s="26"/>
    </row>
    <row r="71" spans="2:11" s="1" customFormat="1">
      <c r="B71" s="583"/>
      <c r="C71" s="585"/>
      <c r="D71" s="593">
        <v>2.7</v>
      </c>
      <c r="E71" s="587"/>
      <c r="F71" s="587">
        <f>(E70+E72)/2</f>
        <v>19.25</v>
      </c>
      <c r="G71" s="587">
        <f>F71*D71</f>
        <v>51.975000000000001</v>
      </c>
      <c r="H71" s="594"/>
      <c r="I71" s="587">
        <f>(H70+H72)/2</f>
        <v>0</v>
      </c>
      <c r="J71" s="591">
        <f>I71*D71</f>
        <v>0</v>
      </c>
      <c r="K71" s="26"/>
    </row>
    <row r="72" spans="2:11" s="1" customFormat="1">
      <c r="B72" s="600" t="s">
        <v>85</v>
      </c>
      <c r="C72" s="585"/>
      <c r="D72" s="594"/>
      <c r="E72" s="587">
        <v>18</v>
      </c>
      <c r="F72" s="587"/>
      <c r="G72" s="587"/>
      <c r="H72" s="593"/>
      <c r="I72" s="587"/>
      <c r="J72" s="591"/>
      <c r="K72" s="26"/>
    </row>
    <row r="73" spans="2:11" s="1" customFormat="1">
      <c r="B73" s="601"/>
      <c r="C73" s="585"/>
      <c r="D73" s="593">
        <v>0.5</v>
      </c>
      <c r="E73" s="587"/>
      <c r="F73" s="587">
        <f>(E72+E74)/2</f>
        <v>18.899999999999999</v>
      </c>
      <c r="G73" s="587">
        <f>F73*D73</f>
        <v>9.4499999999999993</v>
      </c>
      <c r="H73" s="594"/>
      <c r="I73" s="587">
        <f>(H72+H74)/2</f>
        <v>0</v>
      </c>
      <c r="J73" s="591">
        <f t="shared" ref="J73" si="0">I73*D73</f>
        <v>0</v>
      </c>
      <c r="K73" s="26"/>
    </row>
    <row r="74" spans="2:11" s="1" customFormat="1" ht="15" customHeight="1">
      <c r="B74" s="600" t="s">
        <v>86</v>
      </c>
      <c r="C74" s="585"/>
      <c r="D74" s="594"/>
      <c r="E74" s="587">
        <v>19.8</v>
      </c>
      <c r="F74" s="587"/>
      <c r="G74" s="587"/>
      <c r="H74" s="593"/>
      <c r="I74" s="587"/>
      <c r="J74" s="591"/>
      <c r="K74" s="26"/>
    </row>
    <row r="75" spans="2:11" s="1" customFormat="1">
      <c r="B75" s="601"/>
      <c r="C75" s="585"/>
      <c r="D75" s="593">
        <v>2.72</v>
      </c>
      <c r="E75" s="587"/>
      <c r="F75" s="587">
        <f>(E74+E76)/2</f>
        <v>19.8</v>
      </c>
      <c r="G75" s="587">
        <f>F75*D75</f>
        <v>53.856000000000009</v>
      </c>
      <c r="H75" s="594"/>
      <c r="I75" s="587">
        <f>(H74+H76)/2</f>
        <v>0</v>
      </c>
      <c r="J75" s="591">
        <f>I75*D75</f>
        <v>0</v>
      </c>
      <c r="K75" s="26"/>
    </row>
    <row r="76" spans="2:11" s="1" customFormat="1" ht="15" customHeight="1">
      <c r="B76" s="600" t="s">
        <v>87</v>
      </c>
      <c r="C76" s="585"/>
      <c r="D76" s="594"/>
      <c r="E76" s="587">
        <f>E74</f>
        <v>19.8</v>
      </c>
      <c r="F76" s="587"/>
      <c r="G76" s="587"/>
      <c r="H76" s="593"/>
      <c r="I76" s="587"/>
      <c r="J76" s="591"/>
      <c r="K76" s="26"/>
    </row>
    <row r="77" spans="2:11" s="1" customFormat="1">
      <c r="B77" s="601"/>
      <c r="C77" s="585"/>
      <c r="D77" s="593">
        <v>2.1</v>
      </c>
      <c r="E77" s="587"/>
      <c r="F77" s="587">
        <f>(E76+E78)/2</f>
        <v>14.65</v>
      </c>
      <c r="G77" s="587">
        <f>F77*D77</f>
        <v>30.765000000000001</v>
      </c>
      <c r="H77" s="594"/>
      <c r="I77" s="587">
        <f>(H76+H78)/2</f>
        <v>0</v>
      </c>
      <c r="J77" s="591">
        <f t="shared" ref="J77" si="1">I77*D77</f>
        <v>0</v>
      </c>
      <c r="K77" s="26"/>
    </row>
    <row r="78" spans="2:11" s="1" customFormat="1">
      <c r="B78" s="600" t="s">
        <v>88</v>
      </c>
      <c r="C78" s="585"/>
      <c r="D78" s="594"/>
      <c r="E78" s="587">
        <f>E80</f>
        <v>9.5</v>
      </c>
      <c r="F78" s="587"/>
      <c r="G78" s="587"/>
      <c r="H78" s="593"/>
      <c r="I78" s="587"/>
      <c r="J78" s="591"/>
      <c r="K78" s="26"/>
    </row>
    <row r="79" spans="2:11" s="1" customFormat="1">
      <c r="B79" s="601"/>
      <c r="C79" s="585"/>
      <c r="D79" s="593">
        <v>1.6</v>
      </c>
      <c r="E79" s="587"/>
      <c r="F79" s="587">
        <f>(E78+E80)/2</f>
        <v>9.5</v>
      </c>
      <c r="G79" s="587">
        <f>F79*D79</f>
        <v>15.200000000000001</v>
      </c>
      <c r="H79" s="594"/>
      <c r="I79" s="587">
        <f>(H78+H80)/2</f>
        <v>5.3</v>
      </c>
      <c r="J79" s="591">
        <f>I79*D79</f>
        <v>8.48</v>
      </c>
      <c r="K79" s="26"/>
    </row>
    <row r="80" spans="2:11" s="1" customFormat="1">
      <c r="B80" s="592" t="s">
        <v>77</v>
      </c>
      <c r="C80" s="585"/>
      <c r="D80" s="594"/>
      <c r="E80" s="587">
        <v>9.5</v>
      </c>
      <c r="F80" s="587"/>
      <c r="G80" s="587"/>
      <c r="H80" s="589">
        <v>10.6</v>
      </c>
      <c r="I80" s="587"/>
      <c r="J80" s="591"/>
      <c r="K80" s="26"/>
    </row>
    <row r="81" spans="2:26" s="1" customFormat="1">
      <c r="B81" s="583"/>
      <c r="C81" s="585"/>
      <c r="D81" s="587">
        <v>3</v>
      </c>
      <c r="E81" s="587"/>
      <c r="F81" s="587">
        <f>(E80+E82)/2</f>
        <v>4.75</v>
      </c>
      <c r="G81" s="587">
        <f>F81*D81</f>
        <v>14.25</v>
      </c>
      <c r="H81" s="589"/>
      <c r="I81" s="587">
        <f>(H80+H82)/2</f>
        <v>10.8</v>
      </c>
      <c r="J81" s="591">
        <f>I81*D81</f>
        <v>32.400000000000006</v>
      </c>
      <c r="K81" s="26"/>
    </row>
    <row r="82" spans="2:26" s="1" customFormat="1">
      <c r="B82" s="592" t="s">
        <v>78</v>
      </c>
      <c r="C82" s="595"/>
      <c r="D82" s="587"/>
      <c r="E82" s="587"/>
      <c r="F82" s="587"/>
      <c r="G82" s="587"/>
      <c r="H82" s="589">
        <v>11</v>
      </c>
      <c r="I82" s="587"/>
      <c r="J82" s="591"/>
      <c r="K82" s="26"/>
    </row>
    <row r="83" spans="2:26" s="1" customFormat="1">
      <c r="B83" s="583"/>
      <c r="C83" s="595"/>
      <c r="D83" s="587">
        <v>6.9</v>
      </c>
      <c r="E83" s="587"/>
      <c r="F83" s="587">
        <f>(E82+E84)/2</f>
        <v>0</v>
      </c>
      <c r="G83" s="587">
        <f>F83*D83</f>
        <v>0</v>
      </c>
      <c r="H83" s="589"/>
      <c r="I83" s="587">
        <f>(H82+H84)/2</f>
        <v>10.25</v>
      </c>
      <c r="J83" s="591">
        <f>I83*D83</f>
        <v>70.725000000000009</v>
      </c>
      <c r="K83" s="26"/>
    </row>
    <row r="84" spans="2:26" s="1" customFormat="1">
      <c r="B84" s="592" t="s">
        <v>79</v>
      </c>
      <c r="C84" s="595"/>
      <c r="D84" s="587"/>
      <c r="E84" s="587"/>
      <c r="F84" s="587"/>
      <c r="G84" s="587"/>
      <c r="H84" s="589">
        <v>9.5</v>
      </c>
      <c r="I84" s="587"/>
      <c r="J84" s="591"/>
      <c r="K84" s="26"/>
    </row>
    <row r="85" spans="2:26" s="1" customFormat="1">
      <c r="B85" s="583"/>
      <c r="C85" s="595"/>
      <c r="D85" s="587">
        <v>6.65</v>
      </c>
      <c r="E85" s="587"/>
      <c r="F85" s="587">
        <f>(E84+E86)/2</f>
        <v>0</v>
      </c>
      <c r="G85" s="587">
        <f>F85*D85</f>
        <v>0</v>
      </c>
      <c r="H85" s="589"/>
      <c r="I85" s="587">
        <f>(H84+H86)/2</f>
        <v>9.5</v>
      </c>
      <c r="J85" s="591">
        <f>I85*D85</f>
        <v>63.175000000000004</v>
      </c>
      <c r="K85" s="26"/>
    </row>
    <row r="86" spans="2:26" s="1" customFormat="1">
      <c r="B86" s="592" t="s">
        <v>80</v>
      </c>
      <c r="C86" s="595"/>
      <c r="D86" s="587"/>
      <c r="E86" s="587"/>
      <c r="F86" s="587"/>
      <c r="G86" s="587"/>
      <c r="H86" s="589">
        <f>H84</f>
        <v>9.5</v>
      </c>
      <c r="I86" s="587"/>
      <c r="J86" s="591"/>
      <c r="K86" s="26"/>
    </row>
    <row r="87" spans="2:26" s="1" customFormat="1">
      <c r="B87" s="592"/>
      <c r="C87" s="595"/>
      <c r="D87" s="587">
        <v>1.7</v>
      </c>
      <c r="E87" s="587"/>
      <c r="F87" s="587">
        <f>(E86+E90)/2</f>
        <v>0</v>
      </c>
      <c r="G87" s="587">
        <f>F87*D87</f>
        <v>0</v>
      </c>
      <c r="H87" s="589"/>
      <c r="I87" s="587">
        <f>(H86+H88)/2</f>
        <v>8.6</v>
      </c>
      <c r="J87" s="591">
        <f>I87*D87</f>
        <v>14.62</v>
      </c>
      <c r="K87" s="26"/>
    </row>
    <row r="88" spans="2:26" s="1" customFormat="1">
      <c r="B88" s="592" t="s">
        <v>89</v>
      </c>
      <c r="C88" s="595"/>
      <c r="D88" s="587"/>
      <c r="E88" s="587"/>
      <c r="F88" s="587"/>
      <c r="G88" s="587"/>
      <c r="H88" s="589">
        <v>7.7</v>
      </c>
      <c r="I88" s="587"/>
      <c r="J88" s="591"/>
      <c r="K88" s="26"/>
    </row>
    <row r="89" spans="2:26" s="1" customFormat="1">
      <c r="B89" s="592"/>
      <c r="C89" s="595"/>
      <c r="D89" s="587">
        <f>12.2-1.7</f>
        <v>10.5</v>
      </c>
      <c r="E89" s="587"/>
      <c r="F89" s="587">
        <f>(E88+E90)/2</f>
        <v>0</v>
      </c>
      <c r="G89" s="587">
        <f>F89*D89</f>
        <v>0</v>
      </c>
      <c r="H89" s="589"/>
      <c r="I89" s="587">
        <f>(H88+H90)/2</f>
        <v>7.7</v>
      </c>
      <c r="J89" s="591">
        <f>I89*D89</f>
        <v>80.850000000000009</v>
      </c>
      <c r="K89" s="26"/>
    </row>
    <row r="90" spans="2:26" s="1" customFormat="1">
      <c r="B90" s="592" t="s">
        <v>26</v>
      </c>
      <c r="C90" s="595"/>
      <c r="D90" s="587"/>
      <c r="E90" s="587"/>
      <c r="F90" s="587"/>
      <c r="G90" s="587"/>
      <c r="H90" s="593">
        <f>H88</f>
        <v>7.7</v>
      </c>
      <c r="I90" s="587"/>
      <c r="J90" s="591"/>
      <c r="K90" s="26"/>
    </row>
    <row r="91" spans="2:26" s="1" customFormat="1" ht="15.75" thickBot="1">
      <c r="B91" s="592"/>
      <c r="C91" s="597"/>
      <c r="D91" s="524"/>
      <c r="E91" s="587"/>
      <c r="F91" s="524"/>
      <c r="G91" s="524"/>
      <c r="H91" s="598"/>
      <c r="I91" s="524"/>
      <c r="J91" s="525"/>
      <c r="K91" s="26"/>
    </row>
    <row r="92" spans="2:26" s="1" customFormat="1" ht="15.75" thickBot="1">
      <c r="B92" s="71"/>
      <c r="C92" s="72"/>
      <c r="D92" s="72"/>
      <c r="E92" s="72"/>
      <c r="F92" s="72"/>
      <c r="G92" s="73">
        <f>SUM(G66:G90)</f>
        <v>394.09599999999995</v>
      </c>
      <c r="H92" s="72"/>
      <c r="I92" s="72"/>
      <c r="J92" s="74">
        <f>SUM(J66:J91)</f>
        <v>270.25000000000006</v>
      </c>
      <c r="K92" s="26"/>
      <c r="L92" s="26"/>
      <c r="M92" s="4"/>
      <c r="N92" s="4"/>
      <c r="O92" s="4"/>
      <c r="P92" s="4"/>
      <c r="Q92" s="4"/>
      <c r="R92" s="508"/>
      <c r="S92" s="4"/>
      <c r="T92" s="4"/>
      <c r="U92" s="374"/>
      <c r="V92" s="4"/>
      <c r="W92" s="4"/>
      <c r="X92" s="4"/>
      <c r="Y92" s="4"/>
      <c r="Z92" s="4"/>
    </row>
    <row r="93" spans="2:26" s="1" customFormat="1">
      <c r="B93" s="12"/>
      <c r="C93" s="12"/>
      <c r="D93" s="12"/>
      <c r="E93" s="12"/>
      <c r="F93" s="12"/>
      <c r="G93" s="12" t="s">
        <v>21</v>
      </c>
      <c r="H93" s="12"/>
      <c r="I93" s="12"/>
      <c r="J93" s="12" t="s">
        <v>21</v>
      </c>
      <c r="K93" s="26"/>
      <c r="L93" s="26"/>
      <c r="M93" s="29"/>
      <c r="N93" s="29"/>
      <c r="O93" s="29"/>
      <c r="P93" s="29"/>
      <c r="Q93" s="29"/>
      <c r="R93" s="29"/>
      <c r="S93" s="4"/>
      <c r="T93" s="4"/>
      <c r="U93" s="4"/>
      <c r="V93" s="4"/>
      <c r="W93" s="4"/>
      <c r="X93" s="4"/>
      <c r="Y93" s="4"/>
      <c r="Z93" s="4"/>
    </row>
    <row r="94" spans="2:26" s="1" customFormat="1">
      <c r="B94" s="69" t="s">
        <v>42</v>
      </c>
      <c r="C94" s="46" t="s">
        <v>68</v>
      </c>
      <c r="D94" s="29"/>
      <c r="E94" s="29"/>
      <c r="F94" s="29"/>
      <c r="G94" s="29"/>
      <c r="H94" s="29"/>
      <c r="I94" s="29"/>
      <c r="J94" s="29"/>
      <c r="K94" s="26"/>
      <c r="L94" s="26"/>
      <c r="M94" s="26"/>
      <c r="N94" s="26"/>
      <c r="O94" s="4"/>
      <c r="P94" s="4"/>
      <c r="Q94" s="4"/>
      <c r="R94" s="4"/>
      <c r="S94" s="4"/>
      <c r="T94" s="4"/>
      <c r="U94" s="4"/>
      <c r="V94" s="4"/>
      <c r="W94" s="4"/>
      <c r="X94" s="4"/>
      <c r="Y94" s="4"/>
      <c r="Z94" s="4"/>
    </row>
    <row r="95" spans="2:26" s="1" customFormat="1">
      <c r="B95" s="69" t="s">
        <v>69</v>
      </c>
      <c r="C95" s="46" t="s">
        <v>92</v>
      </c>
      <c r="D95" s="29"/>
      <c r="E95" s="29"/>
      <c r="F95" s="29"/>
      <c r="G95" s="29"/>
      <c r="H95" s="29"/>
      <c r="I95" s="29"/>
      <c r="J95" s="29"/>
      <c r="K95" s="26"/>
      <c r="L95" s="26"/>
      <c r="M95" s="26"/>
      <c r="N95" s="26"/>
      <c r="O95" s="4"/>
      <c r="P95" s="4"/>
      <c r="Q95" s="4"/>
      <c r="R95" s="4"/>
      <c r="S95" s="4"/>
      <c r="T95" s="4"/>
      <c r="U95" s="4"/>
      <c r="V95" s="4"/>
      <c r="W95" s="4"/>
      <c r="X95" s="4"/>
      <c r="Y95" s="4"/>
      <c r="Z95" s="4"/>
    </row>
    <row r="96" spans="2:26" s="1" customFormat="1" ht="15.75" thickBot="1">
      <c r="B96" s="69"/>
      <c r="C96" s="46"/>
      <c r="D96" s="29"/>
      <c r="E96" s="29"/>
      <c r="F96" s="29"/>
      <c r="G96" s="29"/>
      <c r="H96" s="29"/>
      <c r="I96" s="29"/>
      <c r="J96" s="29"/>
      <c r="K96" s="26"/>
      <c r="L96" s="26"/>
      <c r="M96" s="26"/>
      <c r="N96" s="26"/>
      <c r="O96" s="4"/>
      <c r="P96" s="4"/>
      <c r="Q96" s="4"/>
      <c r="R96" s="4"/>
      <c r="S96" s="4"/>
      <c r="T96" s="4"/>
      <c r="U96" s="4"/>
      <c r="V96" s="4"/>
      <c r="W96" s="4"/>
      <c r="X96" s="4"/>
      <c r="Y96" s="4"/>
      <c r="Z96" s="4"/>
    </row>
    <row r="97" spans="2:12" s="1" customFormat="1" ht="15.75" customHeight="1" thickBot="1">
      <c r="B97" s="572" t="s">
        <v>11</v>
      </c>
      <c r="C97" s="573"/>
      <c r="D97" s="602" t="s">
        <v>10</v>
      </c>
      <c r="E97" s="605" t="s">
        <v>93</v>
      </c>
      <c r="F97" s="606"/>
      <c r="G97" s="607"/>
      <c r="H97" s="605" t="s">
        <v>96</v>
      </c>
      <c r="I97" s="606"/>
      <c r="J97" s="607"/>
      <c r="L97" s="26"/>
    </row>
    <row r="98" spans="2:12" s="1" customFormat="1" ht="15.75" customHeight="1" thickBot="1">
      <c r="B98" s="574"/>
      <c r="C98" s="575"/>
      <c r="D98" s="603"/>
      <c r="E98" s="608" t="s">
        <v>68</v>
      </c>
      <c r="F98" s="609"/>
      <c r="G98" s="610"/>
      <c r="H98" s="608" t="s">
        <v>92</v>
      </c>
      <c r="I98" s="609"/>
      <c r="J98" s="610"/>
      <c r="L98" s="26"/>
    </row>
    <row r="99" spans="2:12" s="1" customFormat="1" ht="23.25" customHeight="1" thickBot="1">
      <c r="B99" s="23" t="s">
        <v>8</v>
      </c>
      <c r="C99" s="6" t="s">
        <v>9</v>
      </c>
      <c r="D99" s="604"/>
      <c r="E99" s="8" t="s">
        <v>12</v>
      </c>
      <c r="F99" s="9" t="s">
        <v>13</v>
      </c>
      <c r="G99" s="8" t="s">
        <v>14</v>
      </c>
      <c r="H99" s="8" t="s">
        <v>12</v>
      </c>
      <c r="I99" s="9" t="s">
        <v>13</v>
      </c>
      <c r="J99" s="8" t="s">
        <v>14</v>
      </c>
      <c r="L99" s="26"/>
    </row>
    <row r="100" spans="2:12" s="1" customFormat="1" ht="15.75" thickBot="1">
      <c r="B100" s="19"/>
      <c r="C100" s="7" t="s">
        <v>7</v>
      </c>
      <c r="D100" s="523" t="s">
        <v>6</v>
      </c>
      <c r="E100" s="10" t="s">
        <v>27</v>
      </c>
      <c r="F100" s="11" t="s">
        <v>27</v>
      </c>
      <c r="G100" s="10" t="s">
        <v>28</v>
      </c>
      <c r="H100" s="10" t="s">
        <v>27</v>
      </c>
      <c r="I100" s="11" t="s">
        <v>27</v>
      </c>
      <c r="J100" s="10" t="s">
        <v>28</v>
      </c>
      <c r="L100" s="26"/>
    </row>
    <row r="101" spans="2:12" s="1" customFormat="1">
      <c r="B101" s="582" t="s">
        <v>24</v>
      </c>
      <c r="C101" s="611"/>
      <c r="D101" s="599">
        <v>9.6999999999999993</v>
      </c>
      <c r="E101" s="599">
        <f>E103</f>
        <v>6.3</v>
      </c>
      <c r="F101" s="599">
        <f>(E101+E103)/2</f>
        <v>6.3</v>
      </c>
      <c r="G101" s="599">
        <f>D101*F101</f>
        <v>61.109999999999992</v>
      </c>
      <c r="H101" s="599">
        <f>H103</f>
        <v>2.2999999999999998</v>
      </c>
      <c r="I101" s="599">
        <f>(H101+H103)/2</f>
        <v>2.2999999999999998</v>
      </c>
      <c r="J101" s="613">
        <f>I101*D101</f>
        <v>22.309999999999995</v>
      </c>
      <c r="L101" s="26"/>
    </row>
    <row r="102" spans="2:12" s="1" customFormat="1">
      <c r="B102" s="583"/>
      <c r="C102" s="612"/>
      <c r="D102" s="598"/>
      <c r="E102" s="594"/>
      <c r="F102" s="598"/>
      <c r="G102" s="598"/>
      <c r="H102" s="594"/>
      <c r="I102" s="598"/>
      <c r="J102" s="614"/>
      <c r="L102" s="26"/>
    </row>
    <row r="103" spans="2:12" s="1" customFormat="1">
      <c r="B103" s="592" t="s">
        <v>75</v>
      </c>
      <c r="C103" s="616"/>
      <c r="D103" s="594"/>
      <c r="E103" s="593">
        <v>6.3</v>
      </c>
      <c r="F103" s="594"/>
      <c r="G103" s="594"/>
      <c r="H103" s="593">
        <v>2.2999999999999998</v>
      </c>
      <c r="I103" s="594"/>
      <c r="J103" s="615"/>
      <c r="L103" s="26"/>
    </row>
    <row r="104" spans="2:12" s="1" customFormat="1">
      <c r="B104" s="583"/>
      <c r="C104" s="612"/>
      <c r="D104" s="593">
        <v>4.8</v>
      </c>
      <c r="E104" s="594"/>
      <c r="F104" s="593">
        <f>(E103+E105)/2</f>
        <v>5.55</v>
      </c>
      <c r="G104" s="593">
        <f>F104*D104</f>
        <v>26.639999999999997</v>
      </c>
      <c r="H104" s="594"/>
      <c r="I104" s="593">
        <f>(H103+H105)/2</f>
        <v>1.4</v>
      </c>
      <c r="J104" s="617">
        <f>I104*D104</f>
        <v>6.72</v>
      </c>
      <c r="L104" s="26"/>
    </row>
    <row r="105" spans="2:12" s="1" customFormat="1">
      <c r="B105" s="592" t="s">
        <v>76</v>
      </c>
      <c r="C105" s="616"/>
      <c r="D105" s="594"/>
      <c r="E105" s="593">
        <v>4.8</v>
      </c>
      <c r="F105" s="594"/>
      <c r="G105" s="594"/>
      <c r="H105" s="593">
        <v>0.5</v>
      </c>
      <c r="I105" s="594"/>
      <c r="J105" s="615"/>
      <c r="L105" s="26"/>
    </row>
    <row r="106" spans="2:12" s="1" customFormat="1">
      <c r="B106" s="583"/>
      <c r="C106" s="612"/>
      <c r="D106" s="593">
        <v>9.6</v>
      </c>
      <c r="E106" s="594"/>
      <c r="F106" s="593">
        <f>(E105+E107)/2</f>
        <v>3.8</v>
      </c>
      <c r="G106" s="593">
        <f>F106*D106</f>
        <v>36.479999999999997</v>
      </c>
      <c r="H106" s="594"/>
      <c r="I106" s="593">
        <f>(H105+H107)/2</f>
        <v>0.42499999999999999</v>
      </c>
      <c r="J106" s="617">
        <f>I106*D106</f>
        <v>4.08</v>
      </c>
      <c r="L106" s="26"/>
    </row>
    <row r="107" spans="2:12" s="1" customFormat="1">
      <c r="B107" s="592" t="s">
        <v>77</v>
      </c>
      <c r="C107" s="616"/>
      <c r="D107" s="594"/>
      <c r="E107" s="593">
        <v>2.8</v>
      </c>
      <c r="F107" s="594"/>
      <c r="G107" s="594"/>
      <c r="H107" s="593">
        <v>0.35</v>
      </c>
      <c r="I107" s="594"/>
      <c r="J107" s="615"/>
      <c r="L107" s="26"/>
    </row>
    <row r="108" spans="2:12" s="1" customFormat="1">
      <c r="B108" s="583"/>
      <c r="C108" s="612"/>
      <c r="D108" s="593">
        <v>3</v>
      </c>
      <c r="E108" s="594"/>
      <c r="F108" s="593">
        <f>(E107+E109)/2</f>
        <v>2.8</v>
      </c>
      <c r="G108" s="593">
        <f>F108*D108</f>
        <v>8.3999999999999986</v>
      </c>
      <c r="H108" s="594"/>
      <c r="I108" s="593">
        <f>(H107+H109)/2</f>
        <v>0.375</v>
      </c>
      <c r="J108" s="617">
        <f>I108*D108</f>
        <v>1.125</v>
      </c>
      <c r="L108" s="26"/>
    </row>
    <row r="109" spans="2:12" s="1" customFormat="1">
      <c r="B109" s="592" t="s">
        <v>78</v>
      </c>
      <c r="C109" s="597"/>
      <c r="D109" s="594"/>
      <c r="E109" s="593">
        <v>2.8</v>
      </c>
      <c r="F109" s="594"/>
      <c r="G109" s="594"/>
      <c r="H109" s="593">
        <v>0.4</v>
      </c>
      <c r="I109" s="594"/>
      <c r="J109" s="615"/>
      <c r="L109" s="26"/>
    </row>
    <row r="110" spans="2:12" s="1" customFormat="1">
      <c r="B110" s="583"/>
      <c r="C110" s="618"/>
      <c r="D110" s="593">
        <v>6.9</v>
      </c>
      <c r="E110" s="594"/>
      <c r="F110" s="593">
        <f>(E109+E111)/2</f>
        <v>2.75</v>
      </c>
      <c r="G110" s="593">
        <f>F110*D110</f>
        <v>18.975000000000001</v>
      </c>
      <c r="H110" s="594"/>
      <c r="I110" s="593">
        <f>(H109+H111)/2</f>
        <v>0.5</v>
      </c>
      <c r="J110" s="617">
        <f>I110*D110</f>
        <v>3.45</v>
      </c>
      <c r="L110" s="26"/>
    </row>
    <row r="111" spans="2:12" s="1" customFormat="1">
      <c r="B111" s="592" t="s">
        <v>79</v>
      </c>
      <c r="C111" s="597"/>
      <c r="D111" s="594"/>
      <c r="E111" s="593">
        <v>2.7</v>
      </c>
      <c r="F111" s="594"/>
      <c r="G111" s="594"/>
      <c r="H111" s="593">
        <v>0.6</v>
      </c>
      <c r="I111" s="594"/>
      <c r="J111" s="615"/>
      <c r="L111" s="26"/>
    </row>
    <row r="112" spans="2:12" s="1" customFormat="1">
      <c r="B112" s="583"/>
      <c r="C112" s="618"/>
      <c r="D112" s="593">
        <v>6.65</v>
      </c>
      <c r="E112" s="594"/>
      <c r="F112" s="593">
        <f>(E111+E113)/2</f>
        <v>2.7</v>
      </c>
      <c r="G112" s="593">
        <f>F112*D112</f>
        <v>17.955000000000002</v>
      </c>
      <c r="H112" s="594"/>
      <c r="I112" s="593">
        <f>(H111+H113)/2</f>
        <v>0.6</v>
      </c>
      <c r="J112" s="617">
        <f>I112*D112</f>
        <v>3.99</v>
      </c>
      <c r="L112" s="26"/>
    </row>
    <row r="113" spans="1:20" s="1" customFormat="1">
      <c r="B113" s="600" t="s">
        <v>89</v>
      </c>
      <c r="C113" s="597"/>
      <c r="D113" s="594"/>
      <c r="E113" s="593">
        <f>E111</f>
        <v>2.7</v>
      </c>
      <c r="F113" s="594"/>
      <c r="G113" s="594"/>
      <c r="H113" s="593">
        <f>H111</f>
        <v>0.6</v>
      </c>
      <c r="I113" s="594"/>
      <c r="J113" s="615"/>
      <c r="L113" s="26"/>
    </row>
    <row r="114" spans="1:20" s="1" customFormat="1">
      <c r="B114" s="600"/>
      <c r="C114" s="618"/>
      <c r="D114" s="593">
        <v>1.7</v>
      </c>
      <c r="E114" s="594"/>
      <c r="F114" s="593">
        <f>(E113+E115)/2</f>
        <v>3.3</v>
      </c>
      <c r="G114" s="593">
        <f>F114*D114</f>
        <v>5.6099999999999994</v>
      </c>
      <c r="H114" s="594"/>
      <c r="I114" s="593">
        <f>(H113+H115)/2</f>
        <v>0.75</v>
      </c>
      <c r="J114" s="617">
        <f>I114*D114</f>
        <v>1.2749999999999999</v>
      </c>
      <c r="L114" s="26"/>
    </row>
    <row r="115" spans="1:20" s="1" customFormat="1">
      <c r="B115" s="592" t="s">
        <v>80</v>
      </c>
      <c r="C115" s="597"/>
      <c r="D115" s="594"/>
      <c r="E115" s="593">
        <v>3.9</v>
      </c>
      <c r="F115" s="594"/>
      <c r="G115" s="594"/>
      <c r="H115" s="593">
        <v>0.9</v>
      </c>
      <c r="I115" s="594"/>
      <c r="J115" s="615"/>
      <c r="L115" s="26"/>
    </row>
    <row r="116" spans="1:20" s="1" customFormat="1">
      <c r="B116" s="583"/>
      <c r="C116" s="618"/>
      <c r="D116" s="593">
        <v>10.5</v>
      </c>
      <c r="E116" s="594"/>
      <c r="F116" s="593">
        <f>(E115+E117)/2</f>
        <v>3.9</v>
      </c>
      <c r="G116" s="593">
        <f>F116*D116</f>
        <v>40.949999999999996</v>
      </c>
      <c r="H116" s="594"/>
      <c r="I116" s="593">
        <f>(H115+H117)/2</f>
        <v>0.9</v>
      </c>
      <c r="J116" s="617">
        <f>I116*D116</f>
        <v>9.4500000000000011</v>
      </c>
      <c r="L116" s="26"/>
    </row>
    <row r="117" spans="1:20" s="1" customFormat="1">
      <c r="B117" s="592" t="s">
        <v>26</v>
      </c>
      <c r="C117" s="597"/>
      <c r="D117" s="594"/>
      <c r="E117" s="593">
        <f>E115</f>
        <v>3.9</v>
      </c>
      <c r="F117" s="594"/>
      <c r="G117" s="594"/>
      <c r="H117" s="593">
        <f>H115</f>
        <v>0.9</v>
      </c>
      <c r="I117" s="594"/>
      <c r="J117" s="615"/>
      <c r="L117" s="26"/>
    </row>
    <row r="118" spans="1:20" s="1" customFormat="1" ht="15.75" thickBot="1">
      <c r="B118" s="596"/>
      <c r="C118" s="620"/>
      <c r="D118" s="524"/>
      <c r="E118" s="619"/>
      <c r="F118" s="524"/>
      <c r="G118" s="524"/>
      <c r="H118" s="619"/>
      <c r="I118" s="524"/>
      <c r="J118" s="525"/>
      <c r="L118" s="26"/>
    </row>
    <row r="119" spans="1:20" s="1" customFormat="1">
      <c r="B119" s="510"/>
      <c r="C119" s="76"/>
      <c r="D119" s="76"/>
      <c r="E119" s="76"/>
      <c r="F119" s="76"/>
      <c r="G119" s="511">
        <f>SUM(G101:G117)</f>
        <v>216.12</v>
      </c>
      <c r="H119" s="76"/>
      <c r="I119" s="76"/>
      <c r="J119" s="512">
        <f>SUM(J101:J118)</f>
        <v>52.4</v>
      </c>
      <c r="L119" s="26"/>
    </row>
    <row r="120" spans="1:20" s="1" customFormat="1" ht="15.75" thickBot="1">
      <c r="A120" s="4"/>
      <c r="B120" s="513"/>
      <c r="C120" s="514"/>
      <c r="D120" s="514"/>
      <c r="E120" s="514"/>
      <c r="F120" s="514"/>
      <c r="G120" s="515" t="s">
        <v>21</v>
      </c>
      <c r="H120" s="515"/>
      <c r="I120" s="515"/>
      <c r="J120" s="516" t="s">
        <v>21</v>
      </c>
      <c r="K120" s="4"/>
      <c r="L120" s="26"/>
    </row>
    <row r="121" spans="1:20" s="1" customFormat="1">
      <c r="A121" s="4"/>
      <c r="B121" s="29"/>
      <c r="C121" s="29"/>
      <c r="D121" s="29"/>
      <c r="E121" s="29"/>
      <c r="F121" s="29"/>
      <c r="G121" s="354"/>
      <c r="H121" s="354"/>
      <c r="I121" s="354"/>
      <c r="J121" s="354"/>
      <c r="K121" s="4"/>
      <c r="L121" s="26"/>
    </row>
    <row r="122" spans="1:20" s="1" customFormat="1">
      <c r="A122" s="151"/>
      <c r="B122" s="549" t="s">
        <v>570</v>
      </c>
      <c r="C122" s="550" t="s">
        <v>571</v>
      </c>
      <c r="D122" s="354"/>
      <c r="E122" s="354"/>
      <c r="F122" s="354"/>
      <c r="G122" s="29"/>
      <c r="H122" s="29"/>
      <c r="I122" s="29"/>
      <c r="J122" s="29"/>
      <c r="K122" s="4"/>
      <c r="L122" s="26"/>
    </row>
    <row r="123" spans="1:20" s="1" customFormat="1">
      <c r="A123" s="151"/>
      <c r="B123" s="549"/>
      <c r="C123" s="168" t="s">
        <v>345</v>
      </c>
      <c r="D123" s="144"/>
      <c r="E123" s="169"/>
      <c r="F123" s="354"/>
      <c r="G123" s="29"/>
      <c r="H123" s="29"/>
      <c r="I123" s="29"/>
      <c r="J123" s="29"/>
      <c r="K123" s="4"/>
      <c r="L123" s="26"/>
    </row>
    <row r="124" spans="1:20" s="1" customFormat="1">
      <c r="A124" s="151"/>
      <c r="B124" s="549"/>
      <c r="C124" s="140" t="s">
        <v>203</v>
      </c>
      <c r="D124" s="12"/>
      <c r="E124" s="141">
        <v>48</v>
      </c>
      <c r="F124" s="142" t="s">
        <v>6</v>
      </c>
      <c r="G124" s="29"/>
      <c r="H124" s="29"/>
      <c r="I124" s="29"/>
      <c r="J124" s="29"/>
      <c r="K124" s="4"/>
      <c r="L124" s="26"/>
    </row>
    <row r="125" spans="1:20" s="1" customFormat="1">
      <c r="A125" s="151"/>
      <c r="B125" s="549"/>
      <c r="C125" s="113" t="s">
        <v>204</v>
      </c>
      <c r="D125" s="13"/>
      <c r="E125" s="114">
        <v>4.7</v>
      </c>
      <c r="F125" s="115" t="s">
        <v>6</v>
      </c>
      <c r="G125" s="13"/>
      <c r="H125" s="13"/>
      <c r="I125" s="13"/>
      <c r="J125" s="29"/>
      <c r="K125" s="4"/>
      <c r="L125" s="26"/>
    </row>
    <row r="126" spans="1:20" s="1" customFormat="1">
      <c r="A126" s="151"/>
      <c r="B126" s="549"/>
      <c r="C126" s="550" t="s">
        <v>572</v>
      </c>
      <c r="D126" s="354"/>
      <c r="E126" s="354"/>
      <c r="F126" s="354"/>
      <c r="G126" s="29">
        <f>E125*E124</f>
        <v>225.60000000000002</v>
      </c>
      <c r="H126" s="29" t="s">
        <v>20</v>
      </c>
      <c r="I126" s="29"/>
      <c r="J126" s="29"/>
      <c r="K126" s="4"/>
      <c r="L126" s="26"/>
      <c r="M126" s="517"/>
      <c r="N126" s="4"/>
      <c r="O126" s="4"/>
      <c r="P126" s="4"/>
      <c r="Q126" s="4"/>
      <c r="R126" s="4"/>
      <c r="S126" s="4"/>
      <c r="T126" s="4"/>
    </row>
    <row r="127" spans="1:20" s="1" customFormat="1">
      <c r="A127" s="151"/>
      <c r="B127" s="549"/>
      <c r="C127" s="550" t="s">
        <v>573</v>
      </c>
      <c r="D127" s="354" t="s">
        <v>574</v>
      </c>
      <c r="E127" s="354"/>
      <c r="F127" s="354"/>
      <c r="G127" s="29">
        <f>G126*0.4/2</f>
        <v>45.120000000000005</v>
      </c>
      <c r="H127" s="29" t="s">
        <v>21</v>
      </c>
      <c r="I127" s="29"/>
      <c r="J127" s="29"/>
      <c r="K127" s="4"/>
      <c r="L127" s="26"/>
      <c r="M127" s="4"/>
      <c r="N127" s="4"/>
      <c r="O127" s="4"/>
      <c r="P127" s="4"/>
      <c r="Q127" s="4"/>
      <c r="R127" s="4"/>
      <c r="S127" s="4"/>
      <c r="T127" s="4"/>
    </row>
    <row r="128" spans="1:20" s="1" customFormat="1">
      <c r="A128" s="151"/>
      <c r="B128" s="549"/>
      <c r="C128" s="550"/>
      <c r="D128" s="354"/>
      <c r="E128" s="354"/>
      <c r="F128" s="354"/>
      <c r="G128" s="12"/>
      <c r="H128" s="12"/>
      <c r="I128" s="29"/>
      <c r="J128" s="29"/>
      <c r="K128" s="4"/>
      <c r="L128" s="26"/>
      <c r="M128" s="4"/>
      <c r="N128" s="518"/>
      <c r="O128" s="31"/>
      <c r="P128" s="32"/>
      <c r="Q128" s="41"/>
      <c r="R128" s="41"/>
      <c r="S128" s="4"/>
      <c r="T128" s="4"/>
    </row>
    <row r="129" spans="2:25" s="1" customFormat="1">
      <c r="B129" s="69"/>
      <c r="C129" s="46" t="s">
        <v>52</v>
      </c>
      <c r="D129" s="29" t="s">
        <v>53</v>
      </c>
      <c r="E129" s="29"/>
      <c r="F129" s="29"/>
      <c r="G129" s="29"/>
      <c r="H129" s="29"/>
      <c r="I129" s="29"/>
      <c r="J129" s="29"/>
      <c r="K129" s="29"/>
      <c r="L129" s="26"/>
      <c r="M129" s="3"/>
      <c r="N129" s="3"/>
    </row>
    <row r="130" spans="2:25" s="1" customFormat="1" ht="15.75" thickBot="1">
      <c r="B130" s="69"/>
      <c r="C130" s="46" t="s">
        <v>44</v>
      </c>
      <c r="D130" s="29" t="s">
        <v>95</v>
      </c>
      <c r="E130" s="29"/>
      <c r="F130" s="29"/>
      <c r="G130" s="29"/>
      <c r="H130" s="29"/>
      <c r="I130" s="29"/>
      <c r="J130" s="29"/>
      <c r="K130" s="29"/>
      <c r="L130" s="26"/>
      <c r="M130" s="3"/>
      <c r="N130" s="3"/>
    </row>
    <row r="131" spans="2:25" s="1" customFormat="1" ht="15.75" thickBot="1">
      <c r="B131" s="75"/>
      <c r="C131" s="76"/>
      <c r="D131" s="76"/>
      <c r="E131" s="76"/>
      <c r="F131" s="76"/>
      <c r="G131" s="76"/>
      <c r="H131" s="76"/>
      <c r="I131" s="76"/>
      <c r="J131" s="77"/>
      <c r="L131" s="26"/>
      <c r="M131" s="86"/>
      <c r="N131" s="46"/>
      <c r="O131" s="29"/>
      <c r="P131" s="29"/>
      <c r="Q131" s="29"/>
      <c r="R131" s="29"/>
      <c r="S131" s="29"/>
      <c r="T131" s="29"/>
      <c r="U131" s="29"/>
      <c r="V131" s="29"/>
      <c r="W131" s="4"/>
      <c r="X131" s="4"/>
      <c r="Y131" s="4"/>
    </row>
    <row r="132" spans="2:25" s="1" customFormat="1" ht="15.75" thickBot="1">
      <c r="B132" s="572" t="s">
        <v>11</v>
      </c>
      <c r="C132" s="573"/>
      <c r="D132" s="576" t="s">
        <v>10</v>
      </c>
      <c r="E132" s="578" t="s">
        <v>107</v>
      </c>
      <c r="F132" s="578"/>
      <c r="G132" s="578"/>
      <c r="H132" s="578" t="s">
        <v>111</v>
      </c>
      <c r="I132" s="578"/>
      <c r="J132" s="578"/>
      <c r="L132" s="26"/>
      <c r="M132" s="86"/>
      <c r="N132" s="46"/>
      <c r="O132" s="29"/>
      <c r="P132" s="29"/>
      <c r="Q132" s="29"/>
      <c r="R132" s="29"/>
      <c r="S132" s="29"/>
      <c r="T132" s="29"/>
      <c r="U132" s="29"/>
      <c r="V132" s="29"/>
      <c r="W132" s="4"/>
      <c r="X132" s="4"/>
      <c r="Y132" s="4"/>
    </row>
    <row r="133" spans="2:25" s="1" customFormat="1" ht="24" customHeight="1" thickBot="1">
      <c r="B133" s="574"/>
      <c r="C133" s="575"/>
      <c r="D133" s="576"/>
      <c r="E133" s="579" t="s">
        <v>53</v>
      </c>
      <c r="F133" s="580"/>
      <c r="G133" s="581"/>
      <c r="H133" s="579" t="s">
        <v>95</v>
      </c>
      <c r="I133" s="580"/>
      <c r="J133" s="581"/>
      <c r="L133" s="26"/>
      <c r="M133" s="46"/>
      <c r="N133" s="29"/>
      <c r="O133" s="29"/>
      <c r="P133" s="29"/>
      <c r="Q133" s="29"/>
      <c r="R133" s="29"/>
      <c r="S133" s="29"/>
      <c r="T133" s="29"/>
      <c r="U133" s="29"/>
      <c r="V133" s="4"/>
      <c r="W133" s="4"/>
      <c r="X133" s="4"/>
      <c r="Y133" s="4"/>
    </row>
    <row r="134" spans="2:25" s="1" customFormat="1" ht="15.75" thickBot="1">
      <c r="B134" s="23" t="s">
        <v>8</v>
      </c>
      <c r="C134" s="6" t="s">
        <v>9</v>
      </c>
      <c r="D134" s="577"/>
      <c r="E134" s="8" t="s">
        <v>12</v>
      </c>
      <c r="F134" s="9" t="s">
        <v>13</v>
      </c>
      <c r="G134" s="8" t="s">
        <v>14</v>
      </c>
      <c r="H134" s="8" t="s">
        <v>12</v>
      </c>
      <c r="I134" s="9" t="s">
        <v>13</v>
      </c>
      <c r="J134" s="8" t="s">
        <v>14</v>
      </c>
      <c r="L134" s="26"/>
      <c r="M134" s="625"/>
      <c r="N134" s="625"/>
      <c r="O134" s="626"/>
      <c r="P134" s="627"/>
      <c r="Q134" s="627"/>
      <c r="R134" s="627"/>
      <c r="S134" s="627"/>
      <c r="T134" s="627"/>
      <c r="U134" s="627"/>
      <c r="V134" s="4"/>
      <c r="W134" s="4"/>
      <c r="X134" s="4"/>
      <c r="Y134" s="4"/>
    </row>
    <row r="135" spans="2:25" s="1" customFormat="1" ht="15.75" thickBot="1">
      <c r="B135" s="19"/>
      <c r="C135" s="7" t="s">
        <v>7</v>
      </c>
      <c r="D135" s="523" t="s">
        <v>6</v>
      </c>
      <c r="E135" s="10" t="s">
        <v>6</v>
      </c>
      <c r="F135" s="11" t="s">
        <v>6</v>
      </c>
      <c r="G135" s="10" t="s">
        <v>27</v>
      </c>
      <c r="H135" s="10" t="s">
        <v>6</v>
      </c>
      <c r="I135" s="11" t="s">
        <v>6</v>
      </c>
      <c r="J135" s="10" t="s">
        <v>27</v>
      </c>
      <c r="L135" s="26"/>
      <c r="M135" s="625"/>
      <c r="N135" s="625"/>
      <c r="O135" s="626"/>
      <c r="P135" s="628"/>
      <c r="Q135" s="628"/>
      <c r="R135" s="628"/>
      <c r="S135" s="628"/>
      <c r="T135" s="628"/>
      <c r="U135" s="628"/>
      <c r="V135" s="4"/>
      <c r="W135" s="4"/>
      <c r="X135" s="4"/>
      <c r="Y135" s="4"/>
    </row>
    <row r="136" spans="2:25" s="1" customFormat="1">
      <c r="B136" s="622" t="s">
        <v>24</v>
      </c>
      <c r="C136" s="584"/>
      <c r="D136" s="586">
        <v>9.6999999999999993</v>
      </c>
      <c r="E136" s="586">
        <f>E138</f>
        <v>1.5</v>
      </c>
      <c r="F136" s="586">
        <f>(E136+E138)/2</f>
        <v>1.5</v>
      </c>
      <c r="G136" s="586">
        <f>D136*F136</f>
        <v>14.549999999999999</v>
      </c>
      <c r="H136" s="588">
        <f>H138</f>
        <v>5.0999999999999996</v>
      </c>
      <c r="I136" s="586">
        <f>(H136+H138)/2</f>
        <v>5.0999999999999996</v>
      </c>
      <c r="J136" s="590">
        <f>I136*D136</f>
        <v>49.469999999999992</v>
      </c>
      <c r="L136" s="26"/>
      <c r="M136" s="85"/>
      <c r="N136" s="80"/>
      <c r="O136" s="626"/>
      <c r="P136" s="24"/>
      <c r="Q136" s="25"/>
      <c r="R136" s="24"/>
      <c r="S136" s="24"/>
      <c r="T136" s="25"/>
      <c r="U136" s="24"/>
      <c r="V136" s="4"/>
      <c r="W136" s="4"/>
      <c r="X136" s="4"/>
      <c r="Y136" s="4"/>
    </row>
    <row r="137" spans="2:25" s="1" customFormat="1">
      <c r="B137" s="623"/>
      <c r="C137" s="585"/>
      <c r="D137" s="587"/>
      <c r="E137" s="587"/>
      <c r="F137" s="587"/>
      <c r="G137" s="587"/>
      <c r="H137" s="589"/>
      <c r="I137" s="587"/>
      <c r="J137" s="591"/>
      <c r="L137" s="26"/>
      <c r="M137" s="18"/>
      <c r="N137" s="107"/>
      <c r="O137" s="85"/>
      <c r="P137" s="22"/>
      <c r="Q137" s="30"/>
      <c r="R137" s="22"/>
      <c r="S137" s="22"/>
      <c r="T137" s="30"/>
      <c r="U137" s="22"/>
      <c r="V137" s="4"/>
      <c r="W137" s="4"/>
      <c r="X137" s="4"/>
      <c r="Y137" s="4"/>
    </row>
    <row r="138" spans="2:25" s="1" customFormat="1">
      <c r="B138" s="623" t="s">
        <v>75</v>
      </c>
      <c r="C138" s="585"/>
      <c r="D138" s="587"/>
      <c r="E138" s="587">
        <v>1.5</v>
      </c>
      <c r="F138" s="587"/>
      <c r="G138" s="587"/>
      <c r="H138" s="593">
        <v>5.0999999999999996</v>
      </c>
      <c r="I138" s="587"/>
      <c r="J138" s="591"/>
      <c r="L138" s="26"/>
      <c r="M138" s="621"/>
      <c r="N138" s="629"/>
      <c r="O138" s="630"/>
      <c r="P138" s="630"/>
      <c r="Q138" s="630"/>
      <c r="R138" s="630"/>
      <c r="S138" s="630"/>
      <c r="T138" s="630"/>
      <c r="U138" s="630"/>
      <c r="V138" s="4"/>
      <c r="W138" s="4"/>
      <c r="X138" s="4"/>
      <c r="Y138" s="4"/>
    </row>
    <row r="139" spans="2:25" s="1" customFormat="1">
      <c r="B139" s="623"/>
      <c r="C139" s="585"/>
      <c r="D139" s="587">
        <v>4.8</v>
      </c>
      <c r="E139" s="587"/>
      <c r="F139" s="587">
        <f>(E138+E140)/2</f>
        <v>1</v>
      </c>
      <c r="G139" s="587">
        <f>F139*D139</f>
        <v>4.8</v>
      </c>
      <c r="H139" s="594"/>
      <c r="I139" s="587">
        <f>(H138+H140)/2</f>
        <v>4.25</v>
      </c>
      <c r="J139" s="591">
        <f>I139*D139</f>
        <v>20.399999999999999</v>
      </c>
      <c r="L139" s="26"/>
      <c r="M139" s="621"/>
      <c r="N139" s="629"/>
      <c r="O139" s="630"/>
      <c r="P139" s="630"/>
      <c r="Q139" s="630"/>
      <c r="R139" s="630"/>
      <c r="S139" s="630"/>
      <c r="T139" s="630"/>
      <c r="U139" s="630"/>
      <c r="V139" s="4"/>
      <c r="W139" s="4"/>
      <c r="X139" s="4"/>
      <c r="Y139" s="4"/>
    </row>
    <row r="140" spans="2:25" s="1" customFormat="1">
      <c r="B140" s="623" t="s">
        <v>76</v>
      </c>
      <c r="C140" s="585"/>
      <c r="D140" s="587"/>
      <c r="E140" s="587">
        <v>0.5</v>
      </c>
      <c r="F140" s="587"/>
      <c r="G140" s="587"/>
      <c r="H140" s="593">
        <v>3.4</v>
      </c>
      <c r="I140" s="587"/>
      <c r="J140" s="591"/>
      <c r="L140" s="26"/>
      <c r="M140" s="621"/>
      <c r="N140" s="629"/>
      <c r="O140" s="630"/>
      <c r="P140" s="630"/>
      <c r="Q140" s="630"/>
      <c r="R140" s="630"/>
      <c r="S140" s="630"/>
      <c r="T140" s="630"/>
      <c r="U140" s="630"/>
      <c r="V140" s="4"/>
      <c r="W140" s="4"/>
      <c r="X140" s="4"/>
      <c r="Y140" s="4"/>
    </row>
    <row r="141" spans="2:25" s="1" customFormat="1">
      <c r="B141" s="623"/>
      <c r="C141" s="585"/>
      <c r="D141" s="587">
        <v>9.6</v>
      </c>
      <c r="E141" s="587"/>
      <c r="F141" s="587">
        <f>(E140+E142)/2</f>
        <v>0.55000000000000004</v>
      </c>
      <c r="G141" s="587">
        <f>F141*D141</f>
        <v>5.28</v>
      </c>
      <c r="H141" s="594"/>
      <c r="I141" s="587">
        <f>(H140+H142)/2</f>
        <v>3</v>
      </c>
      <c r="J141" s="591">
        <f>I141*D141</f>
        <v>28.799999999999997</v>
      </c>
      <c r="L141" s="26"/>
      <c r="M141" s="621"/>
      <c r="N141" s="629"/>
      <c r="O141" s="630"/>
      <c r="P141" s="630"/>
      <c r="Q141" s="630"/>
      <c r="R141" s="630"/>
      <c r="S141" s="630"/>
      <c r="T141" s="630"/>
      <c r="U141" s="630"/>
      <c r="V141" s="4"/>
      <c r="W141" s="4"/>
      <c r="X141" s="4"/>
      <c r="Y141" s="4"/>
    </row>
    <row r="142" spans="2:25" s="1" customFormat="1">
      <c r="B142" s="623" t="s">
        <v>77</v>
      </c>
      <c r="C142" s="585"/>
      <c r="D142" s="587"/>
      <c r="E142" s="587">
        <v>0.6</v>
      </c>
      <c r="F142" s="587"/>
      <c r="G142" s="587"/>
      <c r="H142" s="589">
        <v>2.6</v>
      </c>
      <c r="I142" s="587"/>
      <c r="J142" s="591"/>
      <c r="L142" s="26"/>
      <c r="M142" s="621"/>
      <c r="N142" s="629"/>
      <c r="O142" s="630"/>
      <c r="P142" s="630"/>
      <c r="Q142" s="630"/>
      <c r="R142" s="630"/>
      <c r="S142" s="630"/>
      <c r="T142" s="630"/>
      <c r="U142" s="630"/>
      <c r="V142" s="4"/>
      <c r="W142" s="4"/>
      <c r="X142" s="4"/>
      <c r="Y142" s="4"/>
    </row>
    <row r="143" spans="2:25" s="1" customFormat="1">
      <c r="B143" s="623"/>
      <c r="C143" s="585"/>
      <c r="D143" s="587">
        <v>3</v>
      </c>
      <c r="E143" s="587"/>
      <c r="F143" s="587">
        <f>(E142+E144)/2</f>
        <v>0.64999999999999991</v>
      </c>
      <c r="G143" s="587">
        <f>F143*D143</f>
        <v>1.9499999999999997</v>
      </c>
      <c r="H143" s="589"/>
      <c r="I143" s="587">
        <f>(H142+H144)/2</f>
        <v>2.6</v>
      </c>
      <c r="J143" s="591">
        <f>I143*D143</f>
        <v>7.8000000000000007</v>
      </c>
      <c r="L143" s="26"/>
      <c r="M143" s="621"/>
      <c r="N143" s="629"/>
      <c r="O143" s="630"/>
      <c r="P143" s="630"/>
      <c r="Q143" s="630"/>
      <c r="R143" s="630"/>
      <c r="S143" s="630"/>
      <c r="T143" s="630"/>
      <c r="U143" s="630"/>
      <c r="V143" s="4"/>
      <c r="W143" s="4"/>
      <c r="X143" s="4"/>
      <c r="Y143" s="4"/>
    </row>
    <row r="144" spans="2:25" s="1" customFormat="1">
      <c r="B144" s="623" t="s">
        <v>78</v>
      </c>
      <c r="C144" s="595"/>
      <c r="D144" s="587"/>
      <c r="E144" s="587">
        <v>0.7</v>
      </c>
      <c r="F144" s="587"/>
      <c r="G144" s="587"/>
      <c r="H144" s="589">
        <v>2.6</v>
      </c>
      <c r="I144" s="587"/>
      <c r="J144" s="591"/>
      <c r="L144" s="26"/>
      <c r="M144" s="621"/>
      <c r="N144" s="629"/>
      <c r="O144" s="630"/>
      <c r="P144" s="630"/>
      <c r="Q144" s="630"/>
      <c r="R144" s="630"/>
      <c r="S144" s="630"/>
      <c r="T144" s="630"/>
      <c r="U144" s="630"/>
      <c r="V144" s="4"/>
      <c r="W144" s="4"/>
      <c r="X144" s="4"/>
      <c r="Y144" s="4"/>
    </row>
    <row r="145" spans="2:25" s="1" customFormat="1">
      <c r="B145" s="623"/>
      <c r="C145" s="595"/>
      <c r="D145" s="587">
        <v>6.9</v>
      </c>
      <c r="E145" s="587"/>
      <c r="F145" s="587">
        <f>(E144+E146)/2</f>
        <v>0.9</v>
      </c>
      <c r="G145" s="587">
        <f>F145*D145</f>
        <v>6.2100000000000009</v>
      </c>
      <c r="H145" s="589"/>
      <c r="I145" s="587">
        <f>(H144+H146)/2</f>
        <v>2.5499999999999998</v>
      </c>
      <c r="J145" s="591">
        <f>I145*D145</f>
        <v>17.594999999999999</v>
      </c>
      <c r="L145" s="26"/>
      <c r="M145" s="621"/>
      <c r="N145" s="629"/>
      <c r="O145" s="630"/>
      <c r="P145" s="630"/>
      <c r="Q145" s="630"/>
      <c r="R145" s="630"/>
      <c r="S145" s="630"/>
      <c r="T145" s="630"/>
      <c r="U145" s="630"/>
      <c r="V145" s="4"/>
      <c r="W145" s="4"/>
      <c r="X145" s="4"/>
      <c r="Y145" s="4"/>
    </row>
    <row r="146" spans="2:25" s="1" customFormat="1">
      <c r="B146" s="623" t="s">
        <v>79</v>
      </c>
      <c r="C146" s="595"/>
      <c r="D146" s="587"/>
      <c r="E146" s="587">
        <v>1.1000000000000001</v>
      </c>
      <c r="F146" s="587"/>
      <c r="G146" s="587"/>
      <c r="H146" s="589">
        <v>2.5</v>
      </c>
      <c r="I146" s="587"/>
      <c r="J146" s="591"/>
      <c r="L146" s="26"/>
      <c r="M146" s="621"/>
      <c r="N146" s="631"/>
      <c r="O146" s="630"/>
      <c r="P146" s="630"/>
      <c r="Q146" s="630"/>
      <c r="R146" s="630"/>
      <c r="S146" s="630"/>
      <c r="T146" s="630"/>
      <c r="U146" s="630"/>
      <c r="V146" s="4"/>
      <c r="W146" s="4"/>
      <c r="X146" s="4"/>
      <c r="Y146" s="4"/>
    </row>
    <row r="147" spans="2:25" s="1" customFormat="1">
      <c r="B147" s="623"/>
      <c r="C147" s="595"/>
      <c r="D147" s="587">
        <v>6.65</v>
      </c>
      <c r="E147" s="587"/>
      <c r="F147" s="587">
        <f>(E146+E148)/2</f>
        <v>1.3</v>
      </c>
      <c r="G147" s="587">
        <f>F147*D147</f>
        <v>8.6450000000000014</v>
      </c>
      <c r="H147" s="589"/>
      <c r="I147" s="587">
        <f>(H146+H148)/2</f>
        <v>2.5</v>
      </c>
      <c r="J147" s="591">
        <f>I147*D147</f>
        <v>16.625</v>
      </c>
      <c r="L147" s="26"/>
      <c r="M147" s="621"/>
      <c r="N147" s="631"/>
      <c r="O147" s="630"/>
      <c r="P147" s="630"/>
      <c r="Q147" s="630"/>
      <c r="R147" s="630"/>
      <c r="S147" s="630"/>
      <c r="T147" s="630"/>
      <c r="U147" s="630"/>
      <c r="V147" s="4"/>
      <c r="W147" s="4"/>
      <c r="X147" s="4"/>
      <c r="Y147" s="4"/>
    </row>
    <row r="148" spans="2:25" s="1" customFormat="1">
      <c r="B148" s="623" t="s">
        <v>80</v>
      </c>
      <c r="C148" s="595"/>
      <c r="D148" s="587"/>
      <c r="E148" s="587">
        <v>1.5</v>
      </c>
      <c r="F148" s="587"/>
      <c r="G148" s="587"/>
      <c r="H148" s="589">
        <v>2.5</v>
      </c>
      <c r="I148" s="587"/>
      <c r="J148" s="591"/>
      <c r="L148" s="26"/>
      <c r="M148" s="621"/>
      <c r="N148" s="631"/>
      <c r="O148" s="630"/>
      <c r="P148" s="630"/>
      <c r="Q148" s="630"/>
      <c r="R148" s="630"/>
      <c r="S148" s="630"/>
      <c r="T148" s="630"/>
      <c r="U148" s="630"/>
      <c r="V148" s="4"/>
      <c r="W148" s="4"/>
      <c r="X148" s="4"/>
      <c r="Y148" s="4"/>
    </row>
    <row r="149" spans="2:25" s="1" customFormat="1">
      <c r="B149" s="623"/>
      <c r="C149" s="597"/>
      <c r="D149" s="587">
        <v>12.5</v>
      </c>
      <c r="E149" s="587"/>
      <c r="F149" s="587">
        <f>(E148+E150)/2</f>
        <v>1.5</v>
      </c>
      <c r="G149" s="587">
        <f>F149*D149</f>
        <v>18.75</v>
      </c>
      <c r="H149" s="589"/>
      <c r="I149" s="587">
        <f>(H148+H150)/2</f>
        <v>2.5</v>
      </c>
      <c r="J149" s="591">
        <f>I149*D149</f>
        <v>31.25</v>
      </c>
      <c r="L149" s="26"/>
      <c r="M149" s="621"/>
      <c r="N149" s="631"/>
      <c r="O149" s="630"/>
      <c r="P149" s="630"/>
      <c r="Q149" s="630"/>
      <c r="R149" s="630"/>
      <c r="S149" s="630"/>
      <c r="T149" s="630"/>
      <c r="U149" s="630"/>
      <c r="V149" s="4"/>
      <c r="W149" s="4"/>
      <c r="X149" s="4"/>
      <c r="Y149" s="4"/>
    </row>
    <row r="150" spans="2:25" s="1" customFormat="1">
      <c r="B150" s="623" t="s">
        <v>26</v>
      </c>
      <c r="C150" s="595"/>
      <c r="D150" s="587"/>
      <c r="E150" s="587">
        <f>E148</f>
        <v>1.5</v>
      </c>
      <c r="F150" s="587"/>
      <c r="G150" s="587"/>
      <c r="H150" s="593">
        <f>H148</f>
        <v>2.5</v>
      </c>
      <c r="I150" s="587"/>
      <c r="J150" s="591"/>
      <c r="L150" s="26"/>
      <c r="M150" s="621"/>
      <c r="N150" s="631"/>
      <c r="O150" s="630"/>
      <c r="P150" s="630"/>
      <c r="Q150" s="630"/>
      <c r="R150" s="630"/>
      <c r="S150" s="630"/>
      <c r="T150" s="630"/>
      <c r="U150" s="630"/>
      <c r="V150" s="4"/>
      <c r="W150" s="4"/>
      <c r="X150" s="4"/>
      <c r="Y150" s="4"/>
    </row>
    <row r="151" spans="2:25" s="1" customFormat="1" ht="15.75" thickBot="1">
      <c r="B151" s="624"/>
      <c r="C151" s="597"/>
      <c r="D151" s="524"/>
      <c r="E151" s="593"/>
      <c r="F151" s="524"/>
      <c r="G151" s="524"/>
      <c r="H151" s="598"/>
      <c r="I151" s="524"/>
      <c r="J151" s="525"/>
      <c r="L151" s="26"/>
      <c r="M151" s="621"/>
      <c r="N151" s="631"/>
      <c r="O151" s="630"/>
      <c r="P151" s="630"/>
      <c r="Q151" s="630"/>
      <c r="R151" s="630"/>
      <c r="S151" s="630"/>
      <c r="T151" s="630"/>
      <c r="U151" s="630"/>
      <c r="V151" s="4"/>
      <c r="W151" s="4"/>
      <c r="X151" s="4"/>
      <c r="Y151" s="4"/>
    </row>
    <row r="152" spans="2:25" s="1" customFormat="1" ht="15.75" thickBot="1">
      <c r="B152" s="71"/>
      <c r="C152" s="72"/>
      <c r="D152" s="72"/>
      <c r="E152" s="72"/>
      <c r="F152" s="72"/>
      <c r="G152" s="73">
        <f>SUM(G136:G150)</f>
        <v>60.185000000000002</v>
      </c>
      <c r="H152" s="72"/>
      <c r="I152" s="72"/>
      <c r="J152" s="74">
        <f>SUM(J136:J151)</f>
        <v>171.94</v>
      </c>
      <c r="L152" s="26"/>
      <c r="M152" s="621"/>
      <c r="N152" s="631"/>
      <c r="O152" s="630"/>
      <c r="P152" s="630"/>
      <c r="Q152" s="630"/>
      <c r="R152" s="630"/>
      <c r="S152" s="630"/>
      <c r="T152" s="630"/>
      <c r="U152" s="630"/>
      <c r="V152" s="4"/>
      <c r="W152" s="4"/>
      <c r="X152" s="4"/>
      <c r="Y152" s="4"/>
    </row>
    <row r="153" spans="2:25" s="1" customFormat="1">
      <c r="B153" s="46"/>
      <c r="C153" s="29"/>
      <c r="D153" s="29"/>
      <c r="E153" s="29"/>
      <c r="F153" s="29"/>
      <c r="G153" s="29" t="s">
        <v>20</v>
      </c>
      <c r="H153" s="29"/>
      <c r="I153" s="29"/>
      <c r="J153" s="29" t="s">
        <v>20</v>
      </c>
      <c r="L153" s="26"/>
      <c r="M153" s="621"/>
      <c r="N153" s="631"/>
      <c r="O153" s="30"/>
      <c r="P153" s="630"/>
      <c r="Q153" s="30"/>
      <c r="R153" s="30"/>
      <c r="S153" s="630"/>
      <c r="T153" s="30"/>
      <c r="U153" s="30"/>
      <c r="V153" s="4"/>
      <c r="W153" s="4"/>
      <c r="X153" s="4"/>
      <c r="Y153" s="4"/>
    </row>
    <row r="154" spans="2:25" s="1" customFormat="1">
      <c r="B154" s="69"/>
      <c r="C154" s="46"/>
      <c r="D154" s="29"/>
      <c r="E154" s="29"/>
      <c r="F154" s="29"/>
      <c r="G154" s="29"/>
      <c r="H154" s="29"/>
      <c r="I154" s="29"/>
      <c r="J154" s="29"/>
      <c r="K154" s="29"/>
      <c r="L154" s="26"/>
      <c r="M154" s="29"/>
      <c r="N154" s="29"/>
      <c r="O154" s="29"/>
      <c r="P154" s="29"/>
      <c r="Q154" s="29"/>
      <c r="R154" s="88"/>
      <c r="S154" s="29"/>
      <c r="T154" s="29"/>
      <c r="U154" s="89"/>
      <c r="V154" s="4"/>
      <c r="W154" s="4"/>
      <c r="X154" s="4"/>
      <c r="Y154" s="4"/>
    </row>
    <row r="155" spans="2:25" s="1" customFormat="1">
      <c r="B155" s="69"/>
      <c r="C155" s="46"/>
      <c r="D155" s="29"/>
      <c r="E155" s="29"/>
      <c r="F155" s="29"/>
      <c r="G155" s="29"/>
      <c r="H155" s="29"/>
      <c r="I155" s="29"/>
      <c r="J155" s="29"/>
      <c r="K155" s="29"/>
      <c r="L155" s="26"/>
      <c r="M155" s="46"/>
      <c r="N155" s="29"/>
      <c r="O155" s="29"/>
      <c r="P155" s="29"/>
      <c r="Q155" s="29"/>
      <c r="R155" s="29"/>
      <c r="S155" s="29"/>
      <c r="T155" s="29"/>
      <c r="U155" s="29"/>
      <c r="V155" s="4"/>
      <c r="W155" s="4"/>
      <c r="X155" s="4"/>
      <c r="Y155" s="4"/>
    </row>
    <row r="156" spans="2:25" s="1" customFormat="1">
      <c r="B156" s="69" t="s">
        <v>45</v>
      </c>
      <c r="C156" s="46" t="s">
        <v>5</v>
      </c>
      <c r="D156" s="29"/>
      <c r="E156" s="29"/>
      <c r="F156" s="29"/>
      <c r="G156" s="29"/>
      <c r="H156" s="29"/>
      <c r="I156" s="29"/>
      <c r="J156" s="29"/>
      <c r="K156" s="29"/>
      <c r="L156" s="26"/>
      <c r="M156" s="26"/>
      <c r="N156" s="29"/>
      <c r="O156" s="29"/>
      <c r="P156" s="29"/>
      <c r="Q156" s="29"/>
      <c r="R156" s="29"/>
      <c r="S156" s="29"/>
      <c r="T156" s="29"/>
      <c r="U156" s="29"/>
      <c r="V156" s="29"/>
      <c r="W156" s="4"/>
      <c r="X156" s="4"/>
      <c r="Y156" s="4"/>
    </row>
    <row r="157" spans="2:25" s="1" customFormat="1" ht="15.75" thickBot="1">
      <c r="B157" s="69" t="s">
        <v>46</v>
      </c>
      <c r="C157" s="46" t="s">
        <v>70</v>
      </c>
      <c r="D157" s="29"/>
      <c r="E157" s="29"/>
      <c r="F157" s="29"/>
      <c r="G157" s="29"/>
      <c r="H157" s="29"/>
      <c r="I157" s="29"/>
      <c r="J157" s="29"/>
      <c r="K157" s="29"/>
      <c r="L157" s="26"/>
      <c r="M157" s="26"/>
      <c r="N157" s="29"/>
      <c r="O157" s="29"/>
      <c r="P157" s="29"/>
      <c r="Q157" s="29"/>
      <c r="R157" s="29"/>
      <c r="S157" s="29"/>
      <c r="T157" s="29"/>
      <c r="U157" s="29"/>
      <c r="V157" s="29"/>
      <c r="W157" s="4"/>
      <c r="X157" s="4"/>
      <c r="Y157" s="4"/>
    </row>
    <row r="158" spans="2:25" s="1" customFormat="1" ht="15.75" thickBot="1">
      <c r="B158" s="75" t="s">
        <v>133</v>
      </c>
      <c r="C158" s="76"/>
      <c r="D158" s="76"/>
      <c r="E158" s="76"/>
      <c r="F158" s="76"/>
      <c r="G158" s="76"/>
      <c r="H158" s="76"/>
      <c r="I158" s="76"/>
      <c r="J158" s="77"/>
      <c r="L158" s="26"/>
      <c r="M158" s="3"/>
      <c r="N158" s="29"/>
      <c r="O158" s="29"/>
      <c r="P158" s="29"/>
      <c r="Q158" s="29"/>
      <c r="R158" s="29"/>
      <c r="S158" s="29"/>
      <c r="T158" s="29"/>
      <c r="U158" s="29"/>
      <c r="V158" s="29"/>
    </row>
    <row r="159" spans="2:25" s="1" customFormat="1" ht="15.75" thickBot="1">
      <c r="B159" s="572" t="s">
        <v>11</v>
      </c>
      <c r="C159" s="573"/>
      <c r="D159" s="576" t="s">
        <v>10</v>
      </c>
      <c r="E159" s="578" t="s">
        <v>134</v>
      </c>
      <c r="F159" s="578"/>
      <c r="G159" s="578"/>
      <c r="H159" s="578" t="s">
        <v>135</v>
      </c>
      <c r="I159" s="578"/>
      <c r="J159" s="578"/>
      <c r="L159" s="26"/>
      <c r="M159" s="3"/>
      <c r="N159" s="29"/>
      <c r="O159" s="29"/>
      <c r="P159" s="29"/>
      <c r="Q159" s="29"/>
      <c r="R159" s="29"/>
      <c r="S159" s="29"/>
      <c r="T159" s="29"/>
      <c r="U159" s="29"/>
      <c r="V159" s="29"/>
    </row>
    <row r="160" spans="2:25" s="1" customFormat="1" ht="15.75" thickBot="1">
      <c r="B160" s="574"/>
      <c r="C160" s="575"/>
      <c r="D160" s="576"/>
      <c r="E160" s="579" t="s">
        <v>5</v>
      </c>
      <c r="F160" s="580"/>
      <c r="G160" s="581"/>
      <c r="H160" s="579" t="s">
        <v>569</v>
      </c>
      <c r="I160" s="580"/>
      <c r="J160" s="581"/>
      <c r="L160" s="26"/>
      <c r="M160" s="3"/>
      <c r="N160" s="29"/>
      <c r="O160" s="29"/>
      <c r="P160" s="29"/>
      <c r="Q160" s="29"/>
      <c r="R160" s="29"/>
      <c r="S160" s="29"/>
      <c r="T160" s="29"/>
      <c r="U160" s="29"/>
      <c r="V160" s="29"/>
    </row>
    <row r="161" spans="2:22" s="1" customFormat="1" ht="15.75" thickBot="1">
      <c r="B161" s="23" t="s">
        <v>8</v>
      </c>
      <c r="C161" s="6" t="s">
        <v>9</v>
      </c>
      <c r="D161" s="577"/>
      <c r="E161" s="8" t="s">
        <v>12</v>
      </c>
      <c r="F161" s="9" t="s">
        <v>13</v>
      </c>
      <c r="G161" s="8" t="s">
        <v>14</v>
      </c>
      <c r="H161" s="8" t="s">
        <v>12</v>
      </c>
      <c r="I161" s="9" t="s">
        <v>13</v>
      </c>
      <c r="J161" s="8" t="s">
        <v>14</v>
      </c>
      <c r="L161" s="26"/>
      <c r="M161" s="3"/>
      <c r="N161" s="29"/>
      <c r="O161" s="29"/>
      <c r="P161" s="29"/>
      <c r="Q161" s="29"/>
      <c r="R161" s="29"/>
      <c r="S161" s="29"/>
      <c r="T161" s="29"/>
      <c r="U161" s="29"/>
      <c r="V161" s="29"/>
    </row>
    <row r="162" spans="2:22" s="1" customFormat="1" ht="15.75" thickBot="1">
      <c r="B162" s="19"/>
      <c r="C162" s="7" t="s">
        <v>7</v>
      </c>
      <c r="D162" s="523" t="s">
        <v>6</v>
      </c>
      <c r="E162" s="10" t="s">
        <v>6</v>
      </c>
      <c r="F162" s="11" t="s">
        <v>6</v>
      </c>
      <c r="G162" s="10" t="s">
        <v>27</v>
      </c>
      <c r="H162" s="10" t="s">
        <v>6</v>
      </c>
      <c r="I162" s="11" t="s">
        <v>6</v>
      </c>
      <c r="J162" s="10" t="s">
        <v>27</v>
      </c>
      <c r="L162" s="26"/>
      <c r="M162" s="3"/>
      <c r="N162" s="29"/>
      <c r="O162" s="29"/>
      <c r="P162" s="29"/>
      <c r="Q162" s="29"/>
      <c r="R162" s="29"/>
      <c r="S162" s="29"/>
      <c r="T162" s="29"/>
      <c r="U162" s="29"/>
      <c r="V162" s="29"/>
    </row>
    <row r="163" spans="2:22" s="1" customFormat="1">
      <c r="B163" s="622" t="s">
        <v>24</v>
      </c>
      <c r="C163" s="584"/>
      <c r="D163" s="586">
        <v>9.6999999999999993</v>
      </c>
      <c r="E163" s="586">
        <f>E165</f>
        <v>1.5</v>
      </c>
      <c r="F163" s="586">
        <f>(E163+E165)/2</f>
        <v>1.5</v>
      </c>
      <c r="G163" s="586">
        <f>D163*F163</f>
        <v>14.549999999999999</v>
      </c>
      <c r="H163" s="588">
        <f>H165</f>
        <v>5.0999999999999996</v>
      </c>
      <c r="I163" s="586">
        <f>(H163+H165)/2</f>
        <v>5.0999999999999996</v>
      </c>
      <c r="J163" s="590">
        <f>I163*D163</f>
        <v>49.469999999999992</v>
      </c>
      <c r="L163" s="26"/>
      <c r="M163" s="3"/>
      <c r="N163" s="29"/>
      <c r="O163" s="29"/>
      <c r="P163" s="29"/>
      <c r="Q163" s="29"/>
      <c r="R163" s="29"/>
      <c r="S163" s="29"/>
      <c r="T163" s="29"/>
      <c r="U163" s="29"/>
      <c r="V163" s="29"/>
    </row>
    <row r="164" spans="2:22" s="1" customFormat="1">
      <c r="B164" s="623"/>
      <c r="C164" s="585"/>
      <c r="D164" s="587"/>
      <c r="E164" s="587"/>
      <c r="F164" s="587"/>
      <c r="G164" s="587"/>
      <c r="H164" s="589"/>
      <c r="I164" s="587"/>
      <c r="J164" s="591"/>
      <c r="L164" s="26"/>
      <c r="M164" s="3"/>
      <c r="N164" s="29"/>
      <c r="O164" s="29"/>
      <c r="P164" s="29"/>
      <c r="Q164" s="29"/>
      <c r="R164" s="29"/>
      <c r="S164" s="29"/>
      <c r="T164" s="29"/>
      <c r="U164" s="29"/>
      <c r="V164" s="29"/>
    </row>
    <row r="165" spans="2:22" s="1" customFormat="1">
      <c r="B165" s="623" t="s">
        <v>75</v>
      </c>
      <c r="C165" s="585"/>
      <c r="D165" s="587"/>
      <c r="E165" s="587">
        <v>1.5</v>
      </c>
      <c r="F165" s="587"/>
      <c r="G165" s="587"/>
      <c r="H165" s="593">
        <v>5.0999999999999996</v>
      </c>
      <c r="I165" s="587"/>
      <c r="J165" s="591"/>
      <c r="L165" s="26"/>
      <c r="M165" s="3"/>
      <c r="N165" s="29"/>
      <c r="O165" s="29"/>
      <c r="P165" s="29"/>
      <c r="Q165" s="29"/>
      <c r="R165" s="29"/>
      <c r="S165" s="29"/>
      <c r="T165" s="29"/>
      <c r="U165" s="29"/>
      <c r="V165" s="29"/>
    </row>
    <row r="166" spans="2:22" s="1" customFormat="1">
      <c r="B166" s="623"/>
      <c r="C166" s="585"/>
      <c r="D166" s="587">
        <v>4.8</v>
      </c>
      <c r="E166" s="587"/>
      <c r="F166" s="587">
        <f>(E165+E167)/2</f>
        <v>1</v>
      </c>
      <c r="G166" s="587">
        <f>F166*D166</f>
        <v>4.8</v>
      </c>
      <c r="H166" s="594"/>
      <c r="I166" s="587">
        <f>(H165+H167)/2</f>
        <v>4.25</v>
      </c>
      <c r="J166" s="591">
        <f>I166*D166</f>
        <v>20.399999999999999</v>
      </c>
      <c r="L166" s="26"/>
      <c r="M166" s="3"/>
      <c r="N166" s="29"/>
      <c r="O166" s="29"/>
      <c r="P166" s="29"/>
      <c r="Q166" s="29"/>
      <c r="R166" s="29"/>
      <c r="S166" s="29"/>
      <c r="T166" s="29"/>
      <c r="U166" s="29"/>
      <c r="V166" s="29"/>
    </row>
    <row r="167" spans="2:22" s="1" customFormat="1">
      <c r="B167" s="623" t="s">
        <v>76</v>
      </c>
      <c r="C167" s="585"/>
      <c r="D167" s="587"/>
      <c r="E167" s="587">
        <v>0.5</v>
      </c>
      <c r="F167" s="587"/>
      <c r="G167" s="587"/>
      <c r="H167" s="593">
        <v>3.4</v>
      </c>
      <c r="I167" s="587"/>
      <c r="J167" s="591"/>
      <c r="L167" s="26"/>
      <c r="M167" s="3"/>
      <c r="N167" s="29"/>
      <c r="O167" s="29"/>
      <c r="P167" s="29"/>
      <c r="Q167" s="29"/>
      <c r="R167" s="29"/>
      <c r="S167" s="29"/>
      <c r="T167" s="29"/>
      <c r="U167" s="29"/>
      <c r="V167" s="29"/>
    </row>
    <row r="168" spans="2:22" s="1" customFormat="1">
      <c r="B168" s="623"/>
      <c r="C168" s="585"/>
      <c r="D168" s="587">
        <v>9.6</v>
      </c>
      <c r="E168" s="587"/>
      <c r="F168" s="587">
        <f>(E167+E169)/2</f>
        <v>0.55000000000000004</v>
      </c>
      <c r="G168" s="587">
        <f>F168*D168</f>
        <v>5.28</v>
      </c>
      <c r="H168" s="594"/>
      <c r="I168" s="587">
        <f>(H167+H169)/2</f>
        <v>3</v>
      </c>
      <c r="J168" s="591">
        <f>I168*D168</f>
        <v>28.799999999999997</v>
      </c>
      <c r="L168" s="26"/>
      <c r="M168" s="3"/>
      <c r="N168" s="29"/>
      <c r="O168" s="29"/>
      <c r="P168" s="29"/>
      <c r="Q168" s="29"/>
      <c r="R168" s="29"/>
      <c r="S168" s="29"/>
      <c r="T168" s="29"/>
      <c r="U168" s="29"/>
      <c r="V168" s="29"/>
    </row>
    <row r="169" spans="2:22" s="1" customFormat="1">
      <c r="B169" s="623" t="s">
        <v>77</v>
      </c>
      <c r="C169" s="585"/>
      <c r="D169" s="587"/>
      <c r="E169" s="587">
        <v>0.6</v>
      </c>
      <c r="F169" s="587"/>
      <c r="G169" s="587"/>
      <c r="H169" s="589">
        <v>2.6</v>
      </c>
      <c r="I169" s="587"/>
      <c r="J169" s="591"/>
      <c r="L169" s="26"/>
      <c r="M169" s="3"/>
      <c r="N169" s="29"/>
      <c r="O169" s="29"/>
      <c r="P169" s="29"/>
      <c r="Q169" s="29"/>
      <c r="R169" s="29"/>
      <c r="S169" s="29"/>
      <c r="T169" s="29"/>
      <c r="U169" s="29"/>
      <c r="V169" s="29"/>
    </row>
    <row r="170" spans="2:22" s="1" customFormat="1">
      <c r="B170" s="623"/>
      <c r="C170" s="585"/>
      <c r="D170" s="587">
        <v>3</v>
      </c>
      <c r="E170" s="587"/>
      <c r="F170" s="587">
        <f>(E169+E171)/2</f>
        <v>0.64999999999999991</v>
      </c>
      <c r="G170" s="587">
        <f>F170*D170</f>
        <v>1.9499999999999997</v>
      </c>
      <c r="H170" s="589"/>
      <c r="I170" s="587">
        <f>(H169+H171)/2</f>
        <v>2.6</v>
      </c>
      <c r="J170" s="591">
        <f>I170*D170</f>
        <v>7.8000000000000007</v>
      </c>
      <c r="L170" s="26"/>
      <c r="M170" s="3"/>
      <c r="N170" s="29"/>
      <c r="O170" s="29"/>
      <c r="P170" s="29"/>
      <c r="Q170" s="29"/>
      <c r="R170" s="29"/>
      <c r="S170" s="29"/>
      <c r="T170" s="29"/>
      <c r="U170" s="29"/>
      <c r="V170" s="29"/>
    </row>
    <row r="171" spans="2:22" s="1" customFormat="1">
      <c r="B171" s="623" t="s">
        <v>78</v>
      </c>
      <c r="C171" s="595"/>
      <c r="D171" s="587"/>
      <c r="E171" s="587">
        <v>0.7</v>
      </c>
      <c r="F171" s="587"/>
      <c r="G171" s="587"/>
      <c r="H171" s="589">
        <v>2.6</v>
      </c>
      <c r="I171" s="587"/>
      <c r="J171" s="591"/>
      <c r="L171" s="26"/>
      <c r="M171" s="3"/>
      <c r="N171" s="29"/>
      <c r="O171" s="29"/>
      <c r="P171" s="29"/>
      <c r="Q171" s="29"/>
      <c r="R171" s="29"/>
      <c r="S171" s="29"/>
      <c r="T171" s="29"/>
      <c r="U171" s="29"/>
      <c r="V171" s="29"/>
    </row>
    <row r="172" spans="2:22" s="1" customFormat="1">
      <c r="B172" s="623"/>
      <c r="C172" s="595"/>
      <c r="D172" s="587">
        <v>6.9</v>
      </c>
      <c r="E172" s="587"/>
      <c r="F172" s="587">
        <f>(E171+E173)/2</f>
        <v>0.9</v>
      </c>
      <c r="G172" s="587">
        <f>F172*D172</f>
        <v>6.2100000000000009</v>
      </c>
      <c r="H172" s="589"/>
      <c r="I172" s="587">
        <v>2.6</v>
      </c>
      <c r="J172" s="591">
        <f>I172*D172</f>
        <v>17.940000000000001</v>
      </c>
      <c r="L172" s="26"/>
      <c r="M172" s="3"/>
      <c r="N172" s="29"/>
      <c r="O172" s="29"/>
      <c r="P172" s="29"/>
      <c r="Q172" s="29"/>
      <c r="R172" s="29"/>
      <c r="S172" s="29"/>
      <c r="T172" s="29"/>
      <c r="U172" s="29"/>
      <c r="V172" s="29"/>
    </row>
    <row r="173" spans="2:22" s="1" customFormat="1">
      <c r="B173" s="623" t="s">
        <v>79</v>
      </c>
      <c r="C173" s="595"/>
      <c r="D173" s="587"/>
      <c r="E173" s="587">
        <v>1.1000000000000001</v>
      </c>
      <c r="F173" s="587"/>
      <c r="G173" s="587"/>
      <c r="H173" s="589">
        <v>2.5</v>
      </c>
      <c r="I173" s="587"/>
      <c r="J173" s="591"/>
      <c r="L173" s="26"/>
      <c r="M173" s="3"/>
      <c r="N173" s="29"/>
      <c r="O173" s="29"/>
      <c r="P173" s="29"/>
      <c r="Q173" s="29"/>
      <c r="R173" s="29"/>
      <c r="S173" s="29"/>
      <c r="T173" s="29"/>
      <c r="U173" s="29"/>
      <c r="V173" s="29"/>
    </row>
    <row r="174" spans="2:22" s="1" customFormat="1">
      <c r="B174" s="623"/>
      <c r="C174" s="595"/>
      <c r="D174" s="587">
        <v>6.65</v>
      </c>
      <c r="E174" s="587"/>
      <c r="F174" s="587">
        <f>(E173+E175)/2</f>
        <v>1.3</v>
      </c>
      <c r="G174" s="587">
        <f>F174*D174</f>
        <v>8.6450000000000014</v>
      </c>
      <c r="H174" s="589"/>
      <c r="I174" s="587">
        <v>2.6</v>
      </c>
      <c r="J174" s="591">
        <f>I174*D174</f>
        <v>17.290000000000003</v>
      </c>
      <c r="L174" s="26"/>
      <c r="M174" s="3"/>
      <c r="N174" s="29"/>
      <c r="O174" s="29"/>
      <c r="P174" s="29"/>
      <c r="Q174" s="29"/>
      <c r="R174" s="29"/>
      <c r="S174" s="29"/>
      <c r="T174" s="29"/>
      <c r="U174" s="29"/>
      <c r="V174" s="29"/>
    </row>
    <row r="175" spans="2:22" s="1" customFormat="1">
      <c r="B175" s="623" t="s">
        <v>80</v>
      </c>
      <c r="C175" s="595"/>
      <c r="D175" s="587"/>
      <c r="E175" s="587">
        <v>1.5</v>
      </c>
      <c r="F175" s="587"/>
      <c r="G175" s="587"/>
      <c r="H175" s="589">
        <v>2.5</v>
      </c>
      <c r="I175" s="587"/>
      <c r="J175" s="591"/>
      <c r="L175" s="26"/>
      <c r="M175" s="3"/>
      <c r="N175" s="29"/>
      <c r="O175" s="29"/>
      <c r="P175" s="29"/>
      <c r="Q175" s="29"/>
      <c r="R175" s="29"/>
      <c r="S175" s="29"/>
      <c r="T175" s="29"/>
      <c r="U175" s="29"/>
      <c r="V175" s="29"/>
    </row>
    <row r="176" spans="2:22" s="1" customFormat="1">
      <c r="B176" s="623"/>
      <c r="C176" s="597"/>
      <c r="D176" s="587">
        <v>12.5</v>
      </c>
      <c r="E176" s="587"/>
      <c r="F176" s="587">
        <f>(E175+E177)/2</f>
        <v>1.5</v>
      </c>
      <c r="G176" s="587">
        <f>F176*D176</f>
        <v>18.75</v>
      </c>
      <c r="H176" s="589"/>
      <c r="I176" s="587">
        <v>2.6</v>
      </c>
      <c r="J176" s="591">
        <f>I176*D176</f>
        <v>32.5</v>
      </c>
      <c r="L176" s="26"/>
      <c r="M176" s="3"/>
      <c r="N176" s="29"/>
      <c r="O176" s="29"/>
      <c r="P176" s="29"/>
      <c r="Q176" s="29"/>
      <c r="R176" s="29"/>
      <c r="S176" s="29"/>
      <c r="T176" s="29"/>
      <c r="U176" s="29"/>
      <c r="V176" s="29"/>
    </row>
    <row r="177" spans="2:22" s="1" customFormat="1">
      <c r="B177" s="623" t="s">
        <v>26</v>
      </c>
      <c r="C177" s="595"/>
      <c r="D177" s="587"/>
      <c r="E177" s="587">
        <f>E175</f>
        <v>1.5</v>
      </c>
      <c r="F177" s="587"/>
      <c r="G177" s="587"/>
      <c r="H177" s="593">
        <f>H175</f>
        <v>2.5</v>
      </c>
      <c r="I177" s="587"/>
      <c r="J177" s="591"/>
      <c r="L177" s="26"/>
      <c r="M177" s="3"/>
      <c r="N177" s="29"/>
      <c r="O177" s="29"/>
      <c r="P177" s="29"/>
      <c r="Q177" s="29"/>
      <c r="R177" s="29"/>
      <c r="S177" s="29"/>
      <c r="T177" s="29"/>
      <c r="U177" s="29"/>
      <c r="V177" s="29"/>
    </row>
    <row r="178" spans="2:22" s="1" customFormat="1" ht="15.75" thickBot="1">
      <c r="B178" s="624"/>
      <c r="C178" s="597"/>
      <c r="D178" s="524"/>
      <c r="E178" s="593"/>
      <c r="F178" s="524"/>
      <c r="G178" s="524"/>
      <c r="H178" s="598"/>
      <c r="I178" s="524"/>
      <c r="J178" s="525"/>
      <c r="L178" s="26"/>
      <c r="M178" s="3"/>
      <c r="N178" s="29"/>
      <c r="O178" s="29"/>
      <c r="P178" s="29"/>
      <c r="Q178" s="29"/>
      <c r="R178" s="29"/>
      <c r="S178" s="29"/>
      <c r="T178" s="29"/>
      <c r="U178" s="29"/>
      <c r="V178" s="29"/>
    </row>
    <row r="179" spans="2:22" s="1" customFormat="1" ht="15.75" thickBot="1">
      <c r="B179" s="71"/>
      <c r="C179" s="72"/>
      <c r="D179" s="72"/>
      <c r="E179" s="72"/>
      <c r="F179" s="72"/>
      <c r="G179" s="73">
        <f>SUM(G163:G177)</f>
        <v>60.185000000000002</v>
      </c>
      <c r="H179" s="72"/>
      <c r="I179" s="72"/>
      <c r="J179" s="74">
        <f>SUM(J163:J178)</f>
        <v>174.2</v>
      </c>
      <c r="L179" s="26"/>
      <c r="M179" s="3"/>
      <c r="N179" s="29"/>
      <c r="O179" s="29"/>
      <c r="P179" s="29"/>
      <c r="Q179" s="29"/>
      <c r="R179" s="29"/>
      <c r="S179" s="29"/>
      <c r="T179" s="29"/>
      <c r="U179" s="29"/>
      <c r="V179" s="29"/>
    </row>
    <row r="180" spans="2:22" s="1" customFormat="1">
      <c r="B180" s="46"/>
      <c r="C180" s="29"/>
      <c r="D180" s="29"/>
      <c r="E180" s="29"/>
      <c r="F180" s="29"/>
      <c r="G180" s="29" t="s">
        <v>20</v>
      </c>
      <c r="H180" s="29"/>
      <c r="I180" s="29"/>
      <c r="J180" s="29" t="s">
        <v>20</v>
      </c>
      <c r="L180" s="26"/>
      <c r="M180" s="3"/>
      <c r="N180" s="29"/>
      <c r="O180" s="29"/>
      <c r="P180" s="29"/>
      <c r="Q180" s="29"/>
      <c r="R180" s="29"/>
      <c r="S180" s="29"/>
      <c r="T180" s="29"/>
      <c r="U180" s="29"/>
      <c r="V180" s="29"/>
    </row>
    <row r="181" spans="2:22" s="1" customFormat="1">
      <c r="B181" s="69"/>
      <c r="C181" s="46"/>
      <c r="D181" s="29"/>
      <c r="E181" s="29"/>
      <c r="F181" s="29"/>
      <c r="G181" s="29"/>
      <c r="H181" s="29"/>
      <c r="I181" s="29"/>
      <c r="J181" s="29"/>
      <c r="K181" s="29"/>
      <c r="L181" s="26"/>
      <c r="M181" s="3"/>
      <c r="N181" s="29"/>
      <c r="O181" s="29"/>
      <c r="P181" s="29"/>
      <c r="Q181" s="29"/>
      <c r="R181" s="29"/>
      <c r="S181" s="29"/>
      <c r="T181" s="29"/>
      <c r="U181" s="29"/>
      <c r="V181" s="29"/>
    </row>
    <row r="182" spans="2:22" s="1" customFormat="1">
      <c r="B182" s="551" t="s">
        <v>393</v>
      </c>
      <c r="C182" s="552" t="s">
        <v>394</v>
      </c>
      <c r="D182" s="553"/>
      <c r="E182" s="29"/>
      <c r="F182" s="29"/>
      <c r="G182" s="29"/>
      <c r="H182" s="29"/>
      <c r="I182" s="29"/>
      <c r="J182" s="29"/>
      <c r="K182" s="26"/>
      <c r="L182" s="26"/>
      <c r="M182" s="3"/>
      <c r="N182" s="29"/>
      <c r="O182" s="29"/>
      <c r="P182" s="29"/>
      <c r="Q182" s="29"/>
      <c r="R182" s="29"/>
      <c r="S182" s="29"/>
      <c r="T182" s="29"/>
      <c r="U182" s="29"/>
      <c r="V182" s="29"/>
    </row>
    <row r="183" spans="2:22" s="1" customFormat="1">
      <c r="B183" s="69"/>
      <c r="C183" s="554" t="s">
        <v>395</v>
      </c>
      <c r="D183" s="167" t="s">
        <v>117</v>
      </c>
      <c r="E183" s="167"/>
      <c r="F183" s="167" t="s">
        <v>396</v>
      </c>
      <c r="G183" s="29"/>
      <c r="H183" s="29"/>
      <c r="I183" s="29"/>
      <c r="J183" s="29"/>
      <c r="K183" s="26"/>
      <c r="L183" s="26"/>
      <c r="M183" s="3"/>
      <c r="N183" s="29"/>
      <c r="O183" s="29"/>
      <c r="P183" s="29"/>
      <c r="Q183" s="29"/>
      <c r="R183" s="29"/>
      <c r="S183" s="29"/>
      <c r="T183" s="29"/>
      <c r="U183" s="29"/>
      <c r="V183" s="29"/>
    </row>
    <row r="184" spans="2:22" s="1" customFormat="1">
      <c r="B184" s="555"/>
      <c r="C184" s="554"/>
      <c r="D184" s="167">
        <v>0.33</v>
      </c>
      <c r="E184" s="167" t="s">
        <v>20</v>
      </c>
      <c r="F184" s="167">
        <v>52</v>
      </c>
      <c r="G184" s="167" t="s">
        <v>6</v>
      </c>
      <c r="H184" s="167"/>
      <c r="I184" s="29"/>
      <c r="J184" s="29"/>
      <c r="K184" s="26"/>
      <c r="L184" s="26"/>
      <c r="M184" s="3"/>
      <c r="N184" s="29"/>
      <c r="O184" s="29"/>
      <c r="P184" s="29"/>
      <c r="Q184" s="29"/>
      <c r="R184" s="29"/>
      <c r="S184" s="29"/>
      <c r="T184" s="29"/>
      <c r="U184" s="29"/>
      <c r="V184" s="29"/>
    </row>
    <row r="185" spans="2:22" s="1" customFormat="1">
      <c r="B185" s="555"/>
      <c r="C185" s="554" t="s">
        <v>397</v>
      </c>
      <c r="D185" s="167"/>
      <c r="E185" s="167"/>
      <c r="F185" s="167"/>
      <c r="G185" s="167"/>
      <c r="H185" s="167"/>
      <c r="I185" s="29"/>
      <c r="J185" s="29"/>
      <c r="K185" s="26"/>
      <c r="L185" s="26"/>
      <c r="M185" s="3"/>
      <c r="N185" s="29"/>
      <c r="O185" s="29"/>
      <c r="P185" s="29"/>
      <c r="Q185" s="29"/>
      <c r="R185" s="29"/>
      <c r="S185" s="29"/>
      <c r="T185" s="29"/>
      <c r="U185" s="29"/>
      <c r="V185" s="29"/>
    </row>
    <row r="186" spans="2:22" s="1" customFormat="1">
      <c r="B186" s="555"/>
      <c r="C186" s="554"/>
      <c r="D186" s="167"/>
      <c r="E186" s="167"/>
      <c r="F186" s="167">
        <f>D184*F184</f>
        <v>17.16</v>
      </c>
      <c r="G186" s="167" t="s">
        <v>21</v>
      </c>
      <c r="H186" s="167"/>
      <c r="I186" s="29"/>
      <c r="J186" s="29"/>
      <c r="K186" s="26"/>
      <c r="L186" s="26"/>
      <c r="M186" s="3"/>
      <c r="N186" s="29"/>
      <c r="O186" s="29"/>
      <c r="P186" s="29"/>
      <c r="Q186" s="29"/>
      <c r="R186" s="29"/>
      <c r="S186" s="29"/>
      <c r="T186" s="29"/>
      <c r="U186" s="29"/>
      <c r="V186" s="29"/>
    </row>
    <row r="187" spans="2:22" s="1" customFormat="1">
      <c r="B187" s="555"/>
      <c r="C187" s="554"/>
      <c r="D187" s="167"/>
      <c r="E187" s="167"/>
      <c r="F187" s="167"/>
      <c r="G187" s="167"/>
      <c r="H187" s="167"/>
      <c r="I187" s="29"/>
      <c r="J187" s="29"/>
      <c r="K187" s="26"/>
      <c r="L187" s="26"/>
      <c r="M187" s="3"/>
      <c r="N187" s="29"/>
      <c r="O187" s="29"/>
      <c r="P187" s="29"/>
      <c r="Q187" s="29"/>
      <c r="R187" s="29"/>
      <c r="S187" s="29"/>
      <c r="T187" s="29"/>
      <c r="U187" s="29"/>
      <c r="V187" s="29"/>
    </row>
    <row r="188" spans="2:22" s="1" customFormat="1">
      <c r="B188" s="555"/>
      <c r="C188" s="554" t="s">
        <v>399</v>
      </c>
      <c r="D188" s="167" t="s">
        <v>400</v>
      </c>
      <c r="E188" s="167"/>
      <c r="F188" s="167" t="s">
        <v>401</v>
      </c>
      <c r="G188" s="167"/>
      <c r="H188" s="167"/>
      <c r="I188" s="29"/>
      <c r="J188" s="29"/>
      <c r="K188" s="26"/>
      <c r="L188" s="26"/>
      <c r="M188" s="3"/>
      <c r="N188" s="29"/>
      <c r="O188" s="29"/>
      <c r="P188" s="29"/>
      <c r="Q188" s="29"/>
      <c r="R188" s="29"/>
      <c r="S188" s="29"/>
      <c r="T188" s="29"/>
      <c r="U188" s="29"/>
      <c r="V188" s="29"/>
    </row>
    <row r="189" spans="2:22" s="1" customFormat="1">
      <c r="B189" s="555"/>
      <c r="C189" s="556" t="s">
        <v>155</v>
      </c>
      <c r="D189" s="167">
        <v>2.2000000000000002</v>
      </c>
      <c r="E189" s="167" t="s">
        <v>6</v>
      </c>
      <c r="F189" s="167">
        <v>0.5</v>
      </c>
      <c r="G189" s="167" t="s">
        <v>20</v>
      </c>
      <c r="H189" s="167"/>
      <c r="I189" s="29"/>
      <c r="J189" s="29"/>
      <c r="K189" s="26"/>
      <c r="L189" s="26"/>
      <c r="M189" s="3"/>
      <c r="N189" s="29"/>
      <c r="O189" s="29"/>
      <c r="P189" s="29"/>
      <c r="Q189" s="29"/>
      <c r="R189" s="29"/>
      <c r="S189" s="29"/>
      <c r="T189" s="29"/>
      <c r="U189" s="29"/>
      <c r="V189" s="29"/>
    </row>
    <row r="190" spans="2:22" s="1" customFormat="1">
      <c r="B190" s="555"/>
      <c r="C190" s="556" t="s">
        <v>35</v>
      </c>
      <c r="D190" s="167">
        <v>1.95</v>
      </c>
      <c r="E190" s="167" t="s">
        <v>6</v>
      </c>
      <c r="F190" s="167">
        <v>1.5</v>
      </c>
      <c r="G190" s="167" t="s">
        <v>21</v>
      </c>
      <c r="H190" s="167"/>
      <c r="I190" s="29"/>
      <c r="J190" s="29"/>
      <c r="K190" s="26"/>
      <c r="L190" s="26"/>
      <c r="M190" s="3"/>
      <c r="N190" s="29"/>
      <c r="O190" s="29"/>
      <c r="P190" s="29"/>
      <c r="Q190" s="29"/>
      <c r="R190" s="29"/>
      <c r="S190" s="29"/>
      <c r="T190" s="29"/>
      <c r="U190" s="29"/>
      <c r="V190" s="29"/>
    </row>
    <row r="191" spans="2:22" s="1" customFormat="1">
      <c r="B191" s="555"/>
      <c r="C191" s="556" t="s">
        <v>47</v>
      </c>
      <c r="D191" s="167">
        <v>1.1499999999999999</v>
      </c>
      <c r="E191" s="167" t="s">
        <v>6</v>
      </c>
      <c r="F191" s="167">
        <v>2.5</v>
      </c>
      <c r="G191" s="167" t="s">
        <v>402</v>
      </c>
      <c r="H191" s="167"/>
      <c r="I191" s="29"/>
      <c r="J191" s="29"/>
      <c r="K191" s="26"/>
      <c r="L191" s="26"/>
      <c r="M191" s="3"/>
      <c r="N191" s="29"/>
      <c r="O191" s="29"/>
      <c r="P191" s="29"/>
      <c r="Q191" s="29"/>
      <c r="R191" s="29"/>
      <c r="S191" s="29"/>
      <c r="T191" s="29"/>
      <c r="U191" s="29"/>
      <c r="V191" s="29"/>
    </row>
    <row r="192" spans="2:22" s="1" customFormat="1">
      <c r="B192" s="555"/>
      <c r="C192" s="556" t="s">
        <v>138</v>
      </c>
      <c r="D192" s="167">
        <v>1.1000000000000001</v>
      </c>
      <c r="E192" s="167" t="s">
        <v>6</v>
      </c>
      <c r="F192" s="167">
        <v>3.5</v>
      </c>
      <c r="G192" s="167" t="s">
        <v>403</v>
      </c>
      <c r="H192" s="167"/>
      <c r="I192" s="29"/>
      <c r="J192" s="29"/>
      <c r="K192" s="26"/>
      <c r="L192" s="26"/>
      <c r="M192" s="3"/>
      <c r="N192" s="29"/>
      <c r="O192" s="29"/>
      <c r="P192" s="29"/>
      <c r="Q192" s="29"/>
      <c r="R192" s="29"/>
      <c r="S192" s="29"/>
      <c r="T192" s="29"/>
      <c r="U192" s="29"/>
      <c r="V192" s="29"/>
    </row>
    <row r="193" spans="2:22" s="1" customFormat="1">
      <c r="B193" s="555"/>
      <c r="C193" s="554"/>
      <c r="D193" s="167"/>
      <c r="E193" s="167"/>
      <c r="F193" s="167"/>
      <c r="G193" s="167"/>
      <c r="H193" s="167"/>
      <c r="I193" s="29"/>
      <c r="J193" s="29"/>
      <c r="K193" s="26"/>
      <c r="L193" s="26"/>
      <c r="M193" s="3"/>
      <c r="N193" s="29"/>
      <c r="O193" s="29"/>
      <c r="P193" s="29"/>
      <c r="Q193" s="29"/>
      <c r="R193" s="29"/>
      <c r="S193" s="29"/>
      <c r="T193" s="29"/>
      <c r="U193" s="29"/>
      <c r="V193" s="29"/>
    </row>
    <row r="194" spans="2:22" s="1" customFormat="1">
      <c r="B194" s="69"/>
      <c r="C194" s="554" t="s">
        <v>404</v>
      </c>
      <c r="D194" s="167"/>
      <c r="E194" s="167"/>
      <c r="F194" s="167">
        <f>(D189*F189)+(D190*F190)+(D191*F191)+(D192*F192)</f>
        <v>10.75</v>
      </c>
      <c r="G194" s="167" t="s">
        <v>21</v>
      </c>
      <c r="H194" s="29"/>
      <c r="I194" s="29"/>
      <c r="J194" s="29"/>
      <c r="K194" s="29"/>
      <c r="L194" s="26"/>
      <c r="M194" s="3"/>
      <c r="N194" s="29"/>
      <c r="O194" s="29"/>
      <c r="P194" s="29"/>
      <c r="Q194" s="29"/>
      <c r="R194" s="29"/>
      <c r="S194" s="29"/>
      <c r="T194" s="29"/>
      <c r="U194" s="29"/>
      <c r="V194" s="29"/>
    </row>
    <row r="195" spans="2:22" s="1" customFormat="1">
      <c r="B195" s="69"/>
      <c r="C195" s="554"/>
      <c r="D195" s="167"/>
      <c r="E195" s="167"/>
      <c r="F195" s="167"/>
      <c r="G195" s="167"/>
      <c r="H195" s="29"/>
      <c r="I195" s="29"/>
      <c r="J195" s="29"/>
      <c r="K195" s="29"/>
      <c r="L195" s="26"/>
      <c r="M195" s="3"/>
      <c r="N195" s="29"/>
      <c r="O195" s="29"/>
      <c r="P195" s="29"/>
      <c r="Q195" s="29"/>
      <c r="R195" s="29"/>
      <c r="S195" s="29"/>
      <c r="T195" s="29"/>
      <c r="U195" s="29"/>
      <c r="V195" s="29"/>
    </row>
    <row r="196" spans="2:22" s="1" customFormat="1">
      <c r="B196" s="69"/>
      <c r="C196" s="554" t="s">
        <v>405</v>
      </c>
      <c r="D196" s="167"/>
      <c r="E196" s="167"/>
      <c r="F196" s="167">
        <f>F186+F194</f>
        <v>27.91</v>
      </c>
      <c r="G196" s="167" t="s">
        <v>21</v>
      </c>
      <c r="H196" s="29"/>
      <c r="I196" s="29"/>
      <c r="J196" s="29"/>
      <c r="K196" s="29"/>
      <c r="L196" s="26"/>
      <c r="M196" s="3"/>
      <c r="N196" s="29"/>
      <c r="O196" s="29"/>
      <c r="P196" s="29"/>
      <c r="Q196" s="29"/>
      <c r="R196" s="29"/>
      <c r="S196" s="29"/>
      <c r="T196" s="29"/>
      <c r="U196" s="29"/>
      <c r="V196" s="29"/>
    </row>
    <row r="197" spans="2:22" s="1" customFormat="1">
      <c r="B197" s="69"/>
      <c r="C197" s="554"/>
      <c r="D197" s="167"/>
      <c r="E197" s="167"/>
      <c r="F197" s="167"/>
      <c r="G197" s="167"/>
      <c r="H197" s="29"/>
      <c r="I197" s="29"/>
      <c r="J197" s="29"/>
      <c r="K197" s="29"/>
      <c r="L197" s="26"/>
      <c r="M197" s="3"/>
      <c r="N197" s="29"/>
      <c r="O197" s="29"/>
      <c r="P197" s="29"/>
      <c r="Q197" s="29"/>
      <c r="R197" s="29"/>
      <c r="S197" s="29"/>
      <c r="T197" s="29"/>
      <c r="U197" s="29"/>
      <c r="V197" s="29"/>
    </row>
    <row r="198" spans="2:22" s="1" customFormat="1">
      <c r="B198" s="69" t="s">
        <v>406</v>
      </c>
      <c r="C198" s="554" t="s">
        <v>407</v>
      </c>
      <c r="D198" s="167"/>
      <c r="E198" s="167"/>
      <c r="F198" s="167"/>
      <c r="G198" s="167"/>
      <c r="H198" s="29"/>
      <c r="I198" s="29"/>
      <c r="J198" s="29"/>
      <c r="K198" s="29"/>
      <c r="L198" s="26"/>
      <c r="M198" s="3"/>
      <c r="N198" s="29"/>
      <c r="O198" s="29"/>
      <c r="P198" s="29"/>
      <c r="Q198" s="29"/>
      <c r="R198" s="29"/>
      <c r="S198" s="29"/>
      <c r="T198" s="29"/>
      <c r="U198" s="29"/>
      <c r="V198" s="29"/>
    </row>
    <row r="199" spans="2:22" s="1" customFormat="1">
      <c r="B199" s="69"/>
      <c r="C199" s="554"/>
      <c r="D199" s="167"/>
      <c r="E199" s="167"/>
      <c r="F199" s="167"/>
      <c r="G199" s="167"/>
      <c r="H199" s="29"/>
      <c r="I199" s="29"/>
      <c r="J199" s="167" t="s">
        <v>19</v>
      </c>
      <c r="K199" s="54"/>
      <c r="L199" s="26"/>
      <c r="M199" s="3"/>
      <c r="N199" s="29"/>
      <c r="O199" s="29"/>
      <c r="P199" s="29"/>
      <c r="Q199" s="29"/>
      <c r="R199" s="29"/>
      <c r="S199" s="29"/>
      <c r="T199" s="29"/>
      <c r="U199" s="29"/>
      <c r="V199" s="29"/>
    </row>
    <row r="200" spans="2:22" s="1" customFormat="1">
      <c r="B200" s="69"/>
      <c r="C200" s="554" t="s">
        <v>408</v>
      </c>
      <c r="D200" s="167">
        <v>7.0000000000000007E-2</v>
      </c>
      <c r="E200" s="167" t="s">
        <v>20</v>
      </c>
      <c r="F200" s="167" t="s">
        <v>409</v>
      </c>
      <c r="G200" s="167"/>
      <c r="H200" s="554">
        <v>1.7</v>
      </c>
      <c r="I200" s="554" t="s">
        <v>6</v>
      </c>
      <c r="J200" s="554">
        <f>D200*H200</f>
        <v>0.11900000000000001</v>
      </c>
      <c r="K200" s="54" t="s">
        <v>21</v>
      </c>
      <c r="L200" s="26"/>
      <c r="M200" s="3"/>
      <c r="N200" s="29"/>
      <c r="O200" s="29"/>
      <c r="P200" s="29"/>
      <c r="Q200" s="29"/>
      <c r="R200" s="29"/>
      <c r="S200" s="29"/>
      <c r="T200" s="29"/>
      <c r="U200" s="29"/>
      <c r="V200" s="29"/>
    </row>
    <row r="201" spans="2:22" s="1" customFormat="1">
      <c r="B201" s="69"/>
      <c r="C201" s="554" t="s">
        <v>410</v>
      </c>
      <c r="D201" s="556" t="s">
        <v>411</v>
      </c>
      <c r="E201" s="554" t="s">
        <v>20</v>
      </c>
      <c r="F201" s="554" t="s">
        <v>412</v>
      </c>
      <c r="G201" s="554"/>
      <c r="H201" s="554" t="s">
        <v>413</v>
      </c>
      <c r="I201" s="554" t="s">
        <v>6</v>
      </c>
      <c r="J201" s="554">
        <f>D201*H201</f>
        <v>0.24800000000000003</v>
      </c>
      <c r="K201" s="54" t="s">
        <v>21</v>
      </c>
      <c r="L201" s="26"/>
      <c r="M201" s="3"/>
      <c r="N201" s="29"/>
      <c r="O201" s="29"/>
      <c r="P201" s="29"/>
      <c r="Q201" s="29"/>
      <c r="R201" s="29"/>
      <c r="S201" s="29"/>
      <c r="T201" s="29"/>
      <c r="U201" s="29"/>
      <c r="V201" s="29"/>
    </row>
    <row r="202" spans="2:22" s="1" customFormat="1">
      <c r="B202" s="69"/>
      <c r="C202" s="554"/>
      <c r="D202" s="554"/>
      <c r="E202" s="554"/>
      <c r="F202" s="554"/>
      <c r="G202" s="554"/>
      <c r="H202" s="554"/>
      <c r="I202" s="554"/>
      <c r="J202" s="29"/>
      <c r="K202" s="29"/>
      <c r="L202" s="26"/>
      <c r="M202" s="3"/>
      <c r="N202" s="29"/>
      <c r="O202" s="29"/>
      <c r="P202" s="29"/>
      <c r="Q202" s="29"/>
      <c r="R202" s="29"/>
      <c r="S202" s="29"/>
      <c r="T202" s="29"/>
      <c r="U202" s="29"/>
      <c r="V202" s="29"/>
    </row>
    <row r="203" spans="2:22" s="1" customFormat="1">
      <c r="B203" s="69"/>
      <c r="C203" s="554" t="s">
        <v>405</v>
      </c>
      <c r="D203" s="554"/>
      <c r="E203" s="554">
        <f>J200+J201</f>
        <v>0.36700000000000005</v>
      </c>
      <c r="F203" s="554" t="s">
        <v>21</v>
      </c>
      <c r="G203" s="554"/>
      <c r="H203" s="554"/>
      <c r="I203" s="554"/>
      <c r="J203" s="29"/>
      <c r="K203" s="29"/>
      <c r="L203" s="26"/>
      <c r="M203" s="3"/>
      <c r="N203" s="29"/>
      <c r="O203" s="29"/>
      <c r="P203" s="29"/>
      <c r="Q203" s="29"/>
      <c r="R203" s="29"/>
      <c r="S203" s="29"/>
      <c r="T203" s="29"/>
      <c r="U203" s="29"/>
      <c r="V203" s="29"/>
    </row>
    <row r="204" spans="2:22" s="1" customFormat="1">
      <c r="B204" s="69"/>
      <c r="C204" s="554"/>
      <c r="D204" s="554"/>
      <c r="E204" s="554"/>
      <c r="F204" s="554"/>
      <c r="G204" s="554"/>
      <c r="H204" s="554"/>
      <c r="I204" s="554"/>
      <c r="J204" s="29"/>
      <c r="K204" s="29"/>
      <c r="L204" s="26"/>
      <c r="M204" s="3"/>
      <c r="N204" s="29"/>
      <c r="O204" s="29"/>
      <c r="P204" s="29"/>
      <c r="Q204" s="29"/>
      <c r="R204" s="29"/>
      <c r="S204" s="29"/>
      <c r="T204" s="29"/>
      <c r="U204" s="29"/>
      <c r="V204" s="29"/>
    </row>
    <row r="205" spans="2:22" s="1" customFormat="1">
      <c r="B205" s="69"/>
      <c r="C205" s="554"/>
      <c r="D205" s="554"/>
      <c r="E205" s="554"/>
      <c r="F205" s="554"/>
      <c r="G205" s="554"/>
      <c r="H205" s="554"/>
      <c r="I205" s="554"/>
      <c r="J205" s="29"/>
      <c r="K205" s="29"/>
      <c r="L205" s="26"/>
      <c r="M205" s="3"/>
      <c r="N205" s="29"/>
      <c r="O205" s="29"/>
      <c r="P205" s="29"/>
      <c r="Q205" s="29"/>
      <c r="R205" s="29"/>
      <c r="S205" s="29"/>
      <c r="T205" s="29"/>
      <c r="U205" s="29"/>
      <c r="V205" s="29"/>
    </row>
    <row r="206" spans="2:22" s="1" customFormat="1">
      <c r="B206" s="551" t="s">
        <v>415</v>
      </c>
      <c r="C206" s="554" t="s">
        <v>414</v>
      </c>
      <c r="D206" s="434"/>
      <c r="E206" s="557"/>
      <c r="F206" s="554"/>
      <c r="G206" s="554"/>
      <c r="H206" s="554"/>
      <c r="I206" s="554"/>
      <c r="J206" s="29"/>
      <c r="K206" s="29"/>
      <c r="L206" s="26"/>
      <c r="M206" s="3"/>
      <c r="N206" s="29"/>
      <c r="O206" s="29"/>
      <c r="P206" s="29"/>
      <c r="Q206" s="29"/>
      <c r="R206" s="29"/>
      <c r="S206" s="29"/>
      <c r="T206" s="29"/>
      <c r="U206" s="29"/>
      <c r="V206" s="29"/>
    </row>
    <row r="207" spans="2:22" s="1" customFormat="1">
      <c r="B207" s="551"/>
      <c r="C207" s="554"/>
      <c r="D207" s="434"/>
      <c r="E207" s="557"/>
      <c r="F207" s="554"/>
      <c r="G207" s="554"/>
      <c r="H207" s="554"/>
      <c r="I207" s="554"/>
      <c r="J207" s="29"/>
      <c r="K207" s="29"/>
      <c r="L207" s="26"/>
      <c r="M207" s="3"/>
      <c r="N207" s="29"/>
      <c r="O207" s="29"/>
      <c r="P207" s="29"/>
      <c r="Q207" s="29"/>
      <c r="R207" s="29"/>
      <c r="S207" s="29"/>
      <c r="T207" s="29"/>
      <c r="U207" s="29"/>
      <c r="V207" s="29"/>
    </row>
    <row r="208" spans="2:22" s="1" customFormat="1">
      <c r="B208" s="551"/>
      <c r="C208" s="554" t="s">
        <v>119</v>
      </c>
      <c r="D208" s="434">
        <v>0.23</v>
      </c>
      <c r="E208" s="557" t="s">
        <v>20</v>
      </c>
      <c r="F208" s="554"/>
      <c r="G208" s="554"/>
      <c r="H208" s="554"/>
      <c r="I208" s="554"/>
      <c r="J208" s="29"/>
      <c r="K208" s="29"/>
      <c r="L208" s="26"/>
      <c r="M208" s="3"/>
      <c r="N208" s="29"/>
      <c r="O208" s="29"/>
      <c r="P208" s="29"/>
      <c r="Q208" s="29"/>
      <c r="R208" s="29"/>
      <c r="S208" s="29"/>
      <c r="T208" s="29"/>
      <c r="U208" s="29"/>
      <c r="V208" s="29"/>
    </row>
    <row r="209" spans="1:22" s="1" customFormat="1">
      <c r="B209" s="551"/>
      <c r="C209" s="554" t="s">
        <v>244</v>
      </c>
      <c r="D209" s="434">
        <v>2.25</v>
      </c>
      <c r="E209" s="557" t="s">
        <v>20</v>
      </c>
      <c r="F209" s="554"/>
      <c r="G209" s="554"/>
      <c r="H209" s="554"/>
      <c r="I209" s="554"/>
      <c r="J209" s="29"/>
      <c r="K209" s="29"/>
      <c r="L209" s="26"/>
      <c r="M209" s="3"/>
      <c r="N209" s="29"/>
      <c r="O209" s="29"/>
      <c r="P209" s="29"/>
      <c r="Q209" s="29"/>
      <c r="R209" s="29"/>
      <c r="S209" s="29"/>
      <c r="T209" s="29"/>
      <c r="U209" s="29"/>
      <c r="V209" s="29"/>
    </row>
    <row r="210" spans="1:22" s="1" customFormat="1">
      <c r="B210" s="551"/>
      <c r="C210" s="554" t="s">
        <v>405</v>
      </c>
      <c r="D210" s="434">
        <f>D208*D209</f>
        <v>0.51750000000000007</v>
      </c>
      <c r="E210" s="557" t="s">
        <v>21</v>
      </c>
      <c r="F210" s="554"/>
      <c r="G210" s="554"/>
      <c r="H210" s="554"/>
      <c r="I210" s="554"/>
      <c r="J210" s="29"/>
      <c r="K210" s="29"/>
      <c r="L210" s="26"/>
      <c r="M210" s="3"/>
      <c r="N210" s="29"/>
      <c r="O210" s="29"/>
      <c r="P210" s="29"/>
      <c r="Q210" s="29"/>
      <c r="R210" s="29"/>
      <c r="S210" s="29"/>
      <c r="T210" s="29"/>
      <c r="U210" s="29"/>
      <c r="V210" s="29"/>
    </row>
    <row r="211" spans="1:22" s="1" customFormat="1">
      <c r="B211" s="551"/>
      <c r="C211" s="554"/>
      <c r="D211" s="434"/>
      <c r="E211" s="557"/>
      <c r="F211" s="554"/>
      <c r="G211" s="554"/>
      <c r="H211" s="554"/>
      <c r="I211" s="554"/>
      <c r="J211" s="29"/>
      <c r="K211" s="29"/>
      <c r="L211" s="26"/>
      <c r="M211" s="3"/>
      <c r="N211" s="29"/>
      <c r="O211" s="29"/>
      <c r="P211" s="29"/>
      <c r="Q211" s="29"/>
      <c r="R211" s="29"/>
      <c r="S211" s="29"/>
      <c r="T211" s="29"/>
      <c r="U211" s="29"/>
      <c r="V211" s="29"/>
    </row>
    <row r="212" spans="1:22" s="1" customFormat="1">
      <c r="B212" s="551" t="s">
        <v>416</v>
      </c>
      <c r="C212" s="554" t="s">
        <v>603</v>
      </c>
      <c r="D212" s="434"/>
      <c r="E212" s="557"/>
      <c r="F212" s="554"/>
      <c r="G212" s="554"/>
      <c r="H212" s="554"/>
      <c r="I212" s="554"/>
      <c r="J212" s="29"/>
      <c r="K212" s="29"/>
      <c r="L212" s="26"/>
      <c r="M212" s="3"/>
      <c r="N212" s="29"/>
      <c r="O212" s="29"/>
      <c r="P212" s="29"/>
      <c r="Q212" s="29"/>
      <c r="R212" s="29"/>
      <c r="S212" s="29"/>
      <c r="T212" s="29"/>
      <c r="U212" s="29"/>
      <c r="V212" s="29"/>
    </row>
    <row r="213" spans="1:22" s="1" customFormat="1">
      <c r="B213" s="551"/>
      <c r="C213" s="554"/>
      <c r="D213" s="434"/>
      <c r="E213" s="557"/>
      <c r="F213" s="554"/>
      <c r="G213" s="554"/>
      <c r="H213" s="554"/>
      <c r="I213" s="554"/>
      <c r="J213" s="29"/>
      <c r="K213" s="29"/>
      <c r="L213" s="26"/>
      <c r="M213" s="3"/>
      <c r="N213" s="29"/>
      <c r="O213" s="29"/>
      <c r="P213" s="29"/>
      <c r="Q213" s="29"/>
      <c r="R213" s="29"/>
      <c r="S213" s="29"/>
      <c r="T213" s="29"/>
      <c r="U213" s="29"/>
      <c r="V213" s="29"/>
    </row>
    <row r="214" spans="1:22" s="1" customFormat="1">
      <c r="B214" s="551"/>
      <c r="C214" s="554" t="s">
        <v>421</v>
      </c>
      <c r="D214" s="434">
        <v>1.52</v>
      </c>
      <c r="E214" s="557" t="s">
        <v>6</v>
      </c>
      <c r="F214" s="554"/>
      <c r="G214" s="554"/>
      <c r="H214" s="554"/>
      <c r="I214" s="554"/>
      <c r="J214" s="29"/>
      <c r="K214" s="29"/>
      <c r="L214" s="26"/>
      <c r="M214" s="3"/>
      <c r="N214" s="29"/>
      <c r="O214" s="29"/>
      <c r="P214" s="29"/>
      <c r="Q214" s="29"/>
      <c r="R214" s="29"/>
      <c r="S214" s="29"/>
      <c r="T214" s="29"/>
      <c r="U214" s="29"/>
      <c r="V214" s="29"/>
    </row>
    <row r="215" spans="1:22" s="1" customFormat="1">
      <c r="B215" s="551"/>
      <c r="C215" s="554" t="s">
        <v>422</v>
      </c>
      <c r="D215" s="434">
        <v>2.25</v>
      </c>
      <c r="E215" s="557" t="s">
        <v>6</v>
      </c>
      <c r="F215" s="554"/>
      <c r="G215" s="554"/>
      <c r="H215" s="554"/>
      <c r="I215" s="554"/>
      <c r="J215" s="29"/>
      <c r="K215" s="29"/>
      <c r="L215" s="26"/>
      <c r="M215" s="3"/>
      <c r="N215" s="29"/>
      <c r="O215" s="29"/>
      <c r="P215" s="29"/>
      <c r="Q215" s="29"/>
      <c r="R215" s="29"/>
      <c r="S215" s="29"/>
      <c r="T215" s="29"/>
      <c r="U215" s="29"/>
      <c r="V215" s="29"/>
    </row>
    <row r="216" spans="1:22" s="1" customFormat="1">
      <c r="B216" s="551"/>
      <c r="C216" s="554" t="s">
        <v>361</v>
      </c>
      <c r="D216" s="434">
        <f>D214*D215</f>
        <v>3.42</v>
      </c>
      <c r="E216" s="557" t="s">
        <v>20</v>
      </c>
      <c r="F216" s="554"/>
      <c r="G216" s="554"/>
      <c r="H216" s="554"/>
      <c r="I216" s="554"/>
      <c r="J216" s="29"/>
      <c r="K216" s="29"/>
      <c r="L216" s="26"/>
      <c r="M216" s="3"/>
      <c r="N216" s="29"/>
      <c r="O216" s="29"/>
      <c r="P216" s="29"/>
      <c r="Q216" s="29"/>
      <c r="R216" s="29"/>
      <c r="S216" s="29"/>
      <c r="T216" s="29"/>
      <c r="U216" s="29"/>
      <c r="V216" s="29"/>
    </row>
    <row r="217" spans="1:22" s="1" customFormat="1">
      <c r="B217" s="551"/>
      <c r="C217" s="554"/>
      <c r="D217" s="434"/>
      <c r="E217" s="557"/>
      <c r="F217" s="554"/>
      <c r="G217" s="554"/>
      <c r="H217" s="554"/>
      <c r="I217" s="554"/>
      <c r="J217" s="29"/>
      <c r="K217" s="29"/>
      <c r="L217" s="26"/>
      <c r="M217" s="3"/>
      <c r="N217" s="29"/>
      <c r="O217" s="29"/>
      <c r="P217" s="29"/>
      <c r="Q217" s="29"/>
      <c r="R217" s="29"/>
      <c r="S217" s="29"/>
      <c r="T217" s="29"/>
      <c r="U217" s="29"/>
      <c r="V217" s="29"/>
    </row>
    <row r="218" spans="1:22" s="1" customFormat="1">
      <c r="B218" s="551" t="s">
        <v>417</v>
      </c>
      <c r="C218" s="554" t="s">
        <v>418</v>
      </c>
      <c r="D218" s="434"/>
      <c r="E218" s="557"/>
      <c r="F218" s="554"/>
      <c r="G218" s="554"/>
      <c r="H218" s="554"/>
      <c r="I218" s="554"/>
      <c r="J218" s="29"/>
      <c r="K218" s="26"/>
      <c r="L218" s="26"/>
      <c r="M218" s="3"/>
      <c r="N218" s="29"/>
      <c r="O218" s="29"/>
      <c r="P218" s="29"/>
      <c r="Q218" s="29"/>
      <c r="R218" s="29"/>
      <c r="S218" s="29"/>
      <c r="T218" s="29"/>
      <c r="U218" s="29"/>
      <c r="V218" s="29"/>
    </row>
    <row r="219" spans="1:22" s="1" customFormat="1">
      <c r="B219" s="69"/>
      <c r="C219" s="46" t="s">
        <v>423</v>
      </c>
      <c r="D219" s="29"/>
      <c r="E219" s="29">
        <v>1.9</v>
      </c>
      <c r="F219" s="29" t="s">
        <v>20</v>
      </c>
      <c r="G219" s="29"/>
      <c r="H219" s="29"/>
      <c r="I219" s="29"/>
      <c r="J219" s="29"/>
      <c r="K219" s="26"/>
      <c r="L219" s="26"/>
      <c r="M219" s="3"/>
      <c r="N219" s="29"/>
      <c r="O219" s="29"/>
      <c r="P219" s="29"/>
      <c r="Q219" s="29"/>
      <c r="R219" s="29"/>
      <c r="S219" s="29"/>
      <c r="T219" s="29"/>
      <c r="U219" s="29"/>
      <c r="V219" s="29"/>
    </row>
    <row r="220" spans="1:22" s="1" customFormat="1">
      <c r="B220" s="69"/>
      <c r="C220" s="46"/>
      <c r="D220" s="29"/>
      <c r="E220" s="29"/>
      <c r="F220" s="29"/>
      <c r="G220" s="29"/>
      <c r="H220" s="29"/>
      <c r="I220" s="29"/>
      <c r="J220" s="29"/>
      <c r="K220" s="26"/>
      <c r="L220" s="26"/>
      <c r="M220" s="3"/>
      <c r="N220" s="3"/>
    </row>
    <row r="221" spans="1:22" s="1" customFormat="1">
      <c r="B221" s="69"/>
      <c r="C221" s="46"/>
      <c r="D221" s="29"/>
      <c r="E221" s="29"/>
      <c r="F221" s="29"/>
      <c r="G221" s="29"/>
      <c r="H221" s="29"/>
      <c r="I221" s="29"/>
      <c r="J221" s="29"/>
      <c r="K221" s="26"/>
      <c r="L221" s="26"/>
      <c r="M221" s="3"/>
      <c r="N221" s="3"/>
    </row>
    <row r="222" spans="1:22" s="1" customFormat="1">
      <c r="B222" s="551" t="s">
        <v>419</v>
      </c>
      <c r="C222" s="554" t="s">
        <v>420</v>
      </c>
      <c r="D222" s="561"/>
      <c r="E222" s="29"/>
      <c r="F222" s="29"/>
      <c r="G222" s="29"/>
      <c r="H222" s="29"/>
      <c r="I222" s="29"/>
      <c r="J222" s="29"/>
      <c r="K222" s="26"/>
      <c r="L222" s="26"/>
      <c r="M222" s="3"/>
      <c r="N222" s="3"/>
    </row>
    <row r="223" spans="1:22" s="1" customFormat="1" ht="12.75" customHeight="1">
      <c r="A223" s="4"/>
      <c r="B223" s="558"/>
      <c r="C223" s="167"/>
      <c r="D223" s="111"/>
      <c r="E223" s="112"/>
      <c r="F223" s="111"/>
      <c r="G223" s="111"/>
      <c r="H223" s="112"/>
      <c r="I223" s="111"/>
      <c r="J223" s="111"/>
      <c r="K223" s="34"/>
      <c r="L223" s="5"/>
      <c r="M223" s="5"/>
      <c r="N223" s="26"/>
      <c r="O223" s="35"/>
    </row>
    <row r="224" spans="1:22" s="1" customFormat="1" ht="12.75" customHeight="1">
      <c r="A224" s="4"/>
      <c r="B224" s="559"/>
      <c r="C224" s="110" t="s">
        <v>424</v>
      </c>
      <c r="D224" s="111">
        <v>0.4</v>
      </c>
      <c r="E224" s="112" t="s">
        <v>6</v>
      </c>
      <c r="F224" s="111"/>
      <c r="G224" s="111"/>
      <c r="H224" s="527"/>
      <c r="I224" s="87"/>
      <c r="J224" s="87"/>
      <c r="K224" s="34"/>
      <c r="L224" s="5"/>
      <c r="M224" s="5"/>
      <c r="N224" s="26"/>
      <c r="O224" s="35"/>
    </row>
    <row r="225" spans="1:15" s="1" customFormat="1" ht="12.75" customHeight="1">
      <c r="A225" s="4"/>
      <c r="B225" s="559"/>
      <c r="C225" s="110" t="s">
        <v>425</v>
      </c>
      <c r="D225" s="111">
        <v>0.8</v>
      </c>
      <c r="E225" s="112"/>
      <c r="F225" s="111"/>
      <c r="G225" s="111"/>
      <c r="H225" s="527"/>
      <c r="I225" s="87"/>
      <c r="J225" s="87"/>
      <c r="K225" s="34"/>
      <c r="L225" s="5"/>
      <c r="M225" s="5"/>
      <c r="N225" s="26"/>
      <c r="O225" s="35"/>
    </row>
    <row r="226" spans="1:15" s="1" customFormat="1" ht="12.75" customHeight="1">
      <c r="A226" s="4"/>
      <c r="B226" s="559"/>
      <c r="C226" s="110"/>
      <c r="D226" s="111"/>
      <c r="E226" s="112"/>
      <c r="F226" s="111"/>
      <c r="G226" s="111"/>
      <c r="H226" s="527"/>
      <c r="I226" s="87"/>
      <c r="J226" s="87"/>
      <c r="K226" s="34"/>
      <c r="L226" s="5"/>
      <c r="M226" s="5"/>
      <c r="N226" s="26"/>
      <c r="O226" s="35"/>
    </row>
    <row r="227" spans="1:15" s="1" customFormat="1" ht="12.75" customHeight="1">
      <c r="A227" s="4"/>
      <c r="B227" s="559"/>
      <c r="C227" s="110" t="s">
        <v>426</v>
      </c>
      <c r="D227" s="111"/>
      <c r="E227" s="112">
        <v>2.25</v>
      </c>
      <c r="F227" s="111" t="s">
        <v>6</v>
      </c>
      <c r="G227" s="111"/>
      <c r="H227" s="527"/>
      <c r="I227" s="87"/>
      <c r="J227" s="87"/>
      <c r="K227" s="34"/>
      <c r="L227" s="5"/>
      <c r="M227" s="5"/>
      <c r="N227" s="26"/>
      <c r="O227" s="35"/>
    </row>
    <row r="228" spans="1:15" s="1" customFormat="1" ht="12.75" customHeight="1">
      <c r="A228" s="4"/>
      <c r="B228" s="559"/>
      <c r="C228" s="110"/>
      <c r="D228" s="111"/>
      <c r="E228" s="112"/>
      <c r="F228" s="111"/>
      <c r="G228" s="111"/>
      <c r="H228" s="527"/>
      <c r="I228" s="87"/>
      <c r="J228" s="87"/>
      <c r="K228" s="34"/>
      <c r="L228" s="5"/>
      <c r="M228" s="5"/>
      <c r="N228" s="26"/>
      <c r="O228" s="35"/>
    </row>
    <row r="229" spans="1:15" s="1" customFormat="1" ht="12.75" customHeight="1">
      <c r="A229" s="4"/>
      <c r="B229" s="560"/>
      <c r="C229" s="29" t="s">
        <v>427</v>
      </c>
      <c r="D229" s="87"/>
      <c r="E229" s="527">
        <f>D225*E227</f>
        <v>1.8</v>
      </c>
      <c r="F229" s="87" t="s">
        <v>20</v>
      </c>
      <c r="G229" s="87"/>
      <c r="H229" s="527"/>
      <c r="I229" s="87"/>
      <c r="J229" s="87"/>
      <c r="K229" s="34"/>
      <c r="L229" s="5"/>
      <c r="M229" s="5"/>
      <c r="N229" s="26"/>
      <c r="O229" s="35"/>
    </row>
    <row r="230" spans="1:15" s="1" customFormat="1" ht="12.75" customHeight="1">
      <c r="A230" s="4"/>
      <c r="B230" s="560"/>
      <c r="C230" s="29"/>
      <c r="D230" s="87"/>
      <c r="E230" s="527"/>
      <c r="F230" s="87"/>
      <c r="G230" s="87"/>
      <c r="H230" s="527"/>
      <c r="I230" s="87"/>
      <c r="J230" s="87"/>
      <c r="K230" s="34"/>
      <c r="L230" s="5"/>
      <c r="M230" s="5"/>
      <c r="N230" s="26"/>
      <c r="O230" s="35"/>
    </row>
    <row r="231" spans="1:15" s="1" customFormat="1" ht="12.75" customHeight="1">
      <c r="A231" s="4"/>
      <c r="B231" s="37"/>
      <c r="C231" s="29"/>
      <c r="D231" s="87"/>
      <c r="E231" s="527"/>
      <c r="F231" s="87"/>
      <c r="G231" s="87"/>
      <c r="H231" s="527"/>
      <c r="I231" s="87"/>
      <c r="J231" s="87"/>
      <c r="K231" s="34"/>
      <c r="L231" s="5"/>
      <c r="M231" s="5"/>
      <c r="N231" s="26"/>
      <c r="O231" s="35"/>
    </row>
    <row r="232" spans="1:15" s="1" customFormat="1" ht="12.75" customHeight="1">
      <c r="A232" s="4"/>
      <c r="B232" s="37"/>
      <c r="C232" s="29"/>
      <c r="D232" s="87"/>
      <c r="E232" s="527"/>
      <c r="F232" s="87"/>
      <c r="G232" s="87"/>
      <c r="H232" s="527"/>
      <c r="I232" s="87"/>
      <c r="J232" s="87"/>
      <c r="K232" s="34"/>
      <c r="L232" s="5"/>
      <c r="M232" s="5"/>
      <c r="N232" s="26"/>
      <c r="O232" s="35"/>
    </row>
    <row r="233" spans="1:15" s="1" customFormat="1" ht="12.75" customHeight="1">
      <c r="A233" s="4"/>
      <c r="B233" s="37"/>
      <c r="C233" s="354"/>
      <c r="D233" s="87"/>
      <c r="E233" s="527"/>
      <c r="F233" s="87"/>
      <c r="G233" s="87"/>
      <c r="H233" s="527"/>
      <c r="I233" s="87"/>
      <c r="J233" s="87"/>
      <c r="K233" s="34"/>
      <c r="L233" s="5"/>
      <c r="M233" s="5"/>
      <c r="N233" s="26"/>
      <c r="O233" s="35"/>
    </row>
    <row r="234" spans="1:15" s="1" customFormat="1" ht="12.75" customHeight="1">
      <c r="A234" s="4"/>
      <c r="B234" s="37"/>
      <c r="C234" s="354"/>
      <c r="D234" s="87"/>
      <c r="E234" s="527"/>
      <c r="F234" s="87"/>
      <c r="G234" s="87"/>
      <c r="H234" s="527"/>
      <c r="I234" s="87"/>
      <c r="J234" s="87"/>
      <c r="K234" s="34"/>
      <c r="L234" s="5"/>
      <c r="M234" s="5"/>
      <c r="N234" s="26"/>
      <c r="O234" s="35"/>
    </row>
    <row r="235" spans="1:15" s="1" customFormat="1" ht="12.75" customHeight="1">
      <c r="A235" s="4"/>
      <c r="B235" s="37"/>
      <c r="C235" s="354"/>
      <c r="D235" s="87"/>
      <c r="E235" s="527"/>
      <c r="F235" s="87"/>
      <c r="G235" s="87"/>
      <c r="H235" s="527"/>
      <c r="I235" s="87"/>
      <c r="J235" s="87"/>
      <c r="K235" s="34"/>
      <c r="L235" s="5"/>
      <c r="M235" s="5"/>
      <c r="N235" s="26"/>
      <c r="O235" s="35"/>
    </row>
    <row r="236" spans="1:15" s="1" customFormat="1" ht="12.75" customHeight="1">
      <c r="A236" s="4"/>
      <c r="B236" s="37"/>
      <c r="C236" s="354"/>
      <c r="D236" s="87"/>
      <c r="E236" s="527"/>
      <c r="F236" s="87"/>
      <c r="G236" s="87"/>
      <c r="H236" s="527"/>
      <c r="I236" s="87"/>
      <c r="J236" s="87"/>
      <c r="K236" s="34"/>
      <c r="L236" s="5"/>
      <c r="M236" s="5"/>
      <c r="N236" s="26"/>
      <c r="O236" s="35"/>
    </row>
    <row r="237" spans="1:15" s="1" customFormat="1" ht="12.75" customHeight="1">
      <c r="A237" s="4"/>
      <c r="B237" s="37"/>
      <c r="C237" s="29"/>
      <c r="D237" s="87"/>
      <c r="E237" s="527"/>
      <c r="F237" s="87"/>
      <c r="G237" s="87"/>
      <c r="H237" s="527"/>
      <c r="I237" s="87"/>
      <c r="J237" s="87"/>
      <c r="K237" s="34"/>
      <c r="L237" s="5"/>
      <c r="M237" s="5"/>
      <c r="N237" s="26"/>
      <c r="O237" s="35"/>
    </row>
    <row r="238" spans="1:15" s="1" customFormat="1">
      <c r="A238" s="4"/>
      <c r="B238" s="29"/>
      <c r="C238" s="29"/>
      <c r="D238" s="29"/>
      <c r="E238" s="29"/>
      <c r="F238" s="29"/>
      <c r="G238" s="29"/>
      <c r="H238" s="29"/>
      <c r="I238" s="29"/>
      <c r="J238" s="29"/>
      <c r="K238" s="26"/>
      <c r="L238" s="26"/>
      <c r="M238" s="26"/>
      <c r="N238" s="26"/>
      <c r="O238" s="35"/>
    </row>
    <row r="239" spans="1:15" s="1" customFormat="1">
      <c r="A239" s="4"/>
      <c r="B239" s="29"/>
      <c r="C239" s="29"/>
      <c r="D239" s="29"/>
      <c r="E239" s="29"/>
      <c r="F239" s="29"/>
      <c r="G239" s="29"/>
      <c r="H239" s="29"/>
      <c r="I239" s="29"/>
      <c r="J239" s="29"/>
      <c r="K239" s="26"/>
      <c r="L239" s="26"/>
      <c r="M239" s="26"/>
      <c r="N239" s="26"/>
      <c r="O239" s="35"/>
    </row>
    <row r="240" spans="1:15" s="1" customFormat="1">
      <c r="A240" s="4"/>
      <c r="B240" s="29"/>
      <c r="C240" s="29"/>
      <c r="D240" s="29"/>
      <c r="E240" s="29"/>
      <c r="F240" s="29"/>
      <c r="G240" s="29"/>
      <c r="H240" s="29"/>
      <c r="I240" s="29"/>
      <c r="J240" s="29"/>
      <c r="K240" s="26"/>
      <c r="L240" s="26"/>
      <c r="M240" s="26"/>
      <c r="N240" s="26"/>
      <c r="O240" s="35"/>
    </row>
    <row r="241" spans="1:15" s="1" customFormat="1">
      <c r="A241" s="4"/>
      <c r="B241" s="29"/>
      <c r="C241" s="29"/>
      <c r="D241" s="29"/>
      <c r="E241" s="29"/>
      <c r="F241" s="29"/>
      <c r="G241" s="29"/>
      <c r="H241" s="29"/>
      <c r="I241" s="29"/>
      <c r="J241" s="29"/>
      <c r="K241" s="26"/>
      <c r="L241" s="26"/>
      <c r="M241" s="26"/>
      <c r="N241" s="26"/>
      <c r="O241" s="35"/>
    </row>
    <row r="242" spans="1:15" s="1" customFormat="1">
      <c r="A242" s="4"/>
      <c r="B242" s="29"/>
      <c r="C242" s="29"/>
      <c r="D242" s="29"/>
      <c r="E242" s="29"/>
      <c r="F242" s="29"/>
      <c r="G242" s="29"/>
      <c r="H242" s="29"/>
      <c r="I242" s="29"/>
      <c r="J242" s="29"/>
      <c r="K242" s="26"/>
      <c r="L242" s="26"/>
      <c r="M242" s="26"/>
      <c r="N242" s="26"/>
      <c r="O242" s="35"/>
    </row>
    <row r="243" spans="1:15" s="1" customFormat="1">
      <c r="A243" s="4"/>
      <c r="B243" s="29"/>
      <c r="C243" s="29"/>
      <c r="D243" s="29"/>
      <c r="E243" s="29"/>
      <c r="F243" s="29"/>
      <c r="G243" s="29"/>
      <c r="H243" s="29"/>
      <c r="I243" s="29"/>
      <c r="J243" s="29"/>
      <c r="K243" s="26"/>
      <c r="L243" s="26"/>
      <c r="M243" s="26"/>
      <c r="N243" s="26"/>
      <c r="O243" s="35"/>
    </row>
    <row r="244" spans="1:15" s="1" customFormat="1">
      <c r="A244" s="4"/>
      <c r="B244" s="29"/>
      <c r="C244" s="29"/>
      <c r="D244" s="29"/>
      <c r="E244" s="29"/>
      <c r="F244" s="29"/>
      <c r="G244" s="29"/>
      <c r="H244" s="29"/>
      <c r="I244" s="29"/>
      <c r="J244" s="29"/>
      <c r="K244" s="26"/>
      <c r="L244" s="26"/>
      <c r="M244" s="26"/>
      <c r="N244" s="26"/>
      <c r="O244" s="35"/>
    </row>
    <row r="245" spans="1:15" s="1" customFormat="1">
      <c r="A245" s="4"/>
      <c r="B245" s="29"/>
      <c r="C245" s="29"/>
      <c r="D245" s="29"/>
      <c r="E245" s="29"/>
      <c r="F245" s="29"/>
      <c r="G245" s="29"/>
      <c r="H245" s="29"/>
      <c r="I245" s="29"/>
      <c r="J245" s="29"/>
      <c r="K245" s="26"/>
      <c r="L245" s="26"/>
      <c r="M245" s="26"/>
      <c r="N245" s="26"/>
      <c r="O245" s="35"/>
    </row>
    <row r="246" spans="1:15" s="1" customFormat="1">
      <c r="A246" s="4"/>
      <c r="B246" s="29"/>
      <c r="C246" s="29"/>
      <c r="D246" s="29"/>
      <c r="E246" s="29"/>
      <c r="F246" s="29"/>
      <c r="G246" s="29"/>
      <c r="H246" s="29"/>
      <c r="I246" s="29"/>
      <c r="J246" s="29"/>
      <c r="K246" s="26"/>
      <c r="L246" s="26"/>
      <c r="M246" s="26"/>
      <c r="N246" s="26"/>
      <c r="O246" s="35"/>
    </row>
    <row r="247" spans="1:15" s="1" customFormat="1">
      <c r="A247" s="4"/>
      <c r="B247" s="29"/>
      <c r="C247" s="29"/>
      <c r="D247" s="29"/>
      <c r="E247" s="29"/>
      <c r="F247" s="29"/>
      <c r="G247" s="29"/>
      <c r="H247" s="29"/>
      <c r="I247" s="29"/>
      <c r="J247" s="29"/>
      <c r="K247" s="26"/>
      <c r="L247" s="26"/>
      <c r="M247" s="26"/>
      <c r="N247" s="26"/>
      <c r="O247" s="35"/>
    </row>
    <row r="248" spans="1:15" s="1" customFormat="1">
      <c r="A248" s="4"/>
      <c r="B248" s="29"/>
      <c r="C248" s="29"/>
      <c r="D248" s="29"/>
      <c r="E248" s="29"/>
      <c r="F248" s="29"/>
      <c r="G248" s="29"/>
      <c r="H248" s="29"/>
      <c r="I248" s="29"/>
      <c r="J248" s="29"/>
      <c r="K248" s="26"/>
      <c r="L248" s="26"/>
      <c r="M248" s="26"/>
      <c r="N248" s="26"/>
      <c r="O248" s="35"/>
    </row>
    <row r="249" spans="1:15" s="1" customFormat="1">
      <c r="A249" s="4"/>
      <c r="B249" s="29"/>
      <c r="C249" s="29"/>
      <c r="D249" s="29"/>
      <c r="E249" s="29"/>
      <c r="F249" s="29"/>
      <c r="G249" s="29"/>
      <c r="H249" s="29"/>
      <c r="I249" s="29"/>
      <c r="J249" s="29"/>
      <c r="K249" s="26"/>
      <c r="L249" s="26"/>
      <c r="M249" s="26"/>
      <c r="N249" s="26"/>
      <c r="O249" s="35"/>
    </row>
    <row r="250" spans="1:15" s="1" customFormat="1">
      <c r="A250" s="4"/>
      <c r="B250" s="29"/>
      <c r="C250" s="29"/>
      <c r="D250" s="29"/>
      <c r="E250" s="29"/>
      <c r="F250" s="29"/>
      <c r="G250" s="29"/>
      <c r="H250" s="29"/>
      <c r="I250" s="29"/>
      <c r="J250" s="29"/>
      <c r="K250" s="26"/>
      <c r="L250" s="26"/>
      <c r="M250" s="26"/>
      <c r="N250" s="26"/>
      <c r="O250" s="35"/>
    </row>
    <row r="251" spans="1:15" s="1" customFormat="1">
      <c r="A251" s="4"/>
      <c r="B251" s="29"/>
      <c r="C251" s="29"/>
      <c r="D251" s="29"/>
      <c r="E251" s="29"/>
      <c r="F251" s="29"/>
      <c r="G251" s="29"/>
      <c r="H251" s="29"/>
      <c r="I251" s="29"/>
      <c r="J251" s="29"/>
      <c r="K251" s="26"/>
      <c r="L251" s="26"/>
      <c r="M251" s="26"/>
      <c r="N251" s="26"/>
      <c r="O251" s="35"/>
    </row>
    <row r="252" spans="1:15" s="1" customFormat="1">
      <c r="A252" s="4"/>
      <c r="B252" s="29"/>
      <c r="C252" s="29"/>
      <c r="D252" s="29"/>
      <c r="E252" s="29"/>
      <c r="F252" s="29"/>
      <c r="G252" s="29"/>
      <c r="H252" s="29"/>
      <c r="I252" s="29"/>
      <c r="J252" s="29"/>
      <c r="K252" s="26"/>
      <c r="L252" s="26"/>
      <c r="M252" s="26"/>
      <c r="N252" s="26"/>
      <c r="O252" s="35"/>
    </row>
    <row r="253" spans="1:15" s="1" customFormat="1">
      <c r="A253" s="4"/>
      <c r="B253" s="29"/>
      <c r="C253" s="29"/>
      <c r="D253" s="29"/>
      <c r="E253" s="29"/>
      <c r="F253" s="29"/>
      <c r="G253" s="29"/>
      <c r="H253" s="29"/>
      <c r="I253" s="29"/>
      <c r="J253" s="29"/>
      <c r="K253" s="26"/>
      <c r="L253" s="26"/>
      <c r="M253" s="26"/>
      <c r="N253" s="26"/>
      <c r="O253" s="35"/>
    </row>
    <row r="254" spans="1:15" s="1" customFormat="1">
      <c r="A254" s="4"/>
      <c r="B254" s="29"/>
      <c r="C254" s="29"/>
      <c r="D254" s="29"/>
      <c r="E254" s="29"/>
      <c r="F254" s="29"/>
      <c r="G254" s="29"/>
      <c r="H254" s="29"/>
      <c r="I254" s="29"/>
      <c r="J254" s="29"/>
      <c r="K254" s="26"/>
      <c r="L254" s="26"/>
      <c r="M254" s="26"/>
      <c r="N254" s="26"/>
      <c r="O254" s="35"/>
    </row>
    <row r="255" spans="1:15" s="1" customFormat="1">
      <c r="A255" s="4"/>
      <c r="B255" s="29"/>
      <c r="C255" s="29"/>
      <c r="D255" s="29"/>
      <c r="E255" s="29"/>
      <c r="F255" s="29"/>
      <c r="G255" s="29"/>
      <c r="H255" s="29"/>
      <c r="I255" s="29"/>
      <c r="J255" s="29"/>
      <c r="K255" s="26"/>
      <c r="L255" s="26"/>
      <c r="M255" s="26"/>
      <c r="N255" s="26"/>
      <c r="O255" s="35"/>
    </row>
    <row r="256" spans="1:15" s="1" customFormat="1">
      <c r="A256" s="4"/>
      <c r="B256" s="29"/>
      <c r="C256" s="29"/>
      <c r="D256" s="29"/>
      <c r="E256" s="29"/>
      <c r="F256" s="29"/>
      <c r="G256" s="29"/>
      <c r="H256" s="29"/>
      <c r="I256" s="29"/>
      <c r="J256" s="29"/>
      <c r="K256" s="26"/>
      <c r="L256" s="26"/>
      <c r="M256" s="26"/>
      <c r="N256" s="26"/>
      <c r="O256" s="35"/>
    </row>
    <row r="257" spans="1:15" s="1" customFormat="1">
      <c r="A257" s="4"/>
      <c r="B257" s="29"/>
      <c r="C257" s="29"/>
      <c r="D257" s="29"/>
      <c r="E257" s="29"/>
      <c r="F257" s="29"/>
      <c r="G257" s="29"/>
      <c r="H257" s="29"/>
      <c r="I257" s="29"/>
      <c r="J257" s="29"/>
      <c r="K257" s="26"/>
      <c r="L257" s="26"/>
      <c r="M257" s="26"/>
      <c r="N257" s="26"/>
      <c r="O257" s="35"/>
    </row>
    <row r="258" spans="1:15" s="1" customFormat="1">
      <c r="A258" s="4"/>
      <c r="B258" s="29"/>
      <c r="C258" s="29"/>
      <c r="D258" s="29"/>
      <c r="E258" s="29"/>
      <c r="F258" s="29"/>
      <c r="G258" s="29"/>
      <c r="H258" s="29"/>
      <c r="I258" s="29"/>
      <c r="J258" s="29"/>
      <c r="K258" s="26"/>
      <c r="L258" s="26"/>
      <c r="M258" s="26"/>
      <c r="N258" s="26"/>
      <c r="O258" s="35"/>
    </row>
    <row r="259" spans="1:15" s="1" customFormat="1">
      <c r="A259" s="4"/>
      <c r="B259" s="29"/>
      <c r="C259" s="29"/>
      <c r="D259" s="29"/>
      <c r="E259" s="29"/>
      <c r="F259" s="29"/>
      <c r="G259" s="29"/>
      <c r="H259" s="29"/>
      <c r="I259" s="29"/>
      <c r="J259" s="29"/>
      <c r="K259" s="26"/>
      <c r="L259" s="26"/>
      <c r="M259" s="26"/>
      <c r="N259" s="26"/>
      <c r="O259" s="35"/>
    </row>
    <row r="260" spans="1:15" s="1" customFormat="1">
      <c r="A260" s="4"/>
      <c r="B260" s="29"/>
      <c r="C260" s="29"/>
      <c r="D260" s="29"/>
      <c r="E260" s="29"/>
      <c r="F260" s="29"/>
      <c r="G260" s="29"/>
      <c r="H260" s="29"/>
      <c r="I260" s="29"/>
      <c r="J260" s="29"/>
      <c r="K260" s="26"/>
      <c r="L260" s="26"/>
      <c r="M260" s="26"/>
      <c r="N260" s="26"/>
      <c r="O260" s="35"/>
    </row>
    <row r="261" spans="1:15" s="1" customFormat="1">
      <c r="A261" s="4"/>
      <c r="B261" s="29"/>
      <c r="C261" s="29"/>
      <c r="D261" s="29"/>
      <c r="E261" s="29"/>
      <c r="F261" s="29"/>
      <c r="G261" s="29"/>
      <c r="H261" s="29"/>
      <c r="I261" s="29"/>
      <c r="J261" s="29"/>
      <c r="K261" s="26"/>
      <c r="L261" s="26"/>
      <c r="M261" s="26"/>
      <c r="N261" s="26"/>
      <c r="O261" s="35"/>
    </row>
    <row r="262" spans="1:15" s="1" customFormat="1">
      <c r="A262" s="4"/>
      <c r="B262" s="29"/>
      <c r="C262" s="29"/>
      <c r="D262" s="29"/>
      <c r="E262" s="29"/>
      <c r="F262" s="29"/>
      <c r="G262" s="29"/>
      <c r="H262" s="29"/>
      <c r="I262" s="29"/>
      <c r="J262" s="29"/>
      <c r="K262" s="26"/>
      <c r="L262" s="26"/>
      <c r="M262" s="26"/>
      <c r="N262" s="26"/>
      <c r="O262" s="35"/>
    </row>
    <row r="263" spans="1:15" s="1" customFormat="1">
      <c r="A263" s="4"/>
      <c r="B263" s="29"/>
      <c r="C263" s="29"/>
      <c r="D263" s="29"/>
      <c r="E263" s="29"/>
      <c r="F263" s="29"/>
      <c r="G263" s="29"/>
      <c r="H263" s="29"/>
      <c r="I263" s="29"/>
      <c r="J263" s="29"/>
      <c r="K263" s="26"/>
      <c r="L263" s="26"/>
      <c r="M263" s="26"/>
      <c r="N263" s="26"/>
      <c r="O263" s="35"/>
    </row>
    <row r="264" spans="1:15" s="1" customFormat="1">
      <c r="A264" s="4"/>
      <c r="B264" s="29"/>
      <c r="C264" s="29"/>
      <c r="D264" s="29"/>
      <c r="E264" s="29"/>
      <c r="F264" s="29"/>
      <c r="G264" s="29"/>
      <c r="H264" s="29"/>
      <c r="I264" s="29"/>
      <c r="J264" s="29"/>
      <c r="K264" s="26"/>
      <c r="L264" s="26"/>
      <c r="M264" s="26"/>
      <c r="N264" s="26"/>
      <c r="O264" s="35"/>
    </row>
    <row r="265" spans="1:15" s="1" customFormat="1">
      <c r="A265" s="4"/>
      <c r="B265" s="29"/>
      <c r="C265" s="29"/>
      <c r="D265" s="29"/>
      <c r="E265" s="29"/>
      <c r="F265" s="29"/>
      <c r="G265" s="29"/>
      <c r="H265" s="29"/>
      <c r="I265" s="29"/>
      <c r="J265" s="29"/>
      <c r="K265" s="26"/>
      <c r="L265" s="26"/>
      <c r="M265" s="26"/>
      <c r="N265" s="26"/>
      <c r="O265" s="35"/>
    </row>
    <row r="266" spans="1:15" s="1" customFormat="1">
      <c r="A266" s="4"/>
      <c r="B266" s="29"/>
      <c r="C266" s="29"/>
      <c r="D266" s="29"/>
      <c r="E266" s="29"/>
      <c r="F266" s="29"/>
      <c r="G266" s="29"/>
      <c r="H266" s="29"/>
      <c r="I266" s="29"/>
      <c r="J266" s="29"/>
      <c r="K266" s="26"/>
      <c r="L266" s="26"/>
      <c r="M266" s="26"/>
      <c r="N266" s="26"/>
      <c r="O266" s="35"/>
    </row>
    <row r="267" spans="1:15" s="1" customFormat="1">
      <c r="A267" s="4"/>
      <c r="B267" s="29"/>
      <c r="C267" s="29"/>
      <c r="D267" s="29"/>
      <c r="E267" s="29"/>
      <c r="F267" s="29"/>
      <c r="G267" s="29"/>
      <c r="H267" s="29"/>
      <c r="I267" s="29"/>
      <c r="J267" s="29"/>
      <c r="K267" s="26"/>
      <c r="L267" s="26"/>
      <c r="M267" s="26"/>
      <c r="N267" s="26"/>
      <c r="O267" s="35"/>
    </row>
    <row r="268" spans="1:15" s="1" customFormat="1">
      <c r="A268" s="4"/>
      <c r="B268" s="184"/>
      <c r="C268" s="29"/>
      <c r="D268" s="29"/>
      <c r="E268" s="29"/>
      <c r="F268" s="29"/>
      <c r="G268" s="29"/>
      <c r="H268" s="29"/>
      <c r="I268" s="29"/>
      <c r="J268" s="29"/>
      <c r="K268" s="3"/>
      <c r="L268" s="3"/>
      <c r="M268" s="3"/>
      <c r="N268" s="26"/>
      <c r="O268" s="35"/>
    </row>
    <row r="269" spans="1:15" s="1" customFormat="1">
      <c r="A269" s="4"/>
      <c r="B269" s="184"/>
      <c r="C269" s="29"/>
      <c r="D269" s="29"/>
      <c r="E269" s="29"/>
      <c r="F269" s="29"/>
      <c r="G269" s="29"/>
      <c r="H269" s="29"/>
      <c r="I269" s="29"/>
      <c r="J269" s="29"/>
      <c r="K269" s="3"/>
      <c r="L269" s="3"/>
      <c r="M269" s="3"/>
      <c r="N269" s="26"/>
      <c r="O269" s="35"/>
    </row>
    <row r="270" spans="1:15" s="1" customFormat="1">
      <c r="A270" s="4"/>
      <c r="B270" s="184"/>
      <c r="C270" s="29"/>
      <c r="D270" s="29"/>
      <c r="E270" s="29"/>
      <c r="F270" s="29"/>
      <c r="G270" s="29"/>
      <c r="H270" s="29"/>
      <c r="I270" s="29"/>
      <c r="J270" s="29"/>
      <c r="K270" s="3"/>
      <c r="L270" s="3"/>
      <c r="M270" s="3"/>
      <c r="N270" s="26"/>
      <c r="O270" s="35"/>
    </row>
    <row r="271" spans="1:15" s="1" customFormat="1">
      <c r="A271" s="4"/>
      <c r="B271" s="184"/>
      <c r="C271" s="29"/>
      <c r="D271" s="29"/>
      <c r="E271" s="29"/>
      <c r="F271" s="29"/>
      <c r="G271" s="29"/>
      <c r="H271" s="29"/>
      <c r="I271" s="29"/>
      <c r="J271" s="29"/>
      <c r="K271" s="3"/>
      <c r="L271" s="3"/>
      <c r="M271" s="3"/>
      <c r="N271" s="26"/>
      <c r="O271" s="35"/>
    </row>
    <row r="272" spans="1:15" s="1" customFormat="1">
      <c r="A272" s="4"/>
      <c r="B272" s="184"/>
      <c r="C272" s="29"/>
      <c r="D272" s="29"/>
      <c r="E272" s="29"/>
      <c r="F272" s="29"/>
      <c r="G272" s="29"/>
      <c r="H272" s="29"/>
      <c r="I272" s="29"/>
      <c r="J272" s="29"/>
      <c r="K272" s="3"/>
      <c r="L272" s="3"/>
      <c r="M272" s="3"/>
      <c r="N272" s="26"/>
      <c r="O272" s="35"/>
    </row>
    <row r="273" spans="1:15" s="1" customFormat="1">
      <c r="A273" s="4"/>
      <c r="B273" s="184"/>
      <c r="C273" s="29"/>
      <c r="D273" s="29"/>
      <c r="E273" s="29"/>
      <c r="F273" s="29"/>
      <c r="G273" s="29"/>
      <c r="H273" s="29"/>
      <c r="I273" s="29"/>
      <c r="J273" s="29"/>
      <c r="K273" s="3"/>
      <c r="L273" s="3"/>
      <c r="M273" s="3"/>
      <c r="N273" s="26"/>
      <c r="O273" s="35"/>
    </row>
    <row r="274" spans="1:15" s="1" customFormat="1">
      <c r="A274" s="4"/>
      <c r="B274" s="184"/>
      <c r="C274" s="29"/>
      <c r="D274" s="29"/>
      <c r="E274" s="29"/>
      <c r="F274" s="29"/>
      <c r="G274" s="29"/>
      <c r="H274" s="29"/>
      <c r="I274" s="29"/>
      <c r="J274" s="29"/>
      <c r="K274" s="3"/>
      <c r="L274" s="3"/>
      <c r="M274" s="3"/>
      <c r="N274" s="26"/>
      <c r="O274" s="35"/>
    </row>
    <row r="275" spans="1:15" s="1" customFormat="1">
      <c r="A275" s="4"/>
      <c r="B275" s="184"/>
      <c r="C275" s="29"/>
      <c r="D275" s="29"/>
      <c r="E275" s="29"/>
      <c r="F275" s="29"/>
      <c r="G275" s="29"/>
      <c r="H275" s="29"/>
      <c r="I275" s="29"/>
      <c r="J275" s="29"/>
      <c r="K275" s="3"/>
      <c r="L275" s="3"/>
      <c r="M275" s="3"/>
      <c r="N275" s="26"/>
      <c r="O275" s="35"/>
    </row>
    <row r="276" spans="1:15" s="1" customFormat="1">
      <c r="A276" s="4"/>
      <c r="B276" s="184"/>
      <c r="C276" s="29"/>
      <c r="D276" s="29"/>
      <c r="E276" s="29"/>
      <c r="F276" s="29"/>
      <c r="G276" s="29"/>
      <c r="H276" s="29"/>
      <c r="I276" s="29"/>
      <c r="J276" s="29"/>
      <c r="K276" s="3"/>
      <c r="L276" s="3"/>
      <c r="M276" s="3"/>
      <c r="N276" s="26"/>
      <c r="O276" s="35"/>
    </row>
    <row r="277" spans="1:15" s="1" customFormat="1">
      <c r="A277" s="4"/>
      <c r="B277" s="184"/>
      <c r="C277" s="29"/>
      <c r="D277" s="29"/>
      <c r="E277" s="29"/>
      <c r="F277" s="29"/>
      <c r="G277" s="29"/>
      <c r="H277" s="29"/>
      <c r="I277" s="29"/>
      <c r="J277" s="29"/>
      <c r="K277" s="26"/>
      <c r="L277" s="26"/>
      <c r="M277" s="26"/>
      <c r="N277" s="26"/>
      <c r="O277" s="35"/>
    </row>
    <row r="278" spans="1:15" s="1" customFormat="1">
      <c r="A278" s="4"/>
      <c r="B278" s="184"/>
      <c r="C278" s="29"/>
      <c r="D278" s="29"/>
      <c r="E278" s="29"/>
      <c r="F278" s="29"/>
      <c r="G278" s="29"/>
      <c r="H278" s="29"/>
      <c r="I278" s="29"/>
      <c r="J278" s="29"/>
      <c r="K278" s="26"/>
      <c r="L278" s="26"/>
      <c r="M278" s="26"/>
      <c r="N278" s="26"/>
      <c r="O278" s="35"/>
    </row>
    <row r="279" spans="1:15">
      <c r="A279" s="4"/>
      <c r="B279" s="184"/>
      <c r="C279" s="29"/>
      <c r="D279" s="29"/>
      <c r="E279" s="29"/>
      <c r="F279" s="29"/>
      <c r="G279" s="29"/>
      <c r="H279" s="29"/>
      <c r="I279" s="29"/>
      <c r="J279" s="29"/>
      <c r="K279" s="35"/>
      <c r="L279" s="35"/>
      <c r="M279" s="35"/>
      <c r="N279" s="35"/>
      <c r="O279" s="35"/>
    </row>
    <row r="280" spans="1:15">
      <c r="A280" s="4"/>
      <c r="B280" s="184"/>
      <c r="C280" s="29"/>
      <c r="D280" s="29"/>
      <c r="E280" s="29"/>
      <c r="F280" s="29"/>
      <c r="G280" s="29"/>
      <c r="H280" s="29"/>
      <c r="I280" s="29"/>
      <c r="J280" s="29"/>
      <c r="K280" s="35"/>
      <c r="L280" s="35"/>
      <c r="M280" s="35"/>
      <c r="N280" s="35"/>
      <c r="O280" s="35"/>
    </row>
    <row r="281" spans="1:15">
      <c r="A281" s="4"/>
      <c r="B281" s="184"/>
      <c r="C281" s="29"/>
      <c r="D281" s="29"/>
      <c r="E281" s="29"/>
      <c r="F281" s="29"/>
      <c r="G281" s="29"/>
      <c r="H281" s="29"/>
      <c r="I281" s="29"/>
      <c r="J281" s="29"/>
      <c r="K281" s="35"/>
      <c r="L281" s="35"/>
      <c r="M281" s="35"/>
      <c r="N281" s="35"/>
      <c r="O281" s="36"/>
    </row>
    <row r="282" spans="1:15">
      <c r="A282" s="4"/>
      <c r="B282" s="184"/>
      <c r="C282" s="29"/>
      <c r="D282" s="29"/>
      <c r="E282" s="29"/>
      <c r="F282" s="29"/>
      <c r="G282" s="29"/>
      <c r="H282" s="29"/>
      <c r="I282" s="29"/>
      <c r="J282" s="29"/>
      <c r="K282" s="35"/>
      <c r="L282" s="35"/>
      <c r="M282" s="35"/>
      <c r="N282" s="35"/>
      <c r="O282" s="36"/>
    </row>
    <row r="283" spans="1:15">
      <c r="B283" s="184"/>
      <c r="C283" s="29"/>
      <c r="D283" s="29"/>
      <c r="E283" s="29"/>
      <c r="F283" s="29"/>
      <c r="G283" s="29"/>
      <c r="H283" s="29"/>
      <c r="I283" s="29"/>
      <c r="J283" s="29"/>
      <c r="K283" s="35"/>
      <c r="L283" s="35"/>
      <c r="M283" s="35"/>
      <c r="N283" s="35"/>
      <c r="O283" s="36"/>
    </row>
    <row r="284" spans="1:15">
      <c r="B284" s="184"/>
      <c r="C284" s="29"/>
      <c r="D284" s="29"/>
      <c r="E284" s="29"/>
      <c r="F284" s="29"/>
      <c r="G284" s="29"/>
      <c r="H284" s="29"/>
      <c r="I284" s="29"/>
      <c r="J284" s="29"/>
      <c r="K284" s="35"/>
      <c r="L284" s="35"/>
      <c r="M284" s="35"/>
      <c r="N284" s="35"/>
      <c r="O284" s="36"/>
    </row>
    <row r="285" spans="1:15">
      <c r="B285" s="184"/>
      <c r="C285" s="29"/>
      <c r="D285" s="29"/>
      <c r="E285" s="29"/>
      <c r="F285" s="29"/>
      <c r="G285" s="29"/>
      <c r="H285" s="29"/>
      <c r="I285" s="29"/>
      <c r="J285" s="29"/>
      <c r="K285" s="35"/>
      <c r="L285" s="35"/>
      <c r="M285" s="35"/>
      <c r="N285" s="35"/>
      <c r="O285" s="36"/>
    </row>
    <row r="286" spans="1:15" ht="15.75" customHeight="1">
      <c r="B286" s="43"/>
      <c r="C286" s="44"/>
      <c r="D286" s="570"/>
      <c r="E286" s="568"/>
      <c r="F286" s="568"/>
      <c r="G286" s="568"/>
      <c r="H286" s="568"/>
      <c r="I286" s="568"/>
      <c r="J286" s="568"/>
      <c r="K286" s="571"/>
      <c r="L286" s="571"/>
      <c r="M286" s="571"/>
      <c r="N286" s="35"/>
      <c r="O286" s="36"/>
    </row>
    <row r="287" spans="1:15" ht="23.25" customHeight="1">
      <c r="B287" s="43"/>
      <c r="C287" s="44"/>
      <c r="D287" s="570"/>
      <c r="E287" s="569"/>
      <c r="F287" s="569"/>
      <c r="G287" s="569"/>
      <c r="H287" s="569"/>
      <c r="I287" s="569"/>
      <c r="J287" s="569"/>
      <c r="K287" s="569"/>
      <c r="L287" s="569"/>
      <c r="M287" s="569"/>
      <c r="N287" s="35"/>
      <c r="O287" s="36"/>
    </row>
    <row r="288" spans="1:15">
      <c r="B288" s="37"/>
      <c r="C288" s="45"/>
      <c r="D288" s="570"/>
      <c r="E288" s="528"/>
      <c r="F288" s="25"/>
      <c r="G288" s="528"/>
      <c r="H288" s="528"/>
      <c r="I288" s="25"/>
      <c r="J288" s="528"/>
      <c r="K288" s="24"/>
      <c r="L288" s="25"/>
      <c r="M288" s="24"/>
      <c r="N288" s="35"/>
      <c r="O288" s="36"/>
    </row>
    <row r="289" spans="2:15">
      <c r="B289" s="37"/>
      <c r="C289" s="526"/>
      <c r="D289" s="528"/>
      <c r="E289" s="526"/>
      <c r="F289" s="527"/>
      <c r="G289" s="526"/>
      <c r="H289" s="526"/>
      <c r="I289" s="527"/>
      <c r="J289" s="526"/>
      <c r="K289" s="22"/>
      <c r="L289" s="30"/>
      <c r="M289" s="30"/>
      <c r="N289" s="35"/>
      <c r="O289" s="36"/>
    </row>
    <row r="290" spans="2:15">
      <c r="B290" s="37"/>
      <c r="C290" s="526"/>
      <c r="D290" s="528"/>
      <c r="E290" s="526"/>
      <c r="F290" s="527"/>
      <c r="G290" s="526"/>
      <c r="H290" s="526"/>
      <c r="I290" s="527"/>
      <c r="J290" s="526"/>
      <c r="K290" s="22"/>
      <c r="L290" s="30"/>
      <c r="M290" s="30"/>
      <c r="N290" s="35"/>
      <c r="O290" s="36"/>
    </row>
    <row r="291" spans="2:15">
      <c r="B291" s="184"/>
      <c r="C291" s="29"/>
      <c r="D291" s="29"/>
      <c r="E291" s="29"/>
      <c r="F291" s="29"/>
      <c r="G291" s="29"/>
      <c r="H291" s="29"/>
      <c r="I291" s="29"/>
      <c r="J291" s="29"/>
      <c r="K291" s="35"/>
      <c r="L291" s="35"/>
      <c r="M291" s="35"/>
      <c r="N291" s="35"/>
      <c r="O291" s="36"/>
    </row>
    <row r="292" spans="2:15">
      <c r="B292" s="184"/>
      <c r="C292" s="29"/>
      <c r="D292" s="29"/>
      <c r="E292" s="29"/>
      <c r="F292" s="29"/>
      <c r="G292" s="29"/>
      <c r="H292" s="29"/>
      <c r="I292" s="29"/>
      <c r="J292" s="29"/>
      <c r="K292" s="35"/>
      <c r="L292" s="35"/>
      <c r="M292" s="35"/>
      <c r="N292" s="35"/>
      <c r="O292" s="36"/>
    </row>
    <row r="293" spans="2:15">
      <c r="B293" s="184"/>
      <c r="C293" s="29"/>
      <c r="D293" s="29"/>
      <c r="E293" s="29"/>
      <c r="F293" s="29"/>
      <c r="G293" s="29"/>
      <c r="H293" s="29"/>
      <c r="I293" s="29"/>
      <c r="J293" s="29"/>
      <c r="K293" s="35"/>
      <c r="L293" s="35"/>
      <c r="M293" s="35"/>
      <c r="N293" s="35"/>
      <c r="O293" s="36"/>
    </row>
    <row r="294" spans="2:15">
      <c r="B294" s="184"/>
      <c r="C294" s="29"/>
      <c r="D294" s="29"/>
      <c r="E294" s="29"/>
      <c r="F294" s="29"/>
      <c r="G294" s="29"/>
      <c r="H294" s="29"/>
      <c r="I294" s="29"/>
      <c r="J294" s="29"/>
      <c r="K294" s="35"/>
      <c r="L294" s="35"/>
      <c r="M294" s="35"/>
      <c r="N294" s="35"/>
      <c r="O294" s="36"/>
    </row>
    <row r="295" spans="2:15">
      <c r="K295" s="36"/>
      <c r="L295" s="36"/>
      <c r="M295" s="36"/>
      <c r="N295" s="36"/>
      <c r="O295" s="36"/>
    </row>
    <row r="296" spans="2:15">
      <c r="K296" s="36"/>
      <c r="L296" s="36"/>
      <c r="M296" s="36"/>
      <c r="N296" s="36"/>
      <c r="O296" s="36"/>
    </row>
    <row r="297" spans="2:15">
      <c r="K297" s="36"/>
      <c r="L297" s="36"/>
      <c r="M297" s="36"/>
      <c r="N297" s="36"/>
      <c r="O297" s="36"/>
    </row>
    <row r="298" spans="2:15">
      <c r="K298" s="36"/>
      <c r="L298" s="36"/>
      <c r="M298" s="36"/>
      <c r="N298" s="36"/>
      <c r="O298" s="36"/>
    </row>
    <row r="299" spans="2:15">
      <c r="K299" s="36"/>
      <c r="L299" s="36"/>
      <c r="M299" s="36"/>
      <c r="N299" s="36"/>
      <c r="O299" s="36"/>
    </row>
    <row r="300" spans="2:15">
      <c r="K300" s="36"/>
      <c r="L300" s="36"/>
      <c r="M300" s="36"/>
      <c r="N300" s="36"/>
      <c r="O300" s="36"/>
    </row>
    <row r="301" spans="2:15">
      <c r="K301" s="36"/>
      <c r="L301" s="36"/>
      <c r="M301" s="36"/>
      <c r="N301" s="36"/>
      <c r="O301" s="36"/>
    </row>
    <row r="302" spans="2:15">
      <c r="K302" s="36"/>
      <c r="L302" s="36"/>
      <c r="M302" s="36"/>
      <c r="N302" s="36"/>
      <c r="O302" s="36"/>
    </row>
    <row r="303" spans="2:15">
      <c r="K303" s="36"/>
      <c r="L303" s="36"/>
      <c r="M303" s="36"/>
      <c r="N303" s="36"/>
      <c r="O303" s="36"/>
    </row>
    <row r="304" spans="2:15">
      <c r="K304" s="36"/>
      <c r="L304" s="36"/>
      <c r="M304" s="36"/>
      <c r="N304" s="36"/>
      <c r="O304" s="36"/>
    </row>
    <row r="305" spans="11:15">
      <c r="K305" s="36"/>
      <c r="L305" s="36"/>
      <c r="M305" s="36"/>
      <c r="N305" s="36"/>
      <c r="O305" s="36"/>
    </row>
  </sheetData>
  <mergeCells count="499">
    <mergeCell ref="M152:M153"/>
    <mergeCell ref="N152:N153"/>
    <mergeCell ref="P152:P153"/>
    <mergeCell ref="S152:S153"/>
    <mergeCell ref="P148:P149"/>
    <mergeCell ref="S148:S149"/>
    <mergeCell ref="O149:O150"/>
    <mergeCell ref="Q149:Q150"/>
    <mergeCell ref="R149:R150"/>
    <mergeCell ref="T149:T150"/>
    <mergeCell ref="U149:U150"/>
    <mergeCell ref="N150:N151"/>
    <mergeCell ref="P150:P151"/>
    <mergeCell ref="S150:S151"/>
    <mergeCell ref="O151:O152"/>
    <mergeCell ref="Q151:Q152"/>
    <mergeCell ref="R151:R152"/>
    <mergeCell ref="T151:T152"/>
    <mergeCell ref="U151:U152"/>
    <mergeCell ref="P142:P143"/>
    <mergeCell ref="S142:S143"/>
    <mergeCell ref="O143:O144"/>
    <mergeCell ref="Q143:Q144"/>
    <mergeCell ref="R143:R144"/>
    <mergeCell ref="T143:T144"/>
    <mergeCell ref="U143:U144"/>
    <mergeCell ref="N144:N145"/>
    <mergeCell ref="P144:P145"/>
    <mergeCell ref="S144:S145"/>
    <mergeCell ref="O145:O146"/>
    <mergeCell ref="Q145:Q146"/>
    <mergeCell ref="R145:R146"/>
    <mergeCell ref="T145:T146"/>
    <mergeCell ref="U145:U146"/>
    <mergeCell ref="N146:N147"/>
    <mergeCell ref="P146:P147"/>
    <mergeCell ref="S146:S147"/>
    <mergeCell ref="O147:O148"/>
    <mergeCell ref="Q147:Q148"/>
    <mergeCell ref="R147:R148"/>
    <mergeCell ref="T147:T148"/>
    <mergeCell ref="U147:U148"/>
    <mergeCell ref="N148:N149"/>
    <mergeCell ref="H177:H178"/>
    <mergeCell ref="M134:N135"/>
    <mergeCell ref="O134:O136"/>
    <mergeCell ref="P134:R134"/>
    <mergeCell ref="S134:U134"/>
    <mergeCell ref="P135:R135"/>
    <mergeCell ref="S135:U135"/>
    <mergeCell ref="N138:N139"/>
    <mergeCell ref="O138:O140"/>
    <mergeCell ref="P138:P139"/>
    <mergeCell ref="Q138:Q140"/>
    <mergeCell ref="R138:R140"/>
    <mergeCell ref="S138:S139"/>
    <mergeCell ref="T138:T140"/>
    <mergeCell ref="U138:U140"/>
    <mergeCell ref="N140:N141"/>
    <mergeCell ref="P140:P141"/>
    <mergeCell ref="S140:S141"/>
    <mergeCell ref="O141:O142"/>
    <mergeCell ref="Q141:Q142"/>
    <mergeCell ref="R141:R142"/>
    <mergeCell ref="T141:T142"/>
    <mergeCell ref="U141:U142"/>
    <mergeCell ref="N142:N143"/>
    <mergeCell ref="G172:G173"/>
    <mergeCell ref="I172:I173"/>
    <mergeCell ref="J172:J173"/>
    <mergeCell ref="B173:B174"/>
    <mergeCell ref="C173:C174"/>
    <mergeCell ref="E173:E174"/>
    <mergeCell ref="H173:H174"/>
    <mergeCell ref="D174:D175"/>
    <mergeCell ref="F174:F175"/>
    <mergeCell ref="G174:G175"/>
    <mergeCell ref="I174:I175"/>
    <mergeCell ref="J174:J175"/>
    <mergeCell ref="B175:B176"/>
    <mergeCell ref="C175:C176"/>
    <mergeCell ref="E175:E176"/>
    <mergeCell ref="H175:H176"/>
    <mergeCell ref="D176:D177"/>
    <mergeCell ref="F176:F177"/>
    <mergeCell ref="G176:G177"/>
    <mergeCell ref="I176:I177"/>
    <mergeCell ref="J176:J177"/>
    <mergeCell ref="B177:B178"/>
    <mergeCell ref="C177:C178"/>
    <mergeCell ref="E177:E178"/>
    <mergeCell ref="B167:B168"/>
    <mergeCell ref="C167:C168"/>
    <mergeCell ref="E167:E168"/>
    <mergeCell ref="H167:H168"/>
    <mergeCell ref="D168:D169"/>
    <mergeCell ref="F168:F169"/>
    <mergeCell ref="G168:G169"/>
    <mergeCell ref="I168:I169"/>
    <mergeCell ref="J168:J169"/>
    <mergeCell ref="B169:B170"/>
    <mergeCell ref="C169:C170"/>
    <mergeCell ref="E169:E170"/>
    <mergeCell ref="H169:H170"/>
    <mergeCell ref="D170:D171"/>
    <mergeCell ref="F170:F171"/>
    <mergeCell ref="G170:G171"/>
    <mergeCell ref="I170:I171"/>
    <mergeCell ref="J170:J171"/>
    <mergeCell ref="B171:B172"/>
    <mergeCell ref="C171:C172"/>
    <mergeCell ref="E171:E172"/>
    <mergeCell ref="H171:H172"/>
    <mergeCell ref="D172:D173"/>
    <mergeCell ref="F172:F173"/>
    <mergeCell ref="B159:C160"/>
    <mergeCell ref="D159:D161"/>
    <mergeCell ref="E159:G159"/>
    <mergeCell ref="H159:J159"/>
    <mergeCell ref="E160:G160"/>
    <mergeCell ref="H160:J160"/>
    <mergeCell ref="B163:B164"/>
    <mergeCell ref="C163:C164"/>
    <mergeCell ref="D163:D165"/>
    <mergeCell ref="E163:E164"/>
    <mergeCell ref="F163:F165"/>
    <mergeCell ref="G163:G165"/>
    <mergeCell ref="H163:H164"/>
    <mergeCell ref="I163:I165"/>
    <mergeCell ref="J163:J165"/>
    <mergeCell ref="B165:B166"/>
    <mergeCell ref="C165:C166"/>
    <mergeCell ref="E165:E166"/>
    <mergeCell ref="H165:H166"/>
    <mergeCell ref="D166:D167"/>
    <mergeCell ref="F166:F167"/>
    <mergeCell ref="G166:G167"/>
    <mergeCell ref="I166:I167"/>
    <mergeCell ref="J166:J167"/>
    <mergeCell ref="B150:B151"/>
    <mergeCell ref="C150:C151"/>
    <mergeCell ref="E150:E151"/>
    <mergeCell ref="H150:H151"/>
    <mergeCell ref="E144:E145"/>
    <mergeCell ref="H144:H145"/>
    <mergeCell ref="D145:D146"/>
    <mergeCell ref="F145:F146"/>
    <mergeCell ref="G145:G146"/>
    <mergeCell ref="B146:B147"/>
    <mergeCell ref="C146:C147"/>
    <mergeCell ref="E146:E147"/>
    <mergeCell ref="H146:H147"/>
    <mergeCell ref="D147:D148"/>
    <mergeCell ref="F147:F148"/>
    <mergeCell ref="G147:G148"/>
    <mergeCell ref="B148:B149"/>
    <mergeCell ref="C148:C149"/>
    <mergeCell ref="E148:E149"/>
    <mergeCell ref="H148:H149"/>
    <mergeCell ref="D149:D150"/>
    <mergeCell ref="F149:F150"/>
    <mergeCell ref="G149:G150"/>
    <mergeCell ref="I149:I150"/>
    <mergeCell ref="F139:F140"/>
    <mergeCell ref="G139:G140"/>
    <mergeCell ref="I139:I140"/>
    <mergeCell ref="J139:J140"/>
    <mergeCell ref="J149:J150"/>
    <mergeCell ref="I145:I146"/>
    <mergeCell ref="J145:J146"/>
    <mergeCell ref="I147:I148"/>
    <mergeCell ref="J147:J148"/>
    <mergeCell ref="C142:C143"/>
    <mergeCell ref="E142:E143"/>
    <mergeCell ref="H142:H143"/>
    <mergeCell ref="D143:D144"/>
    <mergeCell ref="F143:F144"/>
    <mergeCell ref="G143:G144"/>
    <mergeCell ref="I143:I144"/>
    <mergeCell ref="J143:J144"/>
    <mergeCell ref="B144:B145"/>
    <mergeCell ref="C144:C145"/>
    <mergeCell ref="B136:B137"/>
    <mergeCell ref="C136:C137"/>
    <mergeCell ref="D136:D138"/>
    <mergeCell ref="E136:E137"/>
    <mergeCell ref="F136:F138"/>
    <mergeCell ref="G136:G138"/>
    <mergeCell ref="H136:H137"/>
    <mergeCell ref="I136:I138"/>
    <mergeCell ref="J136:J138"/>
    <mergeCell ref="B138:B139"/>
    <mergeCell ref="C138:C139"/>
    <mergeCell ref="E138:E139"/>
    <mergeCell ref="H138:H139"/>
    <mergeCell ref="D139:D140"/>
    <mergeCell ref="B140:B141"/>
    <mergeCell ref="C140:C141"/>
    <mergeCell ref="E140:E141"/>
    <mergeCell ref="H140:H141"/>
    <mergeCell ref="D141:D142"/>
    <mergeCell ref="F141:F142"/>
    <mergeCell ref="G141:G142"/>
    <mergeCell ref="I141:I142"/>
    <mergeCell ref="J141:J142"/>
    <mergeCell ref="B142:B143"/>
    <mergeCell ref="B90:B91"/>
    <mergeCell ref="B86:B87"/>
    <mergeCell ref="B88:B89"/>
    <mergeCell ref="B45:B46"/>
    <mergeCell ref="B43:B44"/>
    <mergeCell ref="B41:B42"/>
    <mergeCell ref="B49:B50"/>
    <mergeCell ref="B47:B48"/>
    <mergeCell ref="M150:M151"/>
    <mergeCell ref="M148:M149"/>
    <mergeCell ref="M142:M143"/>
    <mergeCell ref="M144:M145"/>
    <mergeCell ref="M146:M147"/>
    <mergeCell ref="M138:M139"/>
    <mergeCell ref="M140:M141"/>
    <mergeCell ref="I114:I115"/>
    <mergeCell ref="I116:I117"/>
    <mergeCell ref="J114:J115"/>
    <mergeCell ref="J116:J117"/>
    <mergeCell ref="D114:D115"/>
    <mergeCell ref="D116:D117"/>
    <mergeCell ref="B113:B114"/>
    <mergeCell ref="I112:I113"/>
    <mergeCell ref="J112:J113"/>
    <mergeCell ref="H117:H118"/>
    <mergeCell ref="C115:C116"/>
    <mergeCell ref="E115:E116"/>
    <mergeCell ref="F114:F115"/>
    <mergeCell ref="F116:F117"/>
    <mergeCell ref="G114:G115"/>
    <mergeCell ref="G116:G117"/>
    <mergeCell ref="H115:H116"/>
    <mergeCell ref="B132:C133"/>
    <mergeCell ref="D132:D134"/>
    <mergeCell ref="E132:G132"/>
    <mergeCell ref="H132:J132"/>
    <mergeCell ref="E133:G133"/>
    <mergeCell ref="H133:J133"/>
    <mergeCell ref="B115:B116"/>
    <mergeCell ref="C113:C114"/>
    <mergeCell ref="E113:E114"/>
    <mergeCell ref="H113:H114"/>
    <mergeCell ref="B117:B118"/>
    <mergeCell ref="C117:C118"/>
    <mergeCell ref="E117:E118"/>
    <mergeCell ref="F106:F107"/>
    <mergeCell ref="G106:G107"/>
    <mergeCell ref="G110:G111"/>
    <mergeCell ref="B111:B112"/>
    <mergeCell ref="C111:C112"/>
    <mergeCell ref="E111:E112"/>
    <mergeCell ref="H111:H112"/>
    <mergeCell ref="D112:D113"/>
    <mergeCell ref="F112:F113"/>
    <mergeCell ref="G112:G113"/>
    <mergeCell ref="I106:I107"/>
    <mergeCell ref="J106:J107"/>
    <mergeCell ref="B107:B108"/>
    <mergeCell ref="C107:C108"/>
    <mergeCell ref="E107:E108"/>
    <mergeCell ref="H107:H108"/>
    <mergeCell ref="D108:D109"/>
    <mergeCell ref="F108:F109"/>
    <mergeCell ref="G108:G109"/>
    <mergeCell ref="I108:I109"/>
    <mergeCell ref="J108:J109"/>
    <mergeCell ref="B109:B110"/>
    <mergeCell ref="C109:C110"/>
    <mergeCell ref="E109:E110"/>
    <mergeCell ref="H109:H110"/>
    <mergeCell ref="D110:D111"/>
    <mergeCell ref="F110:F111"/>
    <mergeCell ref="I110:I111"/>
    <mergeCell ref="J110:J111"/>
    <mergeCell ref="B105:B106"/>
    <mergeCell ref="C105:C106"/>
    <mergeCell ref="E105:E106"/>
    <mergeCell ref="H105:H106"/>
    <mergeCell ref="D106:D107"/>
    <mergeCell ref="B97:C98"/>
    <mergeCell ref="D97:D99"/>
    <mergeCell ref="E97:G97"/>
    <mergeCell ref="H97:J97"/>
    <mergeCell ref="E98:G98"/>
    <mergeCell ref="H98:J98"/>
    <mergeCell ref="B101:B102"/>
    <mergeCell ref="C101:C102"/>
    <mergeCell ref="D101:D103"/>
    <mergeCell ref="E101:E102"/>
    <mergeCell ref="F101:F103"/>
    <mergeCell ref="G101:G103"/>
    <mergeCell ref="H101:H102"/>
    <mergeCell ref="I101:I103"/>
    <mergeCell ref="J101:J103"/>
    <mergeCell ref="B103:B104"/>
    <mergeCell ref="C103:C104"/>
    <mergeCell ref="E103:E104"/>
    <mergeCell ref="H103:H104"/>
    <mergeCell ref="D104:D105"/>
    <mergeCell ref="F104:F105"/>
    <mergeCell ref="G104:G105"/>
    <mergeCell ref="I104:I105"/>
    <mergeCell ref="J104:J105"/>
    <mergeCell ref="C70:C71"/>
    <mergeCell ref="J73:J74"/>
    <mergeCell ref="J75:J76"/>
    <mergeCell ref="J77:J78"/>
    <mergeCell ref="J79:J80"/>
    <mergeCell ref="C88:C89"/>
    <mergeCell ref="D87:D88"/>
    <mergeCell ref="D89:D90"/>
    <mergeCell ref="E88:E89"/>
    <mergeCell ref="F87:F88"/>
    <mergeCell ref="F89:F90"/>
    <mergeCell ref="G87:G88"/>
    <mergeCell ref="G89:G90"/>
    <mergeCell ref="H88:H89"/>
    <mergeCell ref="I87:I88"/>
    <mergeCell ref="J87:J88"/>
    <mergeCell ref="I89:I90"/>
    <mergeCell ref="J89:J90"/>
    <mergeCell ref="I73:I74"/>
    <mergeCell ref="I75:I76"/>
    <mergeCell ref="I77:I78"/>
    <mergeCell ref="I79:I80"/>
    <mergeCell ref="H72:H73"/>
    <mergeCell ref="F73:F74"/>
    <mergeCell ref="G77:G78"/>
    <mergeCell ref="G79:G80"/>
    <mergeCell ref="B72:B73"/>
    <mergeCell ref="B74:B75"/>
    <mergeCell ref="B76:B77"/>
    <mergeCell ref="B78:B79"/>
    <mergeCell ref="C78:C79"/>
    <mergeCell ref="C72:C73"/>
    <mergeCell ref="C74:C75"/>
    <mergeCell ref="C76:C77"/>
    <mergeCell ref="F75:F76"/>
    <mergeCell ref="H84:H85"/>
    <mergeCell ref="D85:D86"/>
    <mergeCell ref="F85:F86"/>
    <mergeCell ref="G85:G86"/>
    <mergeCell ref="D71:D72"/>
    <mergeCell ref="D73:D74"/>
    <mergeCell ref="D75:D76"/>
    <mergeCell ref="D77:D78"/>
    <mergeCell ref="D79:D80"/>
    <mergeCell ref="E72:E73"/>
    <mergeCell ref="E74:E75"/>
    <mergeCell ref="E76:E77"/>
    <mergeCell ref="E78:E79"/>
    <mergeCell ref="H74:H75"/>
    <mergeCell ref="H76:H77"/>
    <mergeCell ref="H78:H79"/>
    <mergeCell ref="E70:E71"/>
    <mergeCell ref="H70:H71"/>
    <mergeCell ref="F71:F72"/>
    <mergeCell ref="F77:F78"/>
    <mergeCell ref="F79:F80"/>
    <mergeCell ref="G71:G72"/>
    <mergeCell ref="G73:G74"/>
    <mergeCell ref="G75:G76"/>
    <mergeCell ref="I85:I86"/>
    <mergeCell ref="J85:J86"/>
    <mergeCell ref="C86:C87"/>
    <mergeCell ref="E86:E87"/>
    <mergeCell ref="H86:H87"/>
    <mergeCell ref="C90:C91"/>
    <mergeCell ref="E90:E91"/>
    <mergeCell ref="H90:H91"/>
    <mergeCell ref="B80:B81"/>
    <mergeCell ref="C80:C81"/>
    <mergeCell ref="E80:E81"/>
    <mergeCell ref="H80:H81"/>
    <mergeCell ref="D81:D82"/>
    <mergeCell ref="F81:F82"/>
    <mergeCell ref="G81:G82"/>
    <mergeCell ref="I81:I82"/>
    <mergeCell ref="J81:J82"/>
    <mergeCell ref="B82:B83"/>
    <mergeCell ref="C82:C83"/>
    <mergeCell ref="E82:E83"/>
    <mergeCell ref="H82:H83"/>
    <mergeCell ref="D83:D84"/>
    <mergeCell ref="F83:F84"/>
    <mergeCell ref="G83:G84"/>
    <mergeCell ref="I83:I84"/>
    <mergeCell ref="J83:J84"/>
    <mergeCell ref="B84:B85"/>
    <mergeCell ref="C84:C85"/>
    <mergeCell ref="E84:E85"/>
    <mergeCell ref="B66:B67"/>
    <mergeCell ref="C66:C67"/>
    <mergeCell ref="D66:D68"/>
    <mergeCell ref="E66:E67"/>
    <mergeCell ref="F66:F68"/>
    <mergeCell ref="G66:G68"/>
    <mergeCell ref="H66:H67"/>
    <mergeCell ref="I66:I68"/>
    <mergeCell ref="J66:J68"/>
    <mergeCell ref="B68:B69"/>
    <mergeCell ref="C68:C69"/>
    <mergeCell ref="E68:E69"/>
    <mergeCell ref="H68:H69"/>
    <mergeCell ref="D69:D70"/>
    <mergeCell ref="F69:F70"/>
    <mergeCell ref="G69:G70"/>
    <mergeCell ref="I69:I70"/>
    <mergeCell ref="J69:J70"/>
    <mergeCell ref="B70:B71"/>
    <mergeCell ref="B51:B52"/>
    <mergeCell ref="C51:C52"/>
    <mergeCell ref="E51:E52"/>
    <mergeCell ref="H51:H52"/>
    <mergeCell ref="B62:C63"/>
    <mergeCell ref="D62:D64"/>
    <mergeCell ref="E62:G62"/>
    <mergeCell ref="H62:J62"/>
    <mergeCell ref="E63:G63"/>
    <mergeCell ref="H63:J63"/>
    <mergeCell ref="J71:J72"/>
    <mergeCell ref="I71:I72"/>
    <mergeCell ref="E45:E46"/>
    <mergeCell ref="H45:H46"/>
    <mergeCell ref="D46:D47"/>
    <mergeCell ref="F46:F47"/>
    <mergeCell ref="G46:G47"/>
    <mergeCell ref="I46:I47"/>
    <mergeCell ref="J46:J47"/>
    <mergeCell ref="J50:J51"/>
    <mergeCell ref="C47:C48"/>
    <mergeCell ref="E47:E48"/>
    <mergeCell ref="H47:H48"/>
    <mergeCell ref="D48:D49"/>
    <mergeCell ref="F48:F49"/>
    <mergeCell ref="G48:G49"/>
    <mergeCell ref="I48:I49"/>
    <mergeCell ref="J48:J49"/>
    <mergeCell ref="C49:C50"/>
    <mergeCell ref="E49:E50"/>
    <mergeCell ref="H49:H50"/>
    <mergeCell ref="D50:D51"/>
    <mergeCell ref="F50:F51"/>
    <mergeCell ref="G50:G51"/>
    <mergeCell ref="I50:I51"/>
    <mergeCell ref="E39:E40"/>
    <mergeCell ref="H39:H40"/>
    <mergeCell ref="D40:D41"/>
    <mergeCell ref="F40:F41"/>
    <mergeCell ref="G40:G41"/>
    <mergeCell ref="I40:I41"/>
    <mergeCell ref="J40:J41"/>
    <mergeCell ref="C41:C42"/>
    <mergeCell ref="E41:E42"/>
    <mergeCell ref="H41:H42"/>
    <mergeCell ref="D42:D43"/>
    <mergeCell ref="F42:F43"/>
    <mergeCell ref="G42:G43"/>
    <mergeCell ref="I42:I43"/>
    <mergeCell ref="J42:J43"/>
    <mergeCell ref="C43:C44"/>
    <mergeCell ref="E43:E44"/>
    <mergeCell ref="H43:H44"/>
    <mergeCell ref="D44:D45"/>
    <mergeCell ref="F44:F45"/>
    <mergeCell ref="G44:G45"/>
    <mergeCell ref="I44:I45"/>
    <mergeCell ref="J44:J45"/>
    <mergeCell ref="C45:C46"/>
    <mergeCell ref="H286:J286"/>
    <mergeCell ref="H287:J287"/>
    <mergeCell ref="D286:D288"/>
    <mergeCell ref="E286:G286"/>
    <mergeCell ref="E287:G287"/>
    <mergeCell ref="K286:M286"/>
    <mergeCell ref="K287:M287"/>
    <mergeCell ref="B33:C34"/>
    <mergeCell ref="D33:D35"/>
    <mergeCell ref="E33:G33"/>
    <mergeCell ref="H33:J33"/>
    <mergeCell ref="E34:G34"/>
    <mergeCell ref="H34:J34"/>
    <mergeCell ref="B37:B38"/>
    <mergeCell ref="C37:C38"/>
    <mergeCell ref="D37:D39"/>
    <mergeCell ref="E37:E38"/>
    <mergeCell ref="F37:F39"/>
    <mergeCell ref="G37:G39"/>
    <mergeCell ref="H37:H38"/>
    <mergeCell ref="I37:I39"/>
    <mergeCell ref="J37:J39"/>
    <mergeCell ref="B39:B40"/>
    <mergeCell ref="C39:C40"/>
  </mergeCells>
  <phoneticPr fontId="44" type="noConversion"/>
  <pageMargins left="0.70866141732283472" right="0.70866141732283472" top="0.78740157480314965" bottom="0.78740157480314965" header="0.31496062992125984" footer="0.31496062992125984"/>
  <pageSetup paperSize="9" scale="89" orientation="portrait" r:id="rId1"/>
  <headerFooter>
    <oddHeader>&amp;RVýkaz výměr SO 02</oddHeader>
    <oddFooter>&amp;L&amp;F&amp;C&amp;10&amp;A&amp;R&amp;10&amp;P z &amp;N</oddFooter>
  </headerFooter>
  <rowBreaks count="2" manualBreakCount="2">
    <brk id="54" min="1" max="9" man="1"/>
    <brk id="93" min="1"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612"/>
  <sheetViews>
    <sheetView topLeftCell="A597" zoomScale="130" zoomScaleNormal="130" zoomScaleSheetLayoutView="85" workbookViewId="0">
      <selection activeCell="K387" sqref="K387:K460"/>
    </sheetView>
  </sheetViews>
  <sheetFormatPr defaultRowHeight="15"/>
  <cols>
    <col min="1" max="1" width="9.140625" style="1"/>
    <col min="2" max="2" width="9.85546875" style="15" customWidth="1"/>
    <col min="3" max="3" width="12.28515625" style="1" customWidth="1"/>
    <col min="4" max="4" width="11.140625" style="1" customWidth="1"/>
    <col min="5" max="5" width="8.5703125" style="1" customWidth="1"/>
    <col min="6" max="7" width="8.7109375" style="1" customWidth="1"/>
    <col min="8" max="8" width="14.5703125" style="1" customWidth="1"/>
    <col min="9" max="9" width="7.5703125" style="1" customWidth="1"/>
    <col min="10" max="10" width="6.7109375" style="1" customWidth="1"/>
    <col min="11" max="11" width="7.7109375" style="347" customWidth="1"/>
    <col min="12" max="12" width="6.85546875" style="347" customWidth="1"/>
    <col min="13" max="14" width="8.42578125" style="1" customWidth="1"/>
    <col min="15" max="15" width="11.42578125" style="1" bestFit="1" customWidth="1"/>
    <col min="16" max="16" width="9.140625" style="1"/>
    <col min="17" max="17" width="12.140625" style="1" customWidth="1"/>
    <col min="18" max="18" width="9.140625" style="1"/>
    <col min="19" max="19" width="11.28515625" style="1" customWidth="1"/>
    <col min="20" max="16384" width="9.140625" style="1"/>
  </cols>
  <sheetData>
    <row r="1" spans="2:15">
      <c r="B1" s="50"/>
    </row>
    <row r="2" spans="2:15">
      <c r="B2" s="129" t="s">
        <v>17</v>
      </c>
      <c r="C2" s="130"/>
      <c r="G2" s="12"/>
      <c r="H2" s="12"/>
    </row>
    <row r="3" spans="2:15">
      <c r="B3" s="131" t="s">
        <v>16</v>
      </c>
      <c r="C3" s="130"/>
      <c r="D3" s="12"/>
      <c r="E3" s="12"/>
      <c r="F3" s="12"/>
      <c r="G3" s="12"/>
      <c r="H3" s="12"/>
    </row>
    <row r="4" spans="2:15">
      <c r="B4" s="132" t="s">
        <v>0</v>
      </c>
      <c r="C4" s="133"/>
      <c r="D4" s="12"/>
      <c r="E4" s="12"/>
      <c r="F4" s="12"/>
      <c r="G4" s="12"/>
      <c r="H4" s="12"/>
    </row>
    <row r="5" spans="2:15">
      <c r="B5" s="132" t="s">
        <v>1</v>
      </c>
      <c r="C5" s="133"/>
      <c r="D5" s="12"/>
      <c r="E5" s="12"/>
      <c r="F5" s="12"/>
      <c r="G5" s="12"/>
      <c r="H5" s="12"/>
    </row>
    <row r="6" spans="2:15">
      <c r="B6" s="134" t="s">
        <v>577</v>
      </c>
      <c r="C6" s="133"/>
      <c r="D6" s="12"/>
      <c r="E6" s="12"/>
      <c r="F6" s="12"/>
      <c r="G6" s="12"/>
      <c r="H6" s="12"/>
    </row>
    <row r="7" spans="2:15">
      <c r="B7" s="1"/>
      <c r="E7" s="12"/>
      <c r="F7" s="12"/>
      <c r="G7" s="12"/>
      <c r="H7" s="12"/>
    </row>
    <row r="8" spans="2:15" ht="18">
      <c r="B8" s="81" t="s">
        <v>63</v>
      </c>
      <c r="C8" s="58"/>
      <c r="D8" s="39"/>
      <c r="E8" s="39"/>
      <c r="F8" s="39"/>
      <c r="G8" s="12"/>
      <c r="H8" s="12"/>
      <c r="I8" s="3"/>
      <c r="J8" s="3"/>
      <c r="K8" s="298"/>
      <c r="L8" s="298"/>
      <c r="M8" s="3"/>
      <c r="N8" s="3"/>
    </row>
    <row r="9" spans="2:15">
      <c r="B9" s="131" t="s">
        <v>180</v>
      </c>
      <c r="C9" s="135"/>
      <c r="D9" s="39"/>
      <c r="E9" s="39"/>
      <c r="F9" s="39"/>
      <c r="G9" s="12"/>
      <c r="H9" s="12"/>
      <c r="I9" s="3"/>
      <c r="J9" s="3"/>
      <c r="K9" s="298"/>
      <c r="L9" s="298"/>
      <c r="M9" s="3"/>
      <c r="N9" s="3"/>
    </row>
    <row r="10" spans="2:15">
      <c r="B10" s="70"/>
      <c r="C10" s="39"/>
      <c r="D10" s="39"/>
      <c r="E10" s="39"/>
      <c r="F10" s="39"/>
      <c r="G10" s="12"/>
      <c r="H10" s="12"/>
      <c r="I10" s="3"/>
      <c r="J10" s="3"/>
      <c r="K10" s="298"/>
      <c r="L10" s="298"/>
      <c r="M10" s="3"/>
      <c r="N10" s="3"/>
    </row>
    <row r="11" spans="2:15" ht="12.75" customHeight="1">
      <c r="B11" s="55"/>
      <c r="C11" s="26"/>
      <c r="D11" s="5"/>
      <c r="E11" s="34"/>
      <c r="F11" s="5"/>
      <c r="G11" s="5"/>
      <c r="H11" s="34"/>
      <c r="I11" s="5"/>
      <c r="J11" s="5"/>
      <c r="K11" s="42"/>
      <c r="L11" s="41"/>
      <c r="M11" s="5"/>
      <c r="N11" s="26"/>
      <c r="O11" s="35"/>
    </row>
    <row r="12" spans="2:15" ht="12.75" customHeight="1">
      <c r="B12" s="28" t="s">
        <v>47</v>
      </c>
      <c r="C12" s="28" t="s">
        <v>48</v>
      </c>
      <c r="D12" s="31"/>
      <c r="E12" s="32"/>
      <c r="F12" s="5"/>
      <c r="G12" s="5"/>
      <c r="H12" s="34"/>
      <c r="I12" s="5"/>
      <c r="J12" s="5"/>
      <c r="K12" s="42"/>
      <c r="L12" s="41"/>
      <c r="M12" s="5"/>
      <c r="N12" s="26"/>
      <c r="O12" s="35"/>
    </row>
    <row r="13" spans="2:15" ht="12.75" customHeight="1">
      <c r="B13" s="40" t="s">
        <v>49</v>
      </c>
      <c r="C13" s="40" t="s">
        <v>114</v>
      </c>
      <c r="D13" s="79"/>
      <c r="E13" s="33"/>
      <c r="F13" s="5"/>
      <c r="G13" s="5"/>
      <c r="H13" s="34"/>
      <c r="I13" s="5"/>
      <c r="J13" s="5"/>
      <c r="K13" s="42"/>
      <c r="L13" s="41"/>
      <c r="M13" s="5"/>
      <c r="N13" s="26"/>
      <c r="O13" s="35"/>
    </row>
    <row r="14" spans="2:15" ht="12.75" customHeight="1" thickBot="1">
      <c r="B14" s="56"/>
      <c r="C14" s="56"/>
      <c r="D14" s="78"/>
      <c r="E14" s="42"/>
      <c r="F14" s="5"/>
      <c r="G14" s="5"/>
      <c r="H14" s="34"/>
      <c r="I14" s="5"/>
      <c r="J14" s="5"/>
      <c r="K14" s="42"/>
      <c r="L14" s="41"/>
      <c r="M14" s="5"/>
    </row>
    <row r="15" spans="2:15" ht="12.75" customHeight="1" thickBot="1">
      <c r="B15" s="572" t="s">
        <v>11</v>
      </c>
      <c r="C15" s="573"/>
      <c r="D15" s="576" t="s">
        <v>10</v>
      </c>
      <c r="E15" s="530" t="s">
        <v>128</v>
      </c>
      <c r="F15" s="530"/>
      <c r="G15" s="530"/>
      <c r="H15" s="637"/>
      <c r="I15" s="637"/>
      <c r="J15" s="637"/>
      <c r="L15" s="41"/>
    </row>
    <row r="16" spans="2:15" ht="12.75" customHeight="1" thickBot="1">
      <c r="B16" s="574"/>
      <c r="C16" s="575"/>
      <c r="D16" s="576"/>
      <c r="E16" s="579" t="s">
        <v>97</v>
      </c>
      <c r="F16" s="580"/>
      <c r="G16" s="581"/>
      <c r="H16" s="638"/>
      <c r="I16" s="638"/>
      <c r="J16" s="638"/>
      <c r="L16" s="41"/>
    </row>
    <row r="17" spans="2:12" ht="35.25" customHeight="1" thickBot="1">
      <c r="B17" s="23" t="s">
        <v>8</v>
      </c>
      <c r="C17" s="6" t="s">
        <v>9</v>
      </c>
      <c r="D17" s="577"/>
      <c r="E17" s="8" t="s">
        <v>12</v>
      </c>
      <c r="F17" s="9" t="s">
        <v>13</v>
      </c>
      <c r="G17" s="8" t="s">
        <v>14</v>
      </c>
      <c r="H17" s="52"/>
      <c r="I17" s="97"/>
      <c r="J17" s="52"/>
      <c r="L17" s="41"/>
    </row>
    <row r="18" spans="2:12" ht="12.75" customHeight="1" thickBot="1">
      <c r="B18" s="19"/>
      <c r="C18" s="7" t="s">
        <v>7</v>
      </c>
      <c r="D18" s="51" t="s">
        <v>6</v>
      </c>
      <c r="E18" s="10">
        <f>SO_02_KL1_zemní_práce!G19</f>
        <v>72.600000000000009</v>
      </c>
      <c r="F18" s="643" t="s">
        <v>27</v>
      </c>
      <c r="G18" s="10" t="s">
        <v>28</v>
      </c>
      <c r="H18" s="98"/>
      <c r="I18" s="34"/>
      <c r="J18" s="98"/>
      <c r="L18" s="41"/>
    </row>
    <row r="19" spans="2:12" ht="12.75" customHeight="1">
      <c r="B19" s="622" t="s">
        <v>24</v>
      </c>
      <c r="C19" s="584"/>
      <c r="D19" s="586">
        <v>10</v>
      </c>
      <c r="E19" s="586">
        <v>1.3</v>
      </c>
      <c r="F19" s="586">
        <f>(E19+E21)/2</f>
        <v>1.25</v>
      </c>
      <c r="G19" s="590">
        <f>D19*F19</f>
        <v>12.5</v>
      </c>
      <c r="H19" s="633"/>
      <c r="I19" s="633"/>
      <c r="J19" s="633"/>
      <c r="L19" s="41"/>
    </row>
    <row r="20" spans="2:12" ht="12.75" customHeight="1">
      <c r="B20" s="623"/>
      <c r="C20" s="585"/>
      <c r="D20" s="587"/>
      <c r="E20" s="587"/>
      <c r="F20" s="587"/>
      <c r="G20" s="591"/>
      <c r="H20" s="633"/>
      <c r="I20" s="633"/>
      <c r="J20" s="633"/>
      <c r="L20" s="41"/>
    </row>
    <row r="21" spans="2:12" ht="12.75" customHeight="1">
      <c r="B21" s="623" t="s">
        <v>75</v>
      </c>
      <c r="C21" s="585"/>
      <c r="D21" s="587"/>
      <c r="E21" s="587">
        <v>1.2</v>
      </c>
      <c r="F21" s="587"/>
      <c r="G21" s="591"/>
      <c r="H21" s="633"/>
      <c r="I21" s="633"/>
      <c r="J21" s="633"/>
      <c r="L21" s="41"/>
    </row>
    <row r="22" spans="2:12" ht="12.75" customHeight="1">
      <c r="B22" s="623"/>
      <c r="C22" s="585"/>
      <c r="D22" s="587">
        <v>6</v>
      </c>
      <c r="E22" s="587"/>
      <c r="F22" s="587">
        <f>(E21+E23)/2</f>
        <v>1.2999999999999998</v>
      </c>
      <c r="G22" s="591">
        <f>F22*D22</f>
        <v>7.7999999999999989</v>
      </c>
      <c r="H22" s="633"/>
      <c r="I22" s="633"/>
      <c r="J22" s="633"/>
      <c r="L22" s="41"/>
    </row>
    <row r="23" spans="2:12" ht="12.75" customHeight="1">
      <c r="B23" s="623" t="s">
        <v>76</v>
      </c>
      <c r="C23" s="585"/>
      <c r="D23" s="587"/>
      <c r="E23" s="587">
        <v>1.4</v>
      </c>
      <c r="F23" s="587"/>
      <c r="G23" s="591"/>
      <c r="H23" s="633"/>
      <c r="I23" s="633"/>
      <c r="J23" s="633"/>
      <c r="L23" s="41"/>
    </row>
    <row r="24" spans="2:12" ht="12.75" customHeight="1">
      <c r="B24" s="623"/>
      <c r="C24" s="585"/>
      <c r="D24" s="587">
        <v>9.6</v>
      </c>
      <c r="E24" s="587"/>
      <c r="F24" s="587">
        <f>(E23+E25)/2</f>
        <v>1.1000000000000001</v>
      </c>
      <c r="G24" s="591">
        <f>F24*D24</f>
        <v>10.56</v>
      </c>
      <c r="H24" s="633"/>
      <c r="I24" s="633"/>
      <c r="J24" s="633"/>
      <c r="L24" s="41"/>
    </row>
    <row r="25" spans="2:12" ht="12.75" customHeight="1">
      <c r="B25" s="623" t="s">
        <v>77</v>
      </c>
      <c r="C25" s="585"/>
      <c r="D25" s="587"/>
      <c r="E25" s="587">
        <v>0.8</v>
      </c>
      <c r="F25" s="587"/>
      <c r="G25" s="591"/>
      <c r="H25" s="633"/>
      <c r="I25" s="633"/>
      <c r="J25" s="633"/>
      <c r="L25" s="41"/>
    </row>
    <row r="26" spans="2:12" ht="12.75" customHeight="1">
      <c r="B26" s="623"/>
      <c r="C26" s="585"/>
      <c r="D26" s="587">
        <v>2</v>
      </c>
      <c r="E26" s="587"/>
      <c r="F26" s="587">
        <f>(E25+E27)/2</f>
        <v>0.8</v>
      </c>
      <c r="G26" s="591">
        <f>F26*D26</f>
        <v>1.6</v>
      </c>
      <c r="H26" s="633"/>
      <c r="I26" s="633"/>
      <c r="J26" s="633"/>
      <c r="L26" s="41"/>
    </row>
    <row r="27" spans="2:12" ht="12.75" customHeight="1">
      <c r="B27" s="623" t="s">
        <v>78</v>
      </c>
      <c r="C27" s="595"/>
      <c r="D27" s="587"/>
      <c r="E27" s="587">
        <v>0.8</v>
      </c>
      <c r="F27" s="587"/>
      <c r="G27" s="591"/>
      <c r="H27" s="633"/>
      <c r="I27" s="633"/>
      <c r="J27" s="633"/>
      <c r="L27" s="41"/>
    </row>
    <row r="28" spans="2:12" ht="12.75" customHeight="1">
      <c r="B28" s="623"/>
      <c r="C28" s="595"/>
      <c r="D28" s="587">
        <v>6.8</v>
      </c>
      <c r="E28" s="587"/>
      <c r="F28" s="587">
        <f>(E27+E29)/2</f>
        <v>0.8</v>
      </c>
      <c r="G28" s="591">
        <f>F28*D28</f>
        <v>5.44</v>
      </c>
      <c r="H28" s="633"/>
      <c r="I28" s="633"/>
      <c r="J28" s="633"/>
      <c r="L28" s="41"/>
    </row>
    <row r="29" spans="2:12" ht="12.75" customHeight="1">
      <c r="B29" s="623" t="s">
        <v>79</v>
      </c>
      <c r="C29" s="595"/>
      <c r="D29" s="587"/>
      <c r="E29" s="587">
        <v>0.8</v>
      </c>
      <c r="F29" s="587"/>
      <c r="G29" s="591"/>
      <c r="H29" s="633"/>
      <c r="I29" s="633"/>
      <c r="J29" s="633"/>
      <c r="L29" s="41"/>
    </row>
    <row r="30" spans="2:12" ht="12.75" customHeight="1">
      <c r="B30" s="623"/>
      <c r="C30" s="595"/>
      <c r="D30" s="587">
        <v>4.5999999999999996</v>
      </c>
      <c r="E30" s="587"/>
      <c r="F30" s="587">
        <f>(E29+E31)/2</f>
        <v>0.8</v>
      </c>
      <c r="G30" s="591">
        <f>F30*D30</f>
        <v>3.6799999999999997</v>
      </c>
      <c r="H30" s="633"/>
      <c r="I30" s="633"/>
      <c r="J30" s="633"/>
      <c r="L30" s="41"/>
    </row>
    <row r="31" spans="2:12" ht="12.75" customHeight="1">
      <c r="B31" s="623" t="s">
        <v>94</v>
      </c>
      <c r="C31" s="595"/>
      <c r="D31" s="587"/>
      <c r="E31" s="587">
        <v>0.8</v>
      </c>
      <c r="F31" s="587"/>
      <c r="G31" s="591"/>
      <c r="H31" s="633"/>
      <c r="I31" s="633"/>
      <c r="J31" s="633"/>
      <c r="L31" s="41"/>
    </row>
    <row r="32" spans="2:12" ht="12.75" customHeight="1">
      <c r="B32" s="624"/>
      <c r="C32" s="595"/>
      <c r="D32" s="587">
        <v>1</v>
      </c>
      <c r="E32" s="587"/>
      <c r="F32" s="587">
        <f>(E31+E33)/2</f>
        <v>0.60000000000000009</v>
      </c>
      <c r="G32" s="591">
        <f>F32*D32</f>
        <v>0.60000000000000009</v>
      </c>
      <c r="H32" s="633"/>
      <c r="I32" s="633"/>
      <c r="J32" s="633"/>
      <c r="L32" s="41"/>
    </row>
    <row r="33" spans="2:12" ht="12.75" customHeight="1">
      <c r="B33" s="623" t="s">
        <v>80</v>
      </c>
      <c r="C33" s="595"/>
      <c r="D33" s="587"/>
      <c r="E33" s="587">
        <v>0.4</v>
      </c>
      <c r="F33" s="587"/>
      <c r="G33" s="591"/>
      <c r="H33" s="633"/>
      <c r="I33" s="633"/>
      <c r="J33" s="633"/>
      <c r="L33" s="41"/>
    </row>
    <row r="34" spans="2:12" ht="12.75" customHeight="1">
      <c r="B34" s="623"/>
      <c r="C34" s="597"/>
      <c r="D34" s="587">
        <v>11.1</v>
      </c>
      <c r="E34" s="587"/>
      <c r="F34" s="587">
        <f>(E33+E35)/2</f>
        <v>0.4</v>
      </c>
      <c r="G34" s="591">
        <f>F34*D34</f>
        <v>4.4400000000000004</v>
      </c>
      <c r="H34" s="633"/>
      <c r="I34" s="633"/>
      <c r="J34" s="633"/>
      <c r="L34" s="41"/>
    </row>
    <row r="35" spans="2:12" ht="12.75" customHeight="1">
      <c r="B35" s="623" t="s">
        <v>26</v>
      </c>
      <c r="C35" s="595"/>
      <c r="D35" s="587"/>
      <c r="E35" s="587">
        <f>E33</f>
        <v>0.4</v>
      </c>
      <c r="F35" s="587"/>
      <c r="G35" s="591"/>
      <c r="H35" s="633"/>
      <c r="I35" s="633"/>
      <c r="J35" s="633"/>
      <c r="L35" s="41"/>
    </row>
    <row r="36" spans="2:12" ht="12.75" customHeight="1" thickBot="1">
      <c r="B36" s="634"/>
      <c r="C36" s="635"/>
      <c r="D36" s="99"/>
      <c r="E36" s="636"/>
      <c r="F36" s="99"/>
      <c r="G36" s="100"/>
      <c r="H36" s="633"/>
      <c r="I36" s="34"/>
      <c r="J36" s="34"/>
      <c r="L36" s="41"/>
    </row>
    <row r="37" spans="2:12" ht="12.75" customHeight="1" thickBot="1">
      <c r="B37" s="71"/>
      <c r="C37" s="72"/>
      <c r="D37" s="72"/>
      <c r="E37" s="72"/>
      <c r="F37" s="72"/>
      <c r="G37" s="101">
        <f>SUM(G19:G35)</f>
        <v>46.62</v>
      </c>
      <c r="H37" s="29"/>
      <c r="I37" s="29"/>
      <c r="J37" s="89"/>
      <c r="L37" s="41"/>
    </row>
    <row r="38" spans="2:12" ht="12.75" customHeight="1">
      <c r="B38" s="29"/>
      <c r="C38" s="29"/>
      <c r="D38" s="29"/>
      <c r="E38" s="29"/>
      <c r="F38" s="29"/>
      <c r="G38" s="88"/>
      <c r="H38" s="29"/>
      <c r="I38" s="29"/>
      <c r="J38" s="89"/>
      <c r="L38" s="41"/>
    </row>
    <row r="39" spans="2:12" ht="12.75" customHeight="1">
      <c r="B39" s="29" t="s">
        <v>129</v>
      </c>
      <c r="C39" s="29"/>
      <c r="D39" s="29"/>
      <c r="E39" s="29"/>
      <c r="F39" s="29"/>
      <c r="G39" s="88"/>
      <c r="H39" s="29"/>
      <c r="I39" s="29"/>
      <c r="J39" s="89"/>
      <c r="L39" s="41"/>
    </row>
    <row r="40" spans="2:12" ht="12.75" customHeight="1">
      <c r="B40" s="29" t="s">
        <v>112</v>
      </c>
      <c r="C40" s="29"/>
      <c r="F40" s="29"/>
      <c r="G40" s="88"/>
      <c r="H40" s="29"/>
      <c r="I40" s="29"/>
      <c r="J40" s="89"/>
      <c r="L40" s="41"/>
    </row>
    <row r="41" spans="2:12" ht="12.75" customHeight="1">
      <c r="B41" s="29" t="s">
        <v>113</v>
      </c>
      <c r="C41" s="29"/>
      <c r="D41" s="29">
        <v>1</v>
      </c>
      <c r="E41" s="29" t="s">
        <v>20</v>
      </c>
      <c r="F41" s="29"/>
      <c r="G41" s="88"/>
      <c r="H41" s="29"/>
      <c r="I41" s="29"/>
      <c r="J41" s="89"/>
      <c r="L41" s="41"/>
    </row>
    <row r="42" spans="2:12" ht="12.75" customHeight="1">
      <c r="B42" s="13" t="s">
        <v>56</v>
      </c>
      <c r="C42" s="13"/>
      <c r="D42" s="13">
        <v>5</v>
      </c>
      <c r="E42" s="13" t="s">
        <v>6</v>
      </c>
      <c r="F42" s="13"/>
      <c r="G42" s="90"/>
      <c r="H42" s="13"/>
      <c r="I42" s="29"/>
      <c r="J42" s="89"/>
      <c r="L42" s="41"/>
    </row>
    <row r="43" spans="2:12" ht="12.75" customHeight="1">
      <c r="B43" s="29" t="s">
        <v>19</v>
      </c>
      <c r="C43" s="29"/>
      <c r="D43" s="29"/>
      <c r="E43" s="29"/>
      <c r="F43" s="29"/>
      <c r="G43" s="89">
        <f>D41*D42</f>
        <v>5</v>
      </c>
      <c r="H43" s="1" t="s">
        <v>21</v>
      </c>
      <c r="I43" s="29"/>
      <c r="J43" s="4"/>
      <c r="L43" s="41"/>
    </row>
    <row r="44" spans="2:12" ht="12.75" customHeight="1">
      <c r="B44" s="29"/>
      <c r="C44" s="29"/>
      <c r="D44" s="29"/>
      <c r="E44" s="29"/>
      <c r="F44" s="29"/>
      <c r="G44" s="89"/>
      <c r="I44" s="29"/>
      <c r="J44" s="4"/>
      <c r="L44" s="41"/>
    </row>
    <row r="45" spans="2:12" ht="12.75" customHeight="1">
      <c r="B45" s="29" t="s">
        <v>543</v>
      </c>
      <c r="C45" s="29"/>
      <c r="D45" s="29"/>
      <c r="E45" s="29"/>
      <c r="F45" s="29"/>
      <c r="G45" s="89"/>
      <c r="I45" s="29"/>
      <c r="J45" s="4"/>
      <c r="L45" s="41"/>
    </row>
    <row r="46" spans="2:12" ht="12.75" customHeight="1">
      <c r="B46" s="29" t="s">
        <v>544</v>
      </c>
      <c r="C46" s="29"/>
      <c r="D46" s="29">
        <v>4</v>
      </c>
      <c r="E46" s="29" t="s">
        <v>20</v>
      </c>
      <c r="F46" s="29"/>
      <c r="G46" s="89"/>
      <c r="H46" s="4"/>
      <c r="I46" s="29"/>
      <c r="J46" s="4"/>
      <c r="L46" s="41"/>
    </row>
    <row r="47" spans="2:12" ht="12.75" customHeight="1">
      <c r="B47" s="13" t="s">
        <v>545</v>
      </c>
      <c r="C47" s="13"/>
      <c r="D47" s="13">
        <v>4.5</v>
      </c>
      <c r="E47" s="13" t="s">
        <v>6</v>
      </c>
      <c r="F47" s="13"/>
      <c r="G47" s="91"/>
      <c r="H47" s="96"/>
      <c r="I47" s="29"/>
      <c r="J47" s="4"/>
      <c r="L47" s="41"/>
    </row>
    <row r="48" spans="2:12" ht="12.75" customHeight="1">
      <c r="B48" s="29" t="s">
        <v>19</v>
      </c>
      <c r="C48" s="29"/>
      <c r="D48" s="29"/>
      <c r="E48" s="29"/>
      <c r="F48" s="29"/>
      <c r="G48" s="89">
        <f>D46*D47</f>
        <v>18</v>
      </c>
      <c r="H48" s="1" t="s">
        <v>21</v>
      </c>
      <c r="I48" s="29"/>
      <c r="J48" s="4"/>
      <c r="L48" s="41"/>
    </row>
    <row r="49" spans="2:15" ht="12.75" customHeight="1">
      <c r="B49" s="29"/>
      <c r="C49" s="29"/>
      <c r="D49" s="29"/>
      <c r="E49" s="29"/>
      <c r="F49" s="29"/>
      <c r="G49" s="89"/>
      <c r="I49" s="29"/>
      <c r="J49" s="4"/>
      <c r="L49" s="41"/>
    </row>
    <row r="50" spans="2:15" ht="12.75" customHeight="1">
      <c r="B50" s="29"/>
      <c r="C50" s="29"/>
      <c r="D50" s="29"/>
      <c r="E50" s="29"/>
      <c r="F50" s="29"/>
      <c r="G50" s="89"/>
      <c r="I50" s="29"/>
      <c r="J50" s="4"/>
      <c r="L50" s="41"/>
    </row>
    <row r="51" spans="2:15" ht="12.75" customHeight="1">
      <c r="B51" s="29" t="s">
        <v>181</v>
      </c>
      <c r="C51" s="29"/>
      <c r="D51" s="29"/>
      <c r="E51" s="29"/>
      <c r="F51" s="29"/>
      <c r="G51" s="89"/>
      <c r="H51" s="4"/>
      <c r="I51" s="29"/>
      <c r="J51" s="4"/>
      <c r="L51" s="41"/>
    </row>
    <row r="52" spans="2:15" ht="12.75" customHeight="1">
      <c r="B52" s="29" t="s">
        <v>130</v>
      </c>
      <c r="C52" s="29"/>
      <c r="D52" s="29"/>
      <c r="E52" s="29">
        <v>0.65</v>
      </c>
      <c r="F52" s="29" t="s">
        <v>21</v>
      </c>
      <c r="G52" s="89"/>
      <c r="H52" s="4"/>
      <c r="I52" s="29"/>
      <c r="J52" s="4"/>
      <c r="L52" s="41"/>
    </row>
    <row r="53" spans="2:15" ht="12.75" customHeight="1">
      <c r="B53" s="13" t="s">
        <v>131</v>
      </c>
      <c r="C53" s="13"/>
      <c r="D53" s="13"/>
      <c r="E53" s="13">
        <v>17</v>
      </c>
      <c r="F53" s="13" t="s">
        <v>25</v>
      </c>
      <c r="G53" s="91"/>
      <c r="H53" s="96"/>
      <c r="I53" s="29"/>
      <c r="J53" s="4"/>
      <c r="L53" s="41"/>
    </row>
    <row r="54" spans="2:15" ht="12.75" customHeight="1">
      <c r="B54" s="29" t="s">
        <v>132</v>
      </c>
      <c r="C54" s="29"/>
      <c r="D54" s="29"/>
      <c r="E54" s="29"/>
      <c r="F54" s="29"/>
      <c r="G54" s="89">
        <f>E52*E53</f>
        <v>11.05</v>
      </c>
      <c r="H54" s="4" t="s">
        <v>21</v>
      </c>
      <c r="I54" s="29"/>
      <c r="J54" s="4"/>
      <c r="L54" s="41"/>
    </row>
    <row r="55" spans="2:15" ht="12.75" customHeight="1" thickBot="1">
      <c r="B55" s="29"/>
      <c r="C55" s="29"/>
      <c r="D55" s="29"/>
      <c r="E55" s="29"/>
      <c r="F55" s="29"/>
      <c r="G55" s="89"/>
      <c r="I55" s="29"/>
      <c r="J55" s="4"/>
      <c r="L55" s="41"/>
    </row>
    <row r="56" spans="2:15" ht="12.75" customHeight="1" thickBot="1">
      <c r="B56" s="102" t="s">
        <v>127</v>
      </c>
      <c r="C56" s="103"/>
      <c r="D56" s="103"/>
      <c r="E56" s="103"/>
      <c r="F56" s="103"/>
      <c r="G56" s="104">
        <f>SUM(G37:G54)*1.15</f>
        <v>92.770499999999998</v>
      </c>
      <c r="H56" s="105" t="s">
        <v>21</v>
      </c>
      <c r="I56" s="29"/>
      <c r="J56" s="4"/>
      <c r="L56" s="41"/>
    </row>
    <row r="57" spans="2:15" ht="12.75" customHeight="1">
      <c r="B57" s="354"/>
      <c r="C57" s="354"/>
      <c r="D57" s="354"/>
      <c r="E57" s="354"/>
      <c r="F57" s="354"/>
      <c r="G57" s="435"/>
      <c r="H57" s="151"/>
      <c r="I57" s="29"/>
      <c r="J57" s="4"/>
      <c r="L57" s="41"/>
    </row>
    <row r="58" spans="2:15" ht="12.75" customHeight="1">
      <c r="B58" s="436" t="s">
        <v>50</v>
      </c>
      <c r="C58" s="437" t="s">
        <v>55</v>
      </c>
      <c r="D58" s="438"/>
      <c r="E58" s="439"/>
      <c r="F58" s="87"/>
      <c r="G58" s="5"/>
      <c r="H58" s="34"/>
      <c r="I58" s="5"/>
      <c r="J58" s="5"/>
      <c r="K58" s="42"/>
      <c r="L58" s="41"/>
      <c r="N58" s="26"/>
      <c r="O58" s="35"/>
    </row>
    <row r="59" spans="2:15" ht="12.75" customHeight="1">
      <c r="B59" s="371" t="s">
        <v>476</v>
      </c>
      <c r="I59" s="347"/>
      <c r="J59" s="347"/>
      <c r="K59" s="1"/>
      <c r="L59" s="1"/>
      <c r="N59" s="26"/>
      <c r="O59" s="35"/>
    </row>
    <row r="60" spans="2:15" ht="12.75" customHeight="1">
      <c r="B60" s="347" t="s">
        <v>480</v>
      </c>
      <c r="C60" s="347"/>
      <c r="D60" s="347"/>
      <c r="E60" s="347"/>
      <c r="F60" s="347"/>
      <c r="G60" s="347"/>
      <c r="H60" s="347"/>
      <c r="I60" s="302"/>
      <c r="J60" s="347"/>
      <c r="K60" s="1"/>
      <c r="L60" s="1"/>
      <c r="N60" s="26"/>
      <c r="O60" s="35"/>
    </row>
    <row r="61" spans="2:15" ht="12.75" customHeight="1">
      <c r="B61" s="347" t="s">
        <v>481</v>
      </c>
      <c r="C61" s="347"/>
      <c r="D61" s="347"/>
      <c r="E61" s="347">
        <v>5.2</v>
      </c>
      <c r="F61" s="347" t="s">
        <v>20</v>
      </c>
      <c r="G61" s="347"/>
      <c r="H61" s="347"/>
      <c r="I61" s="302"/>
      <c r="J61" s="347"/>
      <c r="K61" s="1"/>
      <c r="L61" s="1"/>
      <c r="N61" s="26"/>
      <c r="O61" s="35"/>
    </row>
    <row r="62" spans="2:15" ht="12.75" customHeight="1">
      <c r="B62" s="347" t="s">
        <v>482</v>
      </c>
      <c r="C62" s="347"/>
      <c r="D62" s="347"/>
      <c r="E62" s="347">
        <v>5.7</v>
      </c>
      <c r="F62" s="347" t="s">
        <v>20</v>
      </c>
      <c r="G62" s="347"/>
      <c r="H62" s="347"/>
      <c r="I62" s="302"/>
      <c r="J62" s="347"/>
      <c r="K62" s="1"/>
      <c r="L62" s="1"/>
      <c r="N62" s="26"/>
      <c r="O62" s="35"/>
    </row>
    <row r="63" spans="2:15" ht="12.75" customHeight="1">
      <c r="B63" s="347" t="s">
        <v>483</v>
      </c>
      <c r="C63" s="347"/>
      <c r="D63" s="347"/>
      <c r="E63" s="347">
        <f>(E61+E62)/2</f>
        <v>5.45</v>
      </c>
      <c r="F63" s="347" t="s">
        <v>20</v>
      </c>
      <c r="G63" s="347"/>
      <c r="H63" s="347"/>
      <c r="I63" s="302"/>
      <c r="J63" s="347"/>
      <c r="K63" s="1"/>
      <c r="L63" s="1"/>
      <c r="N63" s="26"/>
      <c r="O63" s="35"/>
    </row>
    <row r="64" spans="2:15" ht="12.75" customHeight="1">
      <c r="B64" s="440" t="s">
        <v>148</v>
      </c>
      <c r="C64" s="440"/>
      <c r="D64" s="440"/>
      <c r="E64" s="440">
        <v>5</v>
      </c>
      <c r="F64" s="440" t="s">
        <v>20</v>
      </c>
      <c r="G64" s="440"/>
      <c r="H64" s="440"/>
      <c r="I64" s="302"/>
      <c r="J64" s="347"/>
      <c r="K64" s="1"/>
      <c r="L64" s="1"/>
      <c r="N64" s="26"/>
      <c r="O64" s="35"/>
    </row>
    <row r="65" spans="2:15" ht="12.75" customHeight="1">
      <c r="B65" s="425" t="s">
        <v>19</v>
      </c>
      <c r="C65" s="347"/>
      <c r="D65" s="347"/>
      <c r="E65" s="347"/>
      <c r="F65" s="347"/>
      <c r="G65" s="347">
        <f>E63*E64</f>
        <v>27.25</v>
      </c>
      <c r="H65" s="347" t="s">
        <v>21</v>
      </c>
      <c r="I65" s="302"/>
      <c r="J65" s="347"/>
      <c r="K65" s="1"/>
      <c r="L65" s="1"/>
      <c r="N65" s="26"/>
      <c r="O65" s="35"/>
    </row>
    <row r="66" spans="2:15" ht="12.75" customHeight="1">
      <c r="B66" s="425" t="s">
        <v>484</v>
      </c>
      <c r="C66" s="347"/>
      <c r="D66" s="347"/>
      <c r="E66" s="347"/>
      <c r="F66" s="347"/>
      <c r="G66" s="347"/>
      <c r="H66" s="347"/>
      <c r="I66" s="302"/>
      <c r="J66" s="347"/>
      <c r="K66" s="1"/>
      <c r="L66" s="1"/>
      <c r="N66" s="26"/>
      <c r="O66" s="35"/>
    </row>
    <row r="67" spans="2:15" ht="12.75" customHeight="1">
      <c r="B67" s="425" t="s">
        <v>123</v>
      </c>
      <c r="C67" s="347"/>
      <c r="D67" s="347"/>
      <c r="E67" s="347">
        <v>18.2</v>
      </c>
      <c r="F67" s="347" t="s">
        <v>20</v>
      </c>
      <c r="G67" s="347"/>
      <c r="H67" s="347"/>
      <c r="I67" s="302"/>
      <c r="J67" s="347"/>
      <c r="K67" s="1"/>
      <c r="L67" s="1"/>
      <c r="N67" s="26"/>
      <c r="O67" s="35"/>
    </row>
    <row r="68" spans="2:15" ht="12.75" customHeight="1">
      <c r="B68" s="441" t="s">
        <v>568</v>
      </c>
      <c r="C68" s="440"/>
      <c r="D68" s="440"/>
      <c r="E68" s="440">
        <v>0.9</v>
      </c>
      <c r="F68" s="440" t="s">
        <v>6</v>
      </c>
      <c r="G68" s="440"/>
      <c r="H68" s="440"/>
      <c r="I68" s="302"/>
      <c r="J68" s="347"/>
      <c r="K68" s="1"/>
      <c r="L68" s="1"/>
      <c r="N68" s="26"/>
      <c r="O68" s="35"/>
    </row>
    <row r="69" spans="2:15" ht="12.75" customHeight="1">
      <c r="B69" s="425" t="s">
        <v>19</v>
      </c>
      <c r="C69" s="347"/>
      <c r="D69" s="347"/>
      <c r="E69" s="347"/>
      <c r="F69" s="347"/>
      <c r="G69" s="347">
        <f>E67*E68</f>
        <v>16.38</v>
      </c>
      <c r="H69" s="347" t="s">
        <v>21</v>
      </c>
      <c r="I69" s="302"/>
      <c r="J69" s="347"/>
      <c r="K69" s="1"/>
      <c r="L69" s="1"/>
      <c r="N69" s="26"/>
      <c r="O69" s="35"/>
    </row>
    <row r="70" spans="2:15" ht="12.75" customHeight="1">
      <c r="B70" s="347" t="s">
        <v>120</v>
      </c>
      <c r="C70" s="347"/>
      <c r="D70" s="347"/>
      <c r="E70" s="347"/>
      <c r="F70" s="347"/>
      <c r="G70" s="347"/>
      <c r="H70" s="347"/>
      <c r="I70" s="302"/>
      <c r="J70" s="347"/>
      <c r="K70" s="1"/>
      <c r="L70" s="1"/>
      <c r="N70" s="26"/>
      <c r="O70" s="35"/>
    </row>
    <row r="71" spans="2:15" ht="12.75" customHeight="1">
      <c r="B71" s="347" t="s">
        <v>458</v>
      </c>
      <c r="C71" s="347"/>
      <c r="D71" s="347"/>
      <c r="E71" s="347">
        <v>11.5</v>
      </c>
      <c r="F71" s="347" t="s">
        <v>20</v>
      </c>
      <c r="G71" s="347"/>
      <c r="H71" s="347"/>
      <c r="I71" s="302"/>
      <c r="J71" s="347"/>
      <c r="K71" s="1"/>
      <c r="L71" s="1"/>
      <c r="N71" s="26"/>
      <c r="O71" s="35"/>
    </row>
    <row r="72" spans="2:15" ht="12.75" customHeight="1">
      <c r="B72" s="440" t="s">
        <v>116</v>
      </c>
      <c r="C72" s="440"/>
      <c r="D72" s="440"/>
      <c r="E72" s="440">
        <v>0.6</v>
      </c>
      <c r="F72" s="440" t="s">
        <v>6</v>
      </c>
      <c r="G72" s="440"/>
      <c r="H72" s="440"/>
      <c r="I72" s="302"/>
      <c r="J72" s="347"/>
      <c r="K72" s="1"/>
      <c r="L72" s="1"/>
      <c r="N72" s="26"/>
      <c r="O72" s="35"/>
    </row>
    <row r="73" spans="2:15" ht="12.75" customHeight="1">
      <c r="B73" s="425" t="s">
        <v>19</v>
      </c>
      <c r="C73" s="347"/>
      <c r="D73" s="347"/>
      <c r="E73" s="347"/>
      <c r="F73" s="347"/>
      <c r="G73" s="347">
        <f>E71*E72</f>
        <v>6.8999999999999995</v>
      </c>
      <c r="H73" s="347" t="s">
        <v>21</v>
      </c>
      <c r="I73" s="302"/>
      <c r="J73" s="347"/>
      <c r="K73" s="1"/>
      <c r="L73" s="1"/>
      <c r="N73" s="26"/>
      <c r="O73" s="35"/>
    </row>
    <row r="74" spans="2:15" ht="12.75" customHeight="1">
      <c r="B74" s="347"/>
      <c r="C74" s="347"/>
      <c r="D74" s="347"/>
      <c r="E74" s="347"/>
      <c r="F74" s="347"/>
      <c r="G74" s="347"/>
      <c r="H74" s="347"/>
      <c r="I74" s="302"/>
      <c r="J74" s="347"/>
      <c r="K74" s="1"/>
      <c r="L74" s="1"/>
      <c r="N74" s="26"/>
      <c r="O74" s="35"/>
    </row>
    <row r="75" spans="2:15" ht="12.75" customHeight="1">
      <c r="B75" s="347" t="s">
        <v>486</v>
      </c>
      <c r="C75" s="347"/>
      <c r="D75" s="347"/>
      <c r="E75" s="347"/>
      <c r="F75" s="347"/>
      <c r="G75" s="347"/>
      <c r="H75" s="347"/>
      <c r="I75" s="302"/>
      <c r="J75" s="347"/>
      <c r="K75" s="1"/>
      <c r="L75" s="1"/>
      <c r="N75" s="26"/>
      <c r="O75" s="35"/>
    </row>
    <row r="76" spans="2:15" ht="12.75" customHeight="1">
      <c r="B76" s="347" t="s">
        <v>119</v>
      </c>
      <c r="C76" s="347"/>
      <c r="D76" s="347"/>
      <c r="E76" s="347">
        <v>71.5</v>
      </c>
      <c r="F76" s="347"/>
      <c r="G76" s="347"/>
      <c r="H76" s="347"/>
      <c r="I76" s="302"/>
      <c r="J76" s="347"/>
      <c r="K76" s="1"/>
      <c r="L76" s="1"/>
      <c r="N76" s="26"/>
      <c r="O76" s="35"/>
    </row>
    <row r="77" spans="2:15" ht="12.75" customHeight="1">
      <c r="B77" s="440" t="s">
        <v>124</v>
      </c>
      <c r="C77" s="440"/>
      <c r="D77" s="440"/>
      <c r="E77" s="440">
        <v>0.6</v>
      </c>
      <c r="F77" s="440"/>
      <c r="G77" s="440"/>
      <c r="H77" s="440"/>
      <c r="I77" s="302"/>
      <c r="J77" s="347"/>
      <c r="K77" s="1"/>
      <c r="L77" s="1"/>
      <c r="N77" s="26"/>
      <c r="O77" s="35"/>
    </row>
    <row r="78" spans="2:15" ht="12.75" customHeight="1">
      <c r="B78" s="425" t="s">
        <v>19</v>
      </c>
      <c r="C78" s="347"/>
      <c r="D78" s="347"/>
      <c r="E78" s="347"/>
      <c r="F78" s="347"/>
      <c r="G78" s="347">
        <f>E76*E77</f>
        <v>42.9</v>
      </c>
      <c r="H78" s="347" t="s">
        <v>21</v>
      </c>
      <c r="I78" s="302"/>
      <c r="J78" s="347"/>
      <c r="K78" s="1"/>
      <c r="L78" s="1"/>
      <c r="N78" s="26"/>
      <c r="O78" s="35"/>
    </row>
    <row r="79" spans="2:15" ht="12.75" customHeight="1">
      <c r="B79" s="347" t="s">
        <v>118</v>
      </c>
      <c r="C79" s="347"/>
      <c r="D79" s="347"/>
      <c r="E79" s="347"/>
      <c r="F79" s="347"/>
      <c r="G79" s="347"/>
      <c r="H79" s="347"/>
      <c r="I79" s="302"/>
      <c r="J79" s="347"/>
      <c r="K79" s="1"/>
      <c r="L79" s="1"/>
      <c r="N79" s="26"/>
      <c r="O79" s="35"/>
    </row>
    <row r="80" spans="2:15" ht="12.75" customHeight="1">
      <c r="B80" s="347" t="s">
        <v>490</v>
      </c>
      <c r="C80" s="347"/>
      <c r="D80" s="347"/>
      <c r="E80" s="347"/>
      <c r="F80" s="347"/>
      <c r="G80" s="347">
        <f>0.2*0.07*19</f>
        <v>0.26600000000000001</v>
      </c>
      <c r="H80" s="347" t="s">
        <v>21</v>
      </c>
      <c r="I80" s="302"/>
      <c r="J80" s="347"/>
      <c r="K80" s="1"/>
      <c r="L80" s="1"/>
      <c r="N80" s="26"/>
      <c r="O80" s="35"/>
    </row>
    <row r="81" spans="2:15" ht="12.75" customHeight="1">
      <c r="B81" s="371" t="s">
        <v>487</v>
      </c>
      <c r="I81" s="421">
        <f>SUM(G63:G81)</f>
        <v>93.695999999999998</v>
      </c>
      <c r="J81" s="422" t="s">
        <v>21</v>
      </c>
      <c r="K81" s="1"/>
      <c r="L81" s="1"/>
      <c r="N81" s="26"/>
      <c r="O81" s="35"/>
    </row>
    <row r="82" spans="2:15" ht="12.75" customHeight="1">
      <c r="B82" s="1"/>
      <c r="I82" s="421"/>
      <c r="J82" s="422"/>
      <c r="K82" s="1"/>
      <c r="L82" s="1"/>
      <c r="N82" s="26"/>
      <c r="O82" s="35"/>
    </row>
    <row r="83" spans="2:15" ht="12.75" customHeight="1">
      <c r="B83" s="371" t="s">
        <v>478</v>
      </c>
      <c r="I83" s="421"/>
      <c r="J83" s="422"/>
      <c r="K83" s="1"/>
      <c r="L83" s="1"/>
      <c r="N83" s="26"/>
      <c r="O83" s="35"/>
    </row>
    <row r="84" spans="2:15" ht="12.75" customHeight="1">
      <c r="B84" s="371" t="s">
        <v>467</v>
      </c>
      <c r="I84" s="421"/>
      <c r="J84" s="422"/>
      <c r="K84" s="1"/>
      <c r="L84" s="1"/>
      <c r="N84" s="26"/>
      <c r="O84" s="35"/>
    </row>
    <row r="85" spans="2:15" ht="12.75" customHeight="1">
      <c r="B85" s="347" t="s">
        <v>470</v>
      </c>
      <c r="C85" s="347"/>
      <c r="D85" s="347"/>
      <c r="E85" s="347"/>
      <c r="F85" s="347"/>
      <c r="G85" s="347"/>
      <c r="H85" s="347"/>
      <c r="I85" s="421"/>
      <c r="J85" s="422"/>
      <c r="K85" s="1"/>
      <c r="L85" s="1"/>
      <c r="N85" s="26"/>
      <c r="O85" s="35"/>
    </row>
    <row r="86" spans="2:15" ht="12.75" customHeight="1">
      <c r="B86" s="347" t="s">
        <v>117</v>
      </c>
      <c r="C86" s="347"/>
      <c r="D86" s="347"/>
      <c r="E86" s="347">
        <v>6.3</v>
      </c>
      <c r="F86" s="347" t="s">
        <v>20</v>
      </c>
      <c r="G86" s="347"/>
      <c r="H86" s="347"/>
      <c r="I86" s="421"/>
      <c r="J86" s="422"/>
      <c r="K86" s="1"/>
      <c r="L86" s="1"/>
      <c r="N86" s="26"/>
      <c r="O86" s="35"/>
    </row>
    <row r="87" spans="2:15" ht="12.75" customHeight="1">
      <c r="B87" s="440" t="s">
        <v>22</v>
      </c>
      <c r="C87" s="440"/>
      <c r="D87" s="440"/>
      <c r="E87" s="440">
        <v>0.8</v>
      </c>
      <c r="F87" s="440" t="s">
        <v>6</v>
      </c>
      <c r="G87" s="440"/>
      <c r="H87" s="440"/>
      <c r="I87" s="421"/>
      <c r="J87" s="422"/>
      <c r="K87" s="1"/>
      <c r="L87" s="1"/>
      <c r="N87" s="26"/>
      <c r="O87" s="35"/>
    </row>
    <row r="88" spans="2:15" ht="12.75" customHeight="1">
      <c r="B88" s="425" t="s">
        <v>19</v>
      </c>
      <c r="C88" s="347"/>
      <c r="D88" s="347"/>
      <c r="E88" s="347"/>
      <c r="F88" s="347"/>
      <c r="G88" s="347">
        <f>E86*E87</f>
        <v>5.04</v>
      </c>
      <c r="H88" s="347" t="s">
        <v>21</v>
      </c>
      <c r="I88" s="421"/>
      <c r="J88" s="422"/>
      <c r="K88" s="1"/>
      <c r="L88" s="1"/>
      <c r="N88" s="26"/>
      <c r="O88" s="35"/>
    </row>
    <row r="89" spans="2:15" ht="12.75" customHeight="1">
      <c r="B89" s="347" t="s">
        <v>481</v>
      </c>
      <c r="C89" s="347"/>
      <c r="D89" s="347"/>
      <c r="E89" s="347">
        <v>14</v>
      </c>
      <c r="F89" s="347" t="s">
        <v>20</v>
      </c>
      <c r="G89" s="347"/>
      <c r="H89" s="347"/>
      <c r="I89" s="421"/>
      <c r="J89" s="422"/>
      <c r="K89" s="1"/>
      <c r="L89" s="1"/>
      <c r="N89" s="26"/>
      <c r="O89" s="35"/>
    </row>
    <row r="90" spans="2:15" ht="12.75" customHeight="1">
      <c r="B90" s="347" t="s">
        <v>482</v>
      </c>
      <c r="C90" s="347"/>
      <c r="D90" s="347"/>
      <c r="E90" s="347">
        <v>12.9</v>
      </c>
      <c r="F90" s="347" t="s">
        <v>20</v>
      </c>
      <c r="G90" s="347"/>
      <c r="H90" s="347"/>
      <c r="I90" s="421"/>
      <c r="J90" s="422"/>
      <c r="K90" s="1"/>
      <c r="L90" s="1"/>
      <c r="N90" s="26"/>
      <c r="O90" s="35"/>
    </row>
    <row r="91" spans="2:15" ht="12.75" customHeight="1">
      <c r="B91" s="347" t="s">
        <v>483</v>
      </c>
      <c r="C91" s="347"/>
      <c r="D91" s="347"/>
      <c r="E91" s="347">
        <f>(E89+E90)/2</f>
        <v>13.45</v>
      </c>
      <c r="F91" s="347" t="s">
        <v>20</v>
      </c>
      <c r="G91" s="347"/>
      <c r="H91" s="347"/>
      <c r="I91" s="421"/>
      <c r="J91" s="422"/>
      <c r="K91" s="1"/>
      <c r="L91" s="1"/>
      <c r="N91" s="26"/>
      <c r="O91" s="35"/>
    </row>
    <row r="92" spans="2:15" ht="12.75" customHeight="1">
      <c r="B92" s="440" t="s">
        <v>148</v>
      </c>
      <c r="C92" s="440"/>
      <c r="D92" s="440"/>
      <c r="E92" s="440">
        <v>6</v>
      </c>
      <c r="F92" s="440" t="s">
        <v>20</v>
      </c>
      <c r="G92" s="440"/>
      <c r="H92" s="440"/>
      <c r="I92" s="421"/>
      <c r="J92" s="422"/>
      <c r="K92" s="1"/>
      <c r="L92" s="1"/>
      <c r="N92" s="26"/>
      <c r="O92" s="35"/>
    </row>
    <row r="93" spans="2:15" ht="12.75" customHeight="1">
      <c r="B93" s="425" t="s">
        <v>19</v>
      </c>
      <c r="C93" s="347"/>
      <c r="D93" s="347"/>
      <c r="E93" s="347"/>
      <c r="F93" s="347"/>
      <c r="G93" s="347">
        <f>E91*E92</f>
        <v>80.699999999999989</v>
      </c>
      <c r="H93" s="347" t="s">
        <v>21</v>
      </c>
      <c r="I93" s="302"/>
      <c r="J93" s="347"/>
      <c r="K93" s="1"/>
      <c r="L93" s="1"/>
      <c r="N93" s="26"/>
      <c r="O93" s="35"/>
    </row>
    <row r="94" spans="2:15" ht="12.75" customHeight="1">
      <c r="B94" s="425" t="s">
        <v>120</v>
      </c>
      <c r="C94" s="347"/>
      <c r="D94" s="347"/>
      <c r="E94" s="347"/>
      <c r="F94" s="347"/>
      <c r="G94" s="347"/>
      <c r="H94" s="347"/>
      <c r="I94" s="302"/>
      <c r="J94" s="347"/>
      <c r="K94" s="1"/>
      <c r="L94" s="1"/>
      <c r="N94" s="26"/>
      <c r="O94" s="35"/>
    </row>
    <row r="95" spans="2:15" ht="12.75" customHeight="1">
      <c r="B95" s="425" t="s">
        <v>458</v>
      </c>
      <c r="C95" s="347"/>
      <c r="D95" s="347"/>
      <c r="E95" s="347">
        <v>16.8</v>
      </c>
      <c r="F95" s="347"/>
      <c r="G95" s="347"/>
      <c r="H95" s="347"/>
      <c r="I95" s="302"/>
      <c r="J95" s="347"/>
      <c r="K95" s="1"/>
      <c r="L95" s="1"/>
      <c r="N95" s="26"/>
      <c r="O95" s="35"/>
    </row>
    <row r="96" spans="2:15" ht="12.75" customHeight="1">
      <c r="B96" s="441" t="s">
        <v>116</v>
      </c>
      <c r="C96" s="440"/>
      <c r="D96" s="440"/>
      <c r="E96" s="440">
        <v>0.6</v>
      </c>
      <c r="F96" s="440"/>
      <c r="G96" s="440"/>
      <c r="H96" s="440"/>
      <c r="I96" s="302"/>
      <c r="J96" s="347"/>
      <c r="K96" s="1"/>
      <c r="L96" s="1"/>
      <c r="N96" s="26"/>
      <c r="O96" s="35"/>
    </row>
    <row r="97" spans="2:15" ht="12.75" customHeight="1">
      <c r="B97" s="425" t="s">
        <v>19</v>
      </c>
      <c r="C97" s="347"/>
      <c r="D97" s="347"/>
      <c r="E97" s="347"/>
      <c r="F97" s="347"/>
      <c r="G97" s="347">
        <f>E95*E96</f>
        <v>10.08</v>
      </c>
      <c r="H97" s="347" t="s">
        <v>21</v>
      </c>
      <c r="I97" s="421">
        <f>SUM(G87:G97)</f>
        <v>95.82</v>
      </c>
      <c r="J97" s="423" t="s">
        <v>21</v>
      </c>
      <c r="K97" s="1"/>
      <c r="L97" s="1"/>
      <c r="N97" s="26"/>
      <c r="O97" s="35"/>
    </row>
    <row r="98" spans="2:15" ht="12.75" customHeight="1">
      <c r="B98" s="371" t="s">
        <v>491</v>
      </c>
      <c r="I98" s="302"/>
      <c r="J98" s="347"/>
      <c r="K98" s="1"/>
      <c r="L98" s="1"/>
      <c r="N98" s="26"/>
      <c r="O98" s="35"/>
    </row>
    <row r="99" spans="2:15" ht="12.75" customHeight="1">
      <c r="B99" s="151"/>
      <c r="I99" s="302"/>
      <c r="J99" s="347"/>
      <c r="K99" s="1"/>
      <c r="L99" s="1"/>
      <c r="N99" s="26"/>
      <c r="O99" s="35"/>
    </row>
    <row r="100" spans="2:15" ht="12.75" customHeight="1">
      <c r="B100" s="371" t="s">
        <v>477</v>
      </c>
      <c r="C100" s="12"/>
      <c r="D100" s="12"/>
      <c r="E100" s="12"/>
      <c r="F100" s="12"/>
      <c r="G100" s="12"/>
      <c r="H100" s="12"/>
      <c r="I100" s="302"/>
      <c r="J100" s="347"/>
      <c r="K100" s="1"/>
      <c r="L100" s="1"/>
      <c r="N100" s="26"/>
      <c r="O100" s="35"/>
    </row>
    <row r="101" spans="2:15" ht="12.75" customHeight="1">
      <c r="B101" s="158" t="s">
        <v>470</v>
      </c>
      <c r="C101" s="158"/>
      <c r="D101" s="158"/>
      <c r="E101" s="158"/>
      <c r="F101" s="158"/>
      <c r="G101" s="158"/>
      <c r="H101" s="158"/>
      <c r="I101" s="302"/>
      <c r="J101" s="347"/>
      <c r="K101" s="1"/>
      <c r="L101" s="1"/>
      <c r="N101" s="26"/>
      <c r="O101" s="35"/>
    </row>
    <row r="102" spans="2:15" ht="12.75" customHeight="1">
      <c r="B102" s="158" t="s">
        <v>117</v>
      </c>
      <c r="C102" s="158"/>
      <c r="D102" s="158"/>
      <c r="E102" s="158">
        <v>14.5</v>
      </c>
      <c r="F102" s="158" t="s">
        <v>20</v>
      </c>
      <c r="G102" s="158"/>
      <c r="H102" s="158"/>
      <c r="I102" s="302"/>
      <c r="J102" s="347"/>
      <c r="K102" s="1"/>
      <c r="L102" s="1"/>
      <c r="N102" s="26"/>
      <c r="O102" s="35"/>
    </row>
    <row r="103" spans="2:15" ht="12.75" customHeight="1">
      <c r="B103" s="442" t="s">
        <v>22</v>
      </c>
      <c r="C103" s="442"/>
      <c r="D103" s="442"/>
      <c r="E103" s="442">
        <v>0.8</v>
      </c>
      <c r="F103" s="442" t="s">
        <v>6</v>
      </c>
      <c r="G103" s="442"/>
      <c r="H103" s="442"/>
      <c r="I103" s="302"/>
      <c r="J103" s="347"/>
      <c r="K103" s="1"/>
      <c r="L103" s="1"/>
      <c r="N103" s="26"/>
      <c r="O103" s="35"/>
    </row>
    <row r="104" spans="2:15" ht="12.75" customHeight="1">
      <c r="B104" s="307" t="s">
        <v>19</v>
      </c>
      <c r="C104" s="158"/>
      <c r="D104" s="158"/>
      <c r="E104" s="158"/>
      <c r="F104" s="158"/>
      <c r="G104" s="158">
        <f>E102*E103</f>
        <v>11.600000000000001</v>
      </c>
      <c r="H104" s="158" t="s">
        <v>21</v>
      </c>
      <c r="I104" s="302"/>
      <c r="J104" s="347"/>
      <c r="K104" s="1"/>
      <c r="L104" s="1"/>
      <c r="N104" s="26"/>
      <c r="O104" s="35"/>
    </row>
    <row r="105" spans="2:15" ht="12.75" customHeight="1">
      <c r="B105" s="307" t="s">
        <v>494</v>
      </c>
      <c r="C105" s="158"/>
      <c r="D105" s="158">
        <v>342.4</v>
      </c>
      <c r="E105" s="158" t="s">
        <v>495</v>
      </c>
      <c r="F105" s="158"/>
      <c r="G105" s="158"/>
      <c r="H105" s="158"/>
      <c r="I105" s="302"/>
      <c r="J105" s="347"/>
      <c r="K105" s="1"/>
      <c r="L105" s="1"/>
      <c r="N105" s="26"/>
      <c r="O105" s="35"/>
    </row>
    <row r="106" spans="2:15" ht="12.75" customHeight="1">
      <c r="B106" s="307" t="s">
        <v>496</v>
      </c>
      <c r="C106" s="158"/>
      <c r="D106" s="158">
        <v>17.8</v>
      </c>
      <c r="E106" s="158"/>
      <c r="F106" s="158"/>
      <c r="G106" s="158"/>
      <c r="H106" s="158"/>
      <c r="I106" s="302"/>
      <c r="J106" s="347"/>
      <c r="K106" s="1"/>
      <c r="L106" s="1"/>
      <c r="N106" s="26"/>
      <c r="O106" s="35"/>
    </row>
    <row r="107" spans="2:15" ht="12.75" customHeight="1">
      <c r="B107" s="307" t="s">
        <v>497</v>
      </c>
      <c r="C107" s="158"/>
      <c r="D107" s="158">
        <v>31</v>
      </c>
      <c r="E107" s="158"/>
      <c r="F107" s="158"/>
      <c r="G107" s="158"/>
      <c r="H107" s="158"/>
      <c r="I107" s="302"/>
      <c r="J107" s="347"/>
      <c r="K107" s="1"/>
      <c r="L107" s="1"/>
      <c r="N107" s="26"/>
      <c r="O107" s="35"/>
    </row>
    <row r="108" spans="2:15" ht="12.75" customHeight="1">
      <c r="B108" s="307" t="s">
        <v>498</v>
      </c>
      <c r="C108" s="158"/>
      <c r="D108" s="158">
        <f>(D106+D107)/2</f>
        <v>24.4</v>
      </c>
      <c r="E108" s="158"/>
      <c r="F108" s="158"/>
      <c r="G108" s="158"/>
      <c r="H108" s="158"/>
      <c r="I108" s="302"/>
      <c r="J108" s="347"/>
      <c r="K108" s="1"/>
      <c r="L108" s="1"/>
      <c r="N108" s="26"/>
      <c r="O108" s="35"/>
    </row>
    <row r="109" spans="2:15" ht="12.75" customHeight="1">
      <c r="B109" s="443" t="s">
        <v>202</v>
      </c>
      <c r="C109" s="442"/>
      <c r="D109" s="442">
        <v>1.3</v>
      </c>
      <c r="E109" s="442" t="s">
        <v>6</v>
      </c>
      <c r="F109" s="442"/>
      <c r="G109" s="442"/>
      <c r="H109" s="442"/>
      <c r="I109" s="302"/>
      <c r="J109" s="347"/>
      <c r="K109" s="1"/>
      <c r="L109" s="1"/>
      <c r="N109" s="26"/>
      <c r="O109" s="35"/>
    </row>
    <row r="110" spans="2:15" ht="12.75" customHeight="1">
      <c r="B110" s="307" t="s">
        <v>19</v>
      </c>
      <c r="C110" s="158"/>
      <c r="D110" s="158"/>
      <c r="E110" s="158"/>
      <c r="F110" s="158"/>
      <c r="G110" s="444">
        <f>D108*D109</f>
        <v>31.72</v>
      </c>
      <c r="H110" s="158" t="s">
        <v>21</v>
      </c>
      <c r="I110" s="302"/>
      <c r="J110" s="347"/>
      <c r="K110" s="1"/>
      <c r="L110" s="1"/>
      <c r="N110" s="26"/>
      <c r="O110" s="35"/>
    </row>
    <row r="111" spans="2:15" ht="12.75" customHeight="1">
      <c r="B111" s="307" t="s">
        <v>501</v>
      </c>
      <c r="C111" s="158"/>
      <c r="D111" s="158"/>
      <c r="E111" s="158"/>
      <c r="F111" s="158"/>
      <c r="G111" s="445">
        <f>-0.3*3.1*2.5</f>
        <v>-2.3249999999999997</v>
      </c>
      <c r="H111" s="158" t="s">
        <v>21</v>
      </c>
      <c r="I111" s="302"/>
      <c r="J111" s="347"/>
      <c r="K111" s="1"/>
      <c r="L111" s="1"/>
      <c r="N111" s="26"/>
      <c r="O111" s="35"/>
    </row>
    <row r="112" spans="2:15" ht="12.75" customHeight="1">
      <c r="B112" s="307" t="s">
        <v>502</v>
      </c>
      <c r="C112" s="158"/>
      <c r="D112" s="158"/>
      <c r="E112" s="158"/>
      <c r="F112" s="158"/>
      <c r="G112" s="444"/>
      <c r="H112" s="158"/>
      <c r="I112" s="302"/>
      <c r="J112" s="347"/>
      <c r="K112" s="1"/>
      <c r="L112" s="1"/>
      <c r="N112" s="26"/>
      <c r="O112" s="35"/>
    </row>
    <row r="113" spans="2:15" ht="12.75" customHeight="1">
      <c r="B113" s="307" t="s">
        <v>499</v>
      </c>
      <c r="C113" s="158"/>
      <c r="D113" s="158"/>
      <c r="E113" s="158"/>
      <c r="F113" s="158"/>
      <c r="G113" s="158"/>
      <c r="H113" s="158"/>
      <c r="I113" s="302"/>
      <c r="J113" s="347"/>
      <c r="K113" s="1"/>
      <c r="L113" s="1"/>
      <c r="N113" s="26"/>
      <c r="O113" s="35"/>
    </row>
    <row r="114" spans="2:15" ht="12.75" customHeight="1">
      <c r="B114" s="307" t="s">
        <v>500</v>
      </c>
      <c r="C114" s="158"/>
      <c r="D114" s="158">
        <v>0.56000000000000005</v>
      </c>
      <c r="E114" s="158" t="s">
        <v>20</v>
      </c>
      <c r="F114" s="158"/>
      <c r="G114" s="158"/>
      <c r="H114" s="158"/>
      <c r="I114" s="424"/>
      <c r="J114" s="347"/>
      <c r="K114" s="1"/>
      <c r="L114" s="1"/>
      <c r="N114" s="26"/>
      <c r="O114" s="35"/>
    </row>
    <row r="115" spans="2:15" ht="12.75" customHeight="1">
      <c r="B115" s="443" t="s">
        <v>202</v>
      </c>
      <c r="C115" s="442"/>
      <c r="D115" s="442">
        <v>4.4000000000000004</v>
      </c>
      <c r="E115" s="442" t="s">
        <v>6</v>
      </c>
      <c r="F115" s="442"/>
      <c r="G115" s="442"/>
      <c r="H115" s="442"/>
      <c r="I115" s="302"/>
      <c r="J115" s="347"/>
      <c r="K115" s="1"/>
      <c r="L115" s="1"/>
      <c r="N115" s="26"/>
      <c r="O115" s="35"/>
    </row>
    <row r="116" spans="2:15" ht="12.75" customHeight="1">
      <c r="B116" s="307" t="s">
        <v>19</v>
      </c>
      <c r="C116" s="158"/>
      <c r="D116" s="158"/>
      <c r="E116" s="158"/>
      <c r="F116" s="158"/>
      <c r="G116" s="444">
        <f>D114*D115</f>
        <v>2.4640000000000004</v>
      </c>
      <c r="H116" s="158" t="s">
        <v>21</v>
      </c>
      <c r="I116" s="302"/>
      <c r="J116" s="347"/>
      <c r="K116" s="1"/>
      <c r="L116" s="1"/>
      <c r="N116" s="26"/>
      <c r="O116" s="35"/>
    </row>
    <row r="117" spans="2:15" ht="12.75" customHeight="1">
      <c r="B117" s="307" t="s">
        <v>503</v>
      </c>
      <c r="C117" s="158"/>
      <c r="D117" s="158"/>
      <c r="E117" s="158"/>
      <c r="F117" s="158"/>
      <c r="G117" s="158"/>
      <c r="H117" s="158"/>
      <c r="I117" s="302"/>
      <c r="J117" s="347"/>
      <c r="K117" s="1"/>
      <c r="L117" s="1"/>
      <c r="N117" s="26"/>
      <c r="O117" s="35"/>
    </row>
    <row r="118" spans="2:15" ht="12.75" customHeight="1">
      <c r="B118" s="307" t="s">
        <v>504</v>
      </c>
      <c r="C118" s="158"/>
      <c r="D118" s="158" t="s">
        <v>506</v>
      </c>
      <c r="E118" s="158"/>
      <c r="F118" s="158"/>
      <c r="G118" s="158"/>
      <c r="H118" s="158"/>
      <c r="I118" s="302"/>
      <c r="J118" s="347"/>
      <c r="K118" s="1"/>
      <c r="L118" s="1"/>
      <c r="N118" s="26"/>
      <c r="O118" s="35"/>
    </row>
    <row r="119" spans="2:15" ht="12.75" customHeight="1">
      <c r="B119" s="307" t="s">
        <v>505</v>
      </c>
      <c r="C119" s="158"/>
      <c r="D119" s="158" t="s">
        <v>507</v>
      </c>
      <c r="E119" s="158"/>
      <c r="F119" s="158"/>
      <c r="G119" s="158"/>
      <c r="H119" s="158"/>
      <c r="I119" s="302"/>
      <c r="J119" s="347"/>
      <c r="K119" s="1"/>
      <c r="L119" s="1"/>
      <c r="N119" s="26"/>
      <c r="O119" s="35"/>
    </row>
    <row r="120" spans="2:15" ht="12.75" customHeight="1">
      <c r="B120" s="425" t="s">
        <v>508</v>
      </c>
      <c r="C120" s="237"/>
      <c r="D120" s="237">
        <v>4.2</v>
      </c>
      <c r="E120" s="237" t="s">
        <v>20</v>
      </c>
      <c r="F120" s="237"/>
      <c r="G120" s="237"/>
      <c r="H120" s="237"/>
      <c r="I120" s="425"/>
      <c r="J120" s="347"/>
      <c r="K120" s="1"/>
      <c r="L120" s="1"/>
      <c r="N120" s="26"/>
      <c r="O120" s="35"/>
    </row>
    <row r="121" spans="2:15" ht="12.75" customHeight="1">
      <c r="B121" s="425" t="s">
        <v>509</v>
      </c>
      <c r="C121" s="237"/>
      <c r="D121" s="237">
        <v>5.5</v>
      </c>
      <c r="E121" s="237" t="s">
        <v>20</v>
      </c>
      <c r="F121" s="237"/>
      <c r="G121" s="237"/>
      <c r="H121" s="237"/>
      <c r="I121" s="425"/>
      <c r="J121" s="347"/>
      <c r="K121" s="1"/>
      <c r="L121" s="1"/>
      <c r="N121" s="26"/>
      <c r="O121" s="35"/>
    </row>
    <row r="122" spans="2:15" ht="12.75" customHeight="1">
      <c r="B122" s="425" t="s">
        <v>510</v>
      </c>
      <c r="C122" s="237"/>
      <c r="D122" s="237">
        <f>(D120+D121)/2</f>
        <v>4.8499999999999996</v>
      </c>
      <c r="E122" s="237"/>
      <c r="F122" s="237"/>
      <c r="G122" s="237"/>
      <c r="H122" s="237"/>
      <c r="I122" s="425"/>
      <c r="J122" s="347"/>
      <c r="K122" s="1"/>
      <c r="L122" s="1"/>
      <c r="N122" s="26"/>
      <c r="O122" s="35"/>
    </row>
    <row r="123" spans="2:15" ht="12.75" customHeight="1">
      <c r="B123" s="441" t="s">
        <v>22</v>
      </c>
      <c r="C123" s="440"/>
      <c r="D123" s="440">
        <v>11.5</v>
      </c>
      <c r="E123" s="440" t="s">
        <v>6</v>
      </c>
      <c r="F123" s="440"/>
      <c r="G123" s="440"/>
      <c r="H123" s="440"/>
      <c r="I123" s="426"/>
      <c r="J123" s="347"/>
      <c r="K123" s="1"/>
      <c r="L123" s="1"/>
      <c r="N123" s="26"/>
      <c r="O123" s="35"/>
    </row>
    <row r="124" spans="2:15" ht="12.75" customHeight="1">
      <c r="B124" s="425" t="s">
        <v>19</v>
      </c>
      <c r="C124" s="237"/>
      <c r="D124" s="237"/>
      <c r="E124" s="237"/>
      <c r="F124" s="237"/>
      <c r="G124" s="237">
        <f>D122*D123</f>
        <v>55.774999999999999</v>
      </c>
      <c r="H124" s="237" t="s">
        <v>21</v>
      </c>
      <c r="I124" s="425"/>
      <c r="J124" s="347"/>
      <c r="K124" s="1"/>
      <c r="L124" s="1"/>
      <c r="N124" s="26"/>
      <c r="O124" s="35"/>
    </row>
    <row r="125" spans="2:15" ht="12.75" customHeight="1">
      <c r="B125" s="425" t="s">
        <v>121</v>
      </c>
      <c r="C125" s="237"/>
      <c r="D125" s="347"/>
      <c r="E125" s="347"/>
      <c r="F125" s="237"/>
      <c r="G125" s="446"/>
      <c r="H125" s="237"/>
      <c r="I125" s="425"/>
      <c r="J125" s="347"/>
      <c r="K125" s="1"/>
      <c r="L125" s="1"/>
      <c r="N125" s="26"/>
      <c r="O125" s="35"/>
    </row>
    <row r="126" spans="2:15" ht="12.75" customHeight="1">
      <c r="B126" s="425" t="s">
        <v>122</v>
      </c>
      <c r="C126" s="347"/>
      <c r="D126" s="237">
        <v>15</v>
      </c>
      <c r="E126" s="237" t="s">
        <v>20</v>
      </c>
      <c r="F126" s="347"/>
      <c r="G126" s="447"/>
      <c r="H126" s="347"/>
      <c r="I126" s="302"/>
      <c r="J126" s="347"/>
      <c r="K126" s="1"/>
      <c r="L126" s="1"/>
      <c r="N126" s="26"/>
      <c r="O126" s="35"/>
    </row>
    <row r="127" spans="2:15" ht="12.75" customHeight="1">
      <c r="B127" s="441" t="s">
        <v>511</v>
      </c>
      <c r="C127" s="440"/>
      <c r="D127" s="440">
        <v>5</v>
      </c>
      <c r="E127" s="440" t="s">
        <v>6</v>
      </c>
      <c r="F127" s="440"/>
      <c r="G127" s="448"/>
      <c r="H127" s="440"/>
      <c r="I127" s="302"/>
      <c r="J127" s="347"/>
      <c r="K127" s="1"/>
      <c r="L127" s="1"/>
      <c r="N127" s="26"/>
      <c r="O127" s="35"/>
    </row>
    <row r="128" spans="2:15" ht="12.75" customHeight="1">
      <c r="B128" s="425" t="s">
        <v>512</v>
      </c>
      <c r="C128" s="347"/>
      <c r="D128" s="347"/>
      <c r="E128" s="347"/>
      <c r="F128" s="347"/>
      <c r="G128" s="447">
        <f>D126*D127</f>
        <v>75</v>
      </c>
      <c r="H128" s="347" t="s">
        <v>21</v>
      </c>
      <c r="I128" s="302"/>
      <c r="J128" s="347"/>
      <c r="K128" s="1"/>
      <c r="L128" s="1"/>
      <c r="N128" s="26"/>
      <c r="O128" s="35"/>
    </row>
    <row r="129" spans="2:15" ht="12.75" customHeight="1">
      <c r="B129" s="449" t="s">
        <v>513</v>
      </c>
      <c r="C129" s="347"/>
      <c r="D129" s="347"/>
      <c r="E129" s="347"/>
      <c r="F129" s="347"/>
      <c r="G129" s="447"/>
      <c r="H129" s="347"/>
      <c r="I129" s="302"/>
      <c r="J129" s="347"/>
      <c r="K129" s="1"/>
      <c r="L129" s="1"/>
      <c r="N129" s="26"/>
      <c r="O129" s="35"/>
    </row>
    <row r="130" spans="2:15" ht="12.75" customHeight="1">
      <c r="B130" s="425" t="s">
        <v>514</v>
      </c>
      <c r="C130" s="347" t="s">
        <v>516</v>
      </c>
      <c r="D130" s="347"/>
      <c r="E130" s="347"/>
      <c r="F130" s="347"/>
      <c r="G130" s="347">
        <f>-1.2*1.2*5</f>
        <v>-7.1999999999999993</v>
      </c>
      <c r="H130" s="347" t="s">
        <v>21</v>
      </c>
      <c r="I130" s="302"/>
      <c r="J130" s="347"/>
      <c r="K130" s="1"/>
      <c r="L130" s="1"/>
      <c r="N130" s="26"/>
      <c r="O130" s="35"/>
    </row>
    <row r="131" spans="2:15" ht="12.75" customHeight="1">
      <c r="B131" s="425" t="s">
        <v>515</v>
      </c>
      <c r="C131" s="347"/>
      <c r="D131" s="347"/>
      <c r="E131" s="347"/>
      <c r="F131" s="347"/>
      <c r="G131" s="447">
        <v>-0.4</v>
      </c>
      <c r="H131" s="347" t="s">
        <v>21</v>
      </c>
      <c r="I131" s="302"/>
      <c r="J131" s="347"/>
      <c r="K131" s="1"/>
      <c r="L131" s="1"/>
      <c r="N131" s="26"/>
      <c r="O131" s="35"/>
    </row>
    <row r="132" spans="2:15" ht="12.75" customHeight="1">
      <c r="B132" s="371" t="s">
        <v>491</v>
      </c>
      <c r="G132" s="372"/>
      <c r="I132" s="421">
        <f>SUM(G103:G131)</f>
        <v>166.63399999999999</v>
      </c>
      <c r="J132" s="427" t="s">
        <v>21</v>
      </c>
      <c r="K132" s="1"/>
      <c r="L132" s="1"/>
      <c r="N132" s="26"/>
      <c r="O132" s="35"/>
    </row>
    <row r="133" spans="2:15" ht="12.75" customHeight="1">
      <c r="B133" s="371"/>
      <c r="G133" s="372"/>
      <c r="I133" s="421"/>
      <c r="J133" s="427"/>
      <c r="K133" s="1"/>
      <c r="L133" s="1"/>
      <c r="N133" s="26"/>
      <c r="O133" s="35"/>
    </row>
    <row r="134" spans="2:15" ht="12.75" customHeight="1">
      <c r="B134" s="371" t="s">
        <v>464</v>
      </c>
      <c r="I134" s="347"/>
      <c r="J134" s="347"/>
      <c r="K134" s="1"/>
      <c r="L134" s="1"/>
      <c r="N134" s="26"/>
      <c r="O134" s="35"/>
    </row>
    <row r="135" spans="2:15" ht="12.75" customHeight="1">
      <c r="B135" s="347" t="s">
        <v>467</v>
      </c>
      <c r="C135" s="347"/>
      <c r="D135" s="347"/>
      <c r="E135" s="347"/>
      <c r="F135" s="347"/>
      <c r="G135" s="347"/>
      <c r="H135" s="347"/>
      <c r="I135" s="302"/>
      <c r="J135" s="347"/>
      <c r="K135" s="1"/>
      <c r="L135" s="1"/>
      <c r="N135" s="26"/>
      <c r="O135" s="35"/>
    </row>
    <row r="136" spans="2:15" ht="12.75" customHeight="1">
      <c r="B136" s="347" t="s">
        <v>446</v>
      </c>
      <c r="C136" s="347"/>
      <c r="D136" s="347">
        <v>18.3</v>
      </c>
      <c r="E136" s="347" t="s">
        <v>20</v>
      </c>
      <c r="F136" s="347"/>
      <c r="G136" s="347"/>
      <c r="H136" s="347"/>
      <c r="I136" s="302"/>
      <c r="J136" s="347"/>
      <c r="K136" s="1"/>
      <c r="L136" s="1"/>
      <c r="N136" s="26"/>
      <c r="O136" s="35"/>
    </row>
    <row r="137" spans="2:15" ht="12.75" customHeight="1">
      <c r="B137" s="440" t="s">
        <v>202</v>
      </c>
      <c r="C137" s="440"/>
      <c r="D137" s="440">
        <v>0.75</v>
      </c>
      <c r="E137" s="440" t="s">
        <v>6</v>
      </c>
      <c r="F137" s="440"/>
      <c r="G137" s="440"/>
      <c r="H137" s="440"/>
      <c r="I137" s="302"/>
      <c r="J137" s="347"/>
      <c r="K137" s="1"/>
      <c r="L137" s="1"/>
      <c r="N137" s="26"/>
      <c r="O137" s="35"/>
    </row>
    <row r="138" spans="2:15" ht="12.75" customHeight="1">
      <c r="B138" s="425" t="s">
        <v>19</v>
      </c>
      <c r="C138" s="347"/>
      <c r="D138" s="347"/>
      <c r="E138" s="347"/>
      <c r="F138" s="347"/>
      <c r="G138" s="447">
        <f>D136*D137</f>
        <v>13.725000000000001</v>
      </c>
      <c r="H138" s="347" t="s">
        <v>21</v>
      </c>
      <c r="I138" s="302"/>
      <c r="J138" s="347"/>
      <c r="K138" s="1"/>
      <c r="L138" s="1"/>
      <c r="N138" s="26"/>
      <c r="O138" s="35"/>
    </row>
    <row r="139" spans="2:15" ht="12.75" customHeight="1">
      <c r="B139" s="425" t="s">
        <v>468</v>
      </c>
      <c r="C139" s="347"/>
      <c r="D139" s="347" t="s">
        <v>469</v>
      </c>
      <c r="E139" s="347"/>
      <c r="F139" s="347"/>
      <c r="G139" s="347">
        <f>0.15*0.5</f>
        <v>7.4999999999999997E-2</v>
      </c>
      <c r="H139" s="347" t="s">
        <v>21</v>
      </c>
      <c r="I139" s="302"/>
      <c r="J139" s="347"/>
      <c r="K139" s="1"/>
      <c r="L139" s="1"/>
      <c r="N139" s="26"/>
      <c r="O139" s="35"/>
    </row>
    <row r="140" spans="2:15" ht="12.75" customHeight="1">
      <c r="B140" s="425" t="s">
        <v>470</v>
      </c>
      <c r="C140" s="347"/>
      <c r="D140" s="347"/>
      <c r="E140" s="347"/>
      <c r="F140" s="347"/>
      <c r="G140" s="447"/>
      <c r="H140" s="347"/>
      <c r="I140" s="302"/>
      <c r="J140" s="347"/>
      <c r="K140" s="1"/>
      <c r="L140" s="1"/>
      <c r="N140" s="26"/>
      <c r="O140" s="35"/>
    </row>
    <row r="141" spans="2:15" ht="12.75" customHeight="1">
      <c r="B141" s="425" t="s">
        <v>117</v>
      </c>
      <c r="C141" s="237"/>
      <c r="D141" s="237">
        <v>4.3</v>
      </c>
      <c r="E141" s="237" t="s">
        <v>20</v>
      </c>
      <c r="F141" s="237"/>
      <c r="G141" s="446"/>
      <c r="H141" s="237"/>
      <c r="I141" s="302"/>
      <c r="J141" s="347"/>
      <c r="K141" s="1"/>
      <c r="L141" s="1"/>
      <c r="N141" s="26"/>
      <c r="O141" s="35"/>
    </row>
    <row r="142" spans="2:15" ht="12.75" customHeight="1">
      <c r="B142" s="441" t="s">
        <v>471</v>
      </c>
      <c r="C142" s="440"/>
      <c r="D142" s="440">
        <v>0.8</v>
      </c>
      <c r="E142" s="440" t="s">
        <v>20</v>
      </c>
      <c r="F142" s="440"/>
      <c r="G142" s="448"/>
      <c r="H142" s="440"/>
      <c r="I142" s="302"/>
      <c r="J142" s="347"/>
      <c r="K142" s="1"/>
      <c r="L142" s="1"/>
      <c r="N142" s="26"/>
      <c r="O142" s="35"/>
    </row>
    <row r="143" spans="2:15" ht="12.75" customHeight="1">
      <c r="B143" s="425" t="s">
        <v>19</v>
      </c>
      <c r="C143" s="347"/>
      <c r="D143" s="347"/>
      <c r="E143" s="347"/>
      <c r="F143" s="347"/>
      <c r="G143" s="447">
        <f>D141*D142</f>
        <v>3.44</v>
      </c>
      <c r="H143" s="347" t="s">
        <v>21</v>
      </c>
      <c r="I143" s="302"/>
      <c r="J143" s="347"/>
      <c r="K143" s="1"/>
      <c r="L143" s="1"/>
      <c r="N143" s="26"/>
      <c r="O143" s="35"/>
    </row>
    <row r="144" spans="2:15" ht="12.75" customHeight="1">
      <c r="B144" s="347" t="s">
        <v>473</v>
      </c>
      <c r="C144" s="347"/>
      <c r="D144" s="347"/>
      <c r="E144" s="347"/>
      <c r="F144" s="347"/>
      <c r="G144" s="347"/>
      <c r="H144" s="347"/>
      <c r="I144" s="302"/>
      <c r="J144" s="347"/>
      <c r="K144" s="1"/>
      <c r="L144" s="1"/>
      <c r="N144" s="26"/>
      <c r="O144" s="35"/>
    </row>
    <row r="145" spans="2:15" ht="12.75" customHeight="1">
      <c r="B145" s="347" t="s">
        <v>117</v>
      </c>
      <c r="C145" s="347"/>
      <c r="D145" s="347">
        <v>1.9</v>
      </c>
      <c r="E145" s="347" t="s">
        <v>20</v>
      </c>
      <c r="F145" s="347"/>
      <c r="G145" s="347"/>
      <c r="H145" s="347"/>
      <c r="I145" s="302"/>
      <c r="J145" s="347"/>
      <c r="K145" s="1"/>
      <c r="L145" s="1"/>
      <c r="N145" s="26"/>
      <c r="O145" s="35"/>
    </row>
    <row r="146" spans="2:15" ht="12.75" customHeight="1">
      <c r="B146" s="440" t="s">
        <v>472</v>
      </c>
      <c r="C146" s="440"/>
      <c r="D146" s="440">
        <v>4.8</v>
      </c>
      <c r="E146" s="440" t="s">
        <v>6</v>
      </c>
      <c r="F146" s="440"/>
      <c r="G146" s="440"/>
      <c r="H146" s="440"/>
      <c r="I146" s="302"/>
      <c r="J146" s="347"/>
      <c r="K146" s="1"/>
      <c r="L146" s="1"/>
      <c r="N146" s="26"/>
      <c r="O146" s="35"/>
    </row>
    <row r="147" spans="2:15" ht="12.75" customHeight="1">
      <c r="B147" s="425" t="s">
        <v>19</v>
      </c>
      <c r="C147" s="347"/>
      <c r="D147" s="347"/>
      <c r="E147" s="347"/>
      <c r="F147" s="347"/>
      <c r="G147" s="447">
        <f>D145*D146</f>
        <v>9.1199999999999992</v>
      </c>
      <c r="H147" s="347" t="s">
        <v>21</v>
      </c>
      <c r="I147" s="302"/>
      <c r="J147" s="347"/>
      <c r="K147" s="1"/>
      <c r="L147" s="1"/>
      <c r="N147" s="26"/>
      <c r="O147" s="35"/>
    </row>
    <row r="148" spans="2:15" ht="12.75" customHeight="1">
      <c r="B148" s="347" t="s">
        <v>474</v>
      </c>
      <c r="C148" s="347"/>
      <c r="D148" s="347"/>
      <c r="E148" s="347"/>
      <c r="F148" s="347"/>
      <c r="G148" s="347"/>
      <c r="H148" s="347"/>
      <c r="I148" s="302"/>
      <c r="J148" s="347"/>
      <c r="K148" s="1"/>
      <c r="L148" s="1"/>
      <c r="N148" s="26"/>
      <c r="O148" s="35"/>
    </row>
    <row r="149" spans="2:15" ht="12.75" customHeight="1">
      <c r="B149" s="347" t="s">
        <v>117</v>
      </c>
      <c r="C149" s="347"/>
      <c r="D149" s="347">
        <v>2.0499999999999998</v>
      </c>
      <c r="E149" s="347" t="s">
        <v>20</v>
      </c>
      <c r="F149" s="347"/>
      <c r="G149" s="347"/>
      <c r="H149" s="347"/>
      <c r="I149" s="302"/>
      <c r="J149" s="347"/>
      <c r="K149" s="1"/>
      <c r="L149" s="1"/>
      <c r="N149" s="26"/>
      <c r="O149" s="35"/>
    </row>
    <row r="150" spans="2:15" ht="12.75" customHeight="1">
      <c r="B150" s="440" t="s">
        <v>472</v>
      </c>
      <c r="C150" s="440"/>
      <c r="D150" s="440">
        <v>5.12</v>
      </c>
      <c r="E150" s="440" t="s">
        <v>6</v>
      </c>
      <c r="F150" s="440"/>
      <c r="G150" s="440"/>
      <c r="H150" s="440"/>
      <c r="I150" s="302"/>
      <c r="J150" s="347"/>
      <c r="K150" s="1"/>
      <c r="L150" s="1"/>
      <c r="N150" s="26"/>
      <c r="O150" s="35"/>
    </row>
    <row r="151" spans="2:15" ht="12.75" customHeight="1">
      <c r="B151" s="425" t="s">
        <v>19</v>
      </c>
      <c r="C151" s="347"/>
      <c r="D151" s="347"/>
      <c r="E151" s="347"/>
      <c r="F151" s="347"/>
      <c r="G151" s="447">
        <f>D149*D150</f>
        <v>10.495999999999999</v>
      </c>
      <c r="H151" s="347" t="s">
        <v>21</v>
      </c>
      <c r="I151" s="302"/>
      <c r="J151" s="347"/>
      <c r="K151" s="1"/>
      <c r="L151" s="1"/>
      <c r="N151" s="26"/>
      <c r="O151" s="35"/>
    </row>
    <row r="152" spans="2:15" ht="12.75" customHeight="1">
      <c r="B152" s="425" t="s">
        <v>118</v>
      </c>
      <c r="C152" s="347"/>
      <c r="D152" s="347"/>
      <c r="E152" s="347"/>
      <c r="F152" s="347"/>
      <c r="G152" s="447"/>
      <c r="H152" s="347"/>
      <c r="I152" s="302"/>
      <c r="J152" s="347"/>
      <c r="K152" s="1"/>
      <c r="L152" s="1"/>
      <c r="N152" s="26"/>
      <c r="O152" s="35"/>
    </row>
    <row r="153" spans="2:15" ht="12.75" customHeight="1">
      <c r="B153" s="425" t="s">
        <v>488</v>
      </c>
      <c r="C153" s="347" t="s">
        <v>489</v>
      </c>
      <c r="D153" s="347"/>
      <c r="E153" s="347"/>
      <c r="F153" s="347"/>
      <c r="G153" s="425">
        <f>0.2*0.07*(4.8+5.2)</f>
        <v>0.14000000000000001</v>
      </c>
      <c r="H153" s="347"/>
      <c r="I153" s="302"/>
      <c r="J153" s="347"/>
      <c r="K153" s="1"/>
      <c r="L153" s="1"/>
      <c r="N153" s="26"/>
      <c r="O153" s="35"/>
    </row>
    <row r="154" spans="2:15" ht="12.75" customHeight="1">
      <c r="B154" s="371" t="s">
        <v>475</v>
      </c>
      <c r="I154" s="421">
        <f>SUM(G137:G153)</f>
        <v>36.995999999999995</v>
      </c>
      <c r="J154" s="427" t="s">
        <v>21</v>
      </c>
      <c r="K154" s="1"/>
      <c r="L154" s="1"/>
      <c r="N154" s="26"/>
      <c r="O154" s="35"/>
    </row>
    <row r="155" spans="2:15" ht="12.75" customHeight="1">
      <c r="B155" s="371"/>
      <c r="I155" s="421"/>
      <c r="J155" s="427"/>
      <c r="K155" s="1"/>
      <c r="L155" s="1"/>
      <c r="N155" s="26"/>
      <c r="O155" s="35"/>
    </row>
    <row r="156" spans="2:15" ht="12.75" customHeight="1">
      <c r="B156" s="371" t="s">
        <v>462</v>
      </c>
      <c r="I156" s="302"/>
      <c r="J156" s="347"/>
      <c r="K156" s="1"/>
      <c r="L156" s="1"/>
      <c r="N156" s="26"/>
      <c r="O156" s="35"/>
    </row>
    <row r="157" spans="2:15" ht="12.75" customHeight="1">
      <c r="B157" s="347" t="s">
        <v>446</v>
      </c>
      <c r="C157" s="347"/>
      <c r="D157" s="347">
        <v>23.3</v>
      </c>
      <c r="E157" s="347" t="s">
        <v>20</v>
      </c>
      <c r="F157" s="347"/>
      <c r="G157" s="347"/>
      <c r="H157" s="347"/>
      <c r="I157" s="302"/>
      <c r="J157" s="347"/>
      <c r="K157" s="1"/>
      <c r="L157" s="1"/>
      <c r="N157" s="26"/>
      <c r="O157" s="35"/>
    </row>
    <row r="158" spans="2:15" ht="12.75" customHeight="1">
      <c r="B158" s="440" t="s">
        <v>202</v>
      </c>
      <c r="C158" s="440"/>
      <c r="D158" s="440">
        <v>0.75</v>
      </c>
      <c r="E158" s="440" t="s">
        <v>6</v>
      </c>
      <c r="F158" s="440"/>
      <c r="G158" s="440"/>
      <c r="H158" s="440"/>
      <c r="I158" s="302"/>
      <c r="J158" s="347"/>
      <c r="K158" s="1"/>
      <c r="L158" s="1"/>
      <c r="N158" s="26"/>
      <c r="O158" s="35"/>
    </row>
    <row r="159" spans="2:15" ht="12.75" customHeight="1">
      <c r="B159" s="425" t="s">
        <v>19</v>
      </c>
      <c r="C159" s="347"/>
      <c r="D159" s="347"/>
      <c r="E159" s="347"/>
      <c r="F159" s="347"/>
      <c r="G159" s="447">
        <f>D157*D158</f>
        <v>17.475000000000001</v>
      </c>
      <c r="H159" s="347" t="s">
        <v>21</v>
      </c>
      <c r="I159" s="302"/>
      <c r="J159" s="347"/>
      <c r="K159" s="1"/>
      <c r="L159" s="1"/>
      <c r="N159" s="26"/>
      <c r="O159" s="35"/>
    </row>
    <row r="160" spans="2:15" ht="12.75" customHeight="1">
      <c r="B160" s="347" t="s">
        <v>453</v>
      </c>
      <c r="C160" s="347"/>
      <c r="D160" s="347"/>
      <c r="E160" s="347"/>
      <c r="F160" s="347"/>
      <c r="G160" s="347"/>
      <c r="H160" s="347"/>
      <c r="I160" s="302"/>
      <c r="J160" s="347"/>
      <c r="K160" s="1"/>
      <c r="L160" s="1"/>
      <c r="N160" s="26"/>
      <c r="O160" s="35"/>
    </row>
    <row r="161" spans="2:15" ht="12.75" customHeight="1">
      <c r="B161" s="347" t="s">
        <v>117</v>
      </c>
      <c r="C161" s="347"/>
      <c r="D161" s="347">
        <v>1.8</v>
      </c>
      <c r="E161" s="347" t="s">
        <v>20</v>
      </c>
      <c r="F161" s="347"/>
      <c r="G161" s="347"/>
      <c r="H161" s="347"/>
      <c r="I161" s="302"/>
      <c r="J161" s="347"/>
      <c r="K161" s="1"/>
      <c r="L161" s="1"/>
      <c r="N161" s="26"/>
      <c r="O161" s="35"/>
    </row>
    <row r="162" spans="2:15" ht="12.75" customHeight="1">
      <c r="B162" s="440" t="s">
        <v>22</v>
      </c>
      <c r="C162" s="440"/>
      <c r="D162" s="440">
        <v>5</v>
      </c>
      <c r="E162" s="440" t="s">
        <v>6</v>
      </c>
      <c r="F162" s="440"/>
      <c r="G162" s="440"/>
      <c r="H162" s="440"/>
      <c r="I162" s="302"/>
      <c r="J162" s="347"/>
      <c r="K162" s="1"/>
      <c r="L162" s="1"/>
      <c r="N162" s="26"/>
      <c r="O162" s="35"/>
    </row>
    <row r="163" spans="2:15" ht="12.75" customHeight="1">
      <c r="B163" s="425" t="s">
        <v>19</v>
      </c>
      <c r="C163" s="347"/>
      <c r="D163" s="347"/>
      <c r="E163" s="347"/>
      <c r="F163" s="347"/>
      <c r="G163" s="347">
        <f>D161*D162</f>
        <v>9</v>
      </c>
      <c r="H163" s="347" t="s">
        <v>21</v>
      </c>
      <c r="I163" s="302"/>
      <c r="J163" s="347"/>
      <c r="K163" s="1"/>
      <c r="L163" s="1"/>
      <c r="N163" s="26"/>
      <c r="O163" s="35"/>
    </row>
    <row r="164" spans="2:15" ht="12.75" customHeight="1">
      <c r="B164" s="347" t="s">
        <v>457</v>
      </c>
      <c r="C164" s="347"/>
      <c r="D164" s="347"/>
      <c r="E164" s="347"/>
      <c r="F164" s="347"/>
      <c r="G164" s="347"/>
      <c r="H164" s="347"/>
      <c r="I164" s="302"/>
      <c r="J164" s="347"/>
      <c r="K164" s="1"/>
      <c r="L164" s="1"/>
      <c r="N164" s="26"/>
      <c r="O164" s="35"/>
    </row>
    <row r="165" spans="2:15" ht="12.75" customHeight="1">
      <c r="B165" s="347" t="s">
        <v>458</v>
      </c>
      <c r="C165" s="347"/>
      <c r="D165" s="347"/>
      <c r="E165" s="347">
        <v>1.8</v>
      </c>
      <c r="F165" s="347" t="s">
        <v>20</v>
      </c>
      <c r="G165" s="347"/>
      <c r="H165" s="347"/>
      <c r="I165" s="302"/>
      <c r="J165" s="347"/>
      <c r="K165" s="1"/>
      <c r="L165" s="1"/>
      <c r="N165" s="26"/>
      <c r="O165" s="35"/>
    </row>
    <row r="166" spans="2:15" ht="12.75" customHeight="1">
      <c r="B166" s="440" t="s">
        <v>22</v>
      </c>
      <c r="C166" s="440"/>
      <c r="D166" s="440"/>
      <c r="E166" s="440">
        <v>5.4</v>
      </c>
      <c r="F166" s="440" t="s">
        <v>6</v>
      </c>
      <c r="G166" s="440"/>
      <c r="H166" s="440"/>
      <c r="I166" s="302"/>
      <c r="J166" s="347"/>
      <c r="K166" s="1"/>
      <c r="L166" s="1"/>
      <c r="N166" s="26"/>
      <c r="O166" s="35"/>
    </row>
    <row r="167" spans="2:15" ht="12.75" customHeight="1">
      <c r="B167" s="151" t="s">
        <v>19</v>
      </c>
      <c r="G167" s="372">
        <f>E165*E166</f>
        <v>9.7200000000000006</v>
      </c>
      <c r="H167" s="1" t="s">
        <v>21</v>
      </c>
      <c r="I167" s="302"/>
      <c r="J167" s="347"/>
      <c r="K167" s="1"/>
      <c r="L167" s="1"/>
      <c r="N167" s="26"/>
      <c r="O167" s="35"/>
    </row>
    <row r="168" spans="2:15" ht="12.75" customHeight="1">
      <c r="B168" s="371" t="s">
        <v>463</v>
      </c>
      <c r="I168" s="421">
        <f>SUM(G159:G167)</f>
        <v>36.195</v>
      </c>
      <c r="J168" s="427" t="s">
        <v>21</v>
      </c>
      <c r="K168" s="1"/>
      <c r="L168" s="1"/>
      <c r="N168" s="26"/>
      <c r="O168" s="35"/>
    </row>
    <row r="169" spans="2:15" ht="12.75" customHeight="1">
      <c r="B169" s="1"/>
      <c r="I169" s="302"/>
      <c r="J169" s="347"/>
      <c r="K169" s="1"/>
      <c r="L169" s="1"/>
      <c r="N169" s="26"/>
      <c r="O169" s="35"/>
    </row>
    <row r="170" spans="2:15" ht="12.75" customHeight="1">
      <c r="B170" s="371" t="s">
        <v>447</v>
      </c>
      <c r="I170" s="302"/>
      <c r="J170" s="347"/>
      <c r="K170" s="1"/>
      <c r="L170" s="1"/>
      <c r="N170" s="26"/>
      <c r="O170" s="35"/>
    </row>
    <row r="171" spans="2:15" ht="12.75" customHeight="1">
      <c r="B171" s="347" t="s">
        <v>448</v>
      </c>
      <c r="C171" s="347"/>
      <c r="D171" s="347"/>
      <c r="E171" s="347"/>
      <c r="F171" s="347"/>
      <c r="G171" s="347"/>
      <c r="H171" s="347"/>
      <c r="I171" s="302"/>
      <c r="J171" s="347"/>
      <c r="K171" s="1"/>
      <c r="L171" s="1"/>
      <c r="N171" s="26"/>
      <c r="O171" s="35"/>
    </row>
    <row r="172" spans="2:15" ht="12.75" customHeight="1">
      <c r="B172" s="347" t="s">
        <v>446</v>
      </c>
      <c r="C172" s="347"/>
      <c r="D172" s="347">
        <v>18.5</v>
      </c>
      <c r="E172" s="347" t="s">
        <v>20</v>
      </c>
      <c r="F172" s="347"/>
      <c r="G172" s="347"/>
      <c r="H172" s="347"/>
      <c r="I172" s="302"/>
      <c r="J172" s="347"/>
      <c r="K172" s="1"/>
      <c r="L172" s="1"/>
      <c r="N172" s="26"/>
      <c r="O172" s="35"/>
    </row>
    <row r="173" spans="2:15" ht="12.75" customHeight="1">
      <c r="B173" s="440" t="s">
        <v>202</v>
      </c>
      <c r="C173" s="440"/>
      <c r="D173" s="440">
        <v>1.5</v>
      </c>
      <c r="E173" s="440" t="s">
        <v>6</v>
      </c>
      <c r="F173" s="440"/>
      <c r="G173" s="440"/>
      <c r="H173" s="440"/>
      <c r="I173" s="302"/>
      <c r="J173" s="347"/>
      <c r="K173" s="1"/>
      <c r="L173" s="1"/>
      <c r="N173" s="26"/>
      <c r="O173" s="35"/>
    </row>
    <row r="174" spans="2:15" ht="12.75" customHeight="1">
      <c r="B174" s="425" t="s">
        <v>19</v>
      </c>
      <c r="C174" s="347"/>
      <c r="D174" s="347"/>
      <c r="E174" s="347"/>
      <c r="F174" s="347"/>
      <c r="G174" s="447">
        <f>D172*D173</f>
        <v>27.75</v>
      </c>
      <c r="H174" s="347" t="s">
        <v>21</v>
      </c>
      <c r="I174" s="302"/>
      <c r="J174" s="347"/>
      <c r="K174" s="1"/>
      <c r="L174" s="1"/>
      <c r="N174" s="26"/>
      <c r="O174" s="35"/>
    </row>
    <row r="175" spans="2:15" ht="12.75" customHeight="1">
      <c r="B175" s="347" t="s">
        <v>449</v>
      </c>
      <c r="C175" s="347"/>
      <c r="D175" s="347"/>
      <c r="E175" s="347"/>
      <c r="F175" s="347"/>
      <c r="G175" s="347"/>
      <c r="H175" s="347"/>
      <c r="I175" s="302"/>
      <c r="J175" s="347"/>
      <c r="K175" s="1"/>
      <c r="L175" s="1"/>
      <c r="N175" s="26"/>
      <c r="O175" s="35"/>
    </row>
    <row r="176" spans="2:15" ht="12.75" customHeight="1">
      <c r="B176" s="347" t="s">
        <v>117</v>
      </c>
      <c r="C176" s="347"/>
      <c r="D176" s="347">
        <v>1.65</v>
      </c>
      <c r="E176" s="347" t="s">
        <v>20</v>
      </c>
      <c r="F176" s="347"/>
      <c r="G176" s="347"/>
      <c r="H176" s="347"/>
      <c r="I176" s="302"/>
      <c r="J176" s="347"/>
      <c r="K176" s="1"/>
      <c r="L176" s="1"/>
      <c r="N176" s="26"/>
      <c r="O176" s="35"/>
    </row>
    <row r="177" spans="2:15" ht="12.75" customHeight="1">
      <c r="B177" s="440" t="s">
        <v>22</v>
      </c>
      <c r="C177" s="440"/>
      <c r="D177" s="440">
        <v>3.7</v>
      </c>
      <c r="E177" s="440" t="s">
        <v>6</v>
      </c>
      <c r="F177" s="440"/>
      <c r="G177" s="440"/>
      <c r="H177" s="440"/>
      <c r="I177" s="302"/>
      <c r="J177" s="347"/>
      <c r="K177" s="1"/>
      <c r="L177" s="1"/>
      <c r="N177" s="26"/>
      <c r="O177" s="35"/>
    </row>
    <row r="178" spans="2:15" ht="12.75" customHeight="1">
      <c r="B178" s="425" t="s">
        <v>19</v>
      </c>
      <c r="C178" s="347"/>
      <c r="D178" s="347"/>
      <c r="E178" s="347"/>
      <c r="F178" s="347"/>
      <c r="G178" s="347">
        <f>D176*D177</f>
        <v>6.1049999999999995</v>
      </c>
      <c r="H178" s="347" t="s">
        <v>21</v>
      </c>
      <c r="I178" s="302"/>
      <c r="J178" s="347"/>
      <c r="K178" s="1"/>
      <c r="L178" s="1"/>
      <c r="N178" s="26"/>
      <c r="O178" s="35"/>
    </row>
    <row r="179" spans="2:15" ht="12.75" customHeight="1">
      <c r="B179" s="347" t="s">
        <v>453</v>
      </c>
      <c r="C179" s="347"/>
      <c r="D179" s="347"/>
      <c r="E179" s="347"/>
      <c r="F179" s="347"/>
      <c r="G179" s="347"/>
      <c r="H179" s="347"/>
      <c r="I179" s="302"/>
      <c r="J179" s="347"/>
      <c r="K179" s="1"/>
      <c r="L179" s="1"/>
      <c r="N179" s="26"/>
      <c r="O179" s="35"/>
    </row>
    <row r="180" spans="2:15" ht="12.75" customHeight="1">
      <c r="B180" s="347" t="s">
        <v>117</v>
      </c>
      <c r="C180" s="347"/>
      <c r="D180" s="347">
        <v>7</v>
      </c>
      <c r="E180" s="347" t="s">
        <v>20</v>
      </c>
      <c r="F180" s="347"/>
      <c r="G180" s="347"/>
      <c r="H180" s="347"/>
      <c r="I180" s="302"/>
      <c r="J180" s="347"/>
      <c r="K180" s="1"/>
      <c r="L180" s="1"/>
      <c r="N180" s="26"/>
      <c r="O180" s="35"/>
    </row>
    <row r="181" spans="2:15" ht="12.75" customHeight="1">
      <c r="B181" s="440" t="s">
        <v>124</v>
      </c>
      <c r="C181" s="440"/>
      <c r="D181" s="440">
        <v>0.6</v>
      </c>
      <c r="E181" s="440" t="s">
        <v>6</v>
      </c>
      <c r="F181" s="440"/>
      <c r="G181" s="440"/>
      <c r="H181" s="440"/>
      <c r="I181" s="302"/>
      <c r="J181" s="347"/>
      <c r="K181" s="1"/>
      <c r="L181" s="1"/>
      <c r="N181" s="26"/>
      <c r="O181" s="35"/>
    </row>
    <row r="182" spans="2:15" ht="12.75" customHeight="1">
      <c r="B182" s="425" t="s">
        <v>19</v>
      </c>
      <c r="C182" s="347"/>
      <c r="D182" s="347"/>
      <c r="E182" s="347"/>
      <c r="F182" s="347"/>
      <c r="G182" s="347">
        <f>D180*D181</f>
        <v>4.2</v>
      </c>
      <c r="H182" s="347" t="s">
        <v>21</v>
      </c>
      <c r="I182" s="302"/>
      <c r="J182" s="347"/>
      <c r="K182" s="1"/>
      <c r="L182" s="1"/>
      <c r="N182" s="26"/>
      <c r="O182" s="35"/>
    </row>
    <row r="183" spans="2:15" ht="12.75" customHeight="1">
      <c r="B183" s="347" t="s">
        <v>457</v>
      </c>
      <c r="C183" s="347"/>
      <c r="D183" s="347"/>
      <c r="E183" s="347"/>
      <c r="F183" s="347"/>
      <c r="G183" s="347"/>
      <c r="H183" s="347"/>
      <c r="I183" s="302"/>
      <c r="J183" s="347"/>
      <c r="K183" s="1"/>
      <c r="L183" s="1"/>
      <c r="N183" s="26"/>
      <c r="O183" s="35"/>
    </row>
    <row r="184" spans="2:15" ht="12.75" customHeight="1">
      <c r="B184" s="347" t="s">
        <v>458</v>
      </c>
      <c r="C184" s="347"/>
      <c r="D184" s="347"/>
      <c r="E184" s="347">
        <v>11.3</v>
      </c>
      <c r="F184" s="347" t="s">
        <v>20</v>
      </c>
      <c r="G184" s="347"/>
      <c r="H184" s="347"/>
      <c r="I184" s="302"/>
      <c r="J184" s="347"/>
      <c r="K184" s="1"/>
      <c r="L184" s="1"/>
      <c r="N184" s="26"/>
      <c r="O184" s="35"/>
    </row>
    <row r="185" spans="2:15" ht="12.75" customHeight="1">
      <c r="B185" s="440" t="s">
        <v>124</v>
      </c>
      <c r="C185" s="440"/>
      <c r="D185" s="440"/>
      <c r="E185" s="440">
        <v>0.6</v>
      </c>
      <c r="F185" s="440" t="s">
        <v>6</v>
      </c>
      <c r="G185" s="440"/>
      <c r="H185" s="440"/>
      <c r="I185" s="302"/>
      <c r="J185" s="347"/>
      <c r="K185" s="1"/>
      <c r="L185" s="1"/>
      <c r="N185" s="26"/>
      <c r="O185" s="35"/>
    </row>
    <row r="186" spans="2:15" ht="12.75" customHeight="1">
      <c r="B186" s="151" t="s">
        <v>19</v>
      </c>
      <c r="G186" s="372">
        <f>E184*E185</f>
        <v>6.78</v>
      </c>
      <c r="H186" s="1" t="s">
        <v>21</v>
      </c>
      <c r="I186" s="302"/>
      <c r="J186" s="347"/>
      <c r="K186" s="1"/>
      <c r="L186" s="1"/>
      <c r="N186" s="26"/>
      <c r="O186" s="35"/>
    </row>
    <row r="187" spans="2:15" ht="12.75" customHeight="1">
      <c r="B187" s="371" t="s">
        <v>459</v>
      </c>
      <c r="I187" s="428">
        <f>SUM(G174:G186)</f>
        <v>44.835000000000001</v>
      </c>
      <c r="J187" s="427" t="s">
        <v>21</v>
      </c>
      <c r="K187" s="1"/>
      <c r="L187" s="1"/>
      <c r="N187" s="26"/>
      <c r="O187" s="35"/>
    </row>
    <row r="188" spans="2:15" ht="12.75" customHeight="1">
      <c r="B188" s="1"/>
      <c r="I188" s="429"/>
      <c r="J188" s="427"/>
      <c r="K188" s="1"/>
      <c r="L188" s="1"/>
      <c r="N188" s="26"/>
      <c r="O188" s="35"/>
    </row>
    <row r="189" spans="2:15" ht="12.75" customHeight="1">
      <c r="B189" s="371" t="s">
        <v>455</v>
      </c>
      <c r="I189" s="302"/>
      <c r="J189" s="347"/>
      <c r="K189" s="1"/>
      <c r="L189" s="1"/>
      <c r="N189" s="26"/>
      <c r="O189" s="35"/>
    </row>
    <row r="190" spans="2:15" ht="12.75" customHeight="1">
      <c r="B190" s="347" t="s">
        <v>408</v>
      </c>
      <c r="C190" s="347"/>
      <c r="D190" s="347"/>
      <c r="E190" s="347">
        <v>5</v>
      </c>
      <c r="F190" s="347" t="s">
        <v>20</v>
      </c>
      <c r="G190" s="347"/>
      <c r="H190" s="347"/>
      <c r="I190" s="302"/>
      <c r="J190" s="347"/>
      <c r="K190" s="1"/>
      <c r="L190" s="1"/>
      <c r="N190" s="26"/>
      <c r="O190" s="35"/>
    </row>
    <row r="191" spans="2:15" ht="12.75" customHeight="1">
      <c r="B191" s="440" t="s">
        <v>22</v>
      </c>
      <c r="C191" s="440"/>
      <c r="D191" s="440"/>
      <c r="E191" s="440">
        <v>4.5</v>
      </c>
      <c r="F191" s="440" t="s">
        <v>6</v>
      </c>
      <c r="G191" s="440"/>
      <c r="H191" s="440"/>
      <c r="I191" s="302"/>
      <c r="J191" s="347"/>
      <c r="K191" s="1"/>
      <c r="L191" s="1"/>
      <c r="N191" s="26"/>
      <c r="O191" s="35"/>
    </row>
    <row r="192" spans="2:15" ht="12.75" customHeight="1">
      <c r="B192" s="347" t="s">
        <v>460</v>
      </c>
      <c r="C192" s="347"/>
      <c r="D192" s="347"/>
      <c r="E192" s="347"/>
      <c r="F192" s="347"/>
      <c r="G192" s="447">
        <f>E190*E191</f>
        <v>22.5</v>
      </c>
      <c r="H192" s="347" t="s">
        <v>21</v>
      </c>
      <c r="I192" s="302"/>
      <c r="J192" s="347"/>
      <c r="K192" s="1"/>
      <c r="L192" s="1"/>
      <c r="N192" s="26"/>
      <c r="O192" s="35"/>
    </row>
    <row r="193" spans="2:15" ht="12.75" customHeight="1">
      <c r="B193" s="347" t="s">
        <v>408</v>
      </c>
      <c r="C193" s="347"/>
      <c r="D193" s="347"/>
      <c r="E193" s="347">
        <v>4.5999999999999996</v>
      </c>
      <c r="F193" s="347" t="s">
        <v>20</v>
      </c>
      <c r="G193" s="347"/>
      <c r="H193" s="347"/>
      <c r="I193" s="302"/>
      <c r="J193" s="347"/>
      <c r="K193" s="1"/>
      <c r="L193" s="1"/>
      <c r="N193" s="26"/>
      <c r="O193" s="35"/>
    </row>
    <row r="194" spans="2:15" ht="12.75" customHeight="1">
      <c r="B194" s="440" t="s">
        <v>22</v>
      </c>
      <c r="C194" s="440"/>
      <c r="D194" s="440"/>
      <c r="E194" s="448">
        <v>1.88</v>
      </c>
      <c r="F194" s="440" t="s">
        <v>6</v>
      </c>
      <c r="G194" s="440"/>
      <c r="H194" s="440"/>
      <c r="I194" s="302"/>
      <c r="J194" s="347"/>
      <c r="K194" s="1"/>
      <c r="L194" s="1"/>
      <c r="N194" s="26"/>
      <c r="O194" s="35"/>
    </row>
    <row r="195" spans="2:15" ht="12.75" customHeight="1">
      <c r="B195" s="347" t="s">
        <v>460</v>
      </c>
      <c r="C195" s="347"/>
      <c r="D195" s="347"/>
      <c r="E195" s="347"/>
      <c r="F195" s="347"/>
      <c r="G195" s="447">
        <f>E193*E194</f>
        <v>8.6479999999999997</v>
      </c>
      <c r="H195" s="347" t="s">
        <v>21</v>
      </c>
      <c r="I195" s="302"/>
      <c r="J195" s="347"/>
      <c r="K195" s="1"/>
      <c r="L195" s="1"/>
      <c r="N195" s="26"/>
      <c r="O195" s="35"/>
    </row>
    <row r="196" spans="2:15" ht="12.75" customHeight="1">
      <c r="B196" s="371" t="s">
        <v>461</v>
      </c>
      <c r="I196" s="428">
        <f>SUM(G191:G195)</f>
        <v>31.148</v>
      </c>
      <c r="J196" s="422" t="s">
        <v>21</v>
      </c>
      <c r="K196" s="1"/>
      <c r="L196" s="1"/>
      <c r="N196" s="26"/>
      <c r="O196" s="35"/>
    </row>
    <row r="197" spans="2:15" ht="12.75" customHeight="1">
      <c r="B197" s="1"/>
      <c r="I197" s="428"/>
      <c r="J197" s="422"/>
      <c r="K197" s="1"/>
      <c r="L197" s="1"/>
      <c r="N197" s="26"/>
      <c r="O197" s="35"/>
    </row>
    <row r="198" spans="2:15" ht="12.75" customHeight="1">
      <c r="B198" s="371" t="s">
        <v>456</v>
      </c>
      <c r="I198" s="428"/>
      <c r="J198" s="422"/>
      <c r="K198" s="1"/>
      <c r="L198" s="1"/>
      <c r="N198" s="26"/>
      <c r="O198" s="35"/>
    </row>
    <row r="199" spans="2:15" ht="12.75" customHeight="1">
      <c r="B199" s="347" t="s">
        <v>408</v>
      </c>
      <c r="C199" s="347"/>
      <c r="D199" s="347"/>
      <c r="E199" s="347">
        <v>5</v>
      </c>
      <c r="F199" s="347" t="s">
        <v>20</v>
      </c>
      <c r="G199" s="347"/>
      <c r="H199" s="347"/>
      <c r="I199" s="428"/>
      <c r="J199" s="422"/>
      <c r="K199" s="1"/>
      <c r="L199" s="1"/>
      <c r="N199" s="26"/>
      <c r="O199" s="35"/>
    </row>
    <row r="200" spans="2:15" ht="12.75" customHeight="1">
      <c r="B200" s="440" t="s">
        <v>22</v>
      </c>
      <c r="C200" s="440"/>
      <c r="D200" s="440"/>
      <c r="E200" s="440">
        <v>5.3</v>
      </c>
      <c r="F200" s="440" t="s">
        <v>6</v>
      </c>
      <c r="G200" s="440"/>
      <c r="H200" s="440"/>
      <c r="I200" s="428"/>
      <c r="J200" s="422"/>
      <c r="K200" s="1"/>
      <c r="L200" s="1"/>
      <c r="N200" s="26"/>
      <c r="O200" s="35"/>
    </row>
    <row r="201" spans="2:15" ht="12.75" customHeight="1">
      <c r="B201" s="347" t="s">
        <v>460</v>
      </c>
      <c r="C201" s="347"/>
      <c r="D201" s="347"/>
      <c r="E201" s="347"/>
      <c r="F201" s="347"/>
      <c r="G201" s="447">
        <f>E199*E200</f>
        <v>26.5</v>
      </c>
      <c r="H201" s="347" t="s">
        <v>21</v>
      </c>
      <c r="I201" s="428">
        <f>G201</f>
        <v>26.5</v>
      </c>
      <c r="J201" s="422" t="s">
        <v>21</v>
      </c>
      <c r="K201" s="1"/>
      <c r="L201" s="1"/>
      <c r="N201" s="26"/>
      <c r="O201" s="35"/>
    </row>
    <row r="202" spans="2:15" ht="12.75" customHeight="1">
      <c r="B202" s="1"/>
      <c r="G202" s="372"/>
      <c r="I202" s="428"/>
      <c r="J202" s="422"/>
      <c r="K202" s="1"/>
      <c r="L202" s="1"/>
      <c r="N202" s="26"/>
      <c r="O202" s="35"/>
    </row>
    <row r="203" spans="2:15" ht="12.75" customHeight="1">
      <c r="B203" s="398" t="s">
        <v>517</v>
      </c>
      <c r="C203" s="398"/>
      <c r="D203" s="398"/>
      <c r="E203" s="398"/>
      <c r="G203" s="372"/>
      <c r="I203" s="428"/>
      <c r="J203" s="422"/>
      <c r="K203" s="1"/>
      <c r="L203" s="1"/>
      <c r="N203" s="26"/>
      <c r="O203" s="35"/>
    </row>
    <row r="204" spans="2:15" ht="12.75" customHeight="1">
      <c r="B204" s="398" t="s">
        <v>521</v>
      </c>
      <c r="C204" s="398"/>
      <c r="D204" s="398"/>
      <c r="E204" s="398"/>
      <c r="G204" s="372"/>
      <c r="I204" s="428"/>
      <c r="J204" s="422"/>
      <c r="K204" s="1"/>
      <c r="L204" s="1"/>
      <c r="N204" s="26"/>
      <c r="O204" s="35"/>
    </row>
    <row r="205" spans="2:15" ht="12.75" customHeight="1">
      <c r="B205" s="378"/>
      <c r="C205" s="378"/>
      <c r="D205" s="378" t="s">
        <v>148</v>
      </c>
      <c r="E205" s="378" t="s">
        <v>54</v>
      </c>
      <c r="F205" s="451" t="s">
        <v>519</v>
      </c>
      <c r="G205" s="450" t="s">
        <v>520</v>
      </c>
      <c r="H205" s="378"/>
      <c r="I205" s="388"/>
      <c r="J205" s="373"/>
      <c r="K205" s="1"/>
      <c r="L205" s="1"/>
      <c r="N205" s="26"/>
      <c r="O205" s="35"/>
    </row>
    <row r="206" spans="2:15" ht="12.75" customHeight="1">
      <c r="B206" s="347"/>
      <c r="C206" s="347"/>
      <c r="D206" s="347"/>
      <c r="E206" s="347"/>
      <c r="F206" s="347"/>
      <c r="G206" s="447"/>
      <c r="H206" s="347"/>
      <c r="I206" s="388"/>
      <c r="J206" s="373"/>
      <c r="K206" s="1"/>
      <c r="L206" s="1"/>
      <c r="N206" s="26"/>
      <c r="O206" s="35"/>
    </row>
    <row r="207" spans="2:15" ht="12.75" customHeight="1">
      <c r="B207" s="347" t="s">
        <v>524</v>
      </c>
      <c r="C207" s="347"/>
      <c r="D207" s="347">
        <v>4.7</v>
      </c>
      <c r="E207" s="347">
        <v>0.4</v>
      </c>
      <c r="F207" s="347">
        <v>0.8</v>
      </c>
      <c r="G207" s="447">
        <f>(D207*E207*F207)/2</f>
        <v>0.75200000000000011</v>
      </c>
      <c r="H207" s="347" t="s">
        <v>21</v>
      </c>
      <c r="I207" s="388"/>
      <c r="J207" s="373"/>
      <c r="K207" s="1"/>
      <c r="L207" s="1"/>
      <c r="N207" s="26"/>
      <c r="O207" s="35"/>
    </row>
    <row r="208" spans="2:15" ht="12.75" customHeight="1">
      <c r="B208" s="347" t="s">
        <v>523</v>
      </c>
      <c r="C208" s="347"/>
      <c r="D208" s="347">
        <v>4.8</v>
      </c>
      <c r="E208" s="347">
        <v>0.4</v>
      </c>
      <c r="F208" s="347">
        <v>0.7</v>
      </c>
      <c r="G208" s="447">
        <f>(D208*E208*F208)/2</f>
        <v>0.67199999999999993</v>
      </c>
      <c r="H208" s="347" t="s">
        <v>21</v>
      </c>
      <c r="I208" s="388"/>
      <c r="J208" s="373"/>
      <c r="K208" s="1"/>
      <c r="L208" s="1"/>
      <c r="N208" s="26"/>
      <c r="O208" s="35"/>
    </row>
    <row r="209" spans="2:15" ht="12.75" customHeight="1">
      <c r="B209" s="347" t="s">
        <v>522</v>
      </c>
      <c r="C209" s="347"/>
      <c r="D209" s="347">
        <v>4.45</v>
      </c>
      <c r="E209" s="347">
        <v>0.4</v>
      </c>
      <c r="F209" s="347">
        <v>1.05</v>
      </c>
      <c r="G209" s="447">
        <f>(D209*E209*F209)/2</f>
        <v>0.93450000000000022</v>
      </c>
      <c r="H209" s="347" t="s">
        <v>21</v>
      </c>
      <c r="I209" s="388"/>
      <c r="J209" s="373"/>
      <c r="K209" s="1"/>
      <c r="L209" s="1"/>
      <c r="N209" s="26"/>
      <c r="O209" s="35"/>
    </row>
    <row r="210" spans="2:15" ht="12.75" customHeight="1">
      <c r="B210" s="440" t="s">
        <v>518</v>
      </c>
      <c r="C210" s="440"/>
      <c r="D210" s="440">
        <v>15</v>
      </c>
      <c r="E210" s="440">
        <v>0.4</v>
      </c>
      <c r="F210" s="440">
        <v>1.05</v>
      </c>
      <c r="G210" s="448">
        <f>(D210*E210*F210)/2</f>
        <v>3.1500000000000004</v>
      </c>
      <c r="H210" s="440" t="s">
        <v>21</v>
      </c>
      <c r="I210" s="388"/>
      <c r="J210" s="373"/>
      <c r="K210" s="1"/>
      <c r="L210" s="1"/>
      <c r="N210" s="26"/>
      <c r="O210" s="35"/>
    </row>
    <row r="211" spans="2:15" ht="12.75" customHeight="1">
      <c r="B211" s="378" t="s">
        <v>30</v>
      </c>
      <c r="C211" s="378"/>
      <c r="D211" s="378"/>
      <c r="E211" s="378"/>
      <c r="F211" s="378"/>
      <c r="G211" s="378"/>
      <c r="H211" s="378"/>
      <c r="I211" s="388">
        <f>SUM(G207:G210)</f>
        <v>5.5085000000000006</v>
      </c>
      <c r="J211" s="373" t="s">
        <v>21</v>
      </c>
      <c r="K211" s="1"/>
      <c r="L211" s="1"/>
      <c r="N211" s="26"/>
      <c r="O211" s="35"/>
    </row>
    <row r="212" spans="2:15" ht="12.75" customHeight="1" thickBot="1">
      <c r="B212" s="452"/>
      <c r="C212" s="452"/>
      <c r="D212" s="452"/>
      <c r="E212" s="452"/>
      <c r="F212" s="452"/>
      <c r="G212" s="453"/>
      <c r="H212" s="452"/>
      <c r="I212" s="454"/>
      <c r="J212" s="455"/>
      <c r="K212" s="1"/>
      <c r="L212" s="1"/>
      <c r="N212" s="26"/>
      <c r="O212" s="35"/>
    </row>
    <row r="213" spans="2:15" ht="20.25" customHeight="1" thickBot="1">
      <c r="B213" s="456" t="s">
        <v>126</v>
      </c>
      <c r="C213" s="457"/>
      <c r="D213" s="458"/>
      <c r="E213" s="459"/>
      <c r="F213" s="460"/>
      <c r="G213" s="458"/>
      <c r="H213" s="461"/>
      <c r="I213" s="462">
        <f>SUM(I81:I211)</f>
        <v>537.33249999999998</v>
      </c>
      <c r="J213" s="463" t="s">
        <v>21</v>
      </c>
      <c r="K213" s="1"/>
      <c r="L213" s="1"/>
      <c r="N213" s="26"/>
      <c r="O213" s="35"/>
    </row>
    <row r="214" spans="2:15" ht="12.75" customHeight="1">
      <c r="B214" s="1"/>
      <c r="N214" s="26"/>
      <c r="O214" s="35"/>
    </row>
    <row r="215" spans="2:15" ht="12.75" customHeight="1">
      <c r="B215" s="93" t="s">
        <v>138</v>
      </c>
      <c r="C215" s="110" t="s">
        <v>136</v>
      </c>
      <c r="D215" s="111"/>
      <c r="E215" s="112"/>
      <c r="F215" s="111"/>
      <c r="G215" s="111"/>
      <c r="H215" s="108"/>
      <c r="I215" s="87"/>
      <c r="J215" s="87"/>
      <c r="K215" s="112"/>
      <c r="L215" s="41"/>
      <c r="M215" s="5"/>
      <c r="N215" s="26"/>
      <c r="O215" s="35"/>
    </row>
    <row r="216" spans="2:15" ht="12.75" customHeight="1">
      <c r="B216" s="93" t="s">
        <v>144</v>
      </c>
      <c r="C216" s="110" t="s">
        <v>145</v>
      </c>
      <c r="D216" s="111"/>
      <c r="E216" s="112"/>
      <c r="F216" s="111"/>
      <c r="G216" s="111"/>
      <c r="H216" s="108"/>
      <c r="I216" s="87"/>
      <c r="J216" s="87"/>
      <c r="K216" s="112"/>
      <c r="L216" s="41"/>
      <c r="M216" s="5"/>
      <c r="N216" s="26"/>
      <c r="O216" s="35"/>
    </row>
    <row r="217" spans="2:15" ht="12.75" customHeight="1">
      <c r="B217" s="93" t="s">
        <v>156</v>
      </c>
      <c r="C217" s="110"/>
      <c r="D217" s="111"/>
      <c r="E217" s="112"/>
      <c r="F217" s="111"/>
      <c r="G217" s="111"/>
      <c r="H217" s="108"/>
      <c r="I217" s="87"/>
      <c r="J217" s="87"/>
      <c r="K217" s="112"/>
      <c r="L217" s="41"/>
      <c r="M217" s="5"/>
      <c r="N217" s="26"/>
      <c r="O217" s="35"/>
    </row>
    <row r="218" spans="2:15" ht="12.75" customHeight="1">
      <c r="B218" s="93"/>
      <c r="C218" s="110" t="s">
        <v>147</v>
      </c>
      <c r="D218" s="111">
        <v>5.0999999999999996</v>
      </c>
      <c r="E218" s="112" t="s">
        <v>6</v>
      </c>
      <c r="F218" s="111"/>
      <c r="G218" s="111"/>
      <c r="H218" s="108"/>
      <c r="I218" s="87"/>
      <c r="J218" s="87"/>
      <c r="K218" s="112"/>
      <c r="L218" s="41"/>
      <c r="M218" s="5"/>
      <c r="N218" s="26"/>
      <c r="O218" s="35"/>
    </row>
    <row r="219" spans="2:15" ht="12.75" customHeight="1">
      <c r="B219" s="93"/>
      <c r="C219" s="113" t="s">
        <v>148</v>
      </c>
      <c r="D219" s="114">
        <v>12.1</v>
      </c>
      <c r="E219" s="115" t="s">
        <v>6</v>
      </c>
      <c r="F219" s="114"/>
      <c r="G219" s="111"/>
      <c r="H219" s="108"/>
      <c r="I219" s="87"/>
      <c r="J219" s="87"/>
      <c r="K219" s="112"/>
      <c r="L219" s="41"/>
      <c r="M219" s="5"/>
      <c r="N219" s="26"/>
      <c r="O219" s="35"/>
    </row>
    <row r="220" spans="2:15" ht="12.75" customHeight="1">
      <c r="B220" s="93"/>
      <c r="C220" s="110" t="s">
        <v>119</v>
      </c>
      <c r="D220" s="111"/>
      <c r="E220" s="112"/>
      <c r="F220" s="111">
        <f>D218*D219</f>
        <v>61.709999999999994</v>
      </c>
      <c r="G220" s="111" t="s">
        <v>20</v>
      </c>
      <c r="H220" s="108"/>
      <c r="I220" s="87"/>
      <c r="J220" s="87"/>
      <c r="K220" s="112"/>
      <c r="L220" s="41"/>
      <c r="M220" s="5"/>
      <c r="N220" s="26"/>
      <c r="O220" s="35"/>
    </row>
    <row r="221" spans="2:15" ht="12.75" customHeight="1">
      <c r="B221" s="93" t="s">
        <v>121</v>
      </c>
      <c r="C221" s="110" t="s">
        <v>147</v>
      </c>
      <c r="D221" s="111">
        <v>5</v>
      </c>
      <c r="E221" s="112" t="s">
        <v>6</v>
      </c>
      <c r="F221" s="111"/>
      <c r="G221" s="111"/>
      <c r="H221" s="108"/>
      <c r="I221" s="87"/>
      <c r="J221" s="87"/>
      <c r="K221" s="112"/>
      <c r="L221" s="41"/>
      <c r="M221" s="5"/>
      <c r="N221" s="26"/>
      <c r="O221" s="35"/>
    </row>
    <row r="222" spans="2:15" ht="12.75" customHeight="1">
      <c r="B222" s="93"/>
      <c r="C222" s="113" t="s">
        <v>148</v>
      </c>
      <c r="D222" s="114">
        <v>8.3000000000000007</v>
      </c>
      <c r="E222" s="115" t="s">
        <v>6</v>
      </c>
      <c r="F222" s="114"/>
      <c r="G222" s="111"/>
      <c r="H222" s="108"/>
      <c r="I222" s="87"/>
      <c r="J222" s="87"/>
      <c r="K222" s="112"/>
      <c r="L222" s="41"/>
      <c r="M222" s="5"/>
      <c r="N222" s="26"/>
      <c r="O222" s="35"/>
    </row>
    <row r="223" spans="2:15" ht="12.75" customHeight="1">
      <c r="B223" s="93"/>
      <c r="C223" s="110"/>
      <c r="D223" s="111"/>
      <c r="E223" s="112"/>
      <c r="F223" s="111">
        <f>D221*D222</f>
        <v>41.5</v>
      </c>
      <c r="G223" s="111" t="s">
        <v>20</v>
      </c>
      <c r="H223" s="108"/>
      <c r="I223" s="87"/>
      <c r="J223" s="87"/>
      <c r="K223" s="112"/>
      <c r="L223" s="41"/>
      <c r="M223" s="5"/>
      <c r="N223" s="26"/>
      <c r="O223" s="35"/>
    </row>
    <row r="224" spans="2:15" ht="12.75" customHeight="1">
      <c r="B224" s="93" t="s">
        <v>149</v>
      </c>
      <c r="C224" s="110"/>
      <c r="D224" s="111"/>
      <c r="E224" s="112"/>
      <c r="F224" s="111"/>
      <c r="G224" s="111"/>
      <c r="H224" s="108"/>
      <c r="I224" s="87"/>
      <c r="J224" s="87"/>
      <c r="K224" s="112"/>
      <c r="L224" s="41"/>
      <c r="M224" s="5"/>
      <c r="N224" s="26"/>
      <c r="O224" s="35"/>
    </row>
    <row r="225" spans="2:15" ht="12.75" customHeight="1">
      <c r="B225" s="93"/>
      <c r="C225" s="110" t="s">
        <v>147</v>
      </c>
      <c r="D225" s="111">
        <v>2.5</v>
      </c>
      <c r="E225" s="112" t="s">
        <v>6</v>
      </c>
      <c r="F225" s="111"/>
      <c r="G225" s="111"/>
      <c r="H225" s="108"/>
      <c r="I225" s="87"/>
      <c r="J225" s="87"/>
      <c r="K225" s="112"/>
      <c r="L225" s="41"/>
      <c r="M225" s="5"/>
      <c r="N225" s="26"/>
      <c r="O225" s="35"/>
    </row>
    <row r="226" spans="2:15" ht="12.75" customHeight="1">
      <c r="B226" s="93"/>
      <c r="C226" s="113" t="s">
        <v>148</v>
      </c>
      <c r="D226" s="114">
        <v>8.1999999999999993</v>
      </c>
      <c r="E226" s="115" t="s">
        <v>6</v>
      </c>
      <c r="F226" s="114"/>
      <c r="G226" s="111"/>
      <c r="H226" s="108"/>
      <c r="I226" s="87"/>
      <c r="J226" s="87"/>
      <c r="K226" s="112"/>
      <c r="L226" s="41"/>
      <c r="M226" s="5"/>
      <c r="N226" s="26"/>
      <c r="O226" s="35"/>
    </row>
    <row r="227" spans="2:15" ht="12.75" customHeight="1">
      <c r="B227" s="93"/>
      <c r="C227" s="110"/>
      <c r="D227" s="111"/>
      <c r="E227" s="112"/>
      <c r="F227" s="111">
        <f>D225*D226</f>
        <v>20.5</v>
      </c>
      <c r="G227" s="111" t="s">
        <v>20</v>
      </c>
      <c r="H227" s="108"/>
      <c r="I227" s="87"/>
      <c r="J227" s="87"/>
      <c r="K227" s="112"/>
      <c r="L227" s="41"/>
      <c r="M227" s="5"/>
      <c r="N227" s="26"/>
      <c r="O227" s="35"/>
    </row>
    <row r="228" spans="2:15" ht="12.75" customHeight="1">
      <c r="B228" s="93" t="s">
        <v>150</v>
      </c>
      <c r="C228" s="12"/>
      <c r="D228" s="12"/>
      <c r="E228" s="12"/>
      <c r="F228" s="12"/>
      <c r="G228" s="12"/>
      <c r="H228" s="106"/>
      <c r="I228" s="5"/>
      <c r="J228" s="5"/>
      <c r="K228" s="42"/>
      <c r="L228" s="41"/>
      <c r="M228" s="5"/>
      <c r="N228" s="26"/>
      <c r="O228" s="35"/>
    </row>
    <row r="229" spans="2:15" ht="12.75" customHeight="1">
      <c r="B229" s="93"/>
      <c r="C229" s="110" t="s">
        <v>147</v>
      </c>
      <c r="D229" s="111">
        <v>5.0999999999999996</v>
      </c>
      <c r="E229" s="112" t="s">
        <v>6</v>
      </c>
      <c r="F229" s="111"/>
      <c r="G229" s="111"/>
      <c r="H229" s="106"/>
      <c r="I229" s="5"/>
      <c r="J229" s="5"/>
      <c r="K229" s="42"/>
      <c r="L229" s="41"/>
      <c r="M229" s="5"/>
      <c r="N229" s="26"/>
      <c r="O229" s="35"/>
    </row>
    <row r="230" spans="2:15" ht="12.75" customHeight="1">
      <c r="B230" s="93"/>
      <c r="C230" s="113" t="s">
        <v>148</v>
      </c>
      <c r="D230" s="114">
        <v>5.2</v>
      </c>
      <c r="E230" s="115" t="s">
        <v>6</v>
      </c>
      <c r="F230" s="114"/>
      <c r="G230" s="111"/>
      <c r="H230" s="106"/>
      <c r="I230" s="5"/>
      <c r="J230" s="5"/>
      <c r="K230" s="42"/>
      <c r="L230" s="41"/>
      <c r="M230" s="5"/>
      <c r="N230" s="26"/>
      <c r="O230" s="35"/>
    </row>
    <row r="231" spans="2:15" ht="12.75" customHeight="1">
      <c r="B231" s="93"/>
      <c r="C231" s="110"/>
      <c r="D231" s="111"/>
      <c r="E231" s="112"/>
      <c r="F231" s="111">
        <f>D229*D230</f>
        <v>26.52</v>
      </c>
      <c r="G231" s="111" t="s">
        <v>20</v>
      </c>
      <c r="H231" s="106"/>
      <c r="I231" s="5"/>
      <c r="J231" s="5"/>
      <c r="K231" s="42"/>
      <c r="L231" s="41"/>
      <c r="M231" s="5"/>
      <c r="N231" s="26"/>
      <c r="O231" s="35"/>
    </row>
    <row r="232" spans="2:15" ht="12.75" customHeight="1">
      <c r="B232" s="93" t="s">
        <v>151</v>
      </c>
      <c r="C232" s="110"/>
      <c r="D232" s="111"/>
      <c r="E232" s="112"/>
      <c r="F232" s="111"/>
      <c r="G232" s="111"/>
      <c r="H232" s="106"/>
      <c r="I232" s="5"/>
      <c r="J232" s="5"/>
      <c r="K232" s="42"/>
      <c r="L232" s="41"/>
      <c r="M232" s="5"/>
      <c r="N232" s="26"/>
      <c r="O232" s="35"/>
    </row>
    <row r="233" spans="2:15" ht="12.75" customHeight="1">
      <c r="B233" s="93"/>
      <c r="C233" s="110" t="s">
        <v>147</v>
      </c>
      <c r="D233" s="111">
        <v>4</v>
      </c>
      <c r="E233" s="112" t="s">
        <v>6</v>
      </c>
      <c r="F233" s="111"/>
      <c r="G233" s="111"/>
      <c r="H233" s="106"/>
      <c r="I233" s="5"/>
      <c r="J233" s="5"/>
      <c r="K233" s="42"/>
      <c r="L233" s="41"/>
      <c r="M233" s="5"/>
      <c r="N233" s="26"/>
      <c r="O233" s="35"/>
    </row>
    <row r="234" spans="2:15" ht="12.75" customHeight="1">
      <c r="B234" s="93"/>
      <c r="C234" s="113" t="s">
        <v>148</v>
      </c>
      <c r="D234" s="114">
        <v>7</v>
      </c>
      <c r="E234" s="115" t="s">
        <v>6</v>
      </c>
      <c r="F234" s="114"/>
      <c r="G234" s="111"/>
      <c r="H234" s="106"/>
      <c r="I234" s="5"/>
      <c r="J234" s="5"/>
      <c r="K234" s="42"/>
      <c r="L234" s="41"/>
      <c r="M234" s="5"/>
      <c r="N234" s="26"/>
      <c r="O234" s="35"/>
    </row>
    <row r="235" spans="2:15" ht="12.75" customHeight="1">
      <c r="B235" s="93"/>
      <c r="C235" s="110"/>
      <c r="D235" s="111"/>
      <c r="E235" s="112"/>
      <c r="F235" s="111">
        <f>D233*D234</f>
        <v>28</v>
      </c>
      <c r="G235" s="111" t="s">
        <v>20</v>
      </c>
      <c r="H235" s="106"/>
      <c r="I235" s="5"/>
      <c r="J235" s="5"/>
      <c r="L235" s="41"/>
      <c r="M235" s="5"/>
      <c r="N235" s="26"/>
      <c r="O235" s="35"/>
    </row>
    <row r="236" spans="2:15" ht="12.75" customHeight="1">
      <c r="B236" s="93"/>
      <c r="C236" s="110"/>
      <c r="D236" s="111"/>
      <c r="E236" s="112"/>
      <c r="F236" s="111"/>
      <c r="G236" s="111"/>
      <c r="H236" s="106"/>
      <c r="I236" s="5"/>
      <c r="J236" s="5"/>
      <c r="K236" s="42"/>
      <c r="L236" s="41"/>
      <c r="M236" s="5"/>
      <c r="N236" s="26"/>
      <c r="O236" s="35"/>
    </row>
    <row r="237" spans="2:15" ht="12.75" customHeight="1">
      <c r="B237" s="93" t="s">
        <v>152</v>
      </c>
      <c r="C237" s="110"/>
      <c r="D237" s="111"/>
      <c r="E237" s="112"/>
      <c r="F237" s="111"/>
      <c r="G237" s="111"/>
      <c r="H237" s="106"/>
      <c r="I237" s="5"/>
      <c r="J237" s="5"/>
      <c r="K237" s="42"/>
      <c r="L237" s="41"/>
      <c r="M237" s="5"/>
      <c r="N237" s="26"/>
      <c r="O237" s="35"/>
    </row>
    <row r="238" spans="2:15" ht="12.75" customHeight="1">
      <c r="B238" s="93"/>
      <c r="C238" s="110" t="s">
        <v>147</v>
      </c>
      <c r="D238" s="111">
        <v>4</v>
      </c>
      <c r="E238" s="112" t="s">
        <v>6</v>
      </c>
      <c r="F238" s="111"/>
      <c r="G238" s="111"/>
      <c r="H238" s="106"/>
      <c r="I238" s="5"/>
      <c r="J238" s="5"/>
      <c r="K238" s="42"/>
      <c r="L238" s="41"/>
      <c r="M238" s="5"/>
      <c r="N238" s="26"/>
      <c r="O238" s="35"/>
    </row>
    <row r="239" spans="2:15" ht="12.75" customHeight="1">
      <c r="B239" s="93"/>
      <c r="C239" s="113" t="s">
        <v>148</v>
      </c>
      <c r="D239" s="114">
        <v>7.2</v>
      </c>
      <c r="E239" s="115" t="s">
        <v>6</v>
      </c>
      <c r="F239" s="114"/>
      <c r="G239" s="111"/>
      <c r="H239" s="106"/>
      <c r="I239" s="5"/>
      <c r="J239" s="5"/>
      <c r="K239" s="42"/>
      <c r="L239" s="41"/>
      <c r="M239" s="5"/>
      <c r="N239" s="26"/>
      <c r="O239" s="35"/>
    </row>
    <row r="240" spans="2:15" ht="12.75" customHeight="1">
      <c r="B240" s="93"/>
      <c r="C240" s="110"/>
      <c r="D240" s="111"/>
      <c r="E240" s="112"/>
      <c r="F240" s="111">
        <f>D238*D239</f>
        <v>28.8</v>
      </c>
      <c r="G240" s="111" t="s">
        <v>20</v>
      </c>
      <c r="H240" s="106"/>
      <c r="I240" s="5"/>
      <c r="J240" s="5"/>
      <c r="K240" s="42"/>
      <c r="L240" s="41"/>
      <c r="M240" s="5"/>
      <c r="N240" s="26"/>
      <c r="O240" s="35"/>
    </row>
    <row r="241" spans="2:15" ht="12.75" customHeight="1">
      <c r="B241" s="93" t="s">
        <v>153</v>
      </c>
      <c r="C241" s="110" t="s">
        <v>109</v>
      </c>
      <c r="D241" s="111"/>
      <c r="E241" s="112"/>
      <c r="F241" s="111">
        <v>5</v>
      </c>
      <c r="G241" s="111" t="s">
        <v>20</v>
      </c>
      <c r="H241" s="106"/>
      <c r="I241" s="5"/>
      <c r="J241" s="5"/>
      <c r="K241" s="42"/>
      <c r="L241" s="41"/>
      <c r="M241" s="5"/>
      <c r="N241" s="26"/>
      <c r="O241" s="35"/>
    </row>
    <row r="242" spans="2:15" ht="12.75" customHeight="1">
      <c r="B242" s="93"/>
      <c r="C242" s="110"/>
      <c r="D242" s="111"/>
      <c r="E242" s="112"/>
      <c r="F242" s="111"/>
      <c r="G242" s="111"/>
      <c r="H242" s="106"/>
      <c r="I242" s="5"/>
      <c r="J242" s="5"/>
      <c r="K242" s="42"/>
      <c r="L242" s="41"/>
      <c r="M242" s="5"/>
      <c r="N242" s="26"/>
      <c r="O242" s="35"/>
    </row>
    <row r="243" spans="2:15" ht="12.75" customHeight="1">
      <c r="B243" s="93" t="s">
        <v>298</v>
      </c>
      <c r="C243" s="110" t="s">
        <v>295</v>
      </c>
      <c r="D243" s="111"/>
      <c r="E243" s="112"/>
      <c r="F243" s="110">
        <f>1.2*4*4.65</f>
        <v>22.32</v>
      </c>
      <c r="G243" s="111" t="s">
        <v>20</v>
      </c>
      <c r="H243" s="106"/>
      <c r="I243" s="5"/>
      <c r="J243" s="5"/>
      <c r="K243" s="42"/>
      <c r="L243" s="41"/>
      <c r="M243" s="5"/>
      <c r="N243" s="26"/>
      <c r="O243" s="35"/>
    </row>
    <row r="244" spans="2:15" ht="12.75" customHeight="1">
      <c r="B244" s="93" t="s">
        <v>299</v>
      </c>
      <c r="C244" s="110" t="s">
        <v>300</v>
      </c>
      <c r="D244" s="111"/>
      <c r="E244" s="112"/>
      <c r="F244" s="110">
        <f>0.5*1.2</f>
        <v>0.6</v>
      </c>
      <c r="G244" s="111" t="s">
        <v>20</v>
      </c>
      <c r="H244" s="106"/>
      <c r="I244" s="5"/>
      <c r="J244" s="5"/>
      <c r="K244" s="42"/>
      <c r="L244" s="41"/>
      <c r="M244" s="5"/>
      <c r="N244" s="26"/>
      <c r="O244" s="35"/>
    </row>
    <row r="245" spans="2:15" ht="12.75" customHeight="1">
      <c r="B245" s="93" t="s">
        <v>154</v>
      </c>
      <c r="C245" s="110"/>
      <c r="D245" s="111"/>
      <c r="E245" s="112"/>
      <c r="F245" s="111"/>
      <c r="G245" s="111"/>
      <c r="H245" s="106"/>
      <c r="I245" s="5"/>
      <c r="J245" s="5"/>
      <c r="K245" s="42"/>
      <c r="L245" s="41"/>
      <c r="M245" s="5"/>
      <c r="N245" s="26"/>
      <c r="O245" s="35"/>
    </row>
    <row r="246" spans="2:15" ht="12.75" customHeight="1">
      <c r="B246" s="110" t="s">
        <v>155</v>
      </c>
      <c r="C246" s="110">
        <v>13.5</v>
      </c>
      <c r="D246" s="110"/>
      <c r="E246" s="110"/>
      <c r="F246" s="110"/>
      <c r="G246" s="110"/>
      <c r="H246" s="106"/>
      <c r="I246" s="5"/>
      <c r="J246" s="5"/>
      <c r="K246" s="42"/>
      <c r="L246" s="41"/>
      <c r="M246" s="5"/>
      <c r="N246" s="26"/>
      <c r="O246" s="35"/>
    </row>
    <row r="247" spans="2:15" ht="12.75" customHeight="1">
      <c r="B247" s="110" t="s">
        <v>35</v>
      </c>
      <c r="C247" s="110">
        <v>14</v>
      </c>
      <c r="D247" s="110"/>
      <c r="E247" s="110"/>
      <c r="F247" s="110"/>
      <c r="G247" s="110"/>
      <c r="H247" s="106"/>
      <c r="I247" s="5"/>
      <c r="J247" s="5"/>
      <c r="K247" s="42"/>
      <c r="L247" s="41"/>
      <c r="M247" s="5"/>
      <c r="N247" s="26"/>
      <c r="O247" s="35"/>
    </row>
    <row r="248" spans="2:15" ht="12.75" customHeight="1">
      <c r="B248" s="110" t="s">
        <v>47</v>
      </c>
      <c r="C248" s="110">
        <v>9</v>
      </c>
      <c r="D248" s="110"/>
      <c r="E248" s="110"/>
      <c r="F248" s="110"/>
      <c r="G248" s="110"/>
      <c r="H248" s="106"/>
      <c r="I248" s="5"/>
      <c r="J248" s="5"/>
      <c r="K248" s="42"/>
      <c r="L248" s="41"/>
      <c r="M248" s="5"/>
      <c r="N248" s="26"/>
      <c r="O248" s="35"/>
    </row>
    <row r="249" spans="2:15" ht="12.75" customHeight="1">
      <c r="B249" s="110" t="s">
        <v>138</v>
      </c>
      <c r="C249" s="110">
        <v>6.3</v>
      </c>
      <c r="D249" s="110"/>
      <c r="E249" s="110"/>
      <c r="F249" s="110"/>
      <c r="G249" s="110"/>
      <c r="H249" s="106"/>
      <c r="I249" s="5"/>
      <c r="J249" s="5"/>
      <c r="K249" s="42"/>
      <c r="L249" s="41"/>
      <c r="M249" s="5"/>
      <c r="N249" s="26"/>
      <c r="O249" s="35"/>
    </row>
    <row r="250" spans="2:15" ht="12.75" customHeight="1">
      <c r="B250" s="113" t="s">
        <v>139</v>
      </c>
      <c r="C250" s="113">
        <v>6.3</v>
      </c>
      <c r="D250" s="113"/>
      <c r="E250" s="113"/>
      <c r="F250" s="113"/>
      <c r="G250" s="113"/>
      <c r="H250" s="106"/>
      <c r="I250" s="5"/>
      <c r="J250" s="5"/>
      <c r="K250" s="42"/>
      <c r="L250" s="41"/>
      <c r="M250" s="5"/>
      <c r="N250" s="26"/>
      <c r="O250" s="35"/>
    </row>
    <row r="251" spans="2:15" ht="12.75" customHeight="1">
      <c r="B251" s="110" t="s">
        <v>30</v>
      </c>
      <c r="C251" s="110"/>
      <c r="D251" s="110"/>
      <c r="E251" s="110"/>
      <c r="F251" s="110">
        <f>SUM(C246:C250)</f>
        <v>49.099999999999994</v>
      </c>
      <c r="G251" s="110" t="s">
        <v>20</v>
      </c>
      <c r="H251" s="106"/>
      <c r="I251" s="5"/>
      <c r="J251" s="5"/>
      <c r="K251" s="42"/>
      <c r="L251" s="41"/>
      <c r="M251" s="5"/>
      <c r="N251" s="26"/>
      <c r="O251" s="35"/>
    </row>
    <row r="252" spans="2:15" ht="12.75" customHeight="1">
      <c r="B252" s="110"/>
      <c r="C252" s="110"/>
      <c r="D252" s="110"/>
      <c r="E252" s="110"/>
      <c r="F252" s="110"/>
      <c r="G252" s="110"/>
      <c r="H252" s="106"/>
      <c r="I252" s="5"/>
      <c r="J252" s="5"/>
      <c r="K252" s="42"/>
      <c r="L252" s="41"/>
      <c r="M252" s="5"/>
      <c r="N252" s="26"/>
      <c r="O252" s="35"/>
    </row>
    <row r="253" spans="2:15" ht="12.75" customHeight="1">
      <c r="B253" s="93" t="s">
        <v>157</v>
      </c>
      <c r="C253" s="110"/>
      <c r="D253" s="111"/>
      <c r="E253" s="110"/>
      <c r="F253" s="110"/>
      <c r="G253" s="110"/>
      <c r="H253" s="106"/>
      <c r="I253" s="5"/>
      <c r="J253" s="5"/>
      <c r="K253" s="42"/>
      <c r="L253" s="41"/>
      <c r="M253" s="5"/>
      <c r="N253" s="26"/>
      <c r="O253" s="35"/>
    </row>
    <row r="254" spans="2:15" ht="12.75" customHeight="1">
      <c r="B254" s="93"/>
      <c r="C254" s="110" t="s">
        <v>147</v>
      </c>
      <c r="D254" s="111">
        <v>4.5</v>
      </c>
      <c r="E254" s="112" t="s">
        <v>6</v>
      </c>
      <c r="F254" s="111"/>
      <c r="G254" s="111"/>
      <c r="H254" s="106"/>
      <c r="I254" s="5"/>
      <c r="J254" s="5"/>
      <c r="K254" s="42"/>
      <c r="L254" s="41"/>
      <c r="M254" s="5"/>
      <c r="N254" s="26"/>
      <c r="O254" s="35"/>
    </row>
    <row r="255" spans="2:15" ht="12.75" customHeight="1">
      <c r="B255" s="93"/>
      <c r="C255" s="113" t="s">
        <v>148</v>
      </c>
      <c r="D255" s="114">
        <v>12</v>
      </c>
      <c r="E255" s="115" t="s">
        <v>6</v>
      </c>
      <c r="F255" s="114"/>
      <c r="G255" s="111"/>
      <c r="H255" s="106"/>
      <c r="I255" s="5"/>
      <c r="J255" s="5"/>
      <c r="K255" s="42"/>
      <c r="L255" s="41"/>
      <c r="M255" s="5"/>
      <c r="N255" s="26"/>
      <c r="O255" s="35"/>
    </row>
    <row r="256" spans="2:15" ht="12.75" customHeight="1">
      <c r="B256" s="93"/>
      <c r="C256" s="110"/>
      <c r="D256" s="111"/>
      <c r="E256" s="112"/>
      <c r="F256" s="111">
        <f>D254*D255</f>
        <v>54</v>
      </c>
      <c r="G256" s="111" t="s">
        <v>20</v>
      </c>
      <c r="H256" s="106"/>
      <c r="I256" s="5"/>
      <c r="J256" s="5"/>
      <c r="K256" s="42"/>
      <c r="L256" s="41"/>
      <c r="M256" s="5"/>
      <c r="N256" s="26"/>
      <c r="O256" s="35"/>
    </row>
    <row r="257" spans="2:15" ht="12.75" customHeight="1">
      <c r="B257" s="93" t="s">
        <v>158</v>
      </c>
      <c r="C257" s="110"/>
      <c r="D257" s="111"/>
      <c r="E257" s="112"/>
      <c r="F257" s="111"/>
      <c r="G257" s="111"/>
      <c r="H257" s="106"/>
      <c r="I257" s="5"/>
      <c r="J257" s="5"/>
      <c r="K257" s="42"/>
      <c r="L257" s="41"/>
      <c r="M257" s="5"/>
      <c r="N257" s="26"/>
      <c r="O257" s="35"/>
    </row>
    <row r="258" spans="2:15" ht="12.75" customHeight="1">
      <c r="B258" s="110"/>
      <c r="C258" s="110" t="s">
        <v>147</v>
      </c>
      <c r="D258" s="111">
        <v>3.6</v>
      </c>
      <c r="E258" s="112" t="s">
        <v>6</v>
      </c>
      <c r="F258" s="111"/>
      <c r="G258" s="111"/>
      <c r="H258" s="106"/>
      <c r="I258" s="5"/>
      <c r="J258" s="5"/>
      <c r="K258" s="42"/>
      <c r="L258" s="41"/>
      <c r="M258" s="5"/>
      <c r="N258" s="26"/>
      <c r="O258" s="35"/>
    </row>
    <row r="259" spans="2:15" ht="12.75" customHeight="1">
      <c r="B259" s="110"/>
      <c r="C259" s="113" t="s">
        <v>148</v>
      </c>
      <c r="D259" s="114">
        <v>12.5</v>
      </c>
      <c r="E259" s="115" t="s">
        <v>6</v>
      </c>
      <c r="F259" s="114"/>
      <c r="G259" s="111"/>
      <c r="H259" s="106"/>
      <c r="I259" s="5"/>
      <c r="J259" s="5"/>
      <c r="K259" s="42"/>
      <c r="L259" s="41"/>
      <c r="M259" s="5"/>
      <c r="N259" s="26"/>
      <c r="O259" s="35"/>
    </row>
    <row r="260" spans="2:15" ht="12.75" customHeight="1">
      <c r="B260" s="110"/>
      <c r="C260" s="110"/>
      <c r="D260" s="111"/>
      <c r="E260" s="112"/>
      <c r="F260" s="111">
        <f>D258*D259</f>
        <v>45</v>
      </c>
      <c r="G260" s="111" t="s">
        <v>20</v>
      </c>
      <c r="H260" s="106"/>
      <c r="I260" s="5"/>
      <c r="J260" s="5"/>
      <c r="K260" s="42"/>
      <c r="L260" s="41"/>
      <c r="M260" s="5"/>
      <c r="N260" s="26"/>
      <c r="O260" s="35"/>
    </row>
    <row r="261" spans="2:15" ht="12.75" customHeight="1">
      <c r="B261" s="93" t="s">
        <v>171</v>
      </c>
      <c r="C261" s="110"/>
      <c r="D261" s="111"/>
      <c r="E261" s="112"/>
      <c r="F261" s="111"/>
      <c r="G261" s="111"/>
      <c r="H261" s="106"/>
      <c r="I261" s="5"/>
      <c r="J261" s="5"/>
      <c r="K261" s="42"/>
      <c r="L261" s="41"/>
      <c r="M261" s="5"/>
      <c r="N261" s="26"/>
      <c r="O261" s="35"/>
    </row>
    <row r="262" spans="2:15" ht="12.75" customHeight="1">
      <c r="B262" s="110"/>
      <c r="C262" s="110" t="s">
        <v>147</v>
      </c>
      <c r="D262" s="111">
        <v>5.0999999999999996</v>
      </c>
      <c r="E262" s="112" t="s">
        <v>6</v>
      </c>
      <c r="F262" s="111"/>
      <c r="G262" s="111"/>
      <c r="H262" s="106"/>
      <c r="I262" s="5"/>
      <c r="J262" s="5"/>
      <c r="K262" s="42"/>
      <c r="L262" s="41"/>
      <c r="M262" s="5"/>
      <c r="N262" s="26"/>
      <c r="O262" s="35"/>
    </row>
    <row r="263" spans="2:15" ht="12.75" customHeight="1">
      <c r="B263" s="110"/>
      <c r="C263" s="113" t="s">
        <v>148</v>
      </c>
      <c r="D263" s="114">
        <v>0.6</v>
      </c>
      <c r="E263" s="115" t="s">
        <v>6</v>
      </c>
      <c r="F263" s="114"/>
      <c r="G263" s="111"/>
      <c r="H263" s="106"/>
      <c r="I263" s="5"/>
      <c r="J263" s="5"/>
      <c r="K263" s="42"/>
      <c r="L263" s="41"/>
      <c r="M263" s="5"/>
      <c r="N263" s="26"/>
      <c r="O263" s="35"/>
    </row>
    <row r="264" spans="2:15" ht="12.75" customHeight="1">
      <c r="B264" s="110"/>
      <c r="C264" s="110"/>
      <c r="D264" s="111"/>
      <c r="E264" s="112"/>
      <c r="F264" s="111">
        <f>D262*D263</f>
        <v>3.0599999999999996</v>
      </c>
      <c r="G264" s="111" t="s">
        <v>20</v>
      </c>
      <c r="H264" s="106"/>
      <c r="I264" s="5"/>
      <c r="J264" s="5"/>
      <c r="K264" s="42"/>
      <c r="L264" s="41"/>
      <c r="M264" s="5"/>
      <c r="N264" s="26"/>
      <c r="O264" s="35"/>
    </row>
    <row r="265" spans="2:15" ht="12.75" customHeight="1">
      <c r="B265" s="110" t="s">
        <v>159</v>
      </c>
      <c r="C265" s="110">
        <v>40</v>
      </c>
      <c r="D265" s="110"/>
      <c r="E265" s="110"/>
      <c r="F265" s="110"/>
      <c r="G265" s="110"/>
      <c r="H265" s="106"/>
      <c r="I265" s="5"/>
      <c r="J265" s="5"/>
      <c r="K265" s="42"/>
      <c r="L265" s="41"/>
      <c r="M265" s="5"/>
      <c r="N265" s="26"/>
      <c r="O265" s="35"/>
    </row>
    <row r="266" spans="2:15" ht="12.75" customHeight="1">
      <c r="B266" s="113" t="s">
        <v>25</v>
      </c>
      <c r="C266" s="113">
        <v>2</v>
      </c>
      <c r="D266" s="113"/>
      <c r="E266" s="113"/>
      <c r="F266" s="113"/>
      <c r="G266" s="110"/>
      <c r="H266" s="106"/>
      <c r="I266" s="5"/>
      <c r="J266" s="5"/>
      <c r="K266" s="42"/>
      <c r="L266" s="41"/>
      <c r="M266" s="5"/>
      <c r="N266" s="26"/>
      <c r="O266" s="35"/>
    </row>
    <row r="267" spans="2:15" ht="12.75" customHeight="1">
      <c r="B267" s="110" t="s">
        <v>19</v>
      </c>
      <c r="C267" s="110"/>
      <c r="D267" s="110"/>
      <c r="E267" s="110"/>
      <c r="F267" s="110">
        <f>C265*C266</f>
        <v>80</v>
      </c>
      <c r="G267" s="110" t="s">
        <v>20</v>
      </c>
      <c r="H267" s="106"/>
      <c r="I267" s="5"/>
      <c r="J267" s="5"/>
      <c r="K267" s="42"/>
      <c r="L267" s="41"/>
      <c r="M267" s="5"/>
      <c r="N267" s="26"/>
      <c r="O267" s="35"/>
    </row>
    <row r="268" spans="2:15" ht="12.75" customHeight="1">
      <c r="B268" s="110" t="s">
        <v>160</v>
      </c>
      <c r="C268" s="110"/>
      <c r="D268" s="110"/>
      <c r="E268" s="110"/>
      <c r="F268" s="110"/>
      <c r="G268" s="110"/>
      <c r="H268" s="106"/>
      <c r="I268" s="5"/>
      <c r="J268" s="5"/>
      <c r="K268" s="42"/>
      <c r="L268" s="41"/>
      <c r="M268" s="5"/>
      <c r="N268" s="26"/>
      <c r="O268" s="35"/>
    </row>
    <row r="269" spans="2:15" ht="12.75" customHeight="1">
      <c r="B269" s="110" t="s">
        <v>161</v>
      </c>
      <c r="C269" s="110"/>
      <c r="D269" s="110"/>
      <c r="E269" s="110"/>
      <c r="F269" s="110">
        <f>3*0.7*0.6</f>
        <v>1.2599999999999998</v>
      </c>
      <c r="G269" s="110" t="s">
        <v>20</v>
      </c>
      <c r="H269" s="106"/>
      <c r="I269" s="5"/>
      <c r="J269" s="5"/>
      <c r="K269" s="42"/>
      <c r="L269" s="41"/>
      <c r="M269" s="5"/>
      <c r="N269" s="26"/>
      <c r="O269" s="35"/>
    </row>
    <row r="270" spans="2:15" ht="12.75" customHeight="1" thickBot="1">
      <c r="B270" s="110"/>
      <c r="C270" s="110"/>
      <c r="D270" s="110"/>
      <c r="E270" s="110"/>
      <c r="F270" s="110"/>
      <c r="G270" s="110"/>
      <c r="H270" s="106"/>
      <c r="I270" s="5"/>
      <c r="J270" s="5"/>
      <c r="K270" s="42"/>
      <c r="L270" s="41"/>
      <c r="M270" s="5"/>
      <c r="N270" s="26"/>
      <c r="O270" s="35"/>
    </row>
    <row r="271" spans="2:15" ht="12.75" customHeight="1" thickBot="1">
      <c r="B271" s="124" t="s">
        <v>167</v>
      </c>
      <c r="C271" s="125"/>
      <c r="D271" s="125"/>
      <c r="E271" s="125"/>
      <c r="F271" s="127">
        <f>SUM(F219:F270)</f>
        <v>467.36999999999995</v>
      </c>
      <c r="G271" s="126" t="s">
        <v>20</v>
      </c>
      <c r="H271" s="106"/>
      <c r="I271" s="5"/>
      <c r="J271" s="5"/>
      <c r="K271" s="42"/>
      <c r="L271" s="41"/>
      <c r="M271" s="5"/>
      <c r="N271" s="26"/>
      <c r="O271" s="35"/>
    </row>
    <row r="272" spans="2:15" ht="12.75" customHeight="1">
      <c r="B272" s="110"/>
      <c r="C272" s="110"/>
      <c r="D272" s="110"/>
      <c r="E272" s="110"/>
      <c r="F272" s="110"/>
      <c r="G272" s="110"/>
      <c r="H272" s="106"/>
      <c r="I272" s="5"/>
      <c r="J272" s="5"/>
      <c r="K272" s="42"/>
      <c r="L272" s="41"/>
      <c r="M272" s="5"/>
      <c r="N272" s="26"/>
      <c r="O272" s="35"/>
    </row>
    <row r="273" spans="2:15" ht="12.75" customHeight="1">
      <c r="B273" s="116" t="s">
        <v>146</v>
      </c>
      <c r="C273" s="117" t="s">
        <v>166</v>
      </c>
      <c r="D273" s="31"/>
      <c r="E273" s="112"/>
      <c r="F273" s="111"/>
      <c r="G273" s="111"/>
      <c r="H273" s="108"/>
      <c r="I273" s="5"/>
      <c r="J273" s="5"/>
      <c r="K273" s="42"/>
      <c r="L273" s="41"/>
      <c r="M273" s="5"/>
      <c r="N273" s="26"/>
      <c r="O273" s="35"/>
    </row>
    <row r="274" spans="2:15" ht="12.75" customHeight="1">
      <c r="B274" s="93" t="s">
        <v>156</v>
      </c>
      <c r="C274" s="110"/>
      <c r="D274" s="111"/>
      <c r="E274" s="112"/>
      <c r="F274" s="111"/>
      <c r="G274" s="111"/>
      <c r="H274" s="108"/>
      <c r="I274" s="5"/>
      <c r="J274" s="5"/>
      <c r="K274" s="42"/>
      <c r="L274" s="41"/>
      <c r="M274" s="5"/>
      <c r="N274" s="26"/>
      <c r="O274" s="35"/>
    </row>
    <row r="275" spans="2:15" ht="12.75" customHeight="1">
      <c r="B275" s="110" t="s">
        <v>147</v>
      </c>
      <c r="C275" s="111">
        <v>4.5999999999999996</v>
      </c>
      <c r="D275" s="112"/>
      <c r="E275" s="111"/>
      <c r="F275" s="111"/>
      <c r="G275" s="111"/>
      <c r="H275" s="108"/>
      <c r="I275" s="5"/>
      <c r="J275" s="5"/>
      <c r="K275" s="42"/>
      <c r="L275" s="41"/>
      <c r="M275" s="5"/>
      <c r="N275" s="26"/>
      <c r="O275" s="35"/>
    </row>
    <row r="276" spans="2:15" ht="12.75" customHeight="1">
      <c r="B276" s="113" t="s">
        <v>148</v>
      </c>
      <c r="C276" s="114">
        <v>10.3</v>
      </c>
      <c r="D276" s="115"/>
      <c r="E276" s="114"/>
      <c r="F276" s="114"/>
      <c r="G276" s="111"/>
      <c r="H276" s="108"/>
      <c r="I276" s="5"/>
      <c r="J276" s="5"/>
      <c r="K276" s="42"/>
      <c r="L276" s="41"/>
      <c r="M276" s="5"/>
      <c r="N276" s="26"/>
      <c r="O276" s="35"/>
    </row>
    <row r="277" spans="2:15" ht="12.75" customHeight="1">
      <c r="B277" s="110" t="s">
        <v>119</v>
      </c>
      <c r="C277" s="111"/>
      <c r="D277" s="112"/>
      <c r="E277" s="12"/>
      <c r="F277" s="111">
        <f>C275*C276</f>
        <v>47.38</v>
      </c>
      <c r="G277" s="111" t="s">
        <v>20</v>
      </c>
      <c r="H277" s="108"/>
      <c r="I277" s="5"/>
      <c r="J277" s="5"/>
      <c r="K277" s="42"/>
      <c r="L277" s="41"/>
      <c r="M277" s="5"/>
      <c r="N277" s="26"/>
      <c r="O277" s="35"/>
    </row>
    <row r="278" spans="2:15" ht="12.75" customHeight="1">
      <c r="B278" s="110"/>
      <c r="C278" s="111"/>
      <c r="D278" s="112"/>
      <c r="E278" s="12"/>
      <c r="F278" s="111"/>
      <c r="G278" s="111"/>
      <c r="H278" s="108"/>
      <c r="I278" s="5"/>
      <c r="J278" s="5"/>
      <c r="K278" s="42"/>
      <c r="L278" s="41"/>
      <c r="M278" s="5"/>
      <c r="N278" s="26"/>
      <c r="O278" s="35"/>
    </row>
    <row r="279" spans="2:15" ht="12.75" customHeight="1">
      <c r="B279" s="93" t="s">
        <v>168</v>
      </c>
      <c r="C279" s="110"/>
      <c r="D279" s="111"/>
      <c r="E279" s="12"/>
      <c r="F279" s="112"/>
      <c r="G279" s="111"/>
      <c r="H279" s="108"/>
      <c r="I279" s="5"/>
      <c r="J279" s="5"/>
      <c r="K279" s="42"/>
      <c r="L279" s="41"/>
      <c r="M279" s="5"/>
      <c r="N279" s="26"/>
      <c r="O279" s="35"/>
    </row>
    <row r="280" spans="2:15" ht="12.75" customHeight="1">
      <c r="B280" s="110" t="s">
        <v>147</v>
      </c>
      <c r="C280" s="111">
        <v>2.5</v>
      </c>
      <c r="D280" s="112"/>
      <c r="E280" s="111"/>
      <c r="F280" s="111"/>
      <c r="G280" s="111"/>
      <c r="H280" s="108"/>
      <c r="I280" s="5"/>
      <c r="J280" s="5"/>
      <c r="K280" s="42"/>
      <c r="L280" s="41"/>
      <c r="M280" s="5"/>
      <c r="N280" s="26"/>
      <c r="O280" s="35"/>
    </row>
    <row r="281" spans="2:15" ht="12.75" customHeight="1">
      <c r="B281" s="113" t="s">
        <v>148</v>
      </c>
      <c r="C281" s="114">
        <v>30</v>
      </c>
      <c r="D281" s="115"/>
      <c r="E281" s="114"/>
      <c r="F281" s="114"/>
      <c r="G281" s="111"/>
      <c r="H281" s="108"/>
      <c r="I281" s="5"/>
      <c r="J281" s="5"/>
      <c r="K281" s="42"/>
      <c r="L281" s="41"/>
      <c r="M281" s="5"/>
      <c r="N281" s="26"/>
      <c r="O281" s="35"/>
    </row>
    <row r="282" spans="2:15" ht="12.75" customHeight="1">
      <c r="B282" s="110" t="s">
        <v>119</v>
      </c>
      <c r="C282" s="111"/>
      <c r="D282" s="112"/>
      <c r="E282" s="12"/>
      <c r="F282" s="111">
        <f>C280*C281</f>
        <v>75</v>
      </c>
      <c r="G282" s="111" t="s">
        <v>20</v>
      </c>
      <c r="H282" s="108"/>
      <c r="I282" s="5"/>
      <c r="J282" s="5"/>
      <c r="K282" s="42"/>
      <c r="L282" s="41"/>
      <c r="M282" s="5"/>
      <c r="N282" s="26"/>
      <c r="O282" s="35"/>
    </row>
    <row r="283" spans="2:15" ht="12.75" customHeight="1">
      <c r="B283" s="93" t="s">
        <v>169</v>
      </c>
      <c r="C283" s="110"/>
      <c r="D283" s="111"/>
      <c r="E283" s="12"/>
      <c r="F283" s="112"/>
      <c r="G283" s="111"/>
      <c r="H283" s="108"/>
      <c r="I283" s="5"/>
      <c r="J283" s="5"/>
      <c r="K283" s="42"/>
      <c r="L283" s="41"/>
      <c r="M283" s="5"/>
      <c r="N283" s="26"/>
      <c r="O283" s="35"/>
    </row>
    <row r="284" spans="2:15" ht="12.75" customHeight="1">
      <c r="B284" s="110" t="s">
        <v>147</v>
      </c>
      <c r="C284" s="111">
        <v>3.6</v>
      </c>
      <c r="D284" s="112"/>
      <c r="E284" s="111"/>
      <c r="F284" s="111"/>
      <c r="G284" s="111"/>
      <c r="H284" s="108"/>
      <c r="I284" s="5"/>
      <c r="J284" s="5"/>
      <c r="K284" s="42"/>
      <c r="L284" s="41"/>
      <c r="M284" s="5"/>
      <c r="N284" s="26"/>
      <c r="O284" s="35"/>
    </row>
    <row r="285" spans="2:15" ht="12.75" customHeight="1">
      <c r="B285" s="113" t="s">
        <v>148</v>
      </c>
      <c r="C285" s="114">
        <v>12.6</v>
      </c>
      <c r="D285" s="115"/>
      <c r="E285" s="114"/>
      <c r="F285" s="114"/>
      <c r="G285" s="111"/>
      <c r="H285" s="108"/>
      <c r="I285" s="5"/>
      <c r="J285" s="5"/>
      <c r="K285" s="42"/>
      <c r="L285" s="41"/>
      <c r="M285" s="5"/>
      <c r="N285" s="26"/>
      <c r="O285" s="35"/>
    </row>
    <row r="286" spans="2:15" ht="12.75" customHeight="1">
      <c r="B286" s="110" t="s">
        <v>119</v>
      </c>
      <c r="C286" s="111"/>
      <c r="D286" s="112"/>
      <c r="E286" s="12"/>
      <c r="F286" s="111">
        <f>C284*C285</f>
        <v>45.36</v>
      </c>
      <c r="G286" s="111" t="s">
        <v>20</v>
      </c>
      <c r="H286" s="108"/>
      <c r="I286" s="5"/>
      <c r="J286" s="5"/>
      <c r="K286" s="42"/>
      <c r="L286" s="41"/>
      <c r="M286" s="5"/>
      <c r="N286" s="26"/>
      <c r="O286" s="35"/>
    </row>
    <row r="287" spans="2:15" ht="12.75" customHeight="1">
      <c r="B287" s="93"/>
      <c r="C287" s="110"/>
      <c r="D287" s="111"/>
      <c r="E287" s="12"/>
      <c r="F287" s="112"/>
      <c r="G287" s="111"/>
      <c r="H287" s="108"/>
      <c r="I287" s="5"/>
      <c r="J287" s="5"/>
      <c r="K287" s="42"/>
      <c r="L287" s="41"/>
      <c r="M287" s="5"/>
      <c r="N287" s="26"/>
      <c r="O287" s="35"/>
    </row>
    <row r="288" spans="2:15" ht="12.75" customHeight="1">
      <c r="B288" s="93" t="s">
        <v>170</v>
      </c>
      <c r="C288" s="110"/>
      <c r="D288" s="111"/>
      <c r="E288" s="12"/>
      <c r="F288" s="112"/>
      <c r="G288" s="111"/>
      <c r="H288" s="108"/>
      <c r="I288" s="5"/>
      <c r="J288" s="5"/>
      <c r="K288" s="42"/>
      <c r="L288" s="41"/>
      <c r="M288" s="5"/>
      <c r="N288" s="26"/>
      <c r="O288" s="35"/>
    </row>
    <row r="289" spans="2:15" ht="12.75" customHeight="1">
      <c r="B289" s="110" t="s">
        <v>147</v>
      </c>
      <c r="C289" s="111">
        <v>4.7</v>
      </c>
      <c r="D289" s="112"/>
      <c r="E289" s="111"/>
      <c r="F289" s="111"/>
      <c r="G289" s="111"/>
      <c r="H289" s="108"/>
      <c r="I289" s="5"/>
      <c r="J289" s="5"/>
      <c r="K289" s="42"/>
      <c r="L289" s="41"/>
      <c r="M289" s="5"/>
      <c r="N289" s="26"/>
      <c r="O289" s="35"/>
    </row>
    <row r="290" spans="2:15" ht="12.75" customHeight="1">
      <c r="B290" s="113" t="s">
        <v>148</v>
      </c>
      <c r="C290" s="114">
        <v>1</v>
      </c>
      <c r="D290" s="115"/>
      <c r="E290" s="114"/>
      <c r="F290" s="114"/>
      <c r="G290" s="111"/>
      <c r="H290" s="108"/>
      <c r="I290" s="5"/>
      <c r="J290" s="5"/>
      <c r="K290" s="42"/>
      <c r="L290" s="41"/>
      <c r="M290" s="5"/>
      <c r="N290" s="26"/>
      <c r="O290" s="35"/>
    </row>
    <row r="291" spans="2:15" ht="12.75" customHeight="1">
      <c r="B291" s="110" t="s">
        <v>119</v>
      </c>
      <c r="C291" s="111"/>
      <c r="D291" s="112"/>
      <c r="E291" s="12"/>
      <c r="F291" s="111">
        <f>C289*C290</f>
        <v>4.7</v>
      </c>
      <c r="G291" s="111" t="s">
        <v>20</v>
      </c>
      <c r="H291" s="108"/>
      <c r="I291" s="5"/>
      <c r="J291" s="5"/>
      <c r="K291" s="42"/>
      <c r="L291" s="41"/>
      <c r="M291" s="5"/>
      <c r="N291" s="26"/>
      <c r="O291" s="35"/>
    </row>
    <row r="292" spans="2:15" ht="12.75" customHeight="1">
      <c r="B292" s="93"/>
      <c r="C292" s="110"/>
      <c r="D292" s="111"/>
      <c r="E292" s="12"/>
      <c r="F292" s="112"/>
      <c r="G292" s="111"/>
      <c r="H292" s="108"/>
      <c r="I292" s="5"/>
      <c r="J292" s="5"/>
      <c r="K292" s="42"/>
      <c r="L292" s="41"/>
      <c r="M292" s="5"/>
      <c r="N292" s="26"/>
      <c r="O292" s="35"/>
    </row>
    <row r="293" spans="2:15" ht="12.75" customHeight="1">
      <c r="B293" s="93" t="s">
        <v>121</v>
      </c>
      <c r="C293" s="110"/>
      <c r="D293" s="111"/>
      <c r="E293" s="12"/>
      <c r="F293" s="112"/>
      <c r="G293" s="111"/>
      <c r="H293" s="108"/>
      <c r="I293" s="5"/>
      <c r="J293" s="5"/>
      <c r="K293" s="42"/>
      <c r="L293" s="41"/>
      <c r="M293" s="5"/>
      <c r="N293" s="26"/>
      <c r="O293" s="35"/>
    </row>
    <row r="294" spans="2:15" ht="12.75" customHeight="1">
      <c r="B294" s="110" t="s">
        <v>147</v>
      </c>
      <c r="C294" s="111">
        <v>5.0999999999999996</v>
      </c>
      <c r="D294" s="112"/>
      <c r="E294" s="111"/>
      <c r="F294" s="111"/>
      <c r="G294" s="111"/>
      <c r="H294" s="108"/>
      <c r="I294" s="5"/>
      <c r="J294" s="5"/>
      <c r="K294" s="42"/>
      <c r="L294" s="41"/>
      <c r="M294" s="5"/>
      <c r="N294" s="26"/>
      <c r="O294" s="35"/>
    </row>
    <row r="295" spans="2:15" ht="12.75" customHeight="1">
      <c r="B295" s="113" t="s">
        <v>148</v>
      </c>
      <c r="C295" s="114">
        <v>4</v>
      </c>
      <c r="D295" s="115"/>
      <c r="E295" s="114"/>
      <c r="F295" s="114"/>
      <c r="G295" s="111"/>
      <c r="H295" s="108"/>
      <c r="I295" s="5"/>
      <c r="J295" s="5"/>
      <c r="L295" s="41"/>
      <c r="M295" s="5"/>
      <c r="N295" s="26"/>
      <c r="O295" s="35"/>
    </row>
    <row r="296" spans="2:15" ht="12.75" customHeight="1">
      <c r="B296" s="110" t="s">
        <v>119</v>
      </c>
      <c r="C296" s="111"/>
      <c r="D296" s="112"/>
      <c r="E296" s="12"/>
      <c r="F296" s="111">
        <f>C294*C295</f>
        <v>20.399999999999999</v>
      </c>
      <c r="G296" s="111" t="s">
        <v>20</v>
      </c>
      <c r="H296" s="108"/>
      <c r="I296" s="5"/>
      <c r="J296" s="5"/>
      <c r="K296" s="42"/>
      <c r="L296" s="41"/>
      <c r="M296" s="5"/>
      <c r="N296" s="26"/>
      <c r="O296" s="35"/>
    </row>
    <row r="297" spans="2:15" ht="12.75" customHeight="1">
      <c r="B297" s="93"/>
      <c r="C297" s="110"/>
      <c r="D297" s="111"/>
      <c r="E297" s="12"/>
      <c r="F297" s="112"/>
      <c r="G297" s="111"/>
      <c r="H297" s="108"/>
      <c r="I297" s="5"/>
      <c r="J297" s="5"/>
      <c r="K297" s="42"/>
      <c r="L297" s="41"/>
      <c r="M297" s="5"/>
      <c r="N297" s="26"/>
      <c r="O297" s="35"/>
    </row>
    <row r="298" spans="2:15" ht="12.75" customHeight="1">
      <c r="B298" s="93" t="s">
        <v>172</v>
      </c>
      <c r="C298" s="110"/>
      <c r="D298" s="111"/>
      <c r="E298" s="12"/>
      <c r="F298" s="112"/>
      <c r="G298" s="111"/>
      <c r="H298" s="108"/>
      <c r="I298" s="5"/>
      <c r="J298" s="5"/>
      <c r="K298" s="42"/>
      <c r="L298" s="41"/>
      <c r="M298" s="5"/>
      <c r="N298" s="26"/>
      <c r="O298" s="35"/>
    </row>
    <row r="299" spans="2:15" ht="12.75" customHeight="1">
      <c r="B299" s="110" t="s">
        <v>147</v>
      </c>
      <c r="C299" s="111">
        <v>4.7</v>
      </c>
      <c r="D299" s="112"/>
      <c r="E299" s="111"/>
      <c r="F299" s="111"/>
      <c r="G299" s="111"/>
      <c r="H299" s="108"/>
      <c r="I299" s="5"/>
      <c r="J299" s="5"/>
      <c r="K299" s="42"/>
      <c r="L299" s="41"/>
      <c r="M299" s="5"/>
      <c r="N299" s="26"/>
      <c r="O299" s="35"/>
    </row>
    <row r="300" spans="2:15" ht="12.75" customHeight="1">
      <c r="B300" s="113" t="s">
        <v>148</v>
      </c>
      <c r="C300" s="114">
        <v>30</v>
      </c>
      <c r="D300" s="115"/>
      <c r="E300" s="114"/>
      <c r="F300" s="114"/>
      <c r="G300" s="111"/>
      <c r="H300" s="108"/>
      <c r="I300" s="5"/>
      <c r="J300" s="5"/>
      <c r="K300" s="42"/>
      <c r="L300" s="41"/>
      <c r="M300" s="5"/>
      <c r="N300" s="26"/>
      <c r="O300" s="35"/>
    </row>
    <row r="301" spans="2:15" ht="12.75" customHeight="1">
      <c r="B301" s="110" t="s">
        <v>119</v>
      </c>
      <c r="C301" s="111"/>
      <c r="D301" s="112"/>
      <c r="E301" s="12"/>
      <c r="F301" s="111">
        <f>C299*C300</f>
        <v>141</v>
      </c>
      <c r="G301" s="111" t="s">
        <v>20</v>
      </c>
      <c r="H301" s="108"/>
      <c r="I301" s="5"/>
      <c r="J301" s="5"/>
      <c r="K301" s="42"/>
      <c r="L301" s="41"/>
      <c r="M301" s="106"/>
      <c r="N301" s="26"/>
      <c r="O301" s="35"/>
    </row>
    <row r="302" spans="2:15" ht="12.75" customHeight="1">
      <c r="B302" s="93"/>
      <c r="C302" s="110"/>
      <c r="D302" s="111"/>
      <c r="E302" s="12"/>
      <c r="F302" s="112"/>
      <c r="G302" s="111"/>
      <c r="H302" s="108"/>
      <c r="I302" s="5"/>
      <c r="J302" s="5"/>
      <c r="K302" s="42"/>
      <c r="L302" s="41"/>
      <c r="M302" s="5"/>
      <c r="N302" s="26"/>
      <c r="O302" s="35"/>
    </row>
    <row r="303" spans="2:15" ht="12.75" customHeight="1">
      <c r="B303" s="93" t="s">
        <v>173</v>
      </c>
      <c r="C303" s="110"/>
      <c r="D303" s="111"/>
      <c r="E303" s="12"/>
      <c r="F303" s="112"/>
      <c r="G303" s="111"/>
      <c r="H303" s="108"/>
      <c r="I303" s="5"/>
      <c r="J303" s="5"/>
      <c r="K303" s="42"/>
      <c r="L303" s="41"/>
      <c r="M303" s="5"/>
      <c r="N303" s="26"/>
      <c r="O303" s="35"/>
    </row>
    <row r="304" spans="2:15" ht="12.75" customHeight="1">
      <c r="B304" s="110" t="s">
        <v>147</v>
      </c>
      <c r="C304" s="111">
        <v>2.1</v>
      </c>
      <c r="D304" s="112"/>
      <c r="E304" s="111"/>
      <c r="F304" s="111"/>
      <c r="G304" s="111"/>
      <c r="H304" s="108"/>
      <c r="I304" s="5"/>
      <c r="J304" s="5"/>
      <c r="K304" s="42"/>
      <c r="L304" s="41"/>
      <c r="M304" s="5"/>
      <c r="N304" s="26"/>
      <c r="O304" s="35"/>
    </row>
    <row r="305" spans="2:15" ht="12.75" customHeight="1">
      <c r="B305" s="113" t="s">
        <v>148</v>
      </c>
      <c r="C305" s="114">
        <v>1</v>
      </c>
      <c r="D305" s="115"/>
      <c r="E305" s="114"/>
      <c r="F305" s="114"/>
      <c r="G305" s="111"/>
      <c r="H305" s="108"/>
      <c r="I305" s="5"/>
      <c r="J305" s="5"/>
      <c r="K305" s="42"/>
      <c r="L305" s="41"/>
      <c r="M305" s="5"/>
      <c r="N305" s="26"/>
      <c r="O305" s="35"/>
    </row>
    <row r="306" spans="2:15" ht="12.75" customHeight="1">
      <c r="B306" s="110" t="s">
        <v>119</v>
      </c>
      <c r="C306" s="111"/>
      <c r="D306" s="112"/>
      <c r="E306" s="12"/>
      <c r="F306" s="111">
        <f>C304*C305</f>
        <v>2.1</v>
      </c>
      <c r="G306" s="111" t="s">
        <v>20</v>
      </c>
      <c r="H306" s="108"/>
      <c r="I306" s="5"/>
      <c r="J306" s="5"/>
      <c r="K306" s="42"/>
      <c r="L306" s="41"/>
      <c r="M306" s="5"/>
      <c r="N306" s="26"/>
      <c r="O306" s="35"/>
    </row>
    <row r="307" spans="2:15" ht="12.75" customHeight="1">
      <c r="B307" s="93"/>
      <c r="C307" s="110"/>
      <c r="D307" s="111"/>
      <c r="E307" s="12"/>
      <c r="F307" s="112"/>
      <c r="G307" s="111"/>
      <c r="H307" s="108"/>
      <c r="I307" s="5"/>
      <c r="J307" s="5"/>
      <c r="K307" s="42"/>
      <c r="L307" s="41"/>
      <c r="M307" s="5"/>
      <c r="N307" s="26"/>
      <c r="O307" s="35"/>
    </row>
    <row r="308" spans="2:15" ht="12.75" customHeight="1">
      <c r="B308" s="93" t="s">
        <v>174</v>
      </c>
      <c r="C308" s="110"/>
      <c r="D308" s="111"/>
      <c r="E308" s="12"/>
      <c r="F308" s="112"/>
      <c r="G308" s="111"/>
      <c r="H308" s="108"/>
      <c r="I308" s="5"/>
      <c r="J308" s="5"/>
      <c r="K308" s="42"/>
      <c r="L308" s="41"/>
      <c r="M308" s="5"/>
      <c r="N308" s="26"/>
      <c r="O308" s="35"/>
    </row>
    <row r="309" spans="2:15" ht="12.75" customHeight="1">
      <c r="B309" s="110" t="s">
        <v>147</v>
      </c>
      <c r="C309" s="111">
        <v>2.8</v>
      </c>
      <c r="D309" s="112"/>
      <c r="E309" s="111"/>
      <c r="F309" s="111"/>
      <c r="G309" s="111"/>
      <c r="H309" s="108"/>
      <c r="I309" s="5"/>
      <c r="J309" s="5"/>
      <c r="K309" s="42"/>
      <c r="L309" s="41"/>
      <c r="M309" s="5"/>
      <c r="N309" s="26"/>
      <c r="O309" s="35"/>
    </row>
    <row r="310" spans="2:15" ht="12.75" customHeight="1">
      <c r="B310" s="113" t="s">
        <v>148</v>
      </c>
      <c r="C310" s="114">
        <v>1</v>
      </c>
      <c r="D310" s="115"/>
      <c r="E310" s="114"/>
      <c r="F310" s="114"/>
      <c r="G310" s="111"/>
      <c r="H310" s="108"/>
      <c r="I310" s="5"/>
      <c r="J310" s="5"/>
      <c r="K310" s="42"/>
      <c r="L310" s="41"/>
      <c r="M310" s="5"/>
      <c r="N310" s="26"/>
      <c r="O310" s="35"/>
    </row>
    <row r="311" spans="2:15" ht="12.75" customHeight="1">
      <c r="B311" s="110" t="s">
        <v>119</v>
      </c>
      <c r="C311" s="111"/>
      <c r="D311" s="112"/>
      <c r="E311" s="29"/>
      <c r="F311" s="111">
        <f>C309*C310</f>
        <v>2.8</v>
      </c>
      <c r="G311" s="111" t="s">
        <v>20</v>
      </c>
      <c r="H311" s="108"/>
      <c r="I311" s="5"/>
      <c r="J311" s="5"/>
      <c r="K311" s="42"/>
      <c r="L311" s="41"/>
      <c r="M311" s="5"/>
      <c r="N311" s="26"/>
      <c r="O311" s="35"/>
    </row>
    <row r="312" spans="2:15" ht="12.75" customHeight="1">
      <c r="B312" s="110"/>
      <c r="C312" s="111"/>
      <c r="D312" s="112"/>
      <c r="E312" s="111"/>
      <c r="F312" s="111"/>
      <c r="G312" s="111"/>
      <c r="H312" s="108"/>
      <c r="I312" s="5"/>
      <c r="J312" s="5"/>
      <c r="K312" s="42"/>
      <c r="L312" s="41"/>
      <c r="M312" s="5"/>
      <c r="N312" s="26"/>
      <c r="O312" s="35"/>
    </row>
    <row r="313" spans="2:15" ht="12.75" customHeight="1">
      <c r="B313" s="110" t="s">
        <v>176</v>
      </c>
      <c r="C313" s="111"/>
      <c r="D313" s="112"/>
      <c r="E313" s="111"/>
      <c r="F313" s="111"/>
      <c r="G313" s="111"/>
      <c r="H313" s="108"/>
      <c r="I313" s="5"/>
      <c r="J313" s="5"/>
      <c r="K313" s="42"/>
      <c r="L313" s="41"/>
      <c r="M313" s="5"/>
      <c r="N313" s="26"/>
      <c r="O313" s="35"/>
    </row>
    <row r="314" spans="2:15" ht="12.75" customHeight="1">
      <c r="B314" s="110" t="s">
        <v>147</v>
      </c>
      <c r="C314" s="111">
        <v>3.6</v>
      </c>
      <c r="D314" s="112"/>
      <c r="E314" s="111"/>
      <c r="F314" s="111"/>
      <c r="G314" s="111"/>
      <c r="H314" s="108"/>
      <c r="I314" s="5"/>
      <c r="J314" s="5"/>
      <c r="K314" s="42"/>
      <c r="L314" s="41"/>
      <c r="M314" s="5"/>
      <c r="N314" s="26"/>
      <c r="O314" s="35"/>
    </row>
    <row r="315" spans="2:15" ht="12.75" customHeight="1">
      <c r="B315" s="113" t="s">
        <v>148</v>
      </c>
      <c r="C315" s="114">
        <v>10.7</v>
      </c>
      <c r="D315" s="115"/>
      <c r="E315" s="114"/>
      <c r="F315" s="114"/>
      <c r="G315" s="111"/>
      <c r="H315" s="108"/>
      <c r="I315" s="5"/>
      <c r="J315" s="5"/>
      <c r="K315" s="42"/>
      <c r="L315" s="41"/>
      <c r="M315" s="5"/>
      <c r="N315" s="26"/>
      <c r="O315" s="35"/>
    </row>
    <row r="316" spans="2:15" ht="12.75" customHeight="1">
      <c r="B316" s="110" t="s">
        <v>119</v>
      </c>
      <c r="C316" s="111"/>
      <c r="D316" s="112"/>
      <c r="E316" s="29"/>
      <c r="F316" s="111">
        <f>C314*C315</f>
        <v>38.519999999999996</v>
      </c>
      <c r="G316" s="111" t="s">
        <v>20</v>
      </c>
      <c r="H316" s="108"/>
      <c r="I316" s="5"/>
      <c r="J316" s="5"/>
      <c r="K316" s="42"/>
      <c r="L316" s="41"/>
      <c r="M316" s="5"/>
      <c r="N316" s="26"/>
      <c r="O316" s="35"/>
    </row>
    <row r="317" spans="2:15" ht="12.75" customHeight="1">
      <c r="B317" s="110"/>
      <c r="C317" s="111"/>
      <c r="D317" s="112"/>
      <c r="E317" s="29"/>
      <c r="F317" s="111"/>
      <c r="G317" s="111"/>
      <c r="H317" s="108"/>
      <c r="I317" s="5"/>
      <c r="J317" s="5"/>
      <c r="K317" s="42"/>
      <c r="L317" s="41"/>
      <c r="M317" s="5"/>
      <c r="N317" s="26"/>
      <c r="O317" s="35"/>
    </row>
    <row r="318" spans="2:15" ht="12.75" customHeight="1">
      <c r="B318" s="110" t="s">
        <v>177</v>
      </c>
      <c r="C318" s="111"/>
      <c r="D318" s="112"/>
      <c r="E318" s="29"/>
      <c r="F318" s="111"/>
      <c r="G318" s="111"/>
      <c r="H318" s="108"/>
      <c r="I318" s="5"/>
      <c r="J318" s="5"/>
      <c r="K318" s="42"/>
      <c r="L318" s="41"/>
      <c r="M318" s="5"/>
      <c r="N318" s="26"/>
      <c r="O318" s="35"/>
    </row>
    <row r="319" spans="2:15" ht="12.75" customHeight="1">
      <c r="B319" s="110" t="s">
        <v>147</v>
      </c>
      <c r="C319" s="111">
        <v>3.2</v>
      </c>
      <c r="D319" s="112"/>
      <c r="E319" s="111"/>
      <c r="F319" s="111"/>
      <c r="G319" s="111"/>
      <c r="H319" s="108"/>
      <c r="I319" s="5"/>
      <c r="J319" s="5"/>
      <c r="K319" s="42"/>
      <c r="L319" s="41"/>
      <c r="M319" s="5"/>
      <c r="N319" s="26"/>
      <c r="O319" s="35"/>
    </row>
    <row r="320" spans="2:15" ht="12.75" customHeight="1">
      <c r="B320" s="113" t="s">
        <v>148</v>
      </c>
      <c r="C320" s="114">
        <v>13.5</v>
      </c>
      <c r="D320" s="115"/>
      <c r="E320" s="114"/>
      <c r="F320" s="114"/>
      <c r="G320" s="111"/>
      <c r="H320" s="108"/>
      <c r="I320" s="5"/>
      <c r="J320" s="5"/>
      <c r="K320" s="42"/>
      <c r="L320" s="41"/>
      <c r="M320" s="5"/>
      <c r="N320" s="26"/>
      <c r="O320" s="35"/>
    </row>
    <row r="321" spans="2:15" ht="12.75" customHeight="1">
      <c r="B321" s="110" t="s">
        <v>119</v>
      </c>
      <c r="C321" s="111"/>
      <c r="D321" s="112"/>
      <c r="E321" s="29"/>
      <c r="F321" s="111">
        <f>C319*C320</f>
        <v>43.2</v>
      </c>
      <c r="G321" s="111" t="s">
        <v>20</v>
      </c>
      <c r="H321" s="108"/>
      <c r="I321" s="5"/>
      <c r="J321" s="5"/>
      <c r="K321" s="42"/>
      <c r="L321" s="41"/>
      <c r="M321" s="5"/>
      <c r="N321" s="26"/>
      <c r="O321" s="35"/>
    </row>
    <row r="322" spans="2:15" ht="12.75" customHeight="1" thickBot="1">
      <c r="B322" s="110"/>
      <c r="C322" s="111"/>
      <c r="D322" s="112"/>
      <c r="E322" s="29"/>
      <c r="F322" s="111"/>
      <c r="G322" s="111"/>
      <c r="H322" s="108"/>
      <c r="I322" s="5"/>
      <c r="J322" s="5"/>
      <c r="K322" s="42"/>
      <c r="L322" s="41"/>
      <c r="M322" s="5"/>
      <c r="N322" s="26"/>
      <c r="O322" s="35"/>
    </row>
    <row r="323" spans="2:15" ht="12.75" customHeight="1" thickBot="1">
      <c r="B323" s="118" t="s">
        <v>175</v>
      </c>
      <c r="C323" s="119"/>
      <c r="D323" s="120"/>
      <c r="E323" s="121"/>
      <c r="F323" s="122">
        <f>SUM(F277:F322)</f>
        <v>420.46000000000004</v>
      </c>
      <c r="G323" s="123" t="s">
        <v>20</v>
      </c>
      <c r="H323" s="108"/>
      <c r="I323" s="5"/>
      <c r="J323" s="5"/>
      <c r="K323" s="42"/>
      <c r="L323" s="41"/>
      <c r="M323" s="5"/>
      <c r="N323" s="26"/>
      <c r="O323" s="35"/>
    </row>
    <row r="324" spans="2:15" ht="12.75" customHeight="1">
      <c r="B324" s="1"/>
      <c r="H324" s="108"/>
      <c r="I324" s="5"/>
      <c r="J324" s="5"/>
      <c r="K324" s="42"/>
      <c r="L324" s="41"/>
      <c r="M324" s="5"/>
      <c r="N324" s="26"/>
      <c r="O324" s="35"/>
    </row>
    <row r="325" spans="2:15" ht="12.75" customHeight="1">
      <c r="B325" s="139" t="s">
        <v>162</v>
      </c>
      <c r="C325" s="117" t="s">
        <v>163</v>
      </c>
      <c r="D325" s="111"/>
      <c r="E325" s="12"/>
      <c r="F325" s="112"/>
      <c r="G325" s="12"/>
      <c r="H325" s="109"/>
      <c r="I325" s="5"/>
      <c r="J325" s="5"/>
      <c r="K325" s="42"/>
      <c r="L325" s="41"/>
      <c r="M325" s="5"/>
      <c r="N325" s="26"/>
      <c r="O325" s="35"/>
    </row>
    <row r="326" spans="2:15" ht="12.75" customHeight="1">
      <c r="B326" s="93" t="s">
        <v>164</v>
      </c>
      <c r="C326" s="110" t="s">
        <v>165</v>
      </c>
      <c r="D326" s="111"/>
      <c r="E326" s="12"/>
      <c r="F326" s="110">
        <f>1.7*2.5</f>
        <v>4.25</v>
      </c>
      <c r="G326" s="111" t="s">
        <v>20</v>
      </c>
      <c r="H326" s="109"/>
      <c r="I326" s="5"/>
      <c r="J326" s="5"/>
      <c r="K326" s="42"/>
      <c r="L326" s="41"/>
      <c r="M326" s="5"/>
      <c r="N326" s="26"/>
      <c r="O326" s="35"/>
    </row>
    <row r="327" spans="2:15" ht="12.75" customHeight="1">
      <c r="B327" s="93" t="s">
        <v>182</v>
      </c>
      <c r="C327" s="110"/>
      <c r="D327" s="111"/>
      <c r="E327" s="112"/>
      <c r="F327" s="111"/>
      <c r="G327" s="111"/>
      <c r="H327" s="109"/>
      <c r="I327" s="5"/>
      <c r="J327" s="5"/>
      <c r="K327" s="42"/>
      <c r="L327" s="41"/>
      <c r="M327" s="5"/>
      <c r="N327" s="26"/>
      <c r="O327" s="35"/>
    </row>
    <row r="328" spans="2:15" ht="12.75" customHeight="1">
      <c r="B328" s="93"/>
      <c r="C328" s="110"/>
      <c r="D328" s="111"/>
      <c r="E328" s="112"/>
      <c r="F328" s="111"/>
      <c r="G328" s="111"/>
      <c r="H328" s="109"/>
      <c r="I328" s="5"/>
      <c r="J328" s="5"/>
      <c r="K328" s="42"/>
      <c r="L328" s="41"/>
      <c r="M328" s="5"/>
      <c r="N328" s="26"/>
      <c r="O328" s="35"/>
    </row>
    <row r="329" spans="2:15" ht="12.75" customHeight="1">
      <c r="B329" s="147" t="s">
        <v>139</v>
      </c>
      <c r="C329" s="117" t="s">
        <v>137</v>
      </c>
      <c r="D329" s="31"/>
      <c r="E329" s="112"/>
      <c r="F329" s="111"/>
      <c r="G329" s="111"/>
      <c r="H329" s="109"/>
      <c r="I329" s="5"/>
      <c r="J329" s="5"/>
      <c r="K329" s="42"/>
      <c r="L329" s="41"/>
      <c r="M329" s="5"/>
      <c r="N329" s="26"/>
      <c r="O329" s="35"/>
    </row>
    <row r="330" spans="2:15" ht="12.75" customHeight="1">
      <c r="B330" s="93" t="s">
        <v>301</v>
      </c>
      <c r="C330" s="212" t="s">
        <v>302</v>
      </c>
      <c r="D330" s="137">
        <f>F271</f>
        <v>467.36999999999995</v>
      </c>
      <c r="E330" s="112" t="s">
        <v>20</v>
      </c>
      <c r="F330" s="111"/>
      <c r="G330" s="111"/>
      <c r="H330" s="109"/>
      <c r="I330" s="5"/>
      <c r="J330" s="5"/>
      <c r="K330" s="42"/>
      <c r="L330" s="41"/>
      <c r="M330" s="5"/>
      <c r="N330" s="26"/>
      <c r="O330" s="35"/>
    </row>
    <row r="331" spans="2:15" ht="12.75" customHeight="1">
      <c r="B331" s="94"/>
      <c r="C331" s="96"/>
      <c r="D331" s="138">
        <f>F323</f>
        <v>420.46000000000004</v>
      </c>
      <c r="E331" s="115" t="s">
        <v>20</v>
      </c>
      <c r="F331" s="114"/>
      <c r="G331" s="114"/>
      <c r="H331" s="109"/>
      <c r="I331" s="5"/>
      <c r="J331" s="5"/>
      <c r="K331" s="42"/>
      <c r="L331" s="41"/>
      <c r="M331" s="5"/>
      <c r="N331" s="26"/>
      <c r="O331" s="35"/>
    </row>
    <row r="332" spans="2:15" ht="12.75" customHeight="1">
      <c r="B332" s="93" t="s">
        <v>183</v>
      </c>
      <c r="C332" s="110"/>
      <c r="D332" s="111"/>
      <c r="E332" s="112"/>
      <c r="F332" s="111">
        <f>SUM(D330:D331)</f>
        <v>887.82999999999993</v>
      </c>
      <c r="G332" s="111" t="s">
        <v>20</v>
      </c>
      <c r="H332" s="109"/>
      <c r="I332" s="5"/>
      <c r="J332" s="5"/>
      <c r="K332" s="42"/>
      <c r="L332" s="41"/>
      <c r="M332" s="5"/>
      <c r="N332" s="26"/>
      <c r="O332" s="35"/>
    </row>
    <row r="333" spans="2:15" ht="12.75" customHeight="1">
      <c r="B333" s="93" t="s">
        <v>303</v>
      </c>
      <c r="C333" s="110" t="s">
        <v>320</v>
      </c>
      <c r="D333" s="111" t="s">
        <v>304</v>
      </c>
      <c r="E333" s="112"/>
      <c r="F333" s="213">
        <f>0.5*1.2*4.6</f>
        <v>2.76</v>
      </c>
      <c r="G333" s="111" t="s">
        <v>20</v>
      </c>
      <c r="H333" s="197"/>
      <c r="I333" s="5"/>
      <c r="J333" s="5"/>
      <c r="K333" s="42"/>
      <c r="L333" s="41"/>
      <c r="M333" s="5"/>
      <c r="N333" s="26"/>
      <c r="O333" s="35"/>
    </row>
    <row r="334" spans="2:15" ht="12.75" customHeight="1">
      <c r="B334" s="93"/>
      <c r="C334" s="110"/>
      <c r="D334" s="111"/>
      <c r="E334" s="112"/>
      <c r="F334" s="111"/>
      <c r="G334" s="111"/>
      <c r="H334" s="197"/>
      <c r="I334" s="5"/>
      <c r="J334" s="5"/>
      <c r="K334" s="42"/>
      <c r="L334" s="41"/>
      <c r="M334" s="5"/>
      <c r="N334" s="26"/>
      <c r="O334" s="35"/>
    </row>
    <row r="335" spans="2:15" ht="12.75" customHeight="1">
      <c r="B335" s="145" t="s">
        <v>140</v>
      </c>
      <c r="C335" s="143" t="s">
        <v>184</v>
      </c>
      <c r="D335" s="144"/>
      <c r="E335" s="142"/>
      <c r="F335" s="141"/>
      <c r="G335" s="142"/>
      <c r="I335" s="5"/>
      <c r="J335" s="5"/>
      <c r="K335" s="42"/>
      <c r="L335" s="41"/>
      <c r="M335" s="5"/>
      <c r="N335" s="26"/>
      <c r="O335" s="35"/>
    </row>
    <row r="336" spans="2:15" ht="12.75" customHeight="1">
      <c r="B336" s="146"/>
      <c r="C336" s="140" t="s">
        <v>190</v>
      </c>
      <c r="D336" s="141"/>
      <c r="E336" s="142"/>
      <c r="F336" s="12"/>
      <c r="G336" s="12"/>
      <c r="I336" s="5"/>
      <c r="J336" s="5"/>
      <c r="K336" s="42"/>
      <c r="L336" s="41"/>
      <c r="M336" s="5"/>
      <c r="N336" s="26"/>
      <c r="O336" s="35"/>
    </row>
    <row r="337" spans="2:15" ht="12.75" customHeight="1">
      <c r="B337" s="146"/>
      <c r="C337" s="150">
        <f>I213</f>
        <v>537.33249999999998</v>
      </c>
      <c r="D337" s="141">
        <v>120</v>
      </c>
      <c r="E337" s="142"/>
      <c r="F337" s="141">
        <f>I213*120</f>
        <v>64479.899999999994</v>
      </c>
      <c r="G337" s="141" t="s">
        <v>32</v>
      </c>
      <c r="I337" s="5"/>
      <c r="J337" s="5"/>
      <c r="K337" s="42"/>
      <c r="L337" s="41"/>
      <c r="M337" s="5"/>
      <c r="N337" s="26"/>
      <c r="O337" s="35"/>
    </row>
    <row r="338" spans="2:15" ht="12.75" customHeight="1">
      <c r="B338" s="146"/>
      <c r="C338" s="143" t="s">
        <v>185</v>
      </c>
      <c r="D338" s="144"/>
      <c r="E338" s="142"/>
      <c r="F338" s="141"/>
      <c r="G338" s="141"/>
      <c r="I338" s="5"/>
      <c r="J338" s="5"/>
      <c r="K338" s="42"/>
      <c r="L338" s="41"/>
      <c r="M338" s="5"/>
      <c r="N338" s="26"/>
      <c r="O338" s="35"/>
    </row>
    <row r="339" spans="2:15" ht="12.75" customHeight="1">
      <c r="B339" s="146" t="s">
        <v>186</v>
      </c>
      <c r="C339" s="148" t="s">
        <v>187</v>
      </c>
      <c r="D339" s="144"/>
      <c r="E339" s="142"/>
      <c r="F339" s="150">
        <f>F337*0.35</f>
        <v>22567.964999999997</v>
      </c>
      <c r="G339" s="141" t="s">
        <v>32</v>
      </c>
      <c r="I339" s="5"/>
      <c r="J339" s="5"/>
      <c r="K339" s="42"/>
      <c r="L339" s="41"/>
      <c r="M339" s="5"/>
      <c r="N339" s="26"/>
      <c r="O339" s="35"/>
    </row>
    <row r="340" spans="2:15" ht="12.75" customHeight="1">
      <c r="B340" s="146" t="s">
        <v>188</v>
      </c>
      <c r="C340" s="149" t="s">
        <v>189</v>
      </c>
      <c r="D340" s="141"/>
      <c r="E340" s="142"/>
      <c r="F340" s="150">
        <f>F337*0.65</f>
        <v>41911.934999999998</v>
      </c>
      <c r="G340" s="141" t="s">
        <v>32</v>
      </c>
      <c r="I340" s="5"/>
      <c r="J340" s="5"/>
      <c r="K340" s="42"/>
      <c r="L340" s="41"/>
      <c r="M340" s="5"/>
      <c r="N340" s="26"/>
      <c r="O340" s="35"/>
    </row>
    <row r="341" spans="2:15" ht="12.75" customHeight="1">
      <c r="K341" s="42"/>
      <c r="L341" s="41"/>
      <c r="M341" s="5"/>
      <c r="N341" s="26"/>
      <c r="O341" s="35"/>
    </row>
    <row r="342" spans="2:15" ht="12.75" customHeight="1">
      <c r="B342" s="145" t="s">
        <v>192</v>
      </c>
      <c r="C342" s="168" t="s">
        <v>345</v>
      </c>
      <c r="D342" s="144"/>
      <c r="E342" s="169"/>
      <c r="F342" s="156"/>
      <c r="G342" s="156"/>
      <c r="H342" s="155"/>
      <c r="K342" s="298"/>
      <c r="L342" s="41"/>
      <c r="M342" s="5"/>
      <c r="N342" s="26"/>
      <c r="O342" s="35"/>
    </row>
    <row r="343" spans="2:15" ht="12.75" customHeight="1">
      <c r="B343" s="146" t="s">
        <v>193</v>
      </c>
      <c r="C343" s="158" t="s">
        <v>208</v>
      </c>
      <c r="D343" s="144"/>
      <c r="E343" s="142"/>
      <c r="F343" s="141"/>
      <c r="G343" s="156"/>
      <c r="H343" s="155"/>
      <c r="K343" s="298"/>
      <c r="L343" s="41"/>
      <c r="M343" s="5"/>
      <c r="N343" s="26"/>
      <c r="O343" s="35"/>
    </row>
    <row r="344" spans="2:15" ht="12.75" customHeight="1">
      <c r="B344" s="154"/>
      <c r="C344" s="159" t="s">
        <v>194</v>
      </c>
      <c r="E344" s="562">
        <v>121.8</v>
      </c>
      <c r="F344" s="142" t="s">
        <v>195</v>
      </c>
      <c r="G344" s="141"/>
      <c r="H344" s="142"/>
      <c r="I344" s="12"/>
      <c r="K344" s="298"/>
      <c r="L344" s="41"/>
      <c r="M344" s="5"/>
      <c r="N344" s="26"/>
      <c r="O344" s="35"/>
    </row>
    <row r="345" spans="2:15" ht="12.75" customHeight="1">
      <c r="B345" s="154"/>
      <c r="C345" s="140" t="s">
        <v>203</v>
      </c>
      <c r="E345" s="141">
        <v>48</v>
      </c>
      <c r="F345" s="142" t="s">
        <v>6</v>
      </c>
      <c r="G345" s="140"/>
      <c r="H345" s="142"/>
      <c r="I345" s="12"/>
      <c r="K345" s="298"/>
      <c r="L345" s="41"/>
      <c r="M345" s="5"/>
      <c r="N345" s="26"/>
      <c r="O345" s="35"/>
    </row>
    <row r="346" spans="2:15" ht="12.75" customHeight="1">
      <c r="B346" s="154"/>
      <c r="C346" s="113" t="s">
        <v>204</v>
      </c>
      <c r="D346" s="96"/>
      <c r="E346" s="114">
        <v>4.7</v>
      </c>
      <c r="F346" s="115" t="s">
        <v>6</v>
      </c>
      <c r="G346" s="563" t="s">
        <v>347</v>
      </c>
      <c r="H346" s="142"/>
      <c r="I346" s="12"/>
      <c r="K346" s="298"/>
      <c r="L346" s="41"/>
      <c r="M346" s="5"/>
      <c r="N346" s="26"/>
      <c r="O346" s="35"/>
    </row>
    <row r="347" spans="2:15" ht="12.75" customHeight="1">
      <c r="B347" s="154"/>
      <c r="C347" s="140" t="s">
        <v>119</v>
      </c>
      <c r="D347" s="141"/>
      <c r="E347" s="142"/>
      <c r="F347" s="142">
        <f>E346*E345</f>
        <v>225.60000000000002</v>
      </c>
      <c r="G347" s="160" t="s">
        <v>20</v>
      </c>
      <c r="H347" s="142"/>
      <c r="K347" s="298"/>
      <c r="L347" s="41"/>
      <c r="M347" s="5"/>
      <c r="N347" s="26"/>
      <c r="O347" s="35"/>
    </row>
    <row r="348" spans="2:15" ht="12.75" customHeight="1">
      <c r="B348" s="154"/>
      <c r="C348" s="140" t="s">
        <v>194</v>
      </c>
      <c r="D348" s="141"/>
      <c r="E348" s="142"/>
      <c r="F348" s="161">
        <f>F347*E344</f>
        <v>27478.080000000002</v>
      </c>
      <c r="G348" s="160" t="s">
        <v>32</v>
      </c>
      <c r="H348" s="142"/>
      <c r="K348" s="430"/>
      <c r="L348" s="41"/>
      <c r="M348" s="5"/>
      <c r="N348" s="26"/>
      <c r="O348" s="35"/>
    </row>
    <row r="349" spans="2:15" ht="12.75" customHeight="1">
      <c r="B349" s="154"/>
      <c r="C349" s="140"/>
      <c r="D349" s="141"/>
      <c r="E349" s="142"/>
      <c r="F349" s="161"/>
      <c r="G349" s="160"/>
      <c r="H349" s="142"/>
      <c r="K349" s="430"/>
      <c r="L349" s="41"/>
      <c r="M349" s="5"/>
      <c r="N349" s="26"/>
      <c r="O349" s="35"/>
    </row>
    <row r="350" spans="2:15" ht="12.75" customHeight="1">
      <c r="B350" s="154"/>
      <c r="C350" s="140"/>
      <c r="D350" s="141"/>
      <c r="E350" s="142"/>
      <c r="F350" s="161"/>
      <c r="G350" s="160"/>
      <c r="H350" s="142"/>
      <c r="K350" s="430"/>
      <c r="L350" s="41"/>
      <c r="M350" s="5"/>
      <c r="N350" s="26"/>
      <c r="O350" s="35"/>
    </row>
    <row r="351" spans="2:15" ht="12.75" customHeight="1">
      <c r="B351" s="154"/>
      <c r="C351" s="140"/>
      <c r="D351" s="141"/>
      <c r="E351" s="142"/>
      <c r="F351" s="161"/>
      <c r="G351" s="160"/>
      <c r="H351" s="142"/>
      <c r="K351" s="430"/>
      <c r="L351" s="41"/>
      <c r="M351" s="5"/>
      <c r="N351" s="26"/>
      <c r="O351" s="35"/>
    </row>
    <row r="352" spans="2:15" ht="12.75" customHeight="1">
      <c r="B352" s="146" t="s">
        <v>196</v>
      </c>
      <c r="C352" s="158" t="s">
        <v>207</v>
      </c>
      <c r="D352" s="141"/>
      <c r="E352" s="169"/>
      <c r="F352" s="141">
        <f>F347</f>
        <v>225.60000000000002</v>
      </c>
      <c r="G352" s="141" t="s">
        <v>20</v>
      </c>
      <c r="H352" s="155"/>
      <c r="K352" s="298"/>
      <c r="L352" s="41"/>
      <c r="M352" s="5"/>
      <c r="N352" s="26"/>
      <c r="O352" s="35"/>
    </row>
    <row r="353" spans="2:15" ht="12.75" customHeight="1">
      <c r="B353" s="145"/>
      <c r="C353" s="143"/>
      <c r="D353" s="144"/>
      <c r="E353" s="169"/>
      <c r="F353" s="141"/>
      <c r="G353" s="141"/>
      <c r="H353" s="142"/>
      <c r="K353" s="430"/>
      <c r="L353" s="41"/>
      <c r="M353" s="5"/>
      <c r="N353" s="26"/>
      <c r="O353" s="35"/>
    </row>
    <row r="354" spans="2:15" ht="12.75" customHeight="1">
      <c r="B354" s="299" t="s">
        <v>197</v>
      </c>
      <c r="C354" s="229" t="s">
        <v>33</v>
      </c>
      <c r="D354" s="300"/>
      <c r="E354" s="301"/>
      <c r="F354" s="302"/>
      <c r="G354" s="303" t="s">
        <v>22</v>
      </c>
      <c r="H354" s="303" t="s">
        <v>194</v>
      </c>
      <c r="I354" s="229"/>
      <c r="J354" s="58"/>
      <c r="K354" s="298"/>
      <c r="L354" s="431"/>
      <c r="M354" s="5"/>
      <c r="N354" s="26"/>
      <c r="O354" s="35"/>
    </row>
    <row r="355" spans="2:15" ht="12.75" customHeight="1">
      <c r="B355" s="299"/>
      <c r="C355" s="229" t="s">
        <v>205</v>
      </c>
      <c r="D355" s="300"/>
      <c r="E355" s="301"/>
      <c r="F355" s="302"/>
      <c r="G355" s="303" t="s">
        <v>6</v>
      </c>
      <c r="H355" s="303" t="s">
        <v>32</v>
      </c>
      <c r="I355" s="229"/>
      <c r="J355" s="58"/>
      <c r="K355" s="298"/>
      <c r="L355" s="431"/>
      <c r="M355" s="5"/>
      <c r="N355" s="26"/>
      <c r="O355" s="35"/>
    </row>
    <row r="356" spans="2:15" ht="12.75" customHeight="1">
      <c r="B356" s="304"/>
      <c r="C356" s="229" t="s">
        <v>203</v>
      </c>
      <c r="D356" s="305"/>
      <c r="E356" s="302"/>
      <c r="F356" s="302"/>
      <c r="G356" s="306">
        <v>24</v>
      </c>
      <c r="H356" s="306"/>
      <c r="I356" s="231"/>
      <c r="J356" s="58"/>
      <c r="K356" s="298"/>
      <c r="L356" s="431"/>
      <c r="M356" s="5"/>
      <c r="N356" s="26"/>
      <c r="O356" s="35"/>
    </row>
    <row r="357" spans="2:15" ht="12.75" customHeight="1">
      <c r="B357" s="304"/>
      <c r="C357" s="307" t="s">
        <v>198</v>
      </c>
      <c r="D357" s="302"/>
      <c r="E357" s="302"/>
      <c r="F357" s="305">
        <v>25.3</v>
      </c>
      <c r="G357" s="306"/>
      <c r="H357" s="306">
        <f>G356*F357</f>
        <v>607.20000000000005</v>
      </c>
      <c r="I357" s="231"/>
      <c r="J357" s="58"/>
      <c r="K357" s="298"/>
      <c r="L357" s="431"/>
      <c r="M357" s="5"/>
      <c r="N357" s="26"/>
      <c r="O357" s="35"/>
    </row>
    <row r="358" spans="2:15" ht="12.75" customHeight="1">
      <c r="B358" s="304"/>
      <c r="C358" s="229" t="s">
        <v>327</v>
      </c>
      <c r="D358" s="300"/>
      <c r="E358" s="302"/>
      <c r="F358" s="301"/>
      <c r="G358" s="308"/>
      <c r="H358" s="309"/>
      <c r="I358" s="232"/>
      <c r="J358" s="58"/>
      <c r="K358" s="298"/>
      <c r="L358" s="431"/>
      <c r="M358" s="5"/>
      <c r="N358" s="26"/>
      <c r="O358" s="35"/>
    </row>
    <row r="359" spans="2:15" ht="12.75" customHeight="1">
      <c r="B359" s="304"/>
      <c r="C359" s="229" t="s">
        <v>328</v>
      </c>
      <c r="D359" s="302"/>
      <c r="E359" s="300">
        <v>4.8</v>
      </c>
      <c r="F359" s="301" t="s">
        <v>6</v>
      </c>
      <c r="G359" s="308"/>
      <c r="H359" s="309"/>
      <c r="I359" s="232"/>
      <c r="J359" s="58"/>
      <c r="K359" s="298"/>
      <c r="L359" s="431"/>
      <c r="M359" s="5"/>
      <c r="N359" s="26"/>
      <c r="O359" s="35"/>
    </row>
    <row r="360" spans="2:15" ht="12.75" customHeight="1">
      <c r="B360" s="304"/>
      <c r="C360" s="310" t="s">
        <v>329</v>
      </c>
      <c r="D360" s="311"/>
      <c r="E360" s="302">
        <v>12</v>
      </c>
      <c r="F360" s="301" t="s">
        <v>25</v>
      </c>
      <c r="G360" s="308"/>
      <c r="H360" s="309"/>
      <c r="I360" s="232"/>
      <c r="J360" s="58"/>
      <c r="K360" s="298"/>
      <c r="L360" s="431"/>
      <c r="M360" s="5"/>
      <c r="N360" s="26"/>
      <c r="O360" s="35"/>
    </row>
    <row r="361" spans="2:15" ht="12.75" customHeight="1">
      <c r="B361" s="304"/>
      <c r="C361" s="311" t="s">
        <v>240</v>
      </c>
      <c r="D361" s="300"/>
      <c r="E361" s="302"/>
      <c r="F361" s="301"/>
      <c r="G361" s="308">
        <f>E359*E360</f>
        <v>57.599999999999994</v>
      </c>
      <c r="H361" s="309"/>
      <c r="I361" s="232"/>
      <c r="J361" s="58"/>
      <c r="K361" s="298"/>
      <c r="L361" s="431"/>
      <c r="M361" s="5"/>
      <c r="N361" s="26"/>
      <c r="O361" s="35"/>
    </row>
    <row r="362" spans="2:15" ht="12.75" customHeight="1">
      <c r="B362" s="304"/>
      <c r="C362" s="229" t="s">
        <v>198</v>
      </c>
      <c r="D362" s="300">
        <v>9.67</v>
      </c>
      <c r="E362" s="301" t="s">
        <v>199</v>
      </c>
      <c r="F362" s="302"/>
      <c r="G362" s="308"/>
      <c r="H362" s="309"/>
      <c r="I362" s="233"/>
      <c r="J362" s="58"/>
      <c r="K362" s="298"/>
      <c r="L362" s="431"/>
      <c r="M362" s="5"/>
      <c r="N362" s="26"/>
      <c r="O362" s="35"/>
    </row>
    <row r="363" spans="2:15" ht="12.75" customHeight="1">
      <c r="B363" s="304"/>
      <c r="C363" s="229" t="s">
        <v>330</v>
      </c>
      <c r="D363" s="300"/>
      <c r="E363" s="301"/>
      <c r="F363" s="302"/>
      <c r="G363" s="312" t="s">
        <v>331</v>
      </c>
      <c r="H363" s="313">
        <f>D362*G361</f>
        <v>556.99199999999996</v>
      </c>
      <c r="I363" s="58"/>
      <c r="J363" s="234"/>
      <c r="K363" s="298"/>
      <c r="L363" s="431"/>
      <c r="M363" s="5"/>
      <c r="N363" s="26"/>
      <c r="O363" s="35"/>
    </row>
    <row r="364" spans="2:15" ht="12.75" customHeight="1">
      <c r="B364" s="304"/>
      <c r="C364" s="307" t="s">
        <v>200</v>
      </c>
      <c r="D364" s="305"/>
      <c r="E364" s="306"/>
      <c r="F364" s="314"/>
      <c r="G364" s="315" t="s">
        <v>32</v>
      </c>
      <c r="H364" s="316">
        <f>H357*0.07</f>
        <v>42.504000000000005</v>
      </c>
      <c r="I364" s="58"/>
      <c r="J364" s="58"/>
      <c r="K364" s="298"/>
      <c r="L364" s="431"/>
      <c r="M364" s="5"/>
      <c r="N364" s="26"/>
      <c r="O364" s="35"/>
    </row>
    <row r="365" spans="2:15" ht="12.75" customHeight="1">
      <c r="B365" s="317"/>
      <c r="C365" s="318" t="s">
        <v>206</v>
      </c>
      <c r="D365" s="319"/>
      <c r="E365" s="320"/>
      <c r="F365" s="229"/>
      <c r="G365" s="321" t="s">
        <v>32</v>
      </c>
      <c r="H365" s="319">
        <f>SUM(H357:H364)</f>
        <v>1206.6959999999999</v>
      </c>
      <c r="I365" s="58"/>
      <c r="J365" s="58"/>
      <c r="K365" s="298"/>
      <c r="L365" s="431"/>
      <c r="M365" s="5"/>
      <c r="N365" s="26"/>
      <c r="O365" s="35"/>
    </row>
    <row r="366" spans="2:15" ht="12.75" customHeight="1">
      <c r="B366" s="146"/>
      <c r="G366" s="5"/>
      <c r="I366" s="58"/>
      <c r="J366" s="230"/>
      <c r="K366" s="432"/>
      <c r="L366" s="431"/>
      <c r="M366" s="5"/>
      <c r="N366" s="26"/>
      <c r="O366" s="35"/>
    </row>
    <row r="367" spans="2:15">
      <c r="B367" s="179" t="s">
        <v>141</v>
      </c>
      <c r="C367" s="117" t="s">
        <v>201</v>
      </c>
      <c r="D367" s="31"/>
      <c r="E367" s="27"/>
      <c r="G367" s="41"/>
      <c r="H367" s="41"/>
      <c r="I367" s="106"/>
      <c r="J367" s="5"/>
      <c r="K367" s="41"/>
      <c r="L367" s="298"/>
      <c r="M367" s="3"/>
      <c r="N367" s="26"/>
      <c r="O367" s="35"/>
    </row>
    <row r="368" spans="2:15">
      <c r="B368" s="16" t="s">
        <v>209</v>
      </c>
      <c r="C368" s="172" t="s">
        <v>216</v>
      </c>
      <c r="D368" s="172"/>
      <c r="E368" s="174"/>
      <c r="F368" s="174"/>
      <c r="G368" s="174"/>
      <c r="H368" s="173"/>
      <c r="I368" s="172"/>
      <c r="J368" s="5"/>
      <c r="K368" s="298"/>
      <c r="L368" s="298"/>
      <c r="M368" s="3"/>
      <c r="N368" s="26"/>
      <c r="O368" s="35"/>
    </row>
    <row r="369" spans="2:18">
      <c r="B369" s="175"/>
      <c r="C369" s="176" t="s">
        <v>210</v>
      </c>
      <c r="D369" s="177"/>
      <c r="E369" s="176"/>
      <c r="F369" s="178"/>
      <c r="G369" s="178"/>
      <c r="H369" s="178"/>
      <c r="I369" s="170"/>
      <c r="K369" s="298"/>
      <c r="L369" s="298"/>
      <c r="M369" s="3"/>
      <c r="N369" s="26"/>
      <c r="O369" s="35"/>
    </row>
    <row r="370" spans="2:18">
      <c r="B370" s="175"/>
      <c r="C370" s="140" t="s">
        <v>212</v>
      </c>
      <c r="D370" s="170"/>
      <c r="F370" s="171"/>
      <c r="G370" s="171"/>
      <c r="H370" s="171"/>
      <c r="I370" s="170"/>
      <c r="K370" s="298"/>
      <c r="L370" s="298"/>
      <c r="M370" s="3"/>
      <c r="N370" s="26"/>
      <c r="O370" s="35"/>
    </row>
    <row r="371" spans="2:18">
      <c r="B371" s="175"/>
      <c r="C371" s="140" t="s">
        <v>321</v>
      </c>
      <c r="D371" s="170"/>
      <c r="F371" s="171"/>
      <c r="G371" s="171"/>
      <c r="H371" s="171"/>
      <c r="I371" s="170"/>
      <c r="K371" s="298"/>
      <c r="L371" s="298"/>
      <c r="M371" s="3"/>
      <c r="N371" s="26"/>
      <c r="O371" s="35"/>
    </row>
    <row r="372" spans="2:18">
      <c r="B372" s="175"/>
      <c r="C372" s="140" t="s">
        <v>211</v>
      </c>
      <c r="F372" s="171"/>
      <c r="G372" s="171"/>
      <c r="H372" s="171"/>
      <c r="I372" s="170"/>
      <c r="K372" s="298"/>
      <c r="L372" s="298"/>
      <c r="M372" s="3"/>
      <c r="N372" s="26"/>
      <c r="O372" s="35"/>
    </row>
    <row r="373" spans="2:18">
      <c r="B373" s="175"/>
      <c r="C373" s="170" t="s">
        <v>213</v>
      </c>
      <c r="D373" s="170"/>
      <c r="F373" s="171"/>
      <c r="G373" s="171"/>
      <c r="H373" s="171"/>
      <c r="I373" s="170"/>
      <c r="K373" s="298"/>
      <c r="L373" s="298"/>
      <c r="M373" s="3"/>
      <c r="N373" s="26"/>
      <c r="O373" s="35"/>
    </row>
    <row r="374" spans="2:18">
      <c r="B374" s="175"/>
      <c r="C374" s="170" t="s">
        <v>214</v>
      </c>
      <c r="D374" s="170"/>
      <c r="F374" s="171"/>
      <c r="G374" s="171"/>
      <c r="H374" s="171"/>
      <c r="I374" s="170"/>
      <c r="K374" s="298"/>
      <c r="L374" s="298"/>
      <c r="M374" s="3"/>
      <c r="N374" s="26"/>
      <c r="O374" s="35"/>
    </row>
    <row r="375" spans="2:18">
      <c r="B375" s="175"/>
      <c r="C375" s="140" t="s">
        <v>215</v>
      </c>
      <c r="D375" s="177"/>
      <c r="E375" s="176"/>
      <c r="F375" s="178"/>
      <c r="G375" s="178"/>
      <c r="H375" s="178"/>
      <c r="I375" s="170"/>
      <c r="K375" s="298"/>
      <c r="L375" s="298"/>
      <c r="M375" s="3"/>
      <c r="N375" s="26"/>
      <c r="O375" s="35"/>
    </row>
    <row r="376" spans="2:18">
      <c r="B376" s="175"/>
      <c r="C376" s="140" t="s">
        <v>219</v>
      </c>
      <c r="D376" s="177"/>
      <c r="E376" s="176"/>
      <c r="F376" s="178"/>
      <c r="G376" s="178"/>
      <c r="H376" s="178"/>
      <c r="I376" s="170"/>
      <c r="K376" s="298"/>
      <c r="L376" s="298"/>
      <c r="M376" s="3"/>
      <c r="N376" s="26"/>
      <c r="O376" s="35"/>
    </row>
    <row r="377" spans="2:18">
      <c r="B377" s="175"/>
      <c r="C377" s="93" t="s">
        <v>131</v>
      </c>
      <c r="D377" s="110"/>
      <c r="E377" s="111">
        <v>17</v>
      </c>
      <c r="F377" s="112" t="s">
        <v>25</v>
      </c>
      <c r="G377" s="111"/>
      <c r="H377" s="111"/>
      <c r="I377" s="152"/>
      <c r="J377" s="153"/>
      <c r="K377" s="298"/>
      <c r="L377" s="298"/>
      <c r="M377" s="3"/>
      <c r="N377" s="26"/>
      <c r="O377" s="35"/>
    </row>
    <row r="378" spans="2:18">
      <c r="B378" s="175"/>
      <c r="C378" s="93" t="s">
        <v>313</v>
      </c>
      <c r="D378" s="110"/>
      <c r="E378" s="111">
        <v>10</v>
      </c>
      <c r="F378" s="112" t="s">
        <v>314</v>
      </c>
      <c r="G378" s="111"/>
      <c r="H378" s="111"/>
      <c r="I378" s="152"/>
      <c r="J378" s="153"/>
      <c r="K378" s="298"/>
      <c r="L378" s="298"/>
      <c r="M378" s="3"/>
      <c r="N378" s="26"/>
      <c r="O378" s="35"/>
    </row>
    <row r="379" spans="2:18">
      <c r="B379" s="175"/>
      <c r="C379" s="215" t="s">
        <v>315</v>
      </c>
      <c r="D379" s="164"/>
      <c r="E379" s="165">
        <v>7</v>
      </c>
      <c r="F379" s="166" t="s">
        <v>314</v>
      </c>
      <c r="G379" s="165"/>
      <c r="H379" s="111"/>
      <c r="I379" s="152"/>
      <c r="J379" s="153"/>
      <c r="K379" s="298"/>
      <c r="L379" s="298"/>
      <c r="M379" s="3"/>
      <c r="N379" s="26"/>
      <c r="O379" s="35"/>
    </row>
    <row r="380" spans="2:18">
      <c r="B380" s="175"/>
      <c r="C380" s="93" t="s">
        <v>217</v>
      </c>
      <c r="D380" s="110"/>
      <c r="E380" s="111">
        <f>E378*3+E379*4</f>
        <v>58</v>
      </c>
      <c r="F380" s="112" t="s">
        <v>25</v>
      </c>
      <c r="G380" s="111"/>
      <c r="H380" s="111"/>
      <c r="I380" s="152"/>
      <c r="J380" s="153"/>
      <c r="K380" s="298"/>
      <c r="L380" s="298"/>
      <c r="M380" s="3"/>
      <c r="N380" s="26"/>
      <c r="O380" s="35"/>
    </row>
    <row r="381" spans="2:18">
      <c r="B381" s="175"/>
      <c r="C381" s="93"/>
      <c r="D381" s="110"/>
      <c r="E381" s="111"/>
      <c r="F381" s="112"/>
      <c r="G381" s="111"/>
      <c r="H381" s="111"/>
      <c r="I381" s="152"/>
      <c r="J381" s="153"/>
      <c r="K381" s="298"/>
      <c r="L381" s="298"/>
      <c r="M381" s="3"/>
      <c r="N381" s="26"/>
      <c r="O381" s="35"/>
    </row>
    <row r="382" spans="2:18">
      <c r="B382" s="86"/>
      <c r="C382" s="93" t="s">
        <v>218</v>
      </c>
      <c r="D382" s="110"/>
      <c r="E382" s="111">
        <v>0.6</v>
      </c>
      <c r="F382" s="112" t="s">
        <v>20</v>
      </c>
      <c r="G382" s="111"/>
      <c r="H382" s="111"/>
      <c r="I382" s="128"/>
      <c r="J382" s="87"/>
      <c r="K382" s="298"/>
      <c r="L382" s="158"/>
      <c r="M382" s="12"/>
      <c r="N382" s="29"/>
      <c r="O382" s="29"/>
      <c r="P382" s="12"/>
      <c r="Q382" s="12"/>
      <c r="R382" s="12"/>
    </row>
    <row r="383" spans="2:18">
      <c r="B383" s="86"/>
      <c r="C383" s="94" t="s">
        <v>220</v>
      </c>
      <c r="D383" s="113"/>
      <c r="E383" s="114">
        <v>1.3</v>
      </c>
      <c r="F383" s="115" t="s">
        <v>6</v>
      </c>
      <c r="G383" s="111"/>
      <c r="H383" s="111"/>
      <c r="I383" s="128"/>
      <c r="J383" s="87"/>
      <c r="K383" s="298"/>
      <c r="L383" s="158"/>
      <c r="M383" s="12"/>
      <c r="N383" s="29"/>
      <c r="O383" s="29"/>
      <c r="P383" s="12"/>
      <c r="Q383" s="12"/>
      <c r="R383" s="12"/>
    </row>
    <row r="384" spans="2:18">
      <c r="B384" s="86"/>
      <c r="C384" s="93" t="s">
        <v>221</v>
      </c>
      <c r="D384" s="110"/>
      <c r="E384" s="111">
        <f>E383*E382</f>
        <v>0.78</v>
      </c>
      <c r="F384" s="112"/>
      <c r="G384" s="111"/>
      <c r="H384" s="111"/>
      <c r="I384" s="128"/>
      <c r="J384" s="87"/>
      <c r="K384" s="298"/>
      <c r="L384" s="158"/>
      <c r="M384" s="12"/>
      <c r="N384" s="29"/>
      <c r="O384" s="29"/>
      <c r="P384" s="12"/>
      <c r="Q384" s="12"/>
      <c r="R384" s="12"/>
    </row>
    <row r="385" spans="2:18">
      <c r="B385" s="86"/>
      <c r="C385" s="93" t="s">
        <v>348</v>
      </c>
      <c r="D385" s="110"/>
      <c r="E385" s="111"/>
      <c r="F385" s="162">
        <f>E384*E380</f>
        <v>45.24</v>
      </c>
      <c r="G385" s="111" t="s">
        <v>21</v>
      </c>
      <c r="H385" s="111"/>
      <c r="I385" s="128"/>
      <c r="J385" s="87"/>
      <c r="K385" s="298"/>
      <c r="L385" s="158"/>
      <c r="M385" s="12"/>
      <c r="N385" s="29"/>
      <c r="O385" s="29"/>
      <c r="P385" s="12"/>
      <c r="Q385" s="12"/>
      <c r="R385" s="12"/>
    </row>
    <row r="386" spans="2:18">
      <c r="B386" s="86"/>
      <c r="C386" s="93"/>
      <c r="D386" s="110"/>
      <c r="E386" s="111"/>
      <c r="F386" s="112"/>
      <c r="G386" s="111"/>
      <c r="H386" s="111"/>
      <c r="I386" s="128"/>
      <c r="J386" s="87"/>
      <c r="K386" s="298"/>
      <c r="L386" s="158"/>
      <c r="M386" s="12"/>
      <c r="N386" s="29"/>
      <c r="O386" s="29"/>
      <c r="P386" s="12"/>
      <c r="Q386" s="12"/>
      <c r="R386" s="12"/>
    </row>
    <row r="387" spans="2:18">
      <c r="B387" s="183" t="s">
        <v>222</v>
      </c>
      <c r="C387" s="180" t="s">
        <v>223</v>
      </c>
      <c r="D387" s="180"/>
      <c r="E387" s="180"/>
      <c r="F387" s="180"/>
      <c r="G387" s="180"/>
      <c r="H387" s="180"/>
      <c r="I387" s="180"/>
      <c r="J387" s="87"/>
      <c r="K387" s="298"/>
      <c r="L387" s="158"/>
      <c r="M387" s="12"/>
      <c r="N387" s="29"/>
      <c r="O387" s="29"/>
      <c r="P387" s="12"/>
      <c r="Q387" s="12"/>
      <c r="R387" s="12"/>
    </row>
    <row r="388" spans="2:18">
      <c r="B388" s="183"/>
      <c r="C388" s="180" t="s">
        <v>122</v>
      </c>
      <c r="D388" s="180"/>
      <c r="E388" s="180" t="s">
        <v>225</v>
      </c>
      <c r="F388" s="180"/>
      <c r="G388" s="180">
        <f>3.2-1.5</f>
        <v>1.7000000000000002</v>
      </c>
      <c r="H388" s="180" t="s">
        <v>20</v>
      </c>
      <c r="I388" s="180"/>
      <c r="J388" s="87"/>
      <c r="K388" s="298"/>
      <c r="L388" s="158"/>
      <c r="M388" s="12"/>
      <c r="N388" s="29"/>
      <c r="O388" s="29"/>
      <c r="P388" s="12"/>
      <c r="Q388" s="12"/>
      <c r="R388" s="12"/>
    </row>
    <row r="389" spans="2:18">
      <c r="B389" s="183"/>
      <c r="C389" s="180" t="s">
        <v>224</v>
      </c>
      <c r="D389" s="180" t="s">
        <v>226</v>
      </c>
      <c r="E389" s="180"/>
      <c r="F389" s="180"/>
      <c r="G389" s="180">
        <v>0.5</v>
      </c>
      <c r="H389" s="180" t="s">
        <v>6</v>
      </c>
      <c r="I389" s="180"/>
      <c r="J389" s="87"/>
      <c r="K389" s="298"/>
      <c r="L389" s="158"/>
      <c r="M389" s="12"/>
      <c r="N389" s="29"/>
      <c r="O389" s="29"/>
      <c r="P389" s="12"/>
      <c r="Q389" s="12"/>
      <c r="R389" s="12"/>
    </row>
    <row r="390" spans="2:18">
      <c r="B390" s="183"/>
      <c r="C390" s="181" t="s">
        <v>227</v>
      </c>
      <c r="D390" s="180"/>
      <c r="E390" s="180"/>
      <c r="F390" s="112"/>
      <c r="G390" s="111">
        <f>G388*G389</f>
        <v>0.85000000000000009</v>
      </c>
      <c r="H390" s="111" t="s">
        <v>21</v>
      </c>
      <c r="I390" s="128"/>
      <c r="J390" s="87"/>
      <c r="K390" s="298"/>
      <c r="L390" s="158"/>
      <c r="M390" s="12"/>
      <c r="N390" s="29"/>
      <c r="O390" s="29"/>
      <c r="P390" s="12"/>
      <c r="Q390" s="12"/>
      <c r="R390" s="12"/>
    </row>
    <row r="391" spans="2:18">
      <c r="B391" s="183"/>
      <c r="C391" s="182" t="s">
        <v>131</v>
      </c>
      <c r="D391" s="182"/>
      <c r="E391" s="182"/>
      <c r="F391" s="115"/>
      <c r="G391" s="114">
        <v>17</v>
      </c>
      <c r="H391" s="114" t="s">
        <v>25</v>
      </c>
      <c r="I391" s="128"/>
      <c r="J391" s="87"/>
      <c r="K391" s="298"/>
      <c r="L391" s="158"/>
      <c r="M391" s="12"/>
      <c r="N391" s="29"/>
      <c r="O391" s="29"/>
      <c r="P391" s="12"/>
      <c r="Q391" s="12"/>
      <c r="R391" s="12"/>
    </row>
    <row r="392" spans="2:18">
      <c r="B392" s="183"/>
      <c r="C392" s="181" t="s">
        <v>132</v>
      </c>
      <c r="D392" s="180"/>
      <c r="E392" s="180"/>
      <c r="F392" s="112"/>
      <c r="G392" s="111">
        <f>G390*G391</f>
        <v>14.450000000000001</v>
      </c>
      <c r="H392" s="111" t="s">
        <v>21</v>
      </c>
      <c r="I392" s="128"/>
      <c r="J392" s="87"/>
      <c r="K392" s="298"/>
      <c r="L392" s="158"/>
      <c r="M392" s="12"/>
      <c r="N392" s="29"/>
      <c r="O392" s="29"/>
      <c r="P392" s="12"/>
      <c r="Q392" s="12"/>
      <c r="R392" s="12"/>
    </row>
    <row r="393" spans="2:18">
      <c r="B393" s="183"/>
      <c r="C393" s="180"/>
      <c r="D393" s="180"/>
      <c r="E393" s="180"/>
      <c r="F393" s="112"/>
      <c r="G393" s="111"/>
      <c r="H393" s="111"/>
      <c r="I393" s="128"/>
      <c r="J393" s="87"/>
      <c r="K393" s="298"/>
      <c r="L393" s="158"/>
      <c r="M393" s="12"/>
      <c r="N393" s="29"/>
      <c r="O393" s="29"/>
      <c r="P393" s="12"/>
      <c r="Q393" s="12"/>
      <c r="R393" s="12"/>
    </row>
    <row r="394" spans="2:18">
      <c r="B394" s="69" t="s">
        <v>228</v>
      </c>
      <c r="C394" s="180" t="s">
        <v>229</v>
      </c>
      <c r="D394" s="180"/>
      <c r="E394" s="180"/>
      <c r="F394" s="112"/>
      <c r="G394" s="111"/>
      <c r="H394" s="111"/>
      <c r="I394" s="128"/>
      <c r="J394" s="87"/>
      <c r="K394" s="298"/>
      <c r="L394" s="158"/>
      <c r="M394" s="12"/>
      <c r="N394" s="29"/>
      <c r="O394" s="29"/>
      <c r="P394" s="12"/>
      <c r="Q394" s="12"/>
      <c r="R394" s="12"/>
    </row>
    <row r="395" spans="2:18">
      <c r="B395" s="183"/>
      <c r="C395" s="180" t="s">
        <v>131</v>
      </c>
      <c r="D395" s="180"/>
      <c r="E395" s="180"/>
      <c r="F395" s="112"/>
      <c r="G395" s="111">
        <v>17</v>
      </c>
      <c r="H395" s="111" t="s">
        <v>25</v>
      </c>
      <c r="I395" s="128"/>
      <c r="J395" s="87"/>
      <c r="K395" s="298"/>
      <c r="L395" s="158"/>
      <c r="M395" s="12"/>
      <c r="N395" s="29"/>
      <c r="O395" s="29"/>
      <c r="P395" s="12"/>
      <c r="Q395" s="12"/>
      <c r="R395" s="12"/>
    </row>
    <row r="396" spans="2:18">
      <c r="B396" s="183"/>
      <c r="C396" s="180" t="s">
        <v>231</v>
      </c>
      <c r="D396" s="180"/>
      <c r="E396" s="180"/>
      <c r="F396" s="112"/>
      <c r="G396" s="111">
        <v>0.5</v>
      </c>
      <c r="H396" s="111" t="s">
        <v>6</v>
      </c>
      <c r="I396" s="128"/>
      <c r="J396" s="87"/>
      <c r="K396" s="298"/>
      <c r="L396" s="158"/>
      <c r="M396" s="12"/>
      <c r="N396" s="29"/>
      <c r="O396" s="29"/>
      <c r="P396" s="12"/>
      <c r="Q396" s="12"/>
      <c r="R396" s="12"/>
    </row>
    <row r="397" spans="2:18">
      <c r="B397" s="183"/>
      <c r="C397" s="186" t="s">
        <v>54</v>
      </c>
      <c r="D397" s="186"/>
      <c r="E397" s="186"/>
      <c r="F397" s="112"/>
      <c r="G397" s="111">
        <v>2.4</v>
      </c>
      <c r="H397" s="111" t="s">
        <v>6</v>
      </c>
      <c r="I397" s="223"/>
      <c r="J397" s="87"/>
      <c r="K397" s="298"/>
      <c r="L397" s="158"/>
      <c r="M397" s="12"/>
      <c r="N397" s="29"/>
      <c r="O397" s="29"/>
      <c r="P397" s="12"/>
      <c r="Q397" s="12"/>
      <c r="R397" s="12"/>
    </row>
    <row r="398" spans="2:18">
      <c r="B398" s="86"/>
      <c r="C398" s="13" t="s">
        <v>232</v>
      </c>
      <c r="D398" s="113"/>
      <c r="E398" s="114" t="s">
        <v>233</v>
      </c>
      <c r="F398" s="115"/>
      <c r="G398" s="114">
        <f>2.4*0.5*2</f>
        <v>2.4</v>
      </c>
      <c r="H398" s="114" t="s">
        <v>20</v>
      </c>
      <c r="I398" s="223"/>
      <c r="J398" s="87"/>
      <c r="K398" s="298"/>
      <c r="L398" s="158"/>
      <c r="M398" s="12"/>
      <c r="N398" s="29"/>
      <c r="O398" s="29"/>
      <c r="P398" s="12"/>
      <c r="Q398" s="12"/>
      <c r="R398" s="12"/>
    </row>
    <row r="399" spans="2:18">
      <c r="B399" s="86"/>
      <c r="C399" s="12" t="s">
        <v>230</v>
      </c>
      <c r="D399" s="110"/>
      <c r="E399" s="111" t="s">
        <v>234</v>
      </c>
      <c r="F399" s="112"/>
      <c r="G399" s="111">
        <f>G398*17</f>
        <v>40.799999999999997</v>
      </c>
      <c r="H399" s="111" t="s">
        <v>20</v>
      </c>
      <c r="I399" s="223"/>
      <c r="J399" s="87"/>
      <c r="K399" s="298"/>
      <c r="L399" s="158"/>
      <c r="M399" s="12"/>
      <c r="N399" s="29"/>
      <c r="O399" s="29"/>
      <c r="P399" s="12"/>
      <c r="Q399" s="12"/>
      <c r="R399" s="12"/>
    </row>
    <row r="400" spans="2:18">
      <c r="B400" s="86"/>
      <c r="C400" s="29"/>
      <c r="D400" s="110"/>
      <c r="E400" s="111"/>
      <c r="F400" s="112"/>
      <c r="G400" s="111"/>
      <c r="H400" s="111"/>
      <c r="I400" s="128"/>
      <c r="J400" s="87"/>
      <c r="K400" s="298"/>
      <c r="L400" s="158"/>
      <c r="M400" s="12"/>
      <c r="N400" s="29"/>
      <c r="O400" s="29"/>
      <c r="P400" s="12"/>
      <c r="Q400" s="12"/>
      <c r="R400" s="12"/>
    </row>
    <row r="401" spans="2:18">
      <c r="B401" s="86" t="s">
        <v>235</v>
      </c>
      <c r="C401" s="110" t="s">
        <v>184</v>
      </c>
      <c r="D401" s="110"/>
      <c r="E401" s="111"/>
      <c r="F401" s="112"/>
      <c r="G401" s="111"/>
      <c r="H401" s="111"/>
      <c r="I401" s="128"/>
      <c r="J401" s="87"/>
      <c r="K401" s="298"/>
      <c r="L401" s="158"/>
      <c r="M401" s="12"/>
      <c r="N401" s="29"/>
      <c r="O401" s="29"/>
      <c r="P401" s="12"/>
      <c r="Q401" s="12"/>
      <c r="R401" s="12"/>
    </row>
    <row r="402" spans="2:18">
      <c r="B402" s="86"/>
      <c r="C402" s="29" t="s">
        <v>236</v>
      </c>
      <c r="D402" s="110"/>
      <c r="E402" s="111"/>
      <c r="F402" s="112"/>
      <c r="G402" s="111"/>
      <c r="H402" s="111"/>
      <c r="I402" s="128"/>
      <c r="J402" s="87"/>
      <c r="K402" s="298"/>
      <c r="L402" s="158"/>
      <c r="M402" s="12"/>
      <c r="N402" s="29"/>
      <c r="O402" s="29"/>
      <c r="P402" s="12"/>
      <c r="Q402" s="12"/>
      <c r="R402" s="12"/>
    </row>
    <row r="403" spans="2:18" ht="17.25">
      <c r="B403" s="86"/>
      <c r="C403" s="187" t="s">
        <v>238</v>
      </c>
      <c r="D403" s="110" t="s">
        <v>237</v>
      </c>
      <c r="E403" s="111"/>
      <c r="F403" s="112"/>
      <c r="G403" s="111"/>
      <c r="H403" s="111"/>
      <c r="I403" s="128"/>
      <c r="J403" s="87"/>
      <c r="K403" s="298"/>
      <c r="L403" s="158"/>
      <c r="M403" s="12"/>
      <c r="N403" s="29"/>
      <c r="O403" s="29"/>
      <c r="P403" s="12"/>
      <c r="Q403" s="12"/>
      <c r="R403" s="12"/>
    </row>
    <row r="404" spans="2:18">
      <c r="B404" s="86"/>
      <c r="C404" s="29" t="s">
        <v>333</v>
      </c>
      <c r="D404" s="110"/>
      <c r="E404" s="111"/>
      <c r="F404" s="111" t="s">
        <v>239</v>
      </c>
      <c r="G404" s="111">
        <f>2.4/0.3*2+2</f>
        <v>18</v>
      </c>
      <c r="H404" s="87" t="s">
        <v>25</v>
      </c>
      <c r="K404" s="298"/>
      <c r="L404" s="158"/>
      <c r="M404" s="12"/>
      <c r="N404" s="29"/>
      <c r="O404" s="29"/>
      <c r="P404" s="12"/>
      <c r="Q404" s="12"/>
      <c r="R404" s="12"/>
    </row>
    <row r="405" spans="2:18">
      <c r="B405" s="86"/>
      <c r="C405" s="29" t="s">
        <v>334</v>
      </c>
      <c r="D405" s="110"/>
      <c r="E405" s="111"/>
      <c r="F405" s="111" t="s">
        <v>350</v>
      </c>
      <c r="G405" s="111">
        <f>0.6*G404</f>
        <v>10.799999999999999</v>
      </c>
      <c r="H405" s="87" t="s">
        <v>6</v>
      </c>
      <c r="K405" s="298"/>
      <c r="L405" s="158"/>
      <c r="M405" s="12"/>
      <c r="N405" s="29"/>
      <c r="O405" s="29"/>
      <c r="P405" s="12"/>
      <c r="Q405" s="12"/>
      <c r="R405" s="12"/>
    </row>
    <row r="406" spans="2:18">
      <c r="B406" s="86"/>
      <c r="C406" s="13" t="s">
        <v>131</v>
      </c>
      <c r="D406" s="113"/>
      <c r="E406" s="114" t="s">
        <v>25</v>
      </c>
      <c r="F406" s="115">
        <v>17</v>
      </c>
      <c r="G406" s="114"/>
      <c r="H406" s="92"/>
      <c r="J406" s="87"/>
      <c r="K406" s="298"/>
      <c r="L406" s="158"/>
      <c r="M406" s="12"/>
      <c r="N406" s="29"/>
      <c r="O406" s="29"/>
      <c r="P406" s="12"/>
      <c r="Q406" s="12"/>
      <c r="R406" s="12"/>
    </row>
    <row r="407" spans="2:18">
      <c r="B407" s="86"/>
      <c r="C407" s="12" t="s">
        <v>240</v>
      </c>
      <c r="D407" s="110"/>
      <c r="E407" s="111"/>
      <c r="F407" s="112"/>
      <c r="G407" s="111">
        <f>G405*F406</f>
        <v>183.6</v>
      </c>
      <c r="H407" s="128" t="s">
        <v>6</v>
      </c>
      <c r="J407" s="87"/>
      <c r="K407" s="298"/>
      <c r="L407" s="158"/>
      <c r="M407" s="12"/>
      <c r="N407" s="29"/>
      <c r="O407" s="29"/>
      <c r="P407" s="12"/>
      <c r="Q407" s="12"/>
      <c r="R407" s="12"/>
    </row>
    <row r="408" spans="2:18">
      <c r="B408" s="86"/>
      <c r="C408" s="13" t="s">
        <v>241</v>
      </c>
      <c r="D408" s="113"/>
      <c r="E408" s="114"/>
      <c r="F408" s="115">
        <v>1.58</v>
      </c>
      <c r="G408" s="114"/>
      <c r="H408" s="92"/>
      <c r="J408" s="87"/>
      <c r="K408" s="298"/>
      <c r="L408" s="158"/>
      <c r="M408" s="12"/>
      <c r="N408" s="84"/>
      <c r="O408" s="29"/>
      <c r="P408" s="12"/>
      <c r="Q408" s="12"/>
      <c r="R408" s="12"/>
    </row>
    <row r="409" spans="2:18">
      <c r="B409" s="86"/>
      <c r="C409" s="12" t="s">
        <v>206</v>
      </c>
      <c r="D409" s="110"/>
      <c r="E409" s="111"/>
      <c r="F409" s="112"/>
      <c r="G409" s="111">
        <f>G407*F408</f>
        <v>290.08800000000002</v>
      </c>
      <c r="H409" s="128" t="s">
        <v>32</v>
      </c>
      <c r="J409" s="87"/>
      <c r="K409" s="298"/>
      <c r="L409" s="158"/>
      <c r="M409" s="12"/>
      <c r="N409" s="84"/>
      <c r="O409" s="29"/>
      <c r="P409" s="12"/>
      <c r="Q409" s="12"/>
      <c r="R409" s="12"/>
    </row>
    <row r="410" spans="2:18">
      <c r="B410" s="86"/>
      <c r="C410" s="12"/>
      <c r="D410" s="110"/>
      <c r="E410" s="111"/>
      <c r="F410" s="112"/>
      <c r="G410" s="111"/>
      <c r="H410" s="111"/>
      <c r="I410" s="128"/>
      <c r="J410" s="87"/>
      <c r="K410" s="298"/>
      <c r="L410" s="158"/>
      <c r="M410" s="12"/>
      <c r="N410" s="29"/>
      <c r="O410" s="29"/>
      <c r="P410" s="12"/>
      <c r="Q410" s="12"/>
      <c r="R410" s="12"/>
    </row>
    <row r="411" spans="2:18">
      <c r="B411" s="86"/>
      <c r="C411" s="12" t="s">
        <v>248</v>
      </c>
      <c r="D411" s="110"/>
      <c r="E411" s="111"/>
      <c r="F411" s="112"/>
      <c r="G411" s="111"/>
      <c r="H411" s="111"/>
      <c r="I411" s="128"/>
      <c r="J411" s="87"/>
      <c r="K411" s="298"/>
      <c r="L411" s="158"/>
      <c r="M411" s="12"/>
      <c r="N411" s="29"/>
      <c r="O411" s="29"/>
      <c r="P411" s="12"/>
      <c r="Q411" s="12"/>
      <c r="R411" s="12"/>
    </row>
    <row r="412" spans="2:18">
      <c r="B412" s="86"/>
      <c r="C412" s="632" t="s">
        <v>335</v>
      </c>
      <c r="D412" s="632"/>
      <c r="E412" s="632"/>
      <c r="F412" s="632"/>
      <c r="G412" s="632"/>
      <c r="H412" s="632"/>
      <c r="I412" s="632"/>
      <c r="J412" s="87"/>
      <c r="K412" s="298"/>
      <c r="L412" s="158"/>
      <c r="M412" s="12"/>
      <c r="N412" s="29"/>
      <c r="O412" s="29"/>
      <c r="P412" s="12"/>
      <c r="Q412" s="12"/>
      <c r="R412" s="12"/>
    </row>
    <row r="413" spans="2:18">
      <c r="B413" s="86"/>
      <c r="C413" s="632"/>
      <c r="D413" s="632"/>
      <c r="E413" s="632"/>
      <c r="F413" s="632"/>
      <c r="G413" s="632"/>
      <c r="H413" s="632"/>
      <c r="I413" s="632"/>
      <c r="J413" s="87"/>
      <c r="K413" s="298"/>
      <c r="L413" s="158"/>
      <c r="M413" s="12"/>
      <c r="N413" s="29"/>
      <c r="O413" s="29"/>
      <c r="P413" s="12"/>
      <c r="Q413" s="12"/>
      <c r="R413" s="12"/>
    </row>
    <row r="414" spans="2:18">
      <c r="B414" s="86"/>
      <c r="C414" s="632"/>
      <c r="D414" s="632"/>
      <c r="E414" s="632"/>
      <c r="F414" s="632"/>
      <c r="G414" s="632"/>
      <c r="H414" s="632"/>
      <c r="I414" s="632"/>
      <c r="J414" s="87"/>
      <c r="K414" s="298"/>
      <c r="L414" s="158"/>
      <c r="M414" s="12"/>
      <c r="N414" s="29"/>
      <c r="O414" s="29"/>
      <c r="P414" s="12"/>
      <c r="Q414" s="12"/>
      <c r="R414" s="12"/>
    </row>
    <row r="415" spans="2:18">
      <c r="B415" s="86"/>
      <c r="C415" s="191"/>
      <c r="D415" s="191"/>
      <c r="E415" s="191"/>
      <c r="F415" s="191"/>
      <c r="G415" s="191"/>
      <c r="H415" s="191"/>
      <c r="I415" s="191"/>
      <c r="J415" s="87"/>
      <c r="K415" s="298"/>
      <c r="L415" s="158"/>
      <c r="M415" s="12"/>
      <c r="N415" s="29"/>
      <c r="O415" s="29"/>
      <c r="P415" s="12"/>
      <c r="Q415" s="12"/>
      <c r="R415" s="12"/>
    </row>
    <row r="416" spans="2:18">
      <c r="B416" s="86"/>
      <c r="C416" s="12" t="s">
        <v>242</v>
      </c>
      <c r="D416" s="110"/>
      <c r="E416" s="111"/>
      <c r="F416" s="112"/>
      <c r="G416" s="111"/>
      <c r="H416" s="111"/>
      <c r="I416" s="128"/>
      <c r="J416" s="87"/>
      <c r="K416" s="298"/>
      <c r="L416" s="158"/>
      <c r="M416" s="12"/>
      <c r="N416" s="29"/>
      <c r="O416" s="29"/>
      <c r="P416" s="12"/>
      <c r="Q416" s="12"/>
      <c r="R416" s="12"/>
    </row>
    <row r="417" spans="2:18" ht="17.25">
      <c r="B417" s="86"/>
      <c r="C417" s="187" t="s">
        <v>243</v>
      </c>
      <c r="D417" s="110" t="s">
        <v>244</v>
      </c>
      <c r="E417" s="112">
        <v>2.4</v>
      </c>
      <c r="F417" s="111" t="s">
        <v>6</v>
      </c>
      <c r="H417" s="111"/>
      <c r="I417" s="128"/>
      <c r="J417" s="87"/>
      <c r="K417" s="298"/>
      <c r="L417" s="158"/>
      <c r="M417" s="12"/>
      <c r="N417" s="29"/>
      <c r="O417" s="29"/>
      <c r="P417" s="12"/>
      <c r="Q417" s="12"/>
      <c r="R417" s="12"/>
    </row>
    <row r="418" spans="2:18">
      <c r="B418" s="86"/>
      <c r="C418" s="29" t="s">
        <v>333</v>
      </c>
      <c r="D418" s="110"/>
      <c r="E418" s="111"/>
      <c r="F418" s="112"/>
      <c r="G418" s="111">
        <v>4</v>
      </c>
      <c r="H418" s="87" t="s">
        <v>25</v>
      </c>
      <c r="J418" s="87"/>
      <c r="K418" s="298"/>
      <c r="L418" s="158"/>
      <c r="M418" s="12"/>
      <c r="N418" s="29"/>
      <c r="O418" s="29"/>
      <c r="P418" s="12"/>
      <c r="Q418" s="12"/>
      <c r="R418" s="12"/>
    </row>
    <row r="419" spans="2:18">
      <c r="B419" s="86"/>
      <c r="C419" s="29" t="s">
        <v>334</v>
      </c>
      <c r="D419" s="110"/>
      <c r="E419" s="111"/>
      <c r="F419" s="111" t="s">
        <v>245</v>
      </c>
      <c r="G419" s="111">
        <f>4*2.4</f>
        <v>9.6</v>
      </c>
      <c r="H419" s="87" t="s">
        <v>6</v>
      </c>
      <c r="J419" s="87"/>
      <c r="K419" s="298"/>
      <c r="L419" s="158"/>
      <c r="M419" s="12"/>
      <c r="N419" s="29"/>
      <c r="O419" s="29"/>
      <c r="P419" s="12"/>
      <c r="Q419" s="12"/>
      <c r="R419" s="12"/>
    </row>
    <row r="420" spans="2:18">
      <c r="B420" s="86"/>
      <c r="C420" s="13" t="s">
        <v>131</v>
      </c>
      <c r="D420" s="113"/>
      <c r="E420" s="114" t="s">
        <v>25</v>
      </c>
      <c r="F420" s="115">
        <v>17</v>
      </c>
      <c r="G420" s="114"/>
      <c r="H420" s="92"/>
      <c r="J420" s="87"/>
      <c r="K420" s="298"/>
      <c r="L420" s="158"/>
      <c r="M420" s="12"/>
      <c r="N420" s="29"/>
      <c r="O420" s="29"/>
      <c r="P420" s="12"/>
      <c r="Q420" s="12"/>
      <c r="R420" s="12"/>
    </row>
    <row r="421" spans="2:18">
      <c r="B421" s="86"/>
      <c r="C421" s="12" t="s">
        <v>240</v>
      </c>
      <c r="D421" s="110"/>
      <c r="E421" s="111"/>
      <c r="F421" s="112"/>
      <c r="G421" s="111">
        <f>G419*F420</f>
        <v>163.19999999999999</v>
      </c>
      <c r="H421" s="128" t="s">
        <v>6</v>
      </c>
      <c r="J421" s="87"/>
      <c r="K421" s="298"/>
      <c r="L421" s="158"/>
      <c r="M421" s="12"/>
      <c r="N421" s="29"/>
      <c r="O421" s="29"/>
      <c r="P421" s="12"/>
      <c r="Q421" s="12"/>
      <c r="R421" s="12"/>
    </row>
    <row r="422" spans="2:18">
      <c r="B422" s="86"/>
      <c r="C422" s="13" t="s">
        <v>241</v>
      </c>
      <c r="D422" s="113"/>
      <c r="E422" s="114"/>
      <c r="F422" s="115">
        <v>0.88800000000000001</v>
      </c>
      <c r="G422" s="114"/>
      <c r="H422" s="92"/>
      <c r="J422" s="87"/>
      <c r="K422" s="298"/>
      <c r="L422" s="158"/>
      <c r="M422" s="12"/>
      <c r="N422" s="29"/>
      <c r="O422" s="29"/>
      <c r="P422" s="12"/>
      <c r="Q422" s="12"/>
      <c r="R422" s="12"/>
    </row>
    <row r="423" spans="2:18">
      <c r="B423" s="86"/>
      <c r="C423" s="12" t="s">
        <v>206</v>
      </c>
      <c r="D423" s="110"/>
      <c r="E423" s="111"/>
      <c r="F423" s="112"/>
      <c r="G423" s="111">
        <f>G421*F422</f>
        <v>144.92159999999998</v>
      </c>
      <c r="H423" s="128" t="s">
        <v>32</v>
      </c>
      <c r="J423" s="87"/>
      <c r="K423" s="298"/>
      <c r="L423" s="158"/>
      <c r="M423" s="12"/>
      <c r="N423" s="29"/>
      <c r="O423" s="29"/>
      <c r="P423" s="12"/>
      <c r="Q423" s="12"/>
      <c r="R423" s="12"/>
    </row>
    <row r="424" spans="2:18">
      <c r="B424" s="86"/>
      <c r="C424" s="29"/>
      <c r="D424" s="110"/>
      <c r="E424" s="111"/>
      <c r="F424" s="112"/>
      <c r="G424" s="111"/>
      <c r="H424" s="111"/>
      <c r="I424" s="128"/>
      <c r="J424" s="87"/>
      <c r="K424" s="298"/>
      <c r="L424" s="158"/>
      <c r="M424" s="12"/>
      <c r="N424" s="29"/>
      <c r="O424" s="29"/>
      <c r="P424" s="12"/>
      <c r="Q424" s="12"/>
      <c r="R424" s="12"/>
    </row>
    <row r="425" spans="2:18">
      <c r="B425" s="86"/>
      <c r="C425" s="188" t="s">
        <v>246</v>
      </c>
      <c r="D425" s="110"/>
      <c r="E425" s="111"/>
      <c r="F425" s="112"/>
      <c r="G425" s="111"/>
      <c r="H425" s="111"/>
      <c r="I425" s="128"/>
      <c r="J425" s="87"/>
      <c r="K425" s="298"/>
      <c r="L425" s="158"/>
      <c r="M425" s="12"/>
      <c r="N425" s="29"/>
      <c r="O425" s="29"/>
      <c r="P425" s="12"/>
      <c r="Q425" s="12"/>
      <c r="R425" s="12"/>
    </row>
    <row r="426" spans="2:18" ht="17.25">
      <c r="B426" s="86"/>
      <c r="C426" s="187" t="s">
        <v>243</v>
      </c>
      <c r="D426" s="110"/>
      <c r="E426" s="111"/>
      <c r="F426" s="112"/>
      <c r="G426" s="111">
        <f>G423</f>
        <v>144.92159999999998</v>
      </c>
      <c r="H426" s="128"/>
      <c r="J426" s="87"/>
      <c r="K426" s="298"/>
      <c r="L426" s="158"/>
      <c r="M426" s="12"/>
      <c r="N426" s="29"/>
      <c r="O426" s="29"/>
      <c r="P426" s="12"/>
      <c r="Q426" s="12"/>
      <c r="R426" s="12"/>
    </row>
    <row r="427" spans="2:18">
      <c r="B427" s="86"/>
      <c r="C427" s="13" t="s">
        <v>247</v>
      </c>
      <c r="D427" s="113"/>
      <c r="E427" s="114"/>
      <c r="F427" s="115"/>
      <c r="G427" s="114">
        <f>G409</f>
        <v>290.08800000000002</v>
      </c>
      <c r="H427" s="92"/>
      <c r="J427" s="87"/>
      <c r="K427" s="298"/>
      <c r="L427" s="158"/>
      <c r="M427" s="12"/>
      <c r="N427" s="29"/>
      <c r="O427" s="29"/>
      <c r="P427" s="12"/>
      <c r="Q427" s="12"/>
      <c r="R427" s="12"/>
    </row>
    <row r="428" spans="2:18">
      <c r="B428" s="86"/>
      <c r="C428" s="12" t="s">
        <v>322</v>
      </c>
      <c r="D428" s="110"/>
      <c r="E428" s="111"/>
      <c r="F428" s="112"/>
      <c r="G428" s="111">
        <f>SUM(G426:G427)</f>
        <v>435.00959999999998</v>
      </c>
      <c r="H428" s="128" t="s">
        <v>32</v>
      </c>
      <c r="J428" s="87"/>
      <c r="K428" s="298"/>
      <c r="L428" s="158"/>
      <c r="M428" s="12"/>
      <c r="N428" s="29"/>
      <c r="O428" s="29"/>
      <c r="P428" s="12"/>
      <c r="Q428" s="12"/>
      <c r="R428" s="12"/>
    </row>
    <row r="429" spans="2:18">
      <c r="B429" s="86"/>
      <c r="C429" s="12"/>
      <c r="D429" s="110"/>
      <c r="E429" s="111"/>
      <c r="F429" s="112"/>
      <c r="G429" s="111"/>
      <c r="H429" s="111"/>
      <c r="I429" s="128"/>
      <c r="J429" s="87"/>
      <c r="K429" s="298"/>
      <c r="L429" s="158"/>
      <c r="M429" s="12"/>
      <c r="N429" s="29"/>
      <c r="O429" s="29"/>
      <c r="P429" s="12"/>
      <c r="Q429" s="12"/>
      <c r="R429" s="12"/>
    </row>
    <row r="430" spans="2:18">
      <c r="B430" s="86" t="s">
        <v>249</v>
      </c>
      <c r="C430" s="12" t="s">
        <v>250</v>
      </c>
      <c r="D430" s="110"/>
      <c r="E430" s="111"/>
      <c r="F430" s="112"/>
      <c r="G430" s="111"/>
      <c r="H430" s="111"/>
      <c r="I430" s="128"/>
      <c r="J430" s="87"/>
      <c r="K430" s="298"/>
      <c r="L430" s="158"/>
      <c r="M430" s="12"/>
      <c r="N430" s="29"/>
      <c r="O430" s="29"/>
      <c r="P430" s="12"/>
      <c r="Q430" s="12"/>
      <c r="R430" s="12"/>
    </row>
    <row r="431" spans="2:18" ht="25.5">
      <c r="B431" s="86"/>
      <c r="C431" s="193" t="s">
        <v>251</v>
      </c>
      <c r="D431" s="190" t="s">
        <v>244</v>
      </c>
      <c r="E431" s="163" t="s">
        <v>253</v>
      </c>
      <c r="F431" s="192" t="s">
        <v>240</v>
      </c>
      <c r="G431" s="111"/>
      <c r="H431" s="111"/>
      <c r="I431" s="128"/>
      <c r="J431" s="87"/>
      <c r="K431" s="298"/>
      <c r="L431" s="158"/>
      <c r="M431" s="12"/>
      <c r="N431" s="29"/>
      <c r="O431" s="29"/>
      <c r="P431" s="12"/>
      <c r="Q431" s="12"/>
      <c r="R431" s="12"/>
    </row>
    <row r="432" spans="2:18" ht="15.75" thickBot="1">
      <c r="B432" s="86"/>
      <c r="C432" s="189" t="s">
        <v>252</v>
      </c>
      <c r="D432" s="190" t="s">
        <v>6</v>
      </c>
      <c r="E432" s="163" t="s">
        <v>25</v>
      </c>
      <c r="F432" s="112" t="s">
        <v>6</v>
      </c>
      <c r="G432" s="111"/>
      <c r="H432" s="111"/>
      <c r="I432" s="128"/>
      <c r="J432" s="87"/>
      <c r="K432" s="298"/>
      <c r="L432" s="158"/>
      <c r="M432" s="12"/>
      <c r="N432" s="29"/>
      <c r="O432" s="29"/>
      <c r="P432" s="12"/>
      <c r="Q432" s="12"/>
      <c r="R432" s="12"/>
    </row>
    <row r="433" spans="2:18" ht="15.75" thickBot="1">
      <c r="B433" s="86"/>
      <c r="C433" s="12">
        <v>25</v>
      </c>
      <c r="D433" s="110">
        <v>0.2</v>
      </c>
      <c r="E433" s="111">
        <f>18*17</f>
        <v>306</v>
      </c>
      <c r="F433" s="194">
        <f>D433*E433</f>
        <v>61.2</v>
      </c>
      <c r="G433" s="111" t="s">
        <v>6</v>
      </c>
      <c r="H433" s="111"/>
      <c r="I433" s="128"/>
      <c r="J433" s="87"/>
      <c r="K433" s="298"/>
      <c r="L433" s="158"/>
      <c r="M433" s="12"/>
      <c r="N433" s="29"/>
      <c r="O433" s="29"/>
      <c r="P433" s="12"/>
      <c r="Q433" s="12"/>
      <c r="R433" s="12"/>
    </row>
    <row r="434" spans="2:18">
      <c r="B434" s="86"/>
      <c r="C434" s="12" t="s">
        <v>296</v>
      </c>
      <c r="D434" s="110"/>
      <c r="E434" s="111"/>
      <c r="F434" s="112"/>
      <c r="G434" s="111"/>
      <c r="H434" s="111"/>
      <c r="I434" s="128"/>
      <c r="J434" s="87"/>
      <c r="K434" s="298"/>
      <c r="L434" s="158"/>
      <c r="M434" s="12"/>
      <c r="N434" s="29"/>
      <c r="O434" s="29"/>
      <c r="P434" s="12"/>
      <c r="Q434" s="12"/>
      <c r="R434" s="12"/>
    </row>
    <row r="435" spans="2:18">
      <c r="B435" s="86" t="s">
        <v>355</v>
      </c>
      <c r="C435" s="12" t="s">
        <v>604</v>
      </c>
      <c r="D435" s="110"/>
      <c r="E435" s="111"/>
      <c r="F435" s="112"/>
      <c r="G435" s="111"/>
      <c r="H435" s="111"/>
      <c r="I435" s="295"/>
      <c r="J435" s="87"/>
      <c r="K435" s="298"/>
      <c r="L435" s="158"/>
      <c r="M435" s="12"/>
      <c r="N435" s="29"/>
      <c r="O435" s="29"/>
      <c r="P435" s="12"/>
      <c r="Q435" s="12"/>
      <c r="R435" s="12"/>
    </row>
    <row r="436" spans="2:18">
      <c r="B436" s="86"/>
      <c r="C436" s="12" t="s">
        <v>354</v>
      </c>
      <c r="D436" s="110"/>
      <c r="E436" s="111"/>
      <c r="F436" s="112"/>
      <c r="G436" s="111"/>
      <c r="H436" s="111"/>
      <c r="I436" s="295"/>
      <c r="J436" s="87"/>
      <c r="K436" s="298"/>
      <c r="L436" s="158"/>
      <c r="M436" s="12"/>
      <c r="N436" s="29"/>
      <c r="O436" s="29"/>
      <c r="P436" s="12"/>
      <c r="Q436" s="12"/>
      <c r="R436" s="12"/>
    </row>
    <row r="437" spans="2:18">
      <c r="B437" s="86"/>
      <c r="C437" s="12" t="s">
        <v>254</v>
      </c>
      <c r="D437" s="110"/>
      <c r="E437" s="111"/>
      <c r="F437" s="112"/>
      <c r="G437" s="111"/>
      <c r="H437" s="111"/>
      <c r="I437" s="295"/>
      <c r="J437" s="87"/>
      <c r="K437" s="298"/>
      <c r="L437" s="158"/>
      <c r="M437" s="12"/>
      <c r="N437" s="29"/>
      <c r="O437" s="29"/>
      <c r="P437" s="12"/>
      <c r="Q437" s="12"/>
      <c r="R437" s="12"/>
    </row>
    <row r="438" spans="2:18">
      <c r="B438" s="86"/>
      <c r="C438" s="12" t="s">
        <v>255</v>
      </c>
      <c r="D438" s="110"/>
      <c r="E438" s="111"/>
      <c r="F438" s="112"/>
      <c r="G438" s="111"/>
      <c r="H438" s="111"/>
      <c r="I438" s="128"/>
      <c r="J438" s="87"/>
      <c r="K438" s="298"/>
      <c r="L438" s="158"/>
      <c r="M438" s="12"/>
      <c r="N438" s="29"/>
      <c r="O438" s="29"/>
      <c r="P438" s="12"/>
      <c r="Q438" s="12"/>
      <c r="R438" s="12"/>
    </row>
    <row r="439" spans="2:18">
      <c r="B439" s="86"/>
      <c r="C439" s="12" t="s">
        <v>22</v>
      </c>
      <c r="D439" s="110">
        <v>52</v>
      </c>
      <c r="E439" s="111" t="s">
        <v>6</v>
      </c>
      <c r="F439" s="112"/>
      <c r="G439" s="111"/>
      <c r="H439" s="111"/>
      <c r="I439" s="128"/>
      <c r="J439" s="87"/>
      <c r="K439" s="298"/>
      <c r="L439" s="158"/>
      <c r="M439" s="12"/>
      <c r="N439" s="29"/>
      <c r="O439" s="29"/>
      <c r="P439" s="12"/>
      <c r="Q439" s="12"/>
      <c r="R439" s="12"/>
    </row>
    <row r="440" spans="2:18">
      <c r="B440" s="86"/>
      <c r="C440" s="13" t="s">
        <v>56</v>
      </c>
      <c r="D440" s="113">
        <v>2.5</v>
      </c>
      <c r="E440" s="114" t="s">
        <v>6</v>
      </c>
      <c r="F440" s="115"/>
      <c r="G440" s="111"/>
      <c r="H440" s="111"/>
      <c r="I440" s="128"/>
      <c r="J440" s="87"/>
      <c r="K440" s="298"/>
      <c r="L440" s="158"/>
      <c r="M440" s="12"/>
      <c r="N440" s="29"/>
      <c r="O440" s="29"/>
      <c r="P440" s="12"/>
      <c r="Q440" s="12"/>
      <c r="R440" s="12"/>
    </row>
    <row r="441" spans="2:18">
      <c r="B441" s="86"/>
      <c r="C441" s="12" t="s">
        <v>256</v>
      </c>
      <c r="D441" s="110"/>
      <c r="E441" s="111"/>
      <c r="F441" s="112">
        <f>D439*D440</f>
        <v>130</v>
      </c>
      <c r="G441" s="111" t="s">
        <v>20</v>
      </c>
      <c r="H441" s="111"/>
      <c r="I441" s="128"/>
      <c r="J441" s="87"/>
      <c r="K441" s="298"/>
      <c r="L441" s="158"/>
      <c r="M441" s="12"/>
      <c r="N441" s="29"/>
      <c r="O441" s="29"/>
      <c r="P441" s="12"/>
      <c r="Q441" s="12"/>
      <c r="R441" s="12"/>
    </row>
    <row r="442" spans="2:18">
      <c r="B442" s="86"/>
      <c r="C442" s="12"/>
      <c r="D442" s="110"/>
      <c r="E442" s="111"/>
      <c r="F442" s="112"/>
      <c r="G442" s="111"/>
      <c r="H442" s="111"/>
      <c r="I442" s="128"/>
      <c r="J442" s="87"/>
      <c r="K442" s="298"/>
      <c r="L442" s="158"/>
      <c r="M442" s="12"/>
      <c r="N442" s="29"/>
      <c r="O442" s="29"/>
      <c r="P442" s="12"/>
      <c r="Q442" s="12"/>
      <c r="R442" s="12"/>
    </row>
    <row r="443" spans="2:18">
      <c r="B443" s="86"/>
      <c r="C443" s="13" t="s">
        <v>257</v>
      </c>
      <c r="D443" s="113"/>
      <c r="E443" s="114"/>
      <c r="F443" s="115" t="s">
        <v>352</v>
      </c>
      <c r="G443" s="115">
        <f>17*2.7</f>
        <v>45.900000000000006</v>
      </c>
      <c r="H443" s="114" t="s">
        <v>20</v>
      </c>
      <c r="I443" s="128"/>
      <c r="J443" s="87"/>
      <c r="K443" s="298"/>
      <c r="L443" s="158"/>
      <c r="M443" s="12"/>
      <c r="N443" s="29"/>
      <c r="O443" s="29"/>
      <c r="P443" s="12"/>
      <c r="Q443" s="12"/>
      <c r="R443" s="12"/>
    </row>
    <row r="444" spans="2:18">
      <c r="B444" s="86"/>
      <c r="C444" s="12" t="s">
        <v>258</v>
      </c>
      <c r="D444" s="110"/>
      <c r="E444" s="111"/>
      <c r="F444" s="112"/>
      <c r="G444" s="111"/>
      <c r="H444" s="111"/>
      <c r="I444" s="128"/>
      <c r="J444" s="87"/>
      <c r="K444" s="298"/>
      <c r="L444" s="158"/>
      <c r="M444" s="12"/>
      <c r="N444" s="29"/>
      <c r="O444" s="29"/>
      <c r="P444" s="12"/>
      <c r="Q444" s="12"/>
      <c r="R444" s="12"/>
    </row>
    <row r="445" spans="2:18">
      <c r="B445" s="86"/>
      <c r="C445" s="29" t="s">
        <v>258</v>
      </c>
      <c r="D445" s="110" t="s">
        <v>353</v>
      </c>
      <c r="E445" s="111"/>
      <c r="F445" s="112"/>
      <c r="G445" s="111">
        <f>F441-G443</f>
        <v>84.1</v>
      </c>
      <c r="H445" s="111" t="s">
        <v>20</v>
      </c>
      <c r="I445" s="128"/>
      <c r="J445" s="87"/>
      <c r="K445" s="298"/>
      <c r="L445" s="158"/>
      <c r="M445" s="12"/>
      <c r="N445" s="29"/>
      <c r="O445" s="29"/>
      <c r="P445" s="12"/>
      <c r="Q445" s="12"/>
      <c r="R445" s="12"/>
    </row>
    <row r="446" spans="2:18">
      <c r="B446" s="86"/>
      <c r="C446" s="13" t="s">
        <v>202</v>
      </c>
      <c r="D446" s="113"/>
      <c r="E446" s="114"/>
      <c r="F446" s="115"/>
      <c r="G446" s="114">
        <v>0.3</v>
      </c>
      <c r="H446" s="114" t="s">
        <v>6</v>
      </c>
      <c r="I446" s="128"/>
      <c r="J446" s="87"/>
      <c r="K446" s="298"/>
      <c r="L446" s="158"/>
      <c r="M446" s="12"/>
      <c r="N446" s="29"/>
      <c r="O446" s="29"/>
      <c r="P446" s="12"/>
      <c r="Q446" s="12"/>
      <c r="R446" s="12"/>
    </row>
    <row r="447" spans="2:18">
      <c r="B447" s="86"/>
      <c r="C447" s="12" t="s">
        <v>125</v>
      </c>
      <c r="D447" s="110"/>
      <c r="E447" s="111"/>
      <c r="F447" s="112"/>
      <c r="G447" s="111">
        <f>G445*G446</f>
        <v>25.229999999999997</v>
      </c>
      <c r="H447" s="111" t="s">
        <v>21</v>
      </c>
      <c r="I447" s="128"/>
      <c r="J447" s="87"/>
      <c r="K447" s="298"/>
      <c r="L447" s="158"/>
      <c r="M447" s="12"/>
      <c r="N447" s="29"/>
      <c r="O447" s="29"/>
      <c r="P447" s="12"/>
      <c r="Q447" s="12"/>
      <c r="R447" s="12"/>
    </row>
    <row r="448" spans="2:18">
      <c r="B448" s="86"/>
      <c r="C448" s="12"/>
      <c r="D448" s="110"/>
      <c r="E448" s="111"/>
      <c r="F448" s="112"/>
      <c r="G448" s="111"/>
      <c r="H448" s="111"/>
      <c r="I448" s="294"/>
      <c r="J448" s="87"/>
      <c r="K448" s="298"/>
      <c r="L448" s="158"/>
      <c r="M448" s="12"/>
      <c r="N448" s="29"/>
      <c r="O448" s="29"/>
      <c r="P448" s="12"/>
      <c r="Q448" s="12"/>
      <c r="R448" s="12"/>
    </row>
    <row r="449" spans="2:18">
      <c r="B449" s="86" t="s">
        <v>357</v>
      </c>
      <c r="C449" s="12" t="s">
        <v>438</v>
      </c>
      <c r="D449" s="110"/>
      <c r="E449" s="111"/>
      <c r="F449" s="112"/>
      <c r="G449" s="111"/>
      <c r="H449" s="111"/>
      <c r="I449" s="527"/>
      <c r="J449" s="87"/>
      <c r="K449" s="298"/>
      <c r="L449" s="158"/>
      <c r="M449" s="12"/>
      <c r="N449" s="29"/>
      <c r="O449" s="29"/>
      <c r="P449" s="12"/>
      <c r="Q449" s="12"/>
      <c r="R449" s="12"/>
    </row>
    <row r="450" spans="2:18">
      <c r="B450" s="86"/>
      <c r="C450" s="12" t="s">
        <v>358</v>
      </c>
      <c r="D450" s="110"/>
      <c r="E450" s="111"/>
      <c r="F450" s="112"/>
      <c r="G450" s="111"/>
      <c r="H450" s="111"/>
      <c r="I450" s="527"/>
      <c r="J450" s="87"/>
      <c r="K450" s="298"/>
      <c r="L450" s="158"/>
      <c r="M450" s="12"/>
      <c r="N450" s="29"/>
      <c r="O450" s="29"/>
      <c r="P450" s="12"/>
      <c r="Q450" s="12"/>
      <c r="R450" s="12"/>
    </row>
    <row r="451" spans="2:18">
      <c r="B451" s="86"/>
      <c r="C451" s="12"/>
      <c r="D451" s="110"/>
      <c r="E451" s="111"/>
      <c r="F451" s="112"/>
      <c r="G451" s="111"/>
      <c r="H451" s="111"/>
      <c r="I451" s="527"/>
      <c r="J451" s="87"/>
      <c r="K451" s="298"/>
      <c r="L451" s="158"/>
      <c r="M451" s="12"/>
      <c r="N451" s="29"/>
      <c r="O451" s="29"/>
      <c r="P451" s="12"/>
      <c r="Q451" s="12"/>
      <c r="R451" s="12"/>
    </row>
    <row r="452" spans="2:18">
      <c r="B452" s="86"/>
      <c r="C452" s="12" t="s">
        <v>359</v>
      </c>
      <c r="D452" s="110">
        <v>17</v>
      </c>
      <c r="E452" s="111"/>
      <c r="F452" s="112"/>
      <c r="G452" s="111"/>
      <c r="H452" s="111"/>
      <c r="I452" s="527"/>
      <c r="J452" s="87"/>
      <c r="K452" s="298"/>
      <c r="L452" s="158"/>
      <c r="M452" s="12"/>
      <c r="N452" s="29"/>
      <c r="O452" s="29"/>
      <c r="P452" s="12"/>
      <c r="Q452" s="12"/>
      <c r="R452" s="12"/>
    </row>
    <row r="453" spans="2:18">
      <c r="B453" s="86"/>
      <c r="C453" s="12" t="s">
        <v>360</v>
      </c>
      <c r="D453" s="110"/>
      <c r="E453" s="111">
        <v>1.82</v>
      </c>
      <c r="F453" s="564" t="s">
        <v>20</v>
      </c>
      <c r="G453" s="111"/>
      <c r="H453" s="111"/>
      <c r="I453" s="527"/>
      <c r="J453" s="87"/>
      <c r="K453" s="298"/>
      <c r="L453" s="158"/>
      <c r="M453" s="12"/>
      <c r="N453" s="29"/>
      <c r="O453" s="29"/>
      <c r="P453" s="12"/>
      <c r="Q453" s="12"/>
      <c r="R453" s="12"/>
    </row>
    <row r="454" spans="2:18">
      <c r="B454" s="86"/>
      <c r="C454" s="12" t="s">
        <v>361</v>
      </c>
      <c r="D454" s="110"/>
      <c r="E454" s="111">
        <f>D452*E453</f>
        <v>30.94</v>
      </c>
      <c r="F454" s="564" t="s">
        <v>20</v>
      </c>
      <c r="G454" s="111"/>
      <c r="H454" s="111"/>
      <c r="I454" s="527"/>
      <c r="J454" s="87"/>
      <c r="K454" s="298"/>
      <c r="L454" s="158"/>
      <c r="M454" s="12"/>
      <c r="N454" s="29"/>
      <c r="O454" s="29"/>
      <c r="P454" s="12"/>
      <c r="Q454" s="12"/>
      <c r="R454" s="12"/>
    </row>
    <row r="455" spans="2:18">
      <c r="B455" s="86"/>
      <c r="C455" s="12" t="s">
        <v>362</v>
      </c>
      <c r="D455" s="110"/>
      <c r="E455" s="111">
        <v>0.1</v>
      </c>
      <c r="F455" s="564" t="s">
        <v>6</v>
      </c>
      <c r="G455" s="111"/>
      <c r="H455" s="111"/>
      <c r="I455" s="527"/>
      <c r="J455" s="87"/>
      <c r="K455" s="298"/>
      <c r="L455" s="158"/>
      <c r="M455" s="12"/>
      <c r="N455" s="29"/>
      <c r="O455" s="29"/>
      <c r="P455" s="12"/>
      <c r="Q455" s="12"/>
      <c r="R455" s="12"/>
    </row>
    <row r="456" spans="2:18">
      <c r="B456" s="86"/>
      <c r="C456" s="12" t="s">
        <v>19</v>
      </c>
      <c r="D456" s="110"/>
      <c r="E456" s="111"/>
      <c r="F456" s="564"/>
      <c r="G456" s="111">
        <f>E455*E454</f>
        <v>3.0940000000000003</v>
      </c>
      <c r="H456" s="111" t="s">
        <v>21</v>
      </c>
      <c r="I456" s="527"/>
      <c r="J456" s="87"/>
      <c r="K456" s="298"/>
      <c r="L456" s="158"/>
      <c r="M456" s="12"/>
      <c r="N456" s="29"/>
      <c r="O456" s="29"/>
      <c r="P456" s="12"/>
      <c r="Q456" s="12"/>
      <c r="R456" s="12"/>
    </row>
    <row r="457" spans="2:18">
      <c r="B457" s="86"/>
      <c r="C457" s="12"/>
      <c r="D457" s="110"/>
      <c r="E457" s="111"/>
      <c r="F457" s="112"/>
      <c r="G457" s="111"/>
      <c r="H457" s="111"/>
      <c r="I457" s="128"/>
      <c r="J457" s="87"/>
      <c r="K457" s="355"/>
      <c r="L457" s="158"/>
      <c r="M457" s="12"/>
      <c r="N457" s="29"/>
      <c r="O457" s="29"/>
      <c r="P457" s="12"/>
      <c r="Q457" s="12"/>
      <c r="R457" s="12"/>
    </row>
    <row r="458" spans="2:18">
      <c r="B458" s="86" t="s">
        <v>142</v>
      </c>
      <c r="C458" s="12" t="s">
        <v>143</v>
      </c>
      <c r="D458" s="110"/>
      <c r="E458" s="111"/>
      <c r="F458" s="112"/>
      <c r="G458" s="111"/>
      <c r="H458" s="111"/>
      <c r="I458" s="128"/>
      <c r="J458" s="87"/>
      <c r="K458" s="111"/>
      <c r="L458" s="158"/>
      <c r="M458" s="12"/>
      <c r="N458" s="29"/>
      <c r="O458" s="29"/>
      <c r="P458" s="12"/>
      <c r="Q458" s="12"/>
      <c r="R458" s="12"/>
    </row>
    <row r="459" spans="2:18">
      <c r="B459" s="86" t="s">
        <v>260</v>
      </c>
      <c r="C459" s="12" t="s">
        <v>259</v>
      </c>
      <c r="D459" s="110"/>
      <c r="E459" s="111"/>
      <c r="F459" s="112"/>
      <c r="G459" s="111"/>
      <c r="H459" s="111"/>
      <c r="I459" s="128"/>
      <c r="J459" s="87"/>
      <c r="K459" s="111"/>
      <c r="L459" s="158"/>
      <c r="M459" s="12"/>
      <c r="N459" s="29"/>
      <c r="O459" s="29"/>
      <c r="P459" s="12"/>
      <c r="Q459" s="12"/>
      <c r="R459" s="12"/>
    </row>
    <row r="460" spans="2:18">
      <c r="B460" s="86"/>
      <c r="C460" s="12" t="s">
        <v>261</v>
      </c>
      <c r="D460" s="110"/>
      <c r="E460" s="111"/>
      <c r="F460" s="112"/>
      <c r="G460" s="111"/>
      <c r="H460" s="111"/>
      <c r="I460" s="128"/>
      <c r="J460" s="87"/>
      <c r="K460" s="111"/>
      <c r="L460" s="158"/>
      <c r="M460" s="12"/>
      <c r="N460" s="29"/>
      <c r="O460" s="29"/>
      <c r="P460" s="12"/>
      <c r="Q460" s="12"/>
      <c r="R460" s="12"/>
    </row>
    <row r="461" spans="2:18">
      <c r="B461" s="86"/>
      <c r="C461" s="12" t="s">
        <v>262</v>
      </c>
      <c r="D461" s="110"/>
      <c r="E461" s="111"/>
      <c r="F461" s="112"/>
      <c r="G461" s="111"/>
      <c r="H461" s="111"/>
      <c r="I461" s="128"/>
      <c r="J461" s="87"/>
      <c r="K461" s="111"/>
      <c r="L461" s="158"/>
      <c r="M461" s="12"/>
      <c r="N461" s="29"/>
      <c r="O461" s="29"/>
      <c r="P461" s="12"/>
      <c r="Q461" s="12"/>
      <c r="R461" s="12"/>
    </row>
    <row r="462" spans="2:18">
      <c r="B462" s="86"/>
      <c r="C462" s="12" t="s">
        <v>263</v>
      </c>
      <c r="D462" s="110"/>
      <c r="E462" s="111"/>
      <c r="F462" s="112"/>
      <c r="G462" s="111"/>
      <c r="H462" s="111"/>
      <c r="I462" s="128"/>
      <c r="J462" s="87"/>
      <c r="K462" s="111"/>
      <c r="L462" s="158"/>
      <c r="M462" s="12"/>
      <c r="N462" s="29"/>
      <c r="O462" s="29"/>
      <c r="P462" s="12"/>
      <c r="Q462" s="12"/>
      <c r="R462" s="12"/>
    </row>
    <row r="463" spans="2:18">
      <c r="B463" s="86"/>
      <c r="C463" s="12" t="s">
        <v>264</v>
      </c>
      <c r="D463" s="110"/>
      <c r="E463" s="111">
        <v>2.7</v>
      </c>
      <c r="F463" s="112" t="s">
        <v>6</v>
      </c>
      <c r="G463" s="111"/>
      <c r="H463" s="111"/>
      <c r="I463" s="128"/>
      <c r="J463" s="87"/>
      <c r="K463" s="111"/>
      <c r="L463" s="158"/>
      <c r="M463" s="12"/>
      <c r="N463" s="29"/>
      <c r="O463" s="29"/>
      <c r="P463" s="12"/>
      <c r="Q463" s="12"/>
      <c r="R463" s="12"/>
    </row>
    <row r="464" spans="2:18">
      <c r="B464" s="86"/>
      <c r="C464" s="13" t="s">
        <v>265</v>
      </c>
      <c r="D464" s="113" t="s">
        <v>266</v>
      </c>
      <c r="E464" s="113">
        <f>2*2.3</f>
        <v>4.5999999999999996</v>
      </c>
      <c r="F464" s="115" t="s">
        <v>6</v>
      </c>
      <c r="G464" s="111"/>
      <c r="H464" s="111"/>
      <c r="I464" s="128"/>
      <c r="J464" s="87"/>
      <c r="K464" s="111"/>
      <c r="L464" s="158"/>
      <c r="M464" s="12"/>
      <c r="N464" s="29"/>
      <c r="O464" s="29"/>
      <c r="P464" s="12"/>
      <c r="Q464" s="12"/>
      <c r="R464" s="12"/>
    </row>
    <row r="465" spans="2:18">
      <c r="B465" s="86"/>
      <c r="C465" s="12" t="s">
        <v>30</v>
      </c>
      <c r="D465" s="110"/>
      <c r="E465" s="111">
        <f>SUM(E463:E464)</f>
        <v>7.3</v>
      </c>
      <c r="F465" s="112" t="s">
        <v>6</v>
      </c>
      <c r="G465" s="111"/>
      <c r="H465" s="111"/>
      <c r="I465" s="128"/>
      <c r="J465" s="87"/>
      <c r="K465" s="111"/>
      <c r="L465" s="158"/>
      <c r="M465" s="12"/>
      <c r="N465" s="29"/>
      <c r="O465" s="29"/>
      <c r="P465" s="12"/>
      <c r="Q465" s="12"/>
      <c r="R465" s="12"/>
    </row>
    <row r="466" spans="2:18">
      <c r="B466" s="86"/>
      <c r="C466" s="13" t="s">
        <v>241</v>
      </c>
      <c r="D466" s="113"/>
      <c r="E466" s="114">
        <v>16</v>
      </c>
      <c r="F466" s="115"/>
      <c r="G466" s="111"/>
      <c r="H466" s="111"/>
      <c r="I466" s="128"/>
      <c r="J466" s="87"/>
      <c r="K466" s="111"/>
      <c r="L466" s="158"/>
      <c r="M466" s="12"/>
      <c r="N466" s="29"/>
      <c r="O466" s="29"/>
      <c r="P466" s="12"/>
      <c r="Q466" s="12"/>
      <c r="R466" s="12"/>
    </row>
    <row r="467" spans="2:18">
      <c r="B467" s="86"/>
      <c r="C467" s="12" t="s">
        <v>206</v>
      </c>
      <c r="D467" s="110"/>
      <c r="E467" s="111"/>
      <c r="F467" s="112">
        <f>E465*E466</f>
        <v>116.8</v>
      </c>
      <c r="G467" s="111" t="s">
        <v>32</v>
      </c>
      <c r="H467" s="111"/>
      <c r="I467" s="128"/>
      <c r="J467" s="87"/>
      <c r="K467" s="111"/>
      <c r="L467" s="158"/>
      <c r="M467" s="12"/>
      <c r="N467" s="29"/>
      <c r="O467" s="29"/>
      <c r="P467" s="12"/>
      <c r="Q467" s="12"/>
      <c r="R467" s="12"/>
    </row>
    <row r="468" spans="2:18">
      <c r="B468" s="86"/>
      <c r="C468" s="12"/>
      <c r="D468" s="110"/>
      <c r="E468" s="111"/>
      <c r="F468" s="112"/>
      <c r="G468" s="111"/>
      <c r="H468" s="111"/>
      <c r="I468" s="294"/>
      <c r="J468" s="87"/>
      <c r="K468" s="111"/>
      <c r="L468" s="158"/>
      <c r="M468" s="12"/>
      <c r="N468" s="29"/>
      <c r="O468" s="29"/>
      <c r="P468" s="12"/>
      <c r="Q468" s="12"/>
      <c r="R468" s="12"/>
    </row>
    <row r="469" spans="2:18">
      <c r="B469" s="86"/>
      <c r="C469" s="12" t="s">
        <v>382</v>
      </c>
      <c r="D469" s="110"/>
      <c r="E469" s="111"/>
      <c r="F469" s="112"/>
      <c r="G469" s="111"/>
      <c r="H469" s="111"/>
      <c r="I469" s="294"/>
      <c r="J469" s="87"/>
      <c r="K469" s="111"/>
      <c r="L469" s="158"/>
      <c r="M469" s="12"/>
      <c r="N469" s="29"/>
      <c r="O469" s="29"/>
      <c r="P469" s="12"/>
      <c r="Q469" s="12"/>
      <c r="R469" s="12"/>
    </row>
    <row r="470" spans="2:18">
      <c r="B470" s="86"/>
      <c r="C470" s="12"/>
      <c r="D470" s="110" t="s">
        <v>271</v>
      </c>
      <c r="E470" s="111"/>
      <c r="F470" s="112"/>
      <c r="G470" s="111"/>
      <c r="H470" s="111"/>
      <c r="I470" s="294"/>
      <c r="J470" s="87"/>
      <c r="K470" s="111"/>
      <c r="L470" s="158"/>
      <c r="M470" s="12"/>
      <c r="N470" s="29"/>
      <c r="O470" s="29"/>
      <c r="P470" s="12"/>
      <c r="Q470" s="12"/>
      <c r="R470" s="12"/>
    </row>
    <row r="471" spans="2:18">
      <c r="B471" s="86"/>
      <c r="C471" s="12" t="s">
        <v>383</v>
      </c>
      <c r="D471" s="110">
        <v>16</v>
      </c>
      <c r="E471" s="111" t="s">
        <v>25</v>
      </c>
      <c r="F471" s="112"/>
      <c r="G471" s="111"/>
      <c r="H471" s="111"/>
      <c r="I471" s="294"/>
      <c r="J471" s="87"/>
      <c r="K471" s="111"/>
      <c r="L471" s="158"/>
      <c r="M471" s="12"/>
      <c r="N471" s="29"/>
      <c r="O471" s="29"/>
      <c r="P471" s="12"/>
      <c r="Q471" s="12"/>
      <c r="R471" s="12"/>
    </row>
    <row r="472" spans="2:18">
      <c r="B472" s="86"/>
      <c r="C472" s="12" t="s">
        <v>384</v>
      </c>
      <c r="D472" s="110">
        <v>9</v>
      </c>
      <c r="E472" s="111" t="s">
        <v>25</v>
      </c>
      <c r="F472" s="112"/>
      <c r="G472" s="111"/>
      <c r="H472" s="111"/>
      <c r="I472" s="294"/>
      <c r="J472" s="87"/>
      <c r="K472" s="111"/>
      <c r="L472" s="158"/>
      <c r="M472" s="12"/>
      <c r="N472" s="29"/>
      <c r="O472" s="29"/>
      <c r="P472" s="12"/>
      <c r="Q472" s="12"/>
      <c r="R472" s="12"/>
    </row>
    <row r="473" spans="2:18">
      <c r="B473" s="86"/>
      <c r="C473" s="13" t="s">
        <v>241</v>
      </c>
      <c r="D473" s="113"/>
      <c r="E473" s="114">
        <v>0.61699999999999999</v>
      </c>
      <c r="F473" s="112" t="s">
        <v>199</v>
      </c>
      <c r="G473" s="111"/>
      <c r="H473" s="111"/>
      <c r="I473" s="294"/>
      <c r="J473" s="87"/>
      <c r="K473" s="111"/>
      <c r="L473" s="158"/>
      <c r="M473" s="12"/>
      <c r="N473" s="29"/>
      <c r="O473" s="29"/>
      <c r="P473" s="12"/>
      <c r="Q473" s="12"/>
      <c r="R473" s="12"/>
    </row>
    <row r="474" spans="2:18">
      <c r="B474" s="86"/>
      <c r="C474" s="12" t="s">
        <v>206</v>
      </c>
      <c r="D474" s="110"/>
      <c r="E474" s="111">
        <f>(D471+D472)*E473*0.56</f>
        <v>8.6380000000000017</v>
      </c>
      <c r="F474" s="112"/>
      <c r="G474" s="111"/>
      <c r="H474" s="111"/>
      <c r="I474" s="294"/>
      <c r="J474" s="87"/>
      <c r="K474" s="111"/>
      <c r="L474" s="158"/>
      <c r="M474" s="12"/>
      <c r="N474" s="29"/>
      <c r="O474" s="29"/>
      <c r="P474" s="12"/>
      <c r="Q474" s="12"/>
      <c r="R474" s="12"/>
    </row>
    <row r="475" spans="2:18">
      <c r="B475" s="86"/>
      <c r="C475" s="12"/>
      <c r="D475" s="110"/>
      <c r="E475" s="111"/>
      <c r="F475" s="112"/>
      <c r="G475" s="111"/>
      <c r="H475" s="111"/>
      <c r="I475" s="294"/>
      <c r="J475" s="87"/>
      <c r="K475" s="111"/>
      <c r="L475" s="158"/>
      <c r="M475" s="12"/>
      <c r="N475" s="29"/>
      <c r="O475" s="29"/>
      <c r="P475" s="12"/>
      <c r="Q475" s="12"/>
      <c r="R475" s="12"/>
    </row>
    <row r="476" spans="2:18">
      <c r="B476" s="86"/>
      <c r="C476" s="12" t="s">
        <v>385</v>
      </c>
      <c r="D476" s="110"/>
      <c r="E476" s="111">
        <f>F467+E474</f>
        <v>125.438</v>
      </c>
      <c r="F476" s="112"/>
      <c r="G476" s="111" t="s">
        <v>32</v>
      </c>
      <c r="H476" s="111"/>
      <c r="I476" s="128"/>
      <c r="J476" s="87"/>
      <c r="K476" s="111"/>
      <c r="L476" s="158"/>
      <c r="M476" s="12"/>
      <c r="N476" s="29"/>
      <c r="O476" s="29"/>
      <c r="P476" s="12"/>
      <c r="Q476" s="12"/>
      <c r="R476" s="12"/>
    </row>
    <row r="477" spans="2:18">
      <c r="B477" s="86" t="s">
        <v>267</v>
      </c>
      <c r="C477" s="12" t="s">
        <v>389</v>
      </c>
      <c r="D477" s="110"/>
      <c r="E477" s="111"/>
      <c r="F477" s="112"/>
      <c r="G477" s="111"/>
      <c r="H477" s="111"/>
      <c r="I477" s="128"/>
      <c r="J477" s="87"/>
      <c r="K477" s="111"/>
      <c r="L477" s="158"/>
      <c r="M477" s="195"/>
      <c r="N477" s="186"/>
      <c r="O477" s="186"/>
      <c r="P477" s="180"/>
      <c r="Q477" s="180"/>
      <c r="R477" s="180"/>
    </row>
    <row r="478" spans="2:18">
      <c r="B478" s="353" t="s">
        <v>268</v>
      </c>
      <c r="C478" s="12" t="s">
        <v>332</v>
      </c>
      <c r="D478" s="110"/>
      <c r="E478" s="111"/>
      <c r="F478" s="112"/>
      <c r="G478" s="111"/>
      <c r="H478" s="111"/>
      <c r="I478" s="128"/>
      <c r="J478" s="87"/>
      <c r="K478" s="111"/>
      <c r="L478" s="158"/>
      <c r="M478" s="195"/>
      <c r="N478" s="186"/>
      <c r="O478" s="186"/>
      <c r="P478" s="180"/>
      <c r="Q478" s="180"/>
      <c r="R478" s="180"/>
    </row>
    <row r="479" spans="2:18">
      <c r="B479" s="353"/>
      <c r="C479" s="12" t="s">
        <v>445</v>
      </c>
      <c r="D479" s="110"/>
      <c r="E479" s="111"/>
      <c r="F479" s="112"/>
      <c r="G479" s="111"/>
      <c r="H479" s="111"/>
      <c r="I479" s="223"/>
      <c r="J479" s="87"/>
      <c r="K479" s="111"/>
      <c r="L479" s="158"/>
      <c r="M479" s="195"/>
      <c r="N479" s="186"/>
      <c r="O479" s="186"/>
      <c r="P479" s="180"/>
      <c r="Q479" s="180"/>
      <c r="R479" s="180"/>
    </row>
    <row r="480" spans="2:18">
      <c r="B480" s="353"/>
      <c r="C480" s="12" t="s">
        <v>269</v>
      </c>
      <c r="D480" s="110"/>
      <c r="E480" s="31" t="s">
        <v>450</v>
      </c>
      <c r="F480" s="112"/>
      <c r="G480" s="111"/>
      <c r="H480" s="111"/>
      <c r="I480" s="128"/>
      <c r="J480" s="87"/>
      <c r="K480" s="111"/>
      <c r="L480" s="158"/>
      <c r="M480" s="195"/>
      <c r="N480" s="186"/>
      <c r="O480" s="186"/>
      <c r="P480" s="180"/>
      <c r="Q480" s="180"/>
      <c r="R480" s="180"/>
    </row>
    <row r="481" spans="2:18">
      <c r="B481" s="353"/>
      <c r="C481" s="12" t="s">
        <v>476</v>
      </c>
      <c r="D481" s="12"/>
      <c r="E481" s="12" t="s">
        <v>528</v>
      </c>
      <c r="F481" s="12">
        <f>14.5+3.5</f>
        <v>18</v>
      </c>
      <c r="G481" s="12" t="s">
        <v>6</v>
      </c>
      <c r="H481" s="111"/>
      <c r="I481" s="369"/>
      <c r="J481" s="87"/>
      <c r="K481" s="111"/>
      <c r="L481" s="158"/>
      <c r="M481" s="195"/>
      <c r="N481" s="186"/>
      <c r="O481" s="186"/>
      <c r="P481" s="180"/>
      <c r="Q481" s="180"/>
      <c r="R481" s="180"/>
    </row>
    <row r="482" spans="2:18">
      <c r="B482" s="353"/>
      <c r="C482" s="12" t="s">
        <v>479</v>
      </c>
      <c r="D482" s="12"/>
      <c r="E482" s="12"/>
      <c r="F482" s="12"/>
      <c r="G482" s="12"/>
      <c r="H482" s="111"/>
      <c r="I482" s="369"/>
      <c r="J482" s="87"/>
      <c r="K482" s="111"/>
      <c r="L482" s="158"/>
      <c r="M482" s="195"/>
      <c r="N482" s="186"/>
      <c r="O482" s="186"/>
      <c r="P482" s="180"/>
      <c r="Q482" s="180"/>
      <c r="R482" s="180"/>
    </row>
    <row r="483" spans="2:18">
      <c r="B483" s="353"/>
      <c r="C483" s="12" t="s">
        <v>478</v>
      </c>
      <c r="D483" s="12"/>
      <c r="E483" s="12" t="s">
        <v>529</v>
      </c>
      <c r="F483" s="12">
        <f>12+5+5</f>
        <v>22</v>
      </c>
      <c r="G483" s="12" t="s">
        <v>6</v>
      </c>
      <c r="H483" s="111"/>
      <c r="I483" s="369"/>
      <c r="J483" s="87"/>
      <c r="K483" s="111"/>
      <c r="L483" s="158"/>
      <c r="M483" s="195"/>
      <c r="N483" s="186"/>
      <c r="O483" s="186"/>
      <c r="P483" s="180"/>
      <c r="Q483" s="180"/>
      <c r="R483" s="180"/>
    </row>
    <row r="484" spans="2:18">
      <c r="B484" s="353"/>
      <c r="C484" s="12" t="s">
        <v>477</v>
      </c>
      <c r="D484" s="12"/>
      <c r="E484" s="12" t="s">
        <v>530</v>
      </c>
      <c r="F484" s="12">
        <f>7.7+ 3.7</f>
        <v>11.4</v>
      </c>
      <c r="G484" s="12" t="s">
        <v>6</v>
      </c>
      <c r="H484" s="111"/>
      <c r="I484" s="369"/>
      <c r="J484" s="87"/>
      <c r="K484" s="111"/>
      <c r="L484" s="158"/>
      <c r="M484" s="195"/>
      <c r="N484" s="186"/>
      <c r="O484" s="186"/>
      <c r="P484" s="180"/>
      <c r="Q484" s="180"/>
      <c r="R484" s="180"/>
    </row>
    <row r="485" spans="2:18">
      <c r="B485" s="353"/>
      <c r="C485" s="12" t="s">
        <v>464</v>
      </c>
      <c r="D485" s="12"/>
      <c r="E485" s="12"/>
      <c r="F485" s="12">
        <f>2*3.2+3.2</f>
        <v>9.6000000000000014</v>
      </c>
      <c r="G485" s="12" t="s">
        <v>6</v>
      </c>
      <c r="H485" s="111"/>
      <c r="I485" s="369"/>
      <c r="J485" s="87"/>
      <c r="K485" s="111"/>
      <c r="L485" s="158"/>
      <c r="M485" s="195"/>
      <c r="N485" s="186"/>
      <c r="O485" s="186"/>
      <c r="P485" s="180"/>
      <c r="Q485" s="180"/>
      <c r="R485" s="180"/>
    </row>
    <row r="486" spans="2:18">
      <c r="B486" s="353"/>
      <c r="C486" s="12" t="s">
        <v>462</v>
      </c>
      <c r="D486" s="12"/>
      <c r="E486" s="12" t="s">
        <v>536</v>
      </c>
      <c r="F486" s="12">
        <f>2*3+3.6</f>
        <v>9.6</v>
      </c>
      <c r="G486" s="12" t="s">
        <v>6</v>
      </c>
      <c r="H486" s="111"/>
      <c r="I486" s="369"/>
      <c r="J486" s="87"/>
      <c r="K486" s="111"/>
      <c r="L486" s="158"/>
      <c r="M486" s="195"/>
      <c r="N486" s="186"/>
      <c r="O486" s="186"/>
      <c r="P486" s="180"/>
      <c r="Q486" s="180"/>
      <c r="R486" s="180"/>
    </row>
    <row r="487" spans="2:18">
      <c r="B487" s="353"/>
      <c r="C487" s="12" t="s">
        <v>447</v>
      </c>
      <c r="D487" s="12"/>
      <c r="E487" s="12"/>
      <c r="F487" s="12">
        <v>3</v>
      </c>
      <c r="G487" s="12" t="s">
        <v>6</v>
      </c>
      <c r="H487" s="111"/>
      <c r="I487" s="369"/>
      <c r="J487" s="87"/>
      <c r="K487" s="111"/>
      <c r="L487" s="158"/>
      <c r="M487" s="195"/>
      <c r="N487" s="186"/>
      <c r="O487" s="186"/>
      <c r="P487" s="180"/>
      <c r="Q487" s="180"/>
      <c r="R487" s="180"/>
    </row>
    <row r="488" spans="2:18">
      <c r="B488" s="353"/>
      <c r="C488" s="29" t="s">
        <v>455</v>
      </c>
      <c r="D488" s="29"/>
      <c r="E488" s="29"/>
      <c r="F488" s="29">
        <v>4</v>
      </c>
      <c r="G488" s="29" t="s">
        <v>6</v>
      </c>
      <c r="H488" s="111"/>
      <c r="I488" s="369"/>
      <c r="J488" s="87"/>
      <c r="K488" s="111"/>
      <c r="L488" s="158"/>
      <c r="M488" s="195"/>
      <c r="N488" s="186"/>
      <c r="O488" s="186"/>
      <c r="P488" s="180"/>
      <c r="Q488" s="180"/>
      <c r="R488" s="180"/>
    </row>
    <row r="489" spans="2:18">
      <c r="B489" s="353"/>
      <c r="C489" s="13" t="s">
        <v>456</v>
      </c>
      <c r="D489" s="13"/>
      <c r="E489" s="13"/>
      <c r="F489" s="13">
        <v>0</v>
      </c>
      <c r="G489" s="13"/>
      <c r="H489" s="111"/>
      <c r="I489" s="369"/>
      <c r="J489" s="87"/>
      <c r="K489" s="111"/>
      <c r="L489" s="158"/>
      <c r="M489" s="195"/>
      <c r="N489" s="186"/>
      <c r="O489" s="186"/>
      <c r="P489" s="180"/>
      <c r="Q489" s="180"/>
      <c r="R489" s="180"/>
    </row>
    <row r="490" spans="2:18">
      <c r="B490" s="353"/>
      <c r="C490" s="354" t="s">
        <v>30</v>
      </c>
      <c r="D490" s="12"/>
      <c r="E490" s="12"/>
      <c r="F490" s="12">
        <f>SUM(F482:F489)*1.2</f>
        <v>71.52</v>
      </c>
      <c r="G490" s="12" t="s">
        <v>6</v>
      </c>
      <c r="H490" s="111"/>
      <c r="I490" s="369"/>
      <c r="J490" s="87"/>
      <c r="K490" s="111"/>
      <c r="L490" s="158"/>
      <c r="M490" s="195"/>
      <c r="N490" s="186"/>
      <c r="O490" s="186"/>
      <c r="P490" s="180"/>
      <c r="Q490" s="180"/>
      <c r="R490" s="180"/>
    </row>
    <row r="491" spans="2:18">
      <c r="B491" s="353"/>
      <c r="C491" s="29"/>
      <c r="D491" s="110"/>
      <c r="E491" s="110"/>
      <c r="F491" s="112"/>
      <c r="G491" s="111"/>
      <c r="H491" s="111"/>
      <c r="I491" s="369"/>
      <c r="J491" s="87"/>
      <c r="K491" s="111"/>
      <c r="L491" s="158"/>
      <c r="M491" s="195"/>
      <c r="N491" s="186"/>
      <c r="O491" s="186"/>
      <c r="P491" s="180"/>
      <c r="Q491" s="180"/>
      <c r="R491" s="180"/>
    </row>
    <row r="492" spans="2:18">
      <c r="B492" s="353" t="s">
        <v>556</v>
      </c>
      <c r="C492" s="12" t="s">
        <v>270</v>
      </c>
      <c r="D492" s="110"/>
      <c r="E492" s="111"/>
      <c r="F492" s="112"/>
      <c r="G492" s="111"/>
      <c r="H492" s="111"/>
      <c r="I492" s="369"/>
      <c r="J492" s="87"/>
      <c r="K492" s="111"/>
      <c r="L492" s="158"/>
      <c r="M492" s="195"/>
      <c r="N492" s="186"/>
      <c r="O492" s="186"/>
      <c r="P492" s="180"/>
      <c r="Q492" s="180"/>
      <c r="R492" s="180"/>
    </row>
    <row r="493" spans="2:18">
      <c r="B493" s="353"/>
      <c r="C493" s="12" t="s">
        <v>540</v>
      </c>
      <c r="D493" s="110"/>
      <c r="E493" s="111"/>
      <c r="F493" s="112"/>
      <c r="G493" s="111"/>
      <c r="H493" s="111"/>
      <c r="I493" s="369"/>
      <c r="J493" s="87"/>
      <c r="K493" s="111"/>
      <c r="L493" s="158"/>
      <c r="M493" s="195"/>
      <c r="N493" s="186"/>
      <c r="O493" s="186"/>
      <c r="P493" s="180"/>
      <c r="Q493" s="180"/>
      <c r="R493" s="180"/>
    </row>
    <row r="494" spans="2:18">
      <c r="B494" s="353"/>
      <c r="C494" s="12" t="s">
        <v>476</v>
      </c>
      <c r="D494" s="12"/>
      <c r="E494" s="12"/>
      <c r="F494" s="12">
        <v>20</v>
      </c>
      <c r="G494" s="12" t="s">
        <v>6</v>
      </c>
      <c r="H494" s="111"/>
      <c r="I494" s="369"/>
      <c r="J494" s="87"/>
      <c r="K494" s="111"/>
      <c r="L494" s="158"/>
      <c r="M494" s="195"/>
      <c r="N494" s="186"/>
      <c r="O494" s="186"/>
      <c r="P494" s="180"/>
      <c r="Q494" s="180"/>
      <c r="R494" s="180"/>
    </row>
    <row r="495" spans="2:18">
      <c r="B495" s="353"/>
      <c r="C495" s="12" t="s">
        <v>479</v>
      </c>
      <c r="D495" s="12"/>
      <c r="E495" s="12" t="s">
        <v>492</v>
      </c>
      <c r="F495" s="12">
        <f>2*5.4</f>
        <v>10.8</v>
      </c>
      <c r="G495" s="12" t="s">
        <v>6</v>
      </c>
      <c r="H495" s="111"/>
      <c r="I495" s="369"/>
      <c r="J495" s="87"/>
      <c r="K495" s="111"/>
      <c r="L495" s="158"/>
      <c r="M495" s="195"/>
      <c r="N495" s="186"/>
      <c r="O495" s="186"/>
      <c r="P495" s="180"/>
      <c r="Q495" s="180"/>
      <c r="R495" s="180"/>
    </row>
    <row r="496" spans="2:18">
      <c r="B496" s="353"/>
      <c r="C496" s="12" t="s">
        <v>478</v>
      </c>
      <c r="D496" s="12"/>
      <c r="E496" s="12" t="s">
        <v>493</v>
      </c>
      <c r="F496" s="12">
        <f>4*6</f>
        <v>24</v>
      </c>
      <c r="G496" s="12" t="s">
        <v>6</v>
      </c>
      <c r="H496" s="111"/>
      <c r="I496" s="369"/>
      <c r="J496" s="87"/>
      <c r="K496" s="111"/>
      <c r="L496" s="158"/>
      <c r="M496" s="195"/>
      <c r="N496" s="186"/>
      <c r="O496" s="186"/>
      <c r="P496" s="180"/>
      <c r="Q496" s="180"/>
      <c r="R496" s="180"/>
    </row>
    <row r="497" spans="2:19">
      <c r="B497" s="353"/>
      <c r="C497" s="12" t="s">
        <v>477</v>
      </c>
      <c r="D497" s="12"/>
      <c r="E497" s="12"/>
      <c r="F497" s="12"/>
      <c r="G497" s="12"/>
      <c r="H497" s="111"/>
      <c r="I497" s="369"/>
      <c r="J497" s="87"/>
      <c r="K497" s="111"/>
      <c r="L497" s="158"/>
      <c r="M497" s="195"/>
      <c r="N497" s="186"/>
      <c r="O497" s="186"/>
      <c r="P497" s="180"/>
      <c r="Q497" s="180"/>
      <c r="R497" s="180"/>
    </row>
    <row r="498" spans="2:19">
      <c r="B498" s="353"/>
      <c r="C498" s="12" t="s">
        <v>534</v>
      </c>
      <c r="D498" s="12"/>
      <c r="E498" s="12" t="s">
        <v>531</v>
      </c>
      <c r="F498" s="12">
        <f xml:space="preserve"> 0.8+18.5</f>
        <v>19.3</v>
      </c>
      <c r="G498" s="12" t="s">
        <v>6</v>
      </c>
      <c r="H498" s="111"/>
      <c r="I498" s="369"/>
      <c r="J498" s="87"/>
      <c r="K498" s="111"/>
      <c r="L498" s="158"/>
      <c r="M498" s="195"/>
      <c r="N498" s="186"/>
      <c r="O498" s="186"/>
      <c r="P498" s="180"/>
      <c r="Q498" s="180"/>
      <c r="R498" s="180"/>
    </row>
    <row r="499" spans="2:19">
      <c r="B499" s="353"/>
      <c r="C499" s="12" t="s">
        <v>533</v>
      </c>
      <c r="D499" s="12"/>
      <c r="E499" s="12"/>
      <c r="F499" s="12">
        <v>1</v>
      </c>
      <c r="G499" s="12" t="s">
        <v>6</v>
      </c>
      <c r="H499" s="111"/>
      <c r="I499" s="128"/>
      <c r="J499" s="87"/>
      <c r="K499" s="111"/>
      <c r="L499" s="158"/>
      <c r="M499" s="195"/>
      <c r="N499" s="186"/>
      <c r="O499" s="186"/>
      <c r="P499" s="180"/>
      <c r="Q499" s="180"/>
      <c r="R499" s="180"/>
    </row>
    <row r="500" spans="2:19">
      <c r="B500" s="58"/>
      <c r="C500" s="12" t="s">
        <v>534</v>
      </c>
      <c r="D500" s="12"/>
      <c r="E500" s="12" t="s">
        <v>532</v>
      </c>
      <c r="F500" s="12">
        <f>0.8+15.3</f>
        <v>16.100000000000001</v>
      </c>
      <c r="G500" s="12" t="s">
        <v>6</v>
      </c>
      <c r="H500" s="111"/>
      <c r="I500" s="128"/>
      <c r="J500" s="87"/>
      <c r="K500" s="111"/>
      <c r="L500" s="158"/>
      <c r="M500" s="195"/>
      <c r="N500" s="198"/>
      <c r="O500" s="186"/>
      <c r="P500" s="180"/>
      <c r="Q500" s="180"/>
      <c r="R500" s="180"/>
    </row>
    <row r="501" spans="2:19">
      <c r="B501" s="353"/>
      <c r="C501" s="12" t="s">
        <v>473</v>
      </c>
      <c r="D501" s="12"/>
      <c r="E501" s="12"/>
      <c r="F501" s="12">
        <v>11.5</v>
      </c>
      <c r="G501" s="12" t="s">
        <v>6</v>
      </c>
      <c r="H501" s="111"/>
      <c r="I501" s="128"/>
      <c r="J501" s="87"/>
      <c r="K501" s="111"/>
      <c r="L501" s="158"/>
      <c r="M501" s="195"/>
      <c r="N501" s="186"/>
      <c r="O501" s="186"/>
      <c r="P501" s="180"/>
      <c r="Q501" s="199"/>
      <c r="R501" s="180"/>
    </row>
    <row r="502" spans="2:19">
      <c r="B502" s="353"/>
      <c r="C502" s="12" t="s">
        <v>121</v>
      </c>
      <c r="D502" s="12"/>
      <c r="E502" s="12" t="s">
        <v>535</v>
      </c>
      <c r="F502" s="12">
        <f>2*(11.5+11)</f>
        <v>45</v>
      </c>
      <c r="G502" s="12" t="s">
        <v>6</v>
      </c>
      <c r="H502" s="111"/>
      <c r="I502" s="128"/>
      <c r="J502" s="87"/>
      <c r="K502" s="111"/>
      <c r="L502" s="158"/>
      <c r="M502" s="195"/>
      <c r="N502" s="186"/>
      <c r="O502" s="186"/>
      <c r="P502" s="180"/>
      <c r="Q502" s="180"/>
      <c r="R502" s="180"/>
    </row>
    <row r="503" spans="2:19">
      <c r="B503" s="353"/>
      <c r="C503" s="12" t="s">
        <v>464</v>
      </c>
      <c r="D503" s="110"/>
      <c r="E503" s="12" t="s">
        <v>465</v>
      </c>
      <c r="F503" s="12">
        <f>5.2+4.7</f>
        <v>9.9</v>
      </c>
      <c r="G503" s="12" t="s">
        <v>6</v>
      </c>
      <c r="H503" s="4"/>
      <c r="I503" s="128"/>
      <c r="J503" s="87"/>
      <c r="K503" s="111"/>
      <c r="L503" s="158"/>
      <c r="M503" s="195"/>
      <c r="N503" s="186"/>
      <c r="O503" s="186"/>
      <c r="P503" s="180"/>
      <c r="Q503" s="186"/>
      <c r="R503" s="180"/>
    </row>
    <row r="504" spans="2:19">
      <c r="B504" s="353"/>
      <c r="C504" s="12" t="s">
        <v>462</v>
      </c>
      <c r="D504" s="110"/>
      <c r="E504" s="12" t="s">
        <v>466</v>
      </c>
      <c r="F504" s="12">
        <f>5.3+4.9</f>
        <v>10.199999999999999</v>
      </c>
      <c r="G504" s="12" t="s">
        <v>6</v>
      </c>
      <c r="H504" s="369"/>
      <c r="J504" s="87"/>
      <c r="K504" s="111"/>
      <c r="L504" s="158"/>
      <c r="M504" s="195"/>
      <c r="N504" s="186"/>
      <c r="O504" s="186"/>
      <c r="P504" s="180"/>
      <c r="Q504" s="180"/>
      <c r="R504" s="180"/>
      <c r="S504" s="135"/>
    </row>
    <row r="505" spans="2:19">
      <c r="B505" s="353"/>
      <c r="C505" s="12" t="s">
        <v>447</v>
      </c>
      <c r="D505" s="110"/>
      <c r="E505" s="12" t="s">
        <v>454</v>
      </c>
      <c r="F505" s="12">
        <f>2.2+4.5</f>
        <v>6.7</v>
      </c>
      <c r="G505" s="12" t="s">
        <v>6</v>
      </c>
      <c r="H505" s="369"/>
      <c r="J505" s="87"/>
      <c r="K505" s="111"/>
      <c r="L505" s="158"/>
      <c r="M505" s="195"/>
      <c r="N505" s="186"/>
      <c r="O505" s="186"/>
      <c r="P505" s="180"/>
      <c r="Q505" s="180"/>
      <c r="R505" s="180"/>
    </row>
    <row r="506" spans="2:19">
      <c r="B506" s="353"/>
      <c r="C506" s="29" t="s">
        <v>455</v>
      </c>
      <c r="D506" s="110"/>
      <c r="E506" s="29" t="s">
        <v>538</v>
      </c>
      <c r="F506" s="29">
        <f>2*13</f>
        <v>26</v>
      </c>
      <c r="G506" s="29" t="s">
        <v>6</v>
      </c>
      <c r="H506" s="369"/>
      <c r="J506" s="87"/>
      <c r="K506" s="111"/>
      <c r="L506" s="158"/>
      <c r="M506" s="195"/>
      <c r="N506" s="186"/>
      <c r="O506" s="186"/>
      <c r="P506" s="180"/>
      <c r="Q506" s="180"/>
      <c r="R506" s="180"/>
    </row>
    <row r="507" spans="2:19">
      <c r="B507" s="353"/>
      <c r="C507" s="13" t="s">
        <v>456</v>
      </c>
      <c r="D507" s="113"/>
      <c r="E507" s="13" t="s">
        <v>539</v>
      </c>
      <c r="F507" s="13">
        <f>2*5.3</f>
        <v>10.6</v>
      </c>
      <c r="G507" s="13" t="s">
        <v>6</v>
      </c>
      <c r="H507" s="369"/>
      <c r="J507" s="87"/>
      <c r="K507" s="111"/>
      <c r="L507" s="158"/>
      <c r="M507" s="195"/>
      <c r="N507" s="186"/>
      <c r="O507" s="186"/>
      <c r="P507" s="180"/>
      <c r="Q507" s="180"/>
      <c r="R507" s="180"/>
      <c r="S507" s="95"/>
    </row>
    <row r="508" spans="2:19">
      <c r="B508" s="353"/>
      <c r="C508" s="29"/>
      <c r="D508" s="110"/>
      <c r="E508" s="12"/>
      <c r="F508" s="12">
        <f>SUM(F494:F507)*1.2</f>
        <v>253.31999999999994</v>
      </c>
      <c r="G508" s="12" t="s">
        <v>6</v>
      </c>
      <c r="H508" s="4"/>
      <c r="J508" s="87"/>
      <c r="K508" s="111"/>
      <c r="L508" s="158"/>
      <c r="M508" s="195"/>
      <c r="N508" s="186"/>
      <c r="O508" s="186"/>
      <c r="P508" s="180"/>
      <c r="Q508" s="180"/>
      <c r="R508" s="180"/>
    </row>
    <row r="509" spans="2:19">
      <c r="B509" s="353"/>
      <c r="C509" s="29"/>
      <c r="D509" s="110"/>
      <c r="E509" s="12"/>
      <c r="F509" s="12"/>
      <c r="G509" s="12"/>
      <c r="H509" s="4"/>
      <c r="J509" s="87"/>
      <c r="K509" s="111"/>
      <c r="L509" s="158"/>
      <c r="M509" s="195"/>
      <c r="N509" s="186"/>
      <c r="O509" s="186"/>
      <c r="P509" s="180"/>
      <c r="Q509" s="180"/>
      <c r="R509" s="180"/>
    </row>
    <row r="510" spans="2:19">
      <c r="B510" s="353" t="s">
        <v>557</v>
      </c>
      <c r="C510" s="29" t="s">
        <v>541</v>
      </c>
      <c r="D510" s="110"/>
      <c r="E510" s="112"/>
      <c r="F510" s="111"/>
      <c r="G510" s="111"/>
      <c r="H510" s="369"/>
      <c r="J510" s="87"/>
      <c r="K510" s="111"/>
      <c r="L510" s="158"/>
      <c r="M510" s="195"/>
      <c r="N510" s="186"/>
      <c r="O510" s="186"/>
      <c r="P510" s="180"/>
      <c r="Q510" s="180"/>
      <c r="R510" s="180"/>
    </row>
    <row r="511" spans="2:19">
      <c r="B511" s="353"/>
      <c r="C511" s="12" t="s">
        <v>476</v>
      </c>
      <c r="D511" s="110"/>
      <c r="E511" s="12">
        <v>14.5</v>
      </c>
      <c r="F511" s="357" t="s">
        <v>6</v>
      </c>
      <c r="G511" s="111"/>
      <c r="H511" s="369"/>
      <c r="J511" s="87"/>
      <c r="K511" s="111"/>
      <c r="L511" s="158"/>
      <c r="M511" s="195"/>
      <c r="N511" s="186"/>
      <c r="O511" s="186"/>
      <c r="P511" s="180"/>
      <c r="Q511" s="180"/>
      <c r="R511" s="180"/>
    </row>
    <row r="512" spans="2:19">
      <c r="B512" s="353"/>
      <c r="C512" s="12" t="s">
        <v>478</v>
      </c>
      <c r="D512" s="110"/>
      <c r="E512" s="12">
        <v>6</v>
      </c>
      <c r="F512" s="357" t="s">
        <v>6</v>
      </c>
      <c r="G512" s="111"/>
      <c r="H512" s="369"/>
      <c r="J512" s="87"/>
      <c r="K512" s="111"/>
      <c r="L512" s="158"/>
      <c r="M512" s="195"/>
      <c r="N512" s="186"/>
      <c r="O512" s="186"/>
      <c r="P512" s="180"/>
      <c r="Q512" s="180"/>
      <c r="R512" s="180"/>
    </row>
    <row r="513" spans="2:18">
      <c r="B513" s="353"/>
      <c r="C513" s="12" t="s">
        <v>477</v>
      </c>
      <c r="D513" s="110"/>
      <c r="E513" s="12">
        <v>3.9</v>
      </c>
      <c r="F513" s="357" t="s">
        <v>6</v>
      </c>
      <c r="G513" s="4"/>
      <c r="H513" s="4"/>
      <c r="J513" s="87"/>
      <c r="K513" s="111"/>
      <c r="L513" s="158"/>
      <c r="M513" s="195"/>
      <c r="N513" s="186"/>
      <c r="O513" s="186"/>
      <c r="P513" s="180"/>
      <c r="Q513" s="180"/>
      <c r="R513" s="180"/>
    </row>
    <row r="514" spans="2:18">
      <c r="B514" s="353"/>
      <c r="C514" s="13" t="s">
        <v>462</v>
      </c>
      <c r="D514" s="113"/>
      <c r="E514" s="13">
        <v>5.4</v>
      </c>
      <c r="F514" s="363" t="s">
        <v>6</v>
      </c>
      <c r="G514" s="114"/>
      <c r="H514" s="369"/>
      <c r="J514" s="87"/>
      <c r="K514" s="111"/>
      <c r="L514" s="158"/>
      <c r="M514" s="195"/>
      <c r="N514" s="186"/>
      <c r="O514" s="186"/>
      <c r="P514" s="180"/>
      <c r="Q514" s="180"/>
      <c r="R514" s="180"/>
    </row>
    <row r="515" spans="2:18">
      <c r="B515" s="353"/>
      <c r="C515" s="29" t="s">
        <v>30</v>
      </c>
      <c r="D515" s="110"/>
      <c r="E515" s="12">
        <f>SUM(E511:E514)*1.15</f>
        <v>34.269999999999996</v>
      </c>
      <c r="F515" s="357" t="s">
        <v>6</v>
      </c>
      <c r="G515" s="111"/>
      <c r="H515" s="369"/>
      <c r="J515" s="87"/>
      <c r="K515" s="111"/>
      <c r="L515" s="158"/>
      <c r="M515" s="195"/>
      <c r="N515" s="186"/>
      <c r="O515" s="186"/>
      <c r="P515" s="180"/>
      <c r="Q515" s="180"/>
      <c r="R515" s="180"/>
    </row>
    <row r="516" spans="2:18">
      <c r="B516" s="353"/>
      <c r="C516" s="12"/>
      <c r="D516" s="110"/>
      <c r="E516" s="111"/>
      <c r="F516" s="112"/>
      <c r="G516" s="111"/>
      <c r="H516" s="111"/>
      <c r="I516" s="370"/>
      <c r="J516" s="5"/>
      <c r="K516" s="111"/>
      <c r="L516" s="158"/>
      <c r="M516" s="195"/>
      <c r="N516" s="186"/>
      <c r="O516" s="186"/>
      <c r="P516" s="180"/>
      <c r="Q516" s="180"/>
      <c r="R516" s="180"/>
    </row>
    <row r="517" spans="2:18">
      <c r="B517" s="353" t="s">
        <v>272</v>
      </c>
      <c r="C517" s="12" t="s">
        <v>297</v>
      </c>
      <c r="D517" s="110"/>
      <c r="E517" s="111"/>
      <c r="F517" s="112"/>
      <c r="G517" s="111"/>
      <c r="H517" s="111"/>
      <c r="J517" s="3"/>
      <c r="K517" s="1"/>
      <c r="L517" s="1"/>
      <c r="Q517" s="180"/>
      <c r="R517" s="180"/>
    </row>
    <row r="518" spans="2:18">
      <c r="B518" s="353"/>
      <c r="C518" s="357" t="s">
        <v>542</v>
      </c>
      <c r="D518" s="212"/>
      <c r="E518" s="355"/>
      <c r="F518" s="231"/>
      <c r="G518" s="355"/>
      <c r="H518" s="355"/>
      <c r="I518" s="58"/>
      <c r="J518" s="3"/>
      <c r="K518" s="1"/>
      <c r="L518" s="1"/>
      <c r="Q518" s="180"/>
      <c r="R518" s="180"/>
    </row>
    <row r="519" spans="2:18">
      <c r="B519" s="353"/>
      <c r="C519" s="357" t="s">
        <v>119</v>
      </c>
      <c r="D519" s="212"/>
      <c r="E519" s="355">
        <v>5</v>
      </c>
      <c r="F519" s="231" t="s">
        <v>20</v>
      </c>
      <c r="G519" s="355"/>
      <c r="H519" s="355"/>
      <c r="I519" s="58"/>
      <c r="J519" s="3"/>
      <c r="K519" s="1"/>
      <c r="L519" s="1"/>
      <c r="Q519" s="180"/>
      <c r="R519" s="180"/>
    </row>
    <row r="520" spans="2:18">
      <c r="B520" s="353"/>
      <c r="C520" s="357"/>
      <c r="D520" s="212"/>
      <c r="E520" s="355"/>
      <c r="F520" s="231"/>
      <c r="G520" s="355"/>
      <c r="H520" s="355"/>
      <c r="I520" s="58"/>
      <c r="J520" s="3"/>
      <c r="K520" s="1"/>
      <c r="L520" s="1"/>
      <c r="Q520" s="180"/>
      <c r="R520" s="180"/>
    </row>
    <row r="521" spans="2:18">
      <c r="B521" s="353" t="s">
        <v>273</v>
      </c>
      <c r="C521" s="186" t="s">
        <v>319</v>
      </c>
      <c r="D521" s="110"/>
      <c r="E521" s="111"/>
      <c r="F521" s="112"/>
      <c r="G521" s="111"/>
      <c r="H521" s="111"/>
      <c r="J521" s="3"/>
      <c r="K521" s="1"/>
      <c r="L521" s="1"/>
      <c r="Q521" s="180"/>
      <c r="R521" s="180"/>
    </row>
    <row r="522" spans="2:18">
      <c r="B522" s="353"/>
      <c r="C522" s="186" t="s">
        <v>22</v>
      </c>
      <c r="D522" s="110"/>
      <c r="E522" s="111">
        <v>3</v>
      </c>
      <c r="F522" s="112" t="s">
        <v>6</v>
      </c>
      <c r="G522" s="111"/>
      <c r="H522" s="111"/>
      <c r="J522" s="3"/>
      <c r="K522" s="1"/>
      <c r="L522" s="1"/>
      <c r="Q522" s="180"/>
      <c r="R522" s="180"/>
    </row>
    <row r="523" spans="2:18">
      <c r="B523" s="465"/>
      <c r="C523" s="464"/>
      <c r="D523" s="57"/>
      <c r="E523" s="41"/>
      <c r="F523" s="42"/>
      <c r="G523" s="41"/>
      <c r="H523" s="41"/>
      <c r="J523" s="3"/>
      <c r="K523" s="1"/>
      <c r="L523" s="1"/>
      <c r="Q523" s="180"/>
      <c r="R523" s="180"/>
    </row>
    <row r="524" spans="2:18">
      <c r="B524" s="86" t="s">
        <v>274</v>
      </c>
      <c r="C524" s="12" t="s">
        <v>323</v>
      </c>
      <c r="D524" s="110"/>
      <c r="E524" s="111"/>
      <c r="F524" s="112"/>
      <c r="G524" s="111"/>
      <c r="H524" s="111"/>
      <c r="I524" s="157"/>
      <c r="J524" s="200"/>
      <c r="K524" s="111"/>
      <c r="L524" s="158"/>
      <c r="M524" s="195"/>
      <c r="N524" s="186"/>
      <c r="O524" s="186"/>
      <c r="P524" s="180"/>
      <c r="Q524" s="180"/>
      <c r="R524" s="180"/>
    </row>
    <row r="525" spans="2:18">
      <c r="B525" s="86"/>
      <c r="C525" s="12" t="s">
        <v>283</v>
      </c>
      <c r="D525" s="110"/>
      <c r="E525" s="111"/>
      <c r="F525" s="112"/>
      <c r="G525" s="111"/>
      <c r="H525" s="111"/>
      <c r="I525" s="157"/>
      <c r="J525" s="186"/>
      <c r="K525" s="111"/>
      <c r="L525" s="158"/>
      <c r="M525" s="195"/>
      <c r="N525" s="186"/>
      <c r="O525" s="186"/>
      <c r="P525" s="180"/>
      <c r="Q525" s="180"/>
      <c r="R525" s="180"/>
    </row>
    <row r="526" spans="2:18">
      <c r="B526" s="86"/>
      <c r="C526" s="1" t="s">
        <v>276</v>
      </c>
      <c r="E526" s="111"/>
      <c r="F526" s="112"/>
      <c r="G526" s="111"/>
      <c r="H526" s="111"/>
      <c r="I526" s="157"/>
      <c r="J526" s="186"/>
      <c r="K526" s="111"/>
      <c r="L526" s="158"/>
      <c r="M526" s="195"/>
      <c r="N526" s="186"/>
      <c r="O526" s="186"/>
      <c r="P526" s="180"/>
      <c r="Q526" s="180"/>
      <c r="R526" s="180"/>
    </row>
    <row r="527" spans="2:18">
      <c r="B527" s="86"/>
      <c r="C527" s="12" t="s">
        <v>277</v>
      </c>
      <c r="D527" s="110"/>
      <c r="E527" s="111"/>
      <c r="F527" s="112"/>
      <c r="G527" s="111"/>
      <c r="H527" s="111"/>
      <c r="I527" s="157"/>
      <c r="J527" s="186"/>
      <c r="K527" s="111"/>
      <c r="L527" s="158"/>
      <c r="M527" s="195"/>
      <c r="N527" s="186"/>
      <c r="O527" s="186"/>
      <c r="P527" s="180"/>
      <c r="Q527" s="180"/>
      <c r="R527" s="180"/>
    </row>
    <row r="528" spans="2:18">
      <c r="B528" s="86"/>
      <c r="C528" s="12" t="s">
        <v>275</v>
      </c>
      <c r="D528" s="110"/>
      <c r="E528" s="111"/>
      <c r="F528" s="112"/>
      <c r="G528" s="111"/>
      <c r="H528" s="111"/>
      <c r="I528" s="128"/>
      <c r="J528" s="87"/>
      <c r="K528" s="111"/>
      <c r="L528" s="158"/>
      <c r="M528" s="195"/>
      <c r="N528" s="186"/>
      <c r="O528" s="186"/>
      <c r="P528" s="180"/>
      <c r="Q528" s="180"/>
      <c r="R528" s="180"/>
    </row>
    <row r="529" spans="2:18">
      <c r="B529" s="86"/>
      <c r="C529" s="1" t="s">
        <v>278</v>
      </c>
      <c r="L529" s="158"/>
      <c r="M529" s="195"/>
      <c r="N529" s="186"/>
      <c r="O529" s="186"/>
      <c r="P529" s="180"/>
      <c r="Q529" s="180"/>
      <c r="R529" s="180"/>
    </row>
    <row r="530" spans="2:18">
      <c r="B530" s="86"/>
      <c r="C530" s="1" t="s">
        <v>279</v>
      </c>
      <c r="L530" s="158"/>
      <c r="M530" s="195"/>
      <c r="N530" s="186"/>
      <c r="O530" s="186"/>
      <c r="P530" s="180"/>
      <c r="Q530" s="180"/>
      <c r="R530" s="180"/>
    </row>
    <row r="531" spans="2:18">
      <c r="B531" s="86"/>
      <c r="G531" s="202" t="s">
        <v>148</v>
      </c>
      <c r="L531" s="158"/>
      <c r="M531" s="195"/>
      <c r="N531" s="186"/>
      <c r="O531" s="186"/>
      <c r="P531" s="180"/>
      <c r="Q531" s="180"/>
      <c r="R531" s="180"/>
    </row>
    <row r="532" spans="2:18">
      <c r="B532" s="86"/>
      <c r="G532" s="202" t="s">
        <v>6</v>
      </c>
      <c r="L532" s="158"/>
      <c r="M532" s="195"/>
      <c r="N532" s="186"/>
      <c r="O532" s="186"/>
      <c r="P532" s="180"/>
      <c r="Q532" s="180"/>
      <c r="R532" s="180"/>
    </row>
    <row r="533" spans="2:18">
      <c r="B533" s="86"/>
      <c r="C533" s="1" t="s">
        <v>280</v>
      </c>
      <c r="G533" s="1">
        <v>52</v>
      </c>
      <c r="H533" s="1" t="s">
        <v>6</v>
      </c>
      <c r="L533" s="158"/>
      <c r="M533" s="195"/>
      <c r="N533" s="186"/>
      <c r="O533" s="186"/>
      <c r="P533" s="180"/>
      <c r="Q533" s="180"/>
      <c r="R533" s="180"/>
    </row>
    <row r="534" spans="2:18">
      <c r="B534" s="86"/>
      <c r="C534" s="4" t="s">
        <v>121</v>
      </c>
      <c r="D534" s="4"/>
      <c r="E534" s="4"/>
      <c r="F534" s="4"/>
      <c r="G534" s="4">
        <v>14</v>
      </c>
      <c r="H534" s="4" t="s">
        <v>6</v>
      </c>
      <c r="L534" s="158"/>
      <c r="M534" s="195"/>
      <c r="N534" s="186"/>
      <c r="O534" s="186"/>
      <c r="P534" s="180"/>
      <c r="Q534" s="180"/>
      <c r="R534" s="180"/>
    </row>
    <row r="535" spans="2:18">
      <c r="B535" s="86"/>
      <c r="C535" s="201" t="s">
        <v>30</v>
      </c>
      <c r="D535" s="201"/>
      <c r="E535" s="201"/>
      <c r="F535" s="201"/>
      <c r="G535" s="201">
        <f>SUM(G533:G534)</f>
        <v>66</v>
      </c>
      <c r="H535" s="201" t="s">
        <v>6</v>
      </c>
      <c r="I535" s="180"/>
      <c r="J535" s="180"/>
      <c r="L535" s="158"/>
      <c r="M535" s="195"/>
      <c r="N535" s="186"/>
      <c r="O535" s="186"/>
      <c r="P535" s="180"/>
      <c r="Q535" s="180"/>
      <c r="R535" s="180"/>
    </row>
    <row r="536" spans="2:18">
      <c r="B536" s="86"/>
      <c r="C536" s="4"/>
      <c r="D536" s="4"/>
      <c r="E536" s="4"/>
      <c r="F536" s="4"/>
      <c r="G536" s="4"/>
      <c r="H536" s="4"/>
      <c r="I536" s="157"/>
      <c r="J536" s="87"/>
      <c r="K536" s="111"/>
      <c r="L536" s="158"/>
      <c r="M536" s="195"/>
      <c r="N536" s="186"/>
      <c r="O536" s="186"/>
      <c r="P536" s="180"/>
      <c r="Q536" s="180"/>
      <c r="R536" s="180"/>
    </row>
    <row r="537" spans="2:18">
      <c r="B537" s="86" t="s">
        <v>281</v>
      </c>
      <c r="C537" s="29" t="s">
        <v>282</v>
      </c>
      <c r="D537" s="110"/>
      <c r="E537" s="111"/>
      <c r="F537" s="112"/>
      <c r="G537" s="111"/>
      <c r="H537" s="111"/>
      <c r="I537" s="157"/>
      <c r="J537" s="87"/>
      <c r="K537" s="111"/>
      <c r="L537" s="158"/>
      <c r="M537" s="195"/>
      <c r="N537" s="186"/>
      <c r="O537" s="186"/>
      <c r="P537" s="180"/>
      <c r="Q537" s="180"/>
      <c r="R537" s="180"/>
    </row>
    <row r="538" spans="2:18">
      <c r="B538" s="86"/>
      <c r="C538" s="29" t="s">
        <v>324</v>
      </c>
      <c r="D538" s="110"/>
      <c r="E538" s="111"/>
      <c r="F538" s="112"/>
      <c r="G538" s="111"/>
      <c r="H538" s="111"/>
      <c r="I538" s="157"/>
      <c r="L538" s="158"/>
      <c r="M538" s="195"/>
      <c r="N538" s="186"/>
      <c r="O538" s="186"/>
      <c r="P538" s="180"/>
      <c r="Q538" s="180"/>
      <c r="R538" s="180"/>
    </row>
    <row r="539" spans="2:18">
      <c r="B539" s="86"/>
      <c r="C539" s="12" t="s">
        <v>285</v>
      </c>
      <c r="D539" s="110"/>
      <c r="E539" s="111"/>
      <c r="F539" s="112"/>
      <c r="G539" s="225">
        <v>2</v>
      </c>
      <c r="H539" s="226" t="s">
        <v>284</v>
      </c>
      <c r="I539" s="157"/>
      <c r="J539" s="87"/>
      <c r="K539" s="111"/>
      <c r="L539" s="158"/>
      <c r="M539" s="195"/>
      <c r="N539" s="186"/>
      <c r="O539" s="186"/>
      <c r="P539" s="180"/>
      <c r="Q539" s="180"/>
      <c r="R539" s="180"/>
    </row>
    <row r="540" spans="2:18">
      <c r="B540" s="203" t="s">
        <v>286</v>
      </c>
      <c r="C540" s="12" t="s">
        <v>287</v>
      </c>
      <c r="D540" s="110"/>
      <c r="E540" s="111"/>
      <c r="F540" s="112"/>
      <c r="G540" s="111"/>
      <c r="H540" s="111"/>
      <c r="I540" s="157"/>
      <c r="J540" s="87"/>
      <c r="K540" s="111"/>
      <c r="L540" s="158"/>
      <c r="M540" s="195"/>
      <c r="N540" s="186"/>
      <c r="O540" s="186"/>
      <c r="P540" s="180"/>
      <c r="Q540" s="180"/>
      <c r="R540" s="180"/>
    </row>
    <row r="541" spans="2:18">
      <c r="B541" s="86"/>
      <c r="C541" s="12" t="s">
        <v>288</v>
      </c>
      <c r="D541" s="110"/>
      <c r="E541" s="111"/>
      <c r="F541" s="112"/>
      <c r="G541" s="111"/>
      <c r="H541" s="111"/>
      <c r="I541" s="157"/>
      <c r="J541" s="87"/>
      <c r="K541" s="111"/>
      <c r="L541" s="158"/>
      <c r="M541" s="195"/>
      <c r="N541" s="186"/>
      <c r="O541" s="186"/>
      <c r="P541" s="180"/>
      <c r="Q541" s="180"/>
      <c r="R541" s="180"/>
    </row>
    <row r="542" spans="2:18">
      <c r="B542" s="86"/>
      <c r="C542" s="12"/>
      <c r="D542" s="110"/>
      <c r="E542" s="111"/>
      <c r="F542" s="112"/>
      <c r="G542" s="111"/>
      <c r="H542" s="111"/>
      <c r="I542" s="157"/>
      <c r="J542" s="87"/>
      <c r="K542" s="111"/>
      <c r="L542" s="158"/>
      <c r="M542" s="195"/>
      <c r="N542" s="186"/>
      <c r="O542" s="186"/>
      <c r="P542" s="180"/>
      <c r="Q542" s="180"/>
      <c r="R542" s="180"/>
    </row>
    <row r="543" spans="2:18">
      <c r="B543" s="86" t="s">
        <v>289</v>
      </c>
      <c r="C543" s="12" t="s">
        <v>290</v>
      </c>
      <c r="D543" s="110"/>
      <c r="E543" s="111"/>
      <c r="F543" s="112"/>
      <c r="G543" s="111"/>
      <c r="H543" s="111"/>
      <c r="I543" s="157"/>
      <c r="J543" s="204"/>
      <c r="K543" s="433"/>
      <c r="L543" s="158"/>
      <c r="M543" s="195"/>
      <c r="N543" s="186"/>
      <c r="O543" s="186"/>
      <c r="P543" s="180"/>
      <c r="Q543" s="180"/>
      <c r="R543" s="180"/>
    </row>
    <row r="544" spans="2:18">
      <c r="B544" s="86"/>
      <c r="C544" s="12" t="s">
        <v>291</v>
      </c>
      <c r="D544" s="110"/>
      <c r="E544" s="111" t="s">
        <v>388</v>
      </c>
      <c r="F544" s="112"/>
      <c r="G544" s="225">
        <v>1</v>
      </c>
      <c r="H544" s="225" t="s">
        <v>25</v>
      </c>
      <c r="I544" s="157"/>
      <c r="J544" s="87"/>
      <c r="K544" s="111"/>
      <c r="L544" s="158"/>
      <c r="M544" s="195"/>
      <c r="N544" s="186"/>
      <c r="O544" s="186"/>
      <c r="P544" s="180"/>
      <c r="Q544" s="180"/>
      <c r="R544" s="180"/>
    </row>
    <row r="545" spans="2:18">
      <c r="B545" s="86"/>
      <c r="C545" s="12"/>
      <c r="D545" s="110"/>
      <c r="E545" s="111"/>
      <c r="F545" s="112"/>
      <c r="G545" s="111"/>
      <c r="H545" s="111"/>
      <c r="I545" s="157"/>
      <c r="J545" s="87"/>
      <c r="K545" s="111"/>
      <c r="L545" s="158"/>
      <c r="M545" s="195"/>
      <c r="N545" s="186"/>
      <c r="O545" s="186"/>
      <c r="P545" s="180"/>
      <c r="Q545" s="180"/>
      <c r="R545" s="180"/>
    </row>
    <row r="546" spans="2:18">
      <c r="B546" s="86" t="s">
        <v>434</v>
      </c>
      <c r="C546" s="338" t="s">
        <v>435</v>
      </c>
      <c r="D546" s="110"/>
      <c r="E546" s="111"/>
      <c r="F546" s="112"/>
      <c r="I546" s="157"/>
      <c r="J546" s="87"/>
      <c r="K546" s="111"/>
      <c r="L546" s="158"/>
      <c r="M546" s="195"/>
      <c r="N546" s="186"/>
      <c r="O546" s="186"/>
      <c r="P546" s="180"/>
      <c r="Q546" s="180"/>
      <c r="R546" s="180"/>
    </row>
    <row r="547" spans="2:18">
      <c r="B547" s="86"/>
      <c r="C547" s="111">
        <v>8</v>
      </c>
      <c r="D547" s="111" t="s">
        <v>6</v>
      </c>
      <c r="E547" s="111"/>
      <c r="F547" s="112"/>
      <c r="G547" s="111"/>
      <c r="H547" s="111"/>
      <c r="I547" s="157"/>
      <c r="J547" s="87"/>
      <c r="K547" s="111"/>
      <c r="L547" s="158"/>
      <c r="M547" s="195"/>
      <c r="N547" s="186"/>
      <c r="O547" s="186"/>
      <c r="P547" s="180"/>
      <c r="Q547" s="180"/>
      <c r="R547" s="180"/>
    </row>
    <row r="548" spans="2:18">
      <c r="B548" s="86"/>
      <c r="C548" s="12"/>
      <c r="D548" s="110"/>
      <c r="E548" s="111"/>
      <c r="F548" s="162"/>
      <c r="G548" s="111"/>
      <c r="H548" s="111"/>
      <c r="I548" s="157"/>
      <c r="J548" s="87"/>
      <c r="K548" s="111"/>
      <c r="L548" s="158"/>
      <c r="M548" s="195"/>
      <c r="N548" s="186"/>
      <c r="O548" s="186"/>
      <c r="P548" s="180"/>
      <c r="Q548" s="180"/>
      <c r="R548" s="180"/>
    </row>
    <row r="549" spans="2:18">
      <c r="B549" s="86" t="s">
        <v>436</v>
      </c>
      <c r="C549" s="338" t="s">
        <v>437</v>
      </c>
      <c r="D549" s="110"/>
      <c r="E549" s="111"/>
      <c r="F549" s="162"/>
      <c r="G549" s="111"/>
      <c r="H549" s="111"/>
      <c r="I549" s="157"/>
      <c r="J549" s="87"/>
      <c r="K549" s="111"/>
      <c r="L549" s="158"/>
      <c r="M549" s="195"/>
      <c r="N549" s="186"/>
      <c r="O549" s="186"/>
      <c r="P549" s="180"/>
      <c r="Q549" s="180"/>
      <c r="R549" s="180"/>
    </row>
    <row r="550" spans="2:18">
      <c r="B550" s="86"/>
      <c r="C550" s="12">
        <v>2.5</v>
      </c>
      <c r="D550" s="110" t="s">
        <v>6</v>
      </c>
      <c r="E550" s="111"/>
      <c r="F550" s="162"/>
      <c r="G550" s="111"/>
      <c r="H550" s="111"/>
      <c r="I550" s="197"/>
      <c r="J550" s="87"/>
      <c r="K550" s="111"/>
      <c r="L550" s="158"/>
      <c r="M550" s="195"/>
      <c r="N550" s="186"/>
      <c r="O550" s="186"/>
      <c r="P550" s="180"/>
      <c r="Q550" s="180"/>
      <c r="R550" s="180"/>
    </row>
    <row r="551" spans="2:18">
      <c r="B551" s="86"/>
      <c r="C551" s="12"/>
      <c r="D551" s="110"/>
      <c r="E551" s="111"/>
      <c r="F551" s="162"/>
      <c r="G551" s="111"/>
      <c r="H551" s="111"/>
      <c r="I551" s="157"/>
      <c r="J551" s="87"/>
      <c r="K551" s="111"/>
      <c r="L551" s="158"/>
      <c r="M551" s="195"/>
      <c r="N551" s="186"/>
      <c r="O551" s="186"/>
      <c r="P551" s="180"/>
      <c r="Q551" s="180"/>
      <c r="R551" s="180"/>
    </row>
    <row r="552" spans="2:18">
      <c r="B552" s="86"/>
      <c r="C552" s="12"/>
      <c r="D552" s="110"/>
      <c r="E552" s="111"/>
      <c r="F552" s="112"/>
      <c r="G552" s="111"/>
      <c r="H552" s="111"/>
      <c r="I552" s="128"/>
      <c r="J552" s="87"/>
      <c r="K552" s="111"/>
      <c r="L552" s="158"/>
      <c r="M552" s="195"/>
      <c r="N552" s="186"/>
      <c r="O552" s="186"/>
      <c r="P552" s="180"/>
      <c r="Q552" s="180"/>
      <c r="R552" s="180"/>
    </row>
    <row r="553" spans="2:18">
      <c r="B553" s="86" t="s">
        <v>431</v>
      </c>
      <c r="C553" s="12" t="s">
        <v>292</v>
      </c>
      <c r="D553" s="110"/>
      <c r="E553" s="111"/>
      <c r="F553" s="112"/>
      <c r="G553" s="111"/>
      <c r="H553" s="111"/>
      <c r="I553" s="128"/>
      <c r="J553" s="204"/>
      <c r="K553" s="433"/>
      <c r="L553" s="158"/>
      <c r="M553" s="195"/>
      <c r="N553" s="186"/>
      <c r="O553" s="186"/>
      <c r="P553" s="180"/>
      <c r="Q553" s="180"/>
      <c r="R553" s="180"/>
    </row>
    <row r="554" spans="2:18">
      <c r="B554" s="86"/>
      <c r="C554" s="12" t="s">
        <v>325</v>
      </c>
      <c r="D554" s="110"/>
      <c r="E554" s="111"/>
      <c r="F554" s="112"/>
      <c r="G554" s="225">
        <v>1</v>
      </c>
      <c r="H554" s="225" t="s">
        <v>25</v>
      </c>
      <c r="I554" s="128"/>
      <c r="J554" s="87"/>
      <c r="K554" s="111"/>
      <c r="L554" s="158"/>
      <c r="M554" s="195"/>
      <c r="N554" s="186"/>
      <c r="O554" s="186"/>
      <c r="P554" s="180"/>
      <c r="Q554" s="180"/>
      <c r="R554" s="180"/>
    </row>
    <row r="555" spans="2:18">
      <c r="B555" s="86"/>
      <c r="C555" s="12"/>
      <c r="D555" s="110"/>
      <c r="E555" s="111"/>
      <c r="F555" s="112"/>
      <c r="G555" s="225"/>
      <c r="H555" s="225"/>
      <c r="I555" s="294"/>
      <c r="J555" s="87"/>
      <c r="K555" s="111"/>
      <c r="L555" s="158"/>
      <c r="M555" s="195"/>
      <c r="N555" s="186"/>
      <c r="O555" s="186"/>
      <c r="P555" s="180"/>
      <c r="Q555" s="180"/>
      <c r="R555" s="180"/>
    </row>
    <row r="556" spans="2:18">
      <c r="B556" s="86"/>
      <c r="C556" s="12"/>
      <c r="D556" s="110"/>
      <c r="E556" s="111"/>
      <c r="F556" s="112"/>
      <c r="G556" s="225"/>
      <c r="H556" s="225"/>
      <c r="I556" s="294"/>
      <c r="J556" s="87"/>
      <c r="K556" s="111"/>
      <c r="L556" s="158"/>
      <c r="M556" s="195"/>
      <c r="N556" s="186"/>
      <c r="O556" s="186"/>
      <c r="P556" s="180"/>
      <c r="Q556" s="180"/>
      <c r="R556" s="180"/>
    </row>
    <row r="557" spans="2:18">
      <c r="B557" s="86" t="s">
        <v>293</v>
      </c>
      <c r="C557" s="336" t="s">
        <v>390</v>
      </c>
      <c r="D557" s="110"/>
      <c r="E557" s="111"/>
      <c r="F557" s="112"/>
      <c r="G557" s="225">
        <v>16</v>
      </c>
      <c r="H557" s="225" t="s">
        <v>25</v>
      </c>
      <c r="I557" s="294"/>
      <c r="J557" s="87"/>
      <c r="K557" s="111"/>
      <c r="L557" s="158"/>
      <c r="M557" s="195"/>
      <c r="N557" s="186"/>
      <c r="O557" s="186"/>
      <c r="P557" s="180"/>
      <c r="Q557" s="180"/>
      <c r="R557" s="180"/>
    </row>
    <row r="558" spans="2:18">
      <c r="B558" s="86"/>
      <c r="C558" s="338" t="s">
        <v>391</v>
      </c>
      <c r="D558" s="110"/>
      <c r="E558" s="111"/>
      <c r="F558" s="112"/>
      <c r="G558" s="225"/>
      <c r="H558" s="225"/>
      <c r="I558" s="294"/>
      <c r="J558" s="87"/>
      <c r="K558" s="111"/>
      <c r="L558" s="158"/>
      <c r="M558" s="195"/>
      <c r="N558" s="186"/>
      <c r="O558" s="186"/>
      <c r="P558" s="180"/>
      <c r="Q558" s="180"/>
      <c r="R558" s="180"/>
    </row>
    <row r="559" spans="2:18">
      <c r="B559" s="86"/>
      <c r="C559" s="12"/>
      <c r="D559" s="110"/>
      <c r="E559" s="111"/>
      <c r="F559" s="112"/>
      <c r="G559" s="225"/>
      <c r="H559" s="225"/>
      <c r="I559" s="294"/>
      <c r="J559" s="87"/>
      <c r="K559" s="111"/>
      <c r="L559" s="158"/>
      <c r="M559" s="195"/>
      <c r="N559" s="186"/>
      <c r="O559" s="186"/>
      <c r="P559" s="180"/>
      <c r="Q559" s="180"/>
      <c r="R559" s="180"/>
    </row>
    <row r="560" spans="2:18">
      <c r="B560" s="353" t="s">
        <v>307</v>
      </c>
      <c r="C560" s="357" t="s">
        <v>308</v>
      </c>
      <c r="D560" s="212"/>
      <c r="E560" s="355"/>
      <c r="F560" s="231"/>
      <c r="G560" s="58"/>
      <c r="H560" s="58"/>
      <c r="I560" s="356"/>
      <c r="J560" s="87"/>
      <c r="K560" s="111"/>
      <c r="L560" s="158"/>
      <c r="M560" s="195"/>
      <c r="N560" s="186"/>
      <c r="O560" s="186"/>
      <c r="P560" s="180"/>
      <c r="Q560" s="180"/>
      <c r="R560" s="180"/>
    </row>
    <row r="561" spans="2:18">
      <c r="B561" s="353"/>
      <c r="C561" s="357" t="s">
        <v>309</v>
      </c>
      <c r="D561" s="212"/>
      <c r="E561" s="355"/>
      <c r="F561" s="231"/>
      <c r="G561" s="355">
        <v>95</v>
      </c>
      <c r="H561" s="355" t="s">
        <v>6</v>
      </c>
      <c r="I561" s="356"/>
      <c r="J561" s="87"/>
    </row>
    <row r="562" spans="2:18">
      <c r="B562" s="353"/>
      <c r="C562" s="363"/>
      <c r="D562" s="364"/>
      <c r="E562" s="365"/>
      <c r="F562" s="366"/>
      <c r="G562" s="365">
        <v>50</v>
      </c>
      <c r="H562" s="365" t="s">
        <v>6</v>
      </c>
      <c r="I562" s="356"/>
      <c r="J562" s="87"/>
    </row>
    <row r="563" spans="2:18">
      <c r="B563" s="353"/>
      <c r="C563" s="357" t="s">
        <v>30</v>
      </c>
      <c r="D563" s="212"/>
      <c r="E563" s="355"/>
      <c r="F563" s="231"/>
      <c r="G563" s="355">
        <f>SUM(G561:G562)*1.05</f>
        <v>152.25</v>
      </c>
      <c r="H563" s="355" t="s">
        <v>6</v>
      </c>
      <c r="I563" s="356"/>
      <c r="J563" s="327"/>
      <c r="K563" s="302"/>
    </row>
    <row r="564" spans="2:18">
      <c r="B564" s="353" t="s">
        <v>310</v>
      </c>
      <c r="C564" s="357" t="s">
        <v>311</v>
      </c>
      <c r="D564" s="212"/>
      <c r="E564" s="355"/>
      <c r="F564" s="231"/>
      <c r="G564" s="355"/>
      <c r="H564" s="355"/>
      <c r="I564" s="356"/>
      <c r="J564" s="327"/>
      <c r="K564" s="302"/>
    </row>
    <row r="565" spans="2:18">
      <c r="B565" s="353"/>
      <c r="C565" s="357" t="s">
        <v>30</v>
      </c>
      <c r="D565" s="212"/>
      <c r="E565" s="355"/>
      <c r="F565" s="231"/>
      <c r="G565" s="355">
        <f>140+50</f>
        <v>190</v>
      </c>
      <c r="H565" s="355" t="s">
        <v>6</v>
      </c>
      <c r="I565" s="356"/>
      <c r="J565" s="327"/>
      <c r="K565" s="302"/>
    </row>
    <row r="566" spans="2:18">
      <c r="B566" s="86"/>
      <c r="C566" s="29"/>
      <c r="D566" s="87"/>
      <c r="E566" s="111"/>
      <c r="F566" s="112"/>
      <c r="G566" s="111"/>
      <c r="H566" s="111"/>
      <c r="I566" s="128"/>
      <c r="J566" s="87"/>
    </row>
    <row r="567" spans="2:18">
      <c r="B567" s="353" t="s">
        <v>312</v>
      </c>
      <c r="C567" s="354" t="s">
        <v>316</v>
      </c>
      <c r="D567" s="327"/>
      <c r="E567" s="355"/>
      <c r="F567" s="231"/>
      <c r="G567" s="355"/>
      <c r="H567" s="355"/>
      <c r="I567" s="356"/>
      <c r="J567" s="87"/>
    </row>
    <row r="568" spans="2:18">
      <c r="B568" s="353"/>
      <c r="C568" s="357" t="s">
        <v>429</v>
      </c>
      <c r="D568" s="212"/>
      <c r="E568" s="355"/>
      <c r="F568" s="231"/>
      <c r="G568" s="358">
        <v>2</v>
      </c>
      <c r="H568" s="356" t="s">
        <v>25</v>
      </c>
      <c r="I568" s="58"/>
      <c r="J568" s="87"/>
      <c r="K568" s="111"/>
      <c r="L568" s="158"/>
      <c r="M568" s="180"/>
      <c r="N568" s="186"/>
      <c r="O568" s="186"/>
      <c r="P568" s="180"/>
      <c r="Q568" s="180"/>
      <c r="R568" s="180"/>
    </row>
    <row r="569" spans="2:18">
      <c r="B569" s="353"/>
      <c r="C569" s="357" t="s">
        <v>326</v>
      </c>
      <c r="D569" s="212"/>
      <c r="E569" s="355"/>
      <c r="F569" s="231"/>
      <c r="G569" s="355"/>
      <c r="H569" s="358"/>
      <c r="I569" s="356"/>
      <c r="J569" s="87"/>
      <c r="K569" s="111"/>
      <c r="L569" s="158"/>
      <c r="M569" s="180"/>
      <c r="N569" s="186"/>
      <c r="O569" s="186"/>
      <c r="P569" s="180"/>
      <c r="Q569" s="180"/>
      <c r="R569" s="180"/>
    </row>
    <row r="570" spans="2:18">
      <c r="B570" s="353"/>
      <c r="C570" s="357"/>
      <c r="D570" s="212"/>
      <c r="E570" s="355"/>
      <c r="F570" s="231"/>
      <c r="G570" s="358"/>
      <c r="H570" s="356"/>
      <c r="I570" s="58"/>
      <c r="J570" s="87"/>
      <c r="K570" s="111"/>
      <c r="L570" s="158"/>
      <c r="M570" s="180"/>
      <c r="N570" s="186"/>
      <c r="O570" s="186"/>
      <c r="P570" s="180"/>
      <c r="Q570" s="180"/>
      <c r="R570" s="180"/>
    </row>
    <row r="571" spans="2:18">
      <c r="B571" s="353"/>
      <c r="C571" s="357"/>
      <c r="D571" s="212"/>
      <c r="E571" s="355"/>
      <c r="F571" s="231"/>
      <c r="G571" s="355"/>
      <c r="H571" s="356"/>
      <c r="I571" s="58"/>
      <c r="K571" s="111"/>
      <c r="L571" s="158"/>
      <c r="M571" s="180"/>
      <c r="N571" s="186"/>
      <c r="O571" s="186"/>
      <c r="P571" s="180"/>
      <c r="Q571" s="180"/>
      <c r="R571" s="180"/>
    </row>
    <row r="572" spans="2:18">
      <c r="B572" s="353"/>
      <c r="C572" s="357"/>
      <c r="D572" s="212"/>
      <c r="E572" s="355"/>
      <c r="F572" s="231"/>
      <c r="G572" s="357"/>
      <c r="H572" s="327"/>
      <c r="I572" s="356"/>
      <c r="J572" s="87"/>
      <c r="K572" s="111"/>
      <c r="L572" s="158"/>
      <c r="M572" s="180"/>
      <c r="N572" s="186"/>
      <c r="O572" s="186"/>
      <c r="P572" s="180"/>
      <c r="Q572" s="180"/>
      <c r="R572" s="180"/>
    </row>
    <row r="573" spans="2:18">
      <c r="B573" s="86" t="s">
        <v>374</v>
      </c>
      <c r="C573" s="565" t="s">
        <v>605</v>
      </c>
      <c r="D573" s="12"/>
      <c r="E573" s="12"/>
      <c r="F573" s="12"/>
      <c r="G573" s="12"/>
      <c r="H573" s="12"/>
      <c r="I573" s="12"/>
      <c r="J573" s="87"/>
      <c r="K573" s="111"/>
      <c r="L573" s="158"/>
      <c r="M573" s="180"/>
      <c r="N573" s="186"/>
      <c r="O573" s="186"/>
      <c r="P573" s="180"/>
      <c r="Q573" s="180"/>
      <c r="R573" s="180"/>
    </row>
    <row r="574" spans="2:18">
      <c r="B574" s="86"/>
      <c r="C574" s="566" t="s">
        <v>379</v>
      </c>
      <c r="D574" s="12"/>
      <c r="E574" s="12"/>
      <c r="F574" s="12"/>
      <c r="G574" s="12"/>
      <c r="H574" s="12"/>
      <c r="I574" s="39" t="s">
        <v>377</v>
      </c>
      <c r="J574" s="87"/>
      <c r="K574" s="111"/>
      <c r="L574" s="158"/>
      <c r="M574" s="180"/>
      <c r="N574" s="186"/>
      <c r="O574" s="186"/>
      <c r="P574" s="180"/>
      <c r="Q574" s="180"/>
      <c r="R574" s="180"/>
    </row>
    <row r="575" spans="2:18">
      <c r="B575" s="86"/>
      <c r="C575" s="566" t="s">
        <v>368</v>
      </c>
      <c r="D575" s="12"/>
      <c r="E575" s="12"/>
      <c r="F575" s="12"/>
      <c r="G575" s="12"/>
      <c r="H575" s="12"/>
      <c r="I575" s="12"/>
      <c r="J575" s="87"/>
      <c r="K575" s="111"/>
      <c r="L575" s="158"/>
      <c r="M575" s="180"/>
      <c r="N575" s="186"/>
      <c r="O575" s="186"/>
      <c r="P575" s="180"/>
      <c r="Q575" s="180"/>
      <c r="R575" s="180"/>
    </row>
    <row r="576" spans="2:18">
      <c r="B576" s="86"/>
      <c r="C576" s="565" t="s">
        <v>369</v>
      </c>
      <c r="D576" s="12"/>
      <c r="E576" s="12"/>
      <c r="F576" s="12"/>
      <c r="G576" s="12"/>
      <c r="H576" s="12"/>
      <c r="I576" s="12"/>
      <c r="J576" s="87"/>
      <c r="K576" s="111"/>
      <c r="L576" s="158"/>
      <c r="M576" s="180"/>
      <c r="N576" s="186"/>
      <c r="O576" s="186"/>
      <c r="P576" s="180"/>
      <c r="Q576" s="180"/>
      <c r="R576" s="180"/>
    </row>
    <row r="577" spans="2:18">
      <c r="B577" s="86"/>
      <c r="C577" s="565"/>
      <c r="D577" s="12" t="s">
        <v>370</v>
      </c>
      <c r="E577" s="12" t="s">
        <v>22</v>
      </c>
      <c r="F577" s="12" t="s">
        <v>371</v>
      </c>
      <c r="G577" s="12"/>
      <c r="H577" s="12"/>
      <c r="I577" s="12"/>
      <c r="J577" s="87"/>
      <c r="K577" s="111"/>
      <c r="L577" s="158"/>
      <c r="M577" s="180"/>
      <c r="N577" s="186"/>
      <c r="O577" s="186"/>
      <c r="P577" s="180"/>
      <c r="Q577" s="180"/>
      <c r="R577" s="180"/>
    </row>
    <row r="578" spans="2:18">
      <c r="B578" s="86"/>
      <c r="C578" s="12"/>
      <c r="D578" s="12" t="s">
        <v>6</v>
      </c>
      <c r="E578" s="12" t="s">
        <v>6</v>
      </c>
      <c r="F578" s="12" t="s">
        <v>20</v>
      </c>
      <c r="G578" s="12"/>
      <c r="H578" s="12"/>
      <c r="I578" s="12"/>
      <c r="J578" s="87"/>
      <c r="K578" s="111"/>
      <c r="L578" s="158"/>
      <c r="M578" s="180"/>
      <c r="N578" s="186"/>
      <c r="O578" s="186"/>
      <c r="P578" s="180"/>
      <c r="Q578" s="180"/>
      <c r="R578" s="180"/>
    </row>
    <row r="579" spans="2:18">
      <c r="B579" s="86"/>
      <c r="C579" s="567"/>
      <c r="D579" s="90">
        <v>2.1</v>
      </c>
      <c r="E579" s="13">
        <v>44</v>
      </c>
      <c r="F579" s="13">
        <f>D579*E579</f>
        <v>92.4</v>
      </c>
      <c r="G579" s="13"/>
      <c r="H579" s="12"/>
      <c r="I579" s="12"/>
      <c r="J579" s="87"/>
      <c r="K579" s="111"/>
      <c r="L579" s="158"/>
      <c r="M579" s="180"/>
      <c r="N579" s="186"/>
      <c r="O579" s="186"/>
      <c r="P579" s="180"/>
      <c r="Q579" s="180"/>
      <c r="R579" s="180"/>
    </row>
    <row r="580" spans="2:18">
      <c r="B580" s="86"/>
      <c r="C580" s="566" t="s">
        <v>372</v>
      </c>
      <c r="D580" s="12"/>
      <c r="E580" s="12"/>
      <c r="F580" s="547">
        <f>SUM(F579:F579)</f>
        <v>92.4</v>
      </c>
      <c r="G580" s="12" t="s">
        <v>20</v>
      </c>
      <c r="H580" s="12"/>
      <c r="I580" s="12"/>
      <c r="J580" s="87"/>
      <c r="K580" s="111"/>
      <c r="L580" s="158"/>
      <c r="M580" s="180"/>
      <c r="N580" s="186"/>
      <c r="O580" s="186"/>
      <c r="P580" s="180"/>
      <c r="Q580" s="180"/>
      <c r="R580" s="180"/>
    </row>
    <row r="581" spans="2:18">
      <c r="B581" s="86"/>
      <c r="C581" s="566"/>
      <c r="D581" s="12"/>
      <c r="E581" s="12"/>
      <c r="F581" s="547"/>
      <c r="G581" s="12"/>
      <c r="H581" s="12"/>
      <c r="I581" s="12"/>
      <c r="J581" s="87"/>
      <c r="K581" s="111"/>
      <c r="L581" s="158"/>
      <c r="M581" s="180"/>
      <c r="N581" s="186"/>
      <c r="O581" s="186"/>
      <c r="P581" s="180"/>
      <c r="Q581" s="180"/>
      <c r="R581" s="180"/>
    </row>
    <row r="582" spans="2:18">
      <c r="B582" s="86"/>
      <c r="C582" s="566" t="s">
        <v>606</v>
      </c>
      <c r="D582" s="12"/>
      <c r="E582" s="12"/>
      <c r="F582" s="12" t="s">
        <v>378</v>
      </c>
      <c r="G582" s="547">
        <f>F580*0.5</f>
        <v>46.2</v>
      </c>
      <c r="H582" s="12" t="s">
        <v>20</v>
      </c>
      <c r="I582" s="12"/>
      <c r="J582" s="87"/>
      <c r="K582" s="111"/>
      <c r="L582" s="158"/>
      <c r="M582" s="180"/>
      <c r="N582" s="186"/>
      <c r="O582" s="186"/>
      <c r="P582" s="180"/>
      <c r="Q582" s="180"/>
      <c r="R582" s="180"/>
    </row>
    <row r="583" spans="2:18">
      <c r="B583" s="184"/>
      <c r="C583" s="566"/>
      <c r="D583" s="12"/>
      <c r="E583" s="12"/>
      <c r="F583" s="12"/>
      <c r="G583" s="12"/>
      <c r="H583" s="12"/>
      <c r="I583" s="12"/>
      <c r="J583" s="87"/>
      <c r="K583" s="111"/>
      <c r="L583" s="158"/>
      <c r="M583" s="180"/>
      <c r="N583" s="186"/>
      <c r="O583" s="186"/>
      <c r="P583" s="180"/>
      <c r="Q583" s="180"/>
      <c r="R583" s="180"/>
    </row>
    <row r="584" spans="2:18">
      <c r="B584" s="86" t="s">
        <v>375</v>
      </c>
      <c r="C584" s="143" t="s">
        <v>373</v>
      </c>
      <c r="D584" s="12"/>
      <c r="E584" s="12"/>
      <c r="F584" s="12"/>
      <c r="G584" s="39" t="s">
        <v>376</v>
      </c>
      <c r="H584" s="12"/>
      <c r="I584" s="12"/>
      <c r="J584" s="87"/>
      <c r="K584" s="111"/>
      <c r="L584" s="167"/>
      <c r="M584" s="186"/>
      <c r="N584" s="186"/>
      <c r="O584" s="186"/>
      <c r="P584" s="180"/>
      <c r="Q584" s="180"/>
      <c r="R584" s="180"/>
    </row>
    <row r="585" spans="2:18">
      <c r="B585" s="184"/>
      <c r="C585" s="565" t="s">
        <v>369</v>
      </c>
      <c r="D585" s="12"/>
      <c r="E585" s="12"/>
      <c r="F585" s="12"/>
      <c r="G585" s="12"/>
      <c r="H585" s="12"/>
      <c r="I585" s="12"/>
      <c r="J585" s="87"/>
      <c r="K585" s="111"/>
      <c r="L585" s="167"/>
      <c r="M585" s="29"/>
      <c r="N585" s="29"/>
      <c r="O585" s="29"/>
      <c r="P585" s="12"/>
      <c r="Q585" s="12"/>
      <c r="R585" s="12"/>
    </row>
    <row r="586" spans="2:18">
      <c r="B586" s="184"/>
      <c r="C586" s="565"/>
      <c r="D586" s="12" t="s">
        <v>370</v>
      </c>
      <c r="E586" s="12" t="s">
        <v>22</v>
      </c>
      <c r="F586" s="12" t="s">
        <v>371</v>
      </c>
      <c r="G586" s="12"/>
      <c r="H586" s="12"/>
      <c r="I586" s="12"/>
      <c r="J586" s="87"/>
      <c r="K586" s="111"/>
      <c r="L586" s="167"/>
      <c r="M586" s="29"/>
      <c r="N586" s="29"/>
      <c r="O586" s="29"/>
      <c r="P586" s="12"/>
      <c r="Q586" s="12"/>
      <c r="R586" s="12"/>
    </row>
    <row r="587" spans="2:18">
      <c r="B587" s="184"/>
      <c r="C587" s="12"/>
      <c r="D587" s="12" t="s">
        <v>6</v>
      </c>
      <c r="E587" s="12" t="s">
        <v>6</v>
      </c>
      <c r="F587" s="12" t="s">
        <v>20</v>
      </c>
      <c r="G587" s="12"/>
      <c r="H587" s="12"/>
      <c r="I587" s="12"/>
      <c r="J587" s="87"/>
      <c r="K587" s="111"/>
      <c r="L587" s="167"/>
      <c r="M587" s="29"/>
      <c r="N587" s="29"/>
      <c r="O587" s="29"/>
      <c r="P587" s="12"/>
      <c r="Q587" s="12"/>
      <c r="R587" s="12"/>
    </row>
    <row r="588" spans="2:18">
      <c r="B588" s="184"/>
      <c r="C588" s="566"/>
      <c r="D588" s="12">
        <v>2.1</v>
      </c>
      <c r="E588" s="12">
        <v>44</v>
      </c>
      <c r="F588" s="547">
        <f>D588*E588</f>
        <v>92.4</v>
      </c>
      <c r="G588" s="12"/>
      <c r="H588" s="12"/>
      <c r="I588" s="12"/>
      <c r="J588" s="87"/>
      <c r="K588" s="111"/>
      <c r="L588" s="167"/>
      <c r="M588" s="29"/>
      <c r="N588" s="29"/>
      <c r="O588" s="12"/>
      <c r="P588" s="12"/>
      <c r="Q588" s="12"/>
      <c r="R588" s="12"/>
    </row>
    <row r="589" spans="2:18">
      <c r="B589" s="184"/>
      <c r="C589" s="567"/>
      <c r="D589" s="90"/>
      <c r="E589" s="13"/>
      <c r="F589" s="13"/>
      <c r="G589" s="13"/>
      <c r="H589" s="12"/>
      <c r="I589" s="12"/>
      <c r="J589" s="87"/>
      <c r="K589" s="111"/>
      <c r="L589" s="167"/>
      <c r="M589" s="29"/>
      <c r="N589" s="29"/>
      <c r="O589" s="12"/>
      <c r="P589" s="12"/>
      <c r="Q589" s="12"/>
      <c r="R589" s="12"/>
    </row>
    <row r="590" spans="2:18">
      <c r="B590" s="184"/>
      <c r="C590" s="566" t="s">
        <v>372</v>
      </c>
      <c r="D590" s="12"/>
      <c r="E590" s="12"/>
      <c r="F590" s="547">
        <f>SUM(F588:F589)</f>
        <v>92.4</v>
      </c>
      <c r="G590" s="12" t="s">
        <v>20</v>
      </c>
      <c r="H590" s="12"/>
      <c r="I590" s="12"/>
      <c r="J590" s="87"/>
      <c r="K590" s="111"/>
      <c r="L590" s="167"/>
      <c r="M590" s="29"/>
      <c r="N590" s="29"/>
      <c r="O590" s="12"/>
      <c r="P590" s="12"/>
      <c r="Q590" s="12"/>
      <c r="R590" s="12"/>
    </row>
    <row r="591" spans="2:18">
      <c r="B591" s="184"/>
      <c r="C591" s="37"/>
      <c r="D591" s="29"/>
      <c r="E591" s="87"/>
      <c r="F591" s="527"/>
      <c r="G591" s="87"/>
      <c r="H591" s="87"/>
      <c r="I591" s="527"/>
      <c r="J591" s="87"/>
      <c r="K591" s="111"/>
      <c r="L591" s="167"/>
      <c r="M591" s="29"/>
      <c r="N591" s="29"/>
      <c r="O591" s="12"/>
      <c r="P591" s="12"/>
      <c r="Q591" s="12"/>
      <c r="R591" s="12"/>
    </row>
    <row r="592" spans="2:18">
      <c r="B592" s="184"/>
      <c r="C592" s="29"/>
      <c r="D592" s="29"/>
      <c r="E592" s="29"/>
      <c r="F592" s="29"/>
      <c r="G592" s="29"/>
      <c r="H592" s="29"/>
      <c r="I592" s="29"/>
      <c r="J592" s="29"/>
      <c r="K592" s="167"/>
      <c r="L592" s="167"/>
      <c r="M592" s="29"/>
      <c r="N592" s="29"/>
      <c r="O592" s="12"/>
      <c r="P592" s="12"/>
      <c r="Q592" s="12"/>
      <c r="R592" s="12"/>
    </row>
    <row r="593" spans="2:18" ht="15.75" customHeight="1">
      <c r="B593" s="43"/>
      <c r="C593" s="29"/>
      <c r="D593" s="29"/>
      <c r="E593" s="29"/>
      <c r="F593" s="29"/>
      <c r="G593" s="29"/>
      <c r="H593" s="29"/>
      <c r="I593" s="29"/>
      <c r="J593" s="29"/>
      <c r="K593" s="568"/>
      <c r="L593" s="568"/>
      <c r="M593" s="568"/>
      <c r="N593" s="29"/>
      <c r="O593" s="12"/>
      <c r="P593" s="12"/>
      <c r="Q593" s="12"/>
      <c r="R593" s="12"/>
    </row>
    <row r="594" spans="2:18" ht="23.25" customHeight="1">
      <c r="B594" s="43"/>
      <c r="C594" s="29"/>
      <c r="D594" s="29"/>
      <c r="E594" s="29"/>
      <c r="F594" s="29"/>
      <c r="G594" s="29"/>
      <c r="H594" s="29"/>
      <c r="I594" s="29"/>
      <c r="J594" s="29"/>
      <c r="K594" s="569"/>
      <c r="L594" s="569"/>
      <c r="M594" s="569"/>
      <c r="N594" s="29"/>
      <c r="O594" s="12"/>
      <c r="P594" s="12"/>
      <c r="Q594" s="12"/>
      <c r="R594" s="12"/>
    </row>
    <row r="595" spans="2:18">
      <c r="B595" s="37"/>
      <c r="C595" s="29"/>
      <c r="D595" s="29"/>
      <c r="E595" s="29"/>
      <c r="F595" s="29"/>
      <c r="G595" s="29"/>
      <c r="H595" s="29"/>
      <c r="I595" s="29"/>
      <c r="J595" s="29"/>
      <c r="K595" s="190"/>
      <c r="L595" s="163"/>
      <c r="M595" s="24"/>
      <c r="N595" s="29"/>
      <c r="O595" s="12"/>
      <c r="P595" s="12"/>
      <c r="Q595" s="12"/>
      <c r="R595" s="12"/>
    </row>
    <row r="596" spans="2:18">
      <c r="B596" s="37"/>
      <c r="C596" s="29"/>
      <c r="D596" s="29"/>
      <c r="E596" s="29"/>
      <c r="F596" s="29"/>
      <c r="G596" s="29"/>
      <c r="H596" s="29"/>
      <c r="I596" s="29"/>
      <c r="J596" s="29"/>
      <c r="K596" s="434"/>
      <c r="L596" s="112"/>
      <c r="M596" s="128"/>
      <c r="N596" s="29"/>
      <c r="O596" s="12"/>
      <c r="P596" s="12"/>
      <c r="Q596" s="12"/>
      <c r="R596" s="12"/>
    </row>
    <row r="597" spans="2:18">
      <c r="B597" s="37"/>
      <c r="C597" s="29"/>
      <c r="D597" s="29"/>
      <c r="E597" s="29"/>
      <c r="F597" s="29"/>
      <c r="G597" s="29"/>
      <c r="H597" s="29"/>
      <c r="I597" s="29"/>
      <c r="J597" s="29"/>
      <c r="K597" s="434"/>
      <c r="L597" s="112"/>
      <c r="M597" s="128"/>
      <c r="N597" s="29"/>
      <c r="O597" s="12"/>
      <c r="P597" s="12"/>
      <c r="Q597" s="12"/>
      <c r="R597" s="12"/>
    </row>
    <row r="598" spans="2:18">
      <c r="B598" s="184"/>
      <c r="C598" s="29"/>
      <c r="D598" s="29"/>
      <c r="E598" s="29"/>
      <c r="F598" s="29"/>
      <c r="G598" s="29"/>
      <c r="H598" s="29"/>
      <c r="I598" s="29"/>
      <c r="J598" s="29"/>
      <c r="K598" s="167"/>
      <c r="L598" s="167"/>
      <c r="M598" s="29"/>
      <c r="N598" s="29"/>
      <c r="O598" s="12"/>
      <c r="P598" s="12"/>
      <c r="Q598" s="12"/>
      <c r="R598" s="12"/>
    </row>
    <row r="599" spans="2:18">
      <c r="B599" s="184"/>
      <c r="C599" s="29"/>
      <c r="D599" s="29"/>
      <c r="E599" s="29"/>
      <c r="F599" s="29"/>
      <c r="G599" s="29"/>
      <c r="H599" s="29"/>
      <c r="I599" s="29"/>
      <c r="J599" s="29"/>
      <c r="K599" s="167"/>
      <c r="L599" s="167"/>
      <c r="M599" s="29"/>
      <c r="N599" s="29"/>
      <c r="O599" s="12"/>
      <c r="P599" s="12"/>
      <c r="Q599" s="12"/>
      <c r="R599" s="12"/>
    </row>
    <row r="600" spans="2:18">
      <c r="B600" s="184"/>
      <c r="C600" s="29"/>
      <c r="D600" s="29"/>
      <c r="E600" s="29"/>
      <c r="F600" s="29"/>
      <c r="G600" s="29"/>
      <c r="H600" s="29"/>
      <c r="I600" s="29"/>
      <c r="J600" s="29"/>
      <c r="K600" s="167"/>
      <c r="L600" s="167"/>
      <c r="M600" s="29"/>
      <c r="N600" s="29"/>
      <c r="O600" s="12"/>
      <c r="P600" s="12"/>
      <c r="Q600" s="12"/>
      <c r="R600" s="12"/>
    </row>
    <row r="601" spans="2:18">
      <c r="B601" s="184"/>
      <c r="C601" s="29"/>
      <c r="D601" s="29"/>
      <c r="E601" s="29"/>
      <c r="F601" s="29"/>
      <c r="G601" s="29"/>
      <c r="H601" s="29"/>
      <c r="I601" s="29"/>
      <c r="J601" s="29"/>
      <c r="K601" s="167"/>
      <c r="L601" s="167"/>
      <c r="M601" s="29"/>
      <c r="N601" s="29"/>
      <c r="O601" s="12"/>
      <c r="P601" s="12"/>
      <c r="Q601" s="12"/>
      <c r="R601" s="12"/>
    </row>
    <row r="602" spans="2:18">
      <c r="B602" s="185"/>
      <c r="C602" s="12"/>
      <c r="D602" s="12"/>
      <c r="E602" s="12"/>
      <c r="F602" s="12"/>
      <c r="G602" s="12"/>
      <c r="H602" s="12"/>
      <c r="I602" s="12"/>
      <c r="J602" s="12"/>
      <c r="K602" s="158"/>
      <c r="L602" s="158"/>
      <c r="M602" s="12"/>
      <c r="N602" s="12"/>
      <c r="O602" s="12"/>
      <c r="P602" s="12"/>
      <c r="Q602" s="12"/>
      <c r="R602" s="12"/>
    </row>
    <row r="603" spans="2:18">
      <c r="B603" s="185"/>
      <c r="C603" s="12"/>
      <c r="D603" s="12"/>
      <c r="E603" s="12"/>
      <c r="F603" s="12"/>
      <c r="G603" s="12"/>
      <c r="H603" s="12"/>
      <c r="I603" s="12"/>
      <c r="J603" s="12"/>
      <c r="K603" s="158"/>
      <c r="L603" s="158"/>
      <c r="M603" s="12"/>
      <c r="N603" s="12"/>
      <c r="O603" s="12"/>
      <c r="P603" s="12"/>
      <c r="Q603" s="12"/>
      <c r="R603" s="12"/>
    </row>
    <row r="604" spans="2:18">
      <c r="B604" s="185"/>
      <c r="C604" s="12"/>
      <c r="D604" s="12"/>
      <c r="E604" s="12"/>
      <c r="F604" s="12"/>
      <c r="G604" s="12"/>
      <c r="H604" s="12"/>
      <c r="I604" s="12"/>
      <c r="J604" s="12"/>
      <c r="K604" s="158"/>
      <c r="L604" s="158"/>
      <c r="M604" s="12"/>
      <c r="N604" s="12"/>
      <c r="O604" s="12"/>
      <c r="P604" s="12"/>
      <c r="Q604" s="12"/>
      <c r="R604" s="12"/>
    </row>
    <row r="605" spans="2:18">
      <c r="B605" s="185"/>
      <c r="C605" s="12"/>
      <c r="D605" s="12"/>
      <c r="E605" s="12"/>
      <c r="F605" s="12"/>
      <c r="G605" s="12"/>
      <c r="H605" s="12"/>
      <c r="I605" s="12"/>
      <c r="J605" s="12"/>
      <c r="K605" s="158"/>
      <c r="L605" s="158"/>
      <c r="M605" s="12"/>
      <c r="N605" s="12"/>
      <c r="O605" s="12"/>
      <c r="P605" s="12"/>
      <c r="Q605" s="12"/>
      <c r="R605" s="12"/>
    </row>
    <row r="606" spans="2:18">
      <c r="B606" s="185"/>
      <c r="C606" s="12"/>
      <c r="D606" s="12"/>
      <c r="E606" s="12"/>
      <c r="F606" s="12"/>
      <c r="G606" s="12"/>
      <c r="H606" s="12"/>
      <c r="I606" s="12"/>
      <c r="J606" s="12"/>
      <c r="K606" s="158"/>
      <c r="L606" s="158"/>
      <c r="M606" s="12"/>
      <c r="N606" s="12"/>
      <c r="O606" s="12"/>
      <c r="P606" s="12"/>
      <c r="Q606" s="12"/>
      <c r="R606" s="12"/>
    </row>
    <row r="607" spans="2:18">
      <c r="B607" s="185"/>
      <c r="C607" s="12"/>
      <c r="D607" s="12"/>
      <c r="E607" s="12"/>
      <c r="F607" s="12"/>
      <c r="G607" s="12"/>
      <c r="H607" s="12"/>
      <c r="I607" s="12"/>
      <c r="J607" s="12"/>
      <c r="K607" s="158"/>
      <c r="L607" s="158"/>
      <c r="M607" s="12"/>
      <c r="N607" s="12"/>
      <c r="O607" s="12"/>
      <c r="P607" s="12"/>
      <c r="Q607" s="12"/>
      <c r="R607" s="12"/>
    </row>
    <row r="608" spans="2:18">
      <c r="B608" s="185"/>
      <c r="C608" s="12"/>
      <c r="D608" s="12"/>
      <c r="E608" s="12"/>
      <c r="F608" s="12"/>
      <c r="G608" s="12"/>
      <c r="H608" s="12"/>
      <c r="I608" s="12"/>
      <c r="J608" s="12"/>
      <c r="K608" s="158"/>
      <c r="L608" s="158"/>
      <c r="M608" s="12"/>
      <c r="N608" s="12"/>
      <c r="O608" s="12"/>
      <c r="P608" s="12"/>
      <c r="Q608" s="12"/>
      <c r="R608" s="12"/>
    </row>
    <row r="609" spans="2:18">
      <c r="B609" s="185"/>
      <c r="C609" s="12"/>
      <c r="D609" s="12"/>
      <c r="E609" s="12"/>
      <c r="F609" s="12"/>
      <c r="G609" s="12"/>
      <c r="H609" s="12"/>
      <c r="I609" s="12"/>
      <c r="J609" s="12"/>
      <c r="K609" s="158"/>
      <c r="L609" s="158"/>
      <c r="M609" s="12"/>
      <c r="N609" s="12"/>
      <c r="O609" s="12"/>
      <c r="P609" s="12"/>
      <c r="Q609" s="12"/>
      <c r="R609" s="12"/>
    </row>
    <row r="610" spans="2:18">
      <c r="B610" s="38"/>
      <c r="C610" s="36"/>
      <c r="D610" s="36"/>
      <c r="E610" s="36"/>
      <c r="F610" s="36"/>
      <c r="G610" s="36"/>
      <c r="H610" s="36"/>
      <c r="I610" s="36"/>
      <c r="J610" s="36"/>
      <c r="M610" s="36"/>
      <c r="N610" s="36"/>
      <c r="O610" s="36"/>
    </row>
    <row r="611" spans="2:18">
      <c r="B611" s="38"/>
      <c r="C611" s="36"/>
      <c r="D611" s="36"/>
      <c r="E611" s="36"/>
      <c r="F611" s="36"/>
      <c r="G611" s="36"/>
      <c r="H611" s="36"/>
      <c r="I611" s="36"/>
      <c r="J611" s="36"/>
      <c r="M611" s="36"/>
      <c r="N611" s="36"/>
      <c r="O611" s="36"/>
    </row>
    <row r="612" spans="2:18">
      <c r="B612" s="38"/>
      <c r="C612" s="36"/>
      <c r="D612" s="36"/>
      <c r="E612" s="36"/>
      <c r="F612" s="36"/>
      <c r="G612" s="36"/>
      <c r="H612" s="36"/>
      <c r="I612" s="36"/>
      <c r="J612" s="36"/>
      <c r="M612" s="36"/>
      <c r="N612" s="36"/>
      <c r="O612" s="36"/>
    </row>
  </sheetData>
  <mergeCells count="84">
    <mergeCell ref="H15:J15"/>
    <mergeCell ref="E16:G16"/>
    <mergeCell ref="D22:D23"/>
    <mergeCell ref="F22:F23"/>
    <mergeCell ref="G22:G23"/>
    <mergeCell ref="H16:J16"/>
    <mergeCell ref="G19:G21"/>
    <mergeCell ref="H19:H20"/>
    <mergeCell ref="I19:I21"/>
    <mergeCell ref="J19:J21"/>
    <mergeCell ref="I22:I23"/>
    <mergeCell ref="J22:J23"/>
    <mergeCell ref="B15:C16"/>
    <mergeCell ref="D15:D17"/>
    <mergeCell ref="H31:H32"/>
    <mergeCell ref="D32:D33"/>
    <mergeCell ref="B23:B24"/>
    <mergeCell ref="C23:C24"/>
    <mergeCell ref="E23:E24"/>
    <mergeCell ref="H23:H24"/>
    <mergeCell ref="D24:D25"/>
    <mergeCell ref="F24:F25"/>
    <mergeCell ref="G24:G25"/>
    <mergeCell ref="D28:D29"/>
    <mergeCell ref="F28:F29"/>
    <mergeCell ref="B19:B20"/>
    <mergeCell ref="C19:C20"/>
    <mergeCell ref="I24:I25"/>
    <mergeCell ref="B21:B22"/>
    <mergeCell ref="C21:C22"/>
    <mergeCell ref="E21:E22"/>
    <mergeCell ref="H21:H22"/>
    <mergeCell ref="D19:D21"/>
    <mergeCell ref="E19:E20"/>
    <mergeCell ref="F19:F21"/>
    <mergeCell ref="J30:J31"/>
    <mergeCell ref="B31:B32"/>
    <mergeCell ref="C31:C32"/>
    <mergeCell ref="E31:E32"/>
    <mergeCell ref="J32:J33"/>
    <mergeCell ref="I30:I31"/>
    <mergeCell ref="B29:B30"/>
    <mergeCell ref="C29:C30"/>
    <mergeCell ref="E29:E30"/>
    <mergeCell ref="H29:H30"/>
    <mergeCell ref="D30:D31"/>
    <mergeCell ref="F30:F31"/>
    <mergeCell ref="G30:G31"/>
    <mergeCell ref="G28:G29"/>
    <mergeCell ref="I32:I33"/>
    <mergeCell ref="J24:J25"/>
    <mergeCell ref="B25:B26"/>
    <mergeCell ref="C25:C26"/>
    <mergeCell ref="E25:E26"/>
    <mergeCell ref="H25:H26"/>
    <mergeCell ref="D26:D27"/>
    <mergeCell ref="F26:F27"/>
    <mergeCell ref="G26:G27"/>
    <mergeCell ref="I26:I27"/>
    <mergeCell ref="J26:J27"/>
    <mergeCell ref="B27:B28"/>
    <mergeCell ref="C27:C28"/>
    <mergeCell ref="E27:E28"/>
    <mergeCell ref="H27:H28"/>
    <mergeCell ref="I28:I29"/>
    <mergeCell ref="J28:J29"/>
    <mergeCell ref="B35:B36"/>
    <mergeCell ref="C35:C36"/>
    <mergeCell ref="E35:E36"/>
    <mergeCell ref="H35:H36"/>
    <mergeCell ref="B33:B34"/>
    <mergeCell ref="C33:C34"/>
    <mergeCell ref="E33:E34"/>
    <mergeCell ref="H33:H34"/>
    <mergeCell ref="D34:D35"/>
    <mergeCell ref="F34:F35"/>
    <mergeCell ref="G34:G35"/>
    <mergeCell ref="F32:F33"/>
    <mergeCell ref="G32:G33"/>
    <mergeCell ref="C412:I414"/>
    <mergeCell ref="K593:M593"/>
    <mergeCell ref="K594:M594"/>
    <mergeCell ref="I34:I35"/>
    <mergeCell ref="J34:J35"/>
  </mergeCells>
  <pageMargins left="0.51181102362204722" right="0.51181102362204722" top="0.78740157480314965" bottom="0.78740157480314965" header="0.31496062992125984" footer="0.31496062992125984"/>
  <pageSetup paperSize="9" orientation="portrait" r:id="rId1"/>
  <headerFooter>
    <oddHeader>&amp;RVýkaz výměr SO 02</oddHeader>
    <oddFooter>&amp;L&amp;F&amp;C&amp;10&amp;A&amp;R&amp;10&amp;P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2"/>
  <sheetViews>
    <sheetView workbookViewId="0">
      <selection activeCell="AA184" sqref="AA184"/>
    </sheetView>
  </sheetViews>
  <sheetFormatPr defaultRowHeight="15"/>
  <cols>
    <col min="4" max="4" width="3.7109375" style="1" customWidth="1"/>
    <col min="5" max="5" width="10.85546875" customWidth="1"/>
    <col min="10" max="10" width="9.5703125" bestFit="1" customWidth="1"/>
    <col min="13" max="13" width="9.140625" style="58"/>
  </cols>
  <sheetData>
    <row r="1" spans="3:13" s="1" customFormat="1">
      <c r="M1" s="58"/>
    </row>
    <row r="2" spans="3:13" s="1" customFormat="1" ht="15.75">
      <c r="C2" s="371" t="s">
        <v>476</v>
      </c>
      <c r="D2" s="371"/>
      <c r="M2" s="58"/>
    </row>
    <row r="3" spans="3:13" s="1" customFormat="1">
      <c r="E3" s="1" t="s">
        <v>480</v>
      </c>
      <c r="M3" s="58"/>
    </row>
    <row r="4" spans="3:13" s="1" customFormat="1">
      <c r="E4" s="1" t="s">
        <v>481</v>
      </c>
      <c r="H4" s="1">
        <v>5.2</v>
      </c>
      <c r="I4" s="1" t="s">
        <v>20</v>
      </c>
      <c r="M4" s="58"/>
    </row>
    <row r="5" spans="3:13" s="1" customFormat="1">
      <c r="E5" s="1" t="s">
        <v>482</v>
      </c>
      <c r="H5" s="1">
        <v>5.7</v>
      </c>
      <c r="I5" s="1" t="s">
        <v>20</v>
      </c>
      <c r="M5" s="58"/>
    </row>
    <row r="6" spans="3:13" s="1" customFormat="1">
      <c r="E6" s="1" t="s">
        <v>483</v>
      </c>
      <c r="H6" s="1">
        <f>(H4+H5)/2</f>
        <v>5.45</v>
      </c>
      <c r="I6" s="1" t="s">
        <v>20</v>
      </c>
      <c r="M6" s="58"/>
    </row>
    <row r="7" spans="3:13" s="1" customFormat="1">
      <c r="E7" s="96" t="s">
        <v>148</v>
      </c>
      <c r="F7" s="96"/>
      <c r="G7" s="96"/>
      <c r="H7" s="96">
        <v>5</v>
      </c>
      <c r="I7" s="96" t="s">
        <v>20</v>
      </c>
      <c r="J7" s="96"/>
      <c r="K7" s="96"/>
      <c r="M7" s="58"/>
    </row>
    <row r="8" spans="3:13" s="1" customFormat="1">
      <c r="E8" s="151" t="s">
        <v>19</v>
      </c>
      <c r="J8" s="1">
        <f>H6*H7</f>
        <v>27.25</v>
      </c>
      <c r="K8" s="1" t="s">
        <v>21</v>
      </c>
      <c r="M8" s="58"/>
    </row>
    <row r="9" spans="3:13" s="1" customFormat="1">
      <c r="E9" s="151" t="s">
        <v>484</v>
      </c>
      <c r="M9" s="58"/>
    </row>
    <row r="10" spans="3:13" s="1" customFormat="1">
      <c r="E10" s="151" t="s">
        <v>123</v>
      </c>
      <c r="H10" s="1">
        <v>18.2</v>
      </c>
      <c r="I10" s="1" t="s">
        <v>20</v>
      </c>
      <c r="M10" s="58"/>
    </row>
    <row r="11" spans="3:13" s="1" customFormat="1">
      <c r="E11" s="375" t="s">
        <v>485</v>
      </c>
      <c r="F11" s="96"/>
      <c r="G11" s="96"/>
      <c r="H11" s="96">
        <v>0.85</v>
      </c>
      <c r="I11" s="96" t="s">
        <v>6</v>
      </c>
      <c r="J11" s="96"/>
      <c r="K11" s="96"/>
      <c r="M11" s="58"/>
    </row>
    <row r="12" spans="3:13" s="1" customFormat="1">
      <c r="E12" s="151" t="s">
        <v>19</v>
      </c>
      <c r="J12" s="1">
        <f>H10*H11</f>
        <v>15.469999999999999</v>
      </c>
      <c r="K12" s="1" t="s">
        <v>21</v>
      </c>
      <c r="M12" s="58"/>
    </row>
    <row r="13" spans="3:13" s="1" customFormat="1">
      <c r="E13" s="1" t="s">
        <v>120</v>
      </c>
      <c r="M13" s="58"/>
    </row>
    <row r="14" spans="3:13" s="1" customFormat="1">
      <c r="E14" s="1" t="s">
        <v>458</v>
      </c>
      <c r="H14" s="1">
        <v>11.5</v>
      </c>
      <c r="I14" s="1" t="s">
        <v>20</v>
      </c>
      <c r="M14" s="58"/>
    </row>
    <row r="15" spans="3:13" s="1" customFormat="1">
      <c r="E15" s="96" t="s">
        <v>116</v>
      </c>
      <c r="F15" s="96"/>
      <c r="G15" s="96"/>
      <c r="H15" s="96">
        <v>0.6</v>
      </c>
      <c r="I15" s="96" t="s">
        <v>6</v>
      </c>
      <c r="J15" s="96"/>
      <c r="K15" s="96"/>
      <c r="M15" s="58"/>
    </row>
    <row r="16" spans="3:13" s="1" customFormat="1">
      <c r="E16" s="151" t="s">
        <v>19</v>
      </c>
      <c r="J16" s="1">
        <f>H14*H15</f>
        <v>6.8999999999999995</v>
      </c>
      <c r="K16" s="1" t="s">
        <v>21</v>
      </c>
      <c r="M16" s="58"/>
    </row>
    <row r="17" spans="3:14" s="1" customFormat="1">
      <c r="M17" s="58"/>
    </row>
    <row r="18" spans="3:14" s="1" customFormat="1">
      <c r="E18" s="1" t="s">
        <v>486</v>
      </c>
      <c r="M18" s="58"/>
    </row>
    <row r="19" spans="3:14" s="1" customFormat="1">
      <c r="E19" s="1" t="s">
        <v>119</v>
      </c>
      <c r="H19" s="1">
        <v>71.5</v>
      </c>
      <c r="M19" s="58"/>
    </row>
    <row r="20" spans="3:14" s="1" customFormat="1">
      <c r="E20" s="96" t="s">
        <v>124</v>
      </c>
      <c r="F20" s="96"/>
      <c r="G20" s="96"/>
      <c r="H20" s="96">
        <v>0.6</v>
      </c>
      <c r="I20" s="96"/>
      <c r="J20" s="96"/>
      <c r="K20" s="96"/>
      <c r="M20" s="58"/>
    </row>
    <row r="21" spans="3:14" s="1" customFormat="1">
      <c r="E21" s="151" t="s">
        <v>19</v>
      </c>
      <c r="J21" s="1">
        <f>H19*H20</f>
        <v>42.9</v>
      </c>
      <c r="K21" s="1" t="s">
        <v>21</v>
      </c>
      <c r="M21" s="58"/>
    </row>
    <row r="22" spans="3:14" s="1" customFormat="1">
      <c r="E22" s="1" t="s">
        <v>118</v>
      </c>
      <c r="M22" s="58"/>
    </row>
    <row r="23" spans="3:14" s="1" customFormat="1">
      <c r="E23" s="1" t="s">
        <v>490</v>
      </c>
      <c r="J23" s="1">
        <f>0.2*0.07*19</f>
        <v>0.26600000000000001</v>
      </c>
      <c r="K23" s="1" t="s">
        <v>21</v>
      </c>
      <c r="M23" s="58"/>
    </row>
    <row r="24" spans="3:14" s="1" customFormat="1" ht="15.75">
      <c r="E24" s="371" t="s">
        <v>487</v>
      </c>
      <c r="M24" s="385">
        <f>SUM(J6:J24)</f>
        <v>92.786000000000001</v>
      </c>
      <c r="N24" s="373" t="s">
        <v>21</v>
      </c>
    </row>
    <row r="25" spans="3:14" s="1" customFormat="1" ht="15.75">
      <c r="E25" s="371"/>
      <c r="M25" s="385"/>
      <c r="N25" s="373"/>
    </row>
    <row r="26" spans="3:14" s="1" customFormat="1" ht="15.75">
      <c r="C26" s="371" t="s">
        <v>478</v>
      </c>
      <c r="E26" s="371"/>
      <c r="M26" s="385"/>
      <c r="N26" s="373"/>
    </row>
    <row r="27" spans="3:14" s="1" customFormat="1" ht="15.75">
      <c r="E27" s="371" t="s">
        <v>467</v>
      </c>
      <c r="M27" s="385"/>
      <c r="N27" s="373"/>
    </row>
    <row r="28" spans="3:14" s="1" customFormat="1" ht="15.75">
      <c r="E28" s="378" t="s">
        <v>470</v>
      </c>
      <c r="F28" s="36"/>
      <c r="G28" s="36"/>
      <c r="M28" s="385"/>
      <c r="N28" s="373"/>
    </row>
    <row r="29" spans="3:14" s="1" customFormat="1" ht="15.75">
      <c r="E29" s="378" t="s">
        <v>117</v>
      </c>
      <c r="F29" s="36"/>
      <c r="G29" s="36"/>
      <c r="H29" s="1">
        <v>6.3</v>
      </c>
      <c r="I29" s="1" t="s">
        <v>20</v>
      </c>
      <c r="M29" s="385"/>
      <c r="N29" s="373"/>
    </row>
    <row r="30" spans="3:14" s="1" customFormat="1" ht="15.75">
      <c r="E30" s="379" t="s">
        <v>22</v>
      </c>
      <c r="F30" s="380"/>
      <c r="G30" s="380"/>
      <c r="H30" s="96">
        <v>0.8</v>
      </c>
      <c r="I30" s="96" t="s">
        <v>6</v>
      </c>
      <c r="J30" s="96"/>
      <c r="K30" s="96"/>
      <c r="M30" s="385"/>
      <c r="N30" s="373"/>
    </row>
    <row r="31" spans="3:14" s="1" customFormat="1" ht="15.75">
      <c r="E31" s="151" t="s">
        <v>19</v>
      </c>
      <c r="J31" s="1">
        <f>H29*H30</f>
        <v>5.04</v>
      </c>
      <c r="K31" s="1" t="s">
        <v>21</v>
      </c>
      <c r="M31" s="385"/>
      <c r="N31" s="373"/>
    </row>
    <row r="32" spans="3:14" s="1" customFormat="1" ht="15.75">
      <c r="E32" s="1" t="s">
        <v>481</v>
      </c>
      <c r="H32" s="1">
        <v>14</v>
      </c>
      <c r="I32" s="1" t="s">
        <v>20</v>
      </c>
      <c r="M32" s="385"/>
      <c r="N32" s="373"/>
    </row>
    <row r="33" spans="3:14" s="1" customFormat="1" ht="15.75">
      <c r="E33" s="1" t="s">
        <v>482</v>
      </c>
      <c r="H33" s="1">
        <v>12.9</v>
      </c>
      <c r="I33" s="1" t="s">
        <v>20</v>
      </c>
      <c r="M33" s="385"/>
      <c r="N33" s="373"/>
    </row>
    <row r="34" spans="3:14" s="1" customFormat="1" ht="15.75">
      <c r="E34" s="1" t="s">
        <v>483</v>
      </c>
      <c r="H34" s="1">
        <f>(H32+H33)/2</f>
        <v>13.45</v>
      </c>
      <c r="I34" s="1" t="s">
        <v>20</v>
      </c>
      <c r="M34" s="385"/>
      <c r="N34" s="373"/>
    </row>
    <row r="35" spans="3:14" s="1" customFormat="1" ht="15.75">
      <c r="E35" s="96" t="s">
        <v>148</v>
      </c>
      <c r="F35" s="96"/>
      <c r="G35" s="96"/>
      <c r="H35" s="96">
        <v>6</v>
      </c>
      <c r="I35" s="96" t="s">
        <v>20</v>
      </c>
      <c r="J35" s="96"/>
      <c r="K35" s="96"/>
      <c r="M35" s="385"/>
      <c r="N35" s="373"/>
    </row>
    <row r="36" spans="3:14" s="1" customFormat="1">
      <c r="E36" s="151" t="s">
        <v>19</v>
      </c>
      <c r="J36" s="1">
        <f>H34*H35</f>
        <v>80.699999999999989</v>
      </c>
      <c r="K36" s="1" t="s">
        <v>21</v>
      </c>
      <c r="M36" s="58"/>
    </row>
    <row r="37" spans="3:14" s="1" customFormat="1">
      <c r="E37" s="151" t="s">
        <v>120</v>
      </c>
      <c r="M37" s="58"/>
    </row>
    <row r="38" spans="3:14" s="1" customFormat="1">
      <c r="E38" s="151" t="s">
        <v>458</v>
      </c>
      <c r="H38" s="1">
        <v>16.8</v>
      </c>
      <c r="M38" s="58"/>
    </row>
    <row r="39" spans="3:14" s="1" customFormat="1">
      <c r="E39" s="375" t="s">
        <v>116</v>
      </c>
      <c r="F39" s="96"/>
      <c r="G39" s="96"/>
      <c r="H39" s="96">
        <v>0.6</v>
      </c>
      <c r="I39" s="96"/>
      <c r="J39" s="96"/>
      <c r="K39" s="96"/>
      <c r="M39" s="58"/>
    </row>
    <row r="40" spans="3:14" s="1" customFormat="1" ht="15.75">
      <c r="E40" s="151" t="s">
        <v>19</v>
      </c>
      <c r="J40" s="1">
        <f>H38*H39</f>
        <v>10.08</v>
      </c>
      <c r="K40" s="1" t="s">
        <v>21</v>
      </c>
      <c r="M40" s="385">
        <f>SUM(J30:J40)</f>
        <v>95.82</v>
      </c>
      <c r="N40" s="377" t="s">
        <v>21</v>
      </c>
    </row>
    <row r="41" spans="3:14" s="1" customFormat="1" ht="15.75">
      <c r="E41" s="371" t="s">
        <v>491</v>
      </c>
      <c r="M41" s="58"/>
    </row>
    <row r="42" spans="3:14" s="1" customFormat="1">
      <c r="E42" s="151"/>
      <c r="M42" s="58"/>
    </row>
    <row r="43" spans="3:14" s="1" customFormat="1" ht="15.75">
      <c r="C43" s="371" t="s">
        <v>477</v>
      </c>
      <c r="E43" s="354"/>
      <c r="F43" s="12"/>
      <c r="G43" s="12"/>
      <c r="H43" s="12"/>
      <c r="I43" s="12"/>
      <c r="J43" s="12"/>
      <c r="K43" s="12"/>
      <c r="L43" s="12"/>
      <c r="M43" s="58"/>
    </row>
    <row r="44" spans="3:14" s="1" customFormat="1" ht="15.75">
      <c r="E44" s="392" t="s">
        <v>470</v>
      </c>
      <c r="F44" s="12"/>
      <c r="G44" s="12"/>
      <c r="H44" s="12"/>
      <c r="I44" s="12"/>
      <c r="J44" s="12"/>
      <c r="K44" s="12"/>
      <c r="L44" s="12"/>
      <c r="M44" s="58"/>
    </row>
    <row r="45" spans="3:14" s="1" customFormat="1" ht="15.75">
      <c r="E45" s="392" t="s">
        <v>117</v>
      </c>
      <c r="F45" s="12"/>
      <c r="G45" s="12"/>
      <c r="H45" s="12">
        <v>14.5</v>
      </c>
      <c r="I45" s="12" t="s">
        <v>20</v>
      </c>
      <c r="J45" s="12"/>
      <c r="K45" s="12"/>
      <c r="L45" s="12"/>
      <c r="M45" s="58"/>
    </row>
    <row r="46" spans="3:14" s="1" customFormat="1" ht="15.75">
      <c r="E46" s="393" t="s">
        <v>22</v>
      </c>
      <c r="F46" s="13"/>
      <c r="G46" s="13"/>
      <c r="H46" s="13">
        <v>0.8</v>
      </c>
      <c r="I46" s="13" t="s">
        <v>6</v>
      </c>
      <c r="J46" s="13"/>
      <c r="K46" s="13"/>
      <c r="L46" s="12"/>
      <c r="M46" s="58"/>
    </row>
    <row r="47" spans="3:14" s="1" customFormat="1">
      <c r="E47" s="354" t="s">
        <v>19</v>
      </c>
      <c r="F47" s="12"/>
      <c r="G47" s="12"/>
      <c r="H47" s="12"/>
      <c r="I47" s="12"/>
      <c r="J47" s="12">
        <f>H45*H46</f>
        <v>11.600000000000001</v>
      </c>
      <c r="K47" s="12" t="s">
        <v>21</v>
      </c>
      <c r="L47" s="12"/>
      <c r="M47" s="58"/>
    </row>
    <row r="48" spans="3:14" s="1" customFormat="1" ht="15.75">
      <c r="E48" s="394" t="s">
        <v>494</v>
      </c>
      <c r="F48" s="12"/>
      <c r="G48" s="12">
        <v>342.4</v>
      </c>
      <c r="H48" s="12" t="s">
        <v>495</v>
      </c>
      <c r="I48" s="12"/>
      <c r="J48" s="12"/>
      <c r="K48" s="12"/>
      <c r="L48" s="12"/>
      <c r="M48" s="58"/>
    </row>
    <row r="49" spans="5:13" s="1" customFormat="1" ht="15.75">
      <c r="E49" s="394" t="s">
        <v>496</v>
      </c>
      <c r="F49" s="12"/>
      <c r="G49" s="12">
        <v>17.8</v>
      </c>
      <c r="H49" s="12"/>
      <c r="I49" s="12"/>
      <c r="J49" s="12"/>
      <c r="K49" s="12"/>
      <c r="L49" s="12"/>
      <c r="M49" s="58"/>
    </row>
    <row r="50" spans="5:13" s="1" customFormat="1" ht="15.75">
      <c r="E50" s="394" t="s">
        <v>497</v>
      </c>
      <c r="F50" s="12"/>
      <c r="G50" s="12">
        <v>31</v>
      </c>
      <c r="H50" s="12"/>
      <c r="I50" s="12"/>
      <c r="J50" s="12"/>
      <c r="K50" s="12"/>
      <c r="L50" s="12"/>
      <c r="M50" s="58"/>
    </row>
    <row r="51" spans="5:13" s="1" customFormat="1" ht="15.75">
      <c r="E51" s="394" t="s">
        <v>498</v>
      </c>
      <c r="F51" s="12"/>
      <c r="G51" s="12">
        <f>(G49+G50)/2</f>
        <v>24.4</v>
      </c>
      <c r="H51" s="12"/>
      <c r="I51" s="12"/>
      <c r="J51" s="12"/>
      <c r="K51" s="12"/>
      <c r="L51" s="12"/>
      <c r="M51" s="58"/>
    </row>
    <row r="52" spans="5:13" s="1" customFormat="1" ht="15.75">
      <c r="E52" s="395" t="s">
        <v>202</v>
      </c>
      <c r="F52" s="13"/>
      <c r="G52" s="13">
        <v>1.3</v>
      </c>
      <c r="H52" s="13" t="s">
        <v>6</v>
      </c>
      <c r="I52" s="13"/>
      <c r="J52" s="13"/>
      <c r="K52" s="13"/>
      <c r="L52" s="12"/>
      <c r="M52" s="58"/>
    </row>
    <row r="53" spans="5:13" s="1" customFormat="1" ht="15.75">
      <c r="E53" s="394" t="s">
        <v>19</v>
      </c>
      <c r="F53" s="12"/>
      <c r="G53" s="12"/>
      <c r="H53" s="12"/>
      <c r="I53" s="12"/>
      <c r="J53" s="396">
        <f>G51*G52</f>
        <v>31.72</v>
      </c>
      <c r="K53" s="12" t="s">
        <v>21</v>
      </c>
      <c r="L53" s="12"/>
      <c r="M53" s="58"/>
    </row>
    <row r="54" spans="5:13" s="1" customFormat="1" ht="15.75">
      <c r="E54" s="394" t="s">
        <v>501</v>
      </c>
      <c r="F54" s="12"/>
      <c r="G54" s="12"/>
      <c r="H54" s="12"/>
      <c r="I54" s="12"/>
      <c r="J54" s="397">
        <f>-0.3*3.1*2.5</f>
        <v>-2.3249999999999997</v>
      </c>
      <c r="K54" s="12" t="s">
        <v>21</v>
      </c>
      <c r="L54" s="12"/>
      <c r="M54" s="58"/>
    </row>
    <row r="55" spans="5:13" s="1" customFormat="1" ht="15.75">
      <c r="E55" s="394" t="s">
        <v>502</v>
      </c>
      <c r="F55" s="12"/>
      <c r="G55" s="12"/>
      <c r="H55" s="12"/>
      <c r="I55" s="12"/>
      <c r="J55" s="396"/>
      <c r="K55" s="12"/>
      <c r="L55" s="12"/>
      <c r="M55" s="58"/>
    </row>
    <row r="56" spans="5:13" s="1" customFormat="1" ht="15.75">
      <c r="E56" s="394" t="s">
        <v>499</v>
      </c>
      <c r="F56" s="12"/>
      <c r="G56" s="12"/>
      <c r="H56" s="12"/>
      <c r="I56" s="12"/>
      <c r="J56" s="12"/>
      <c r="K56" s="12"/>
      <c r="L56" s="12"/>
      <c r="M56" s="58"/>
    </row>
    <row r="57" spans="5:13" s="1" customFormat="1" ht="15.75">
      <c r="E57" s="394" t="s">
        <v>500</v>
      </c>
      <c r="F57" s="12"/>
      <c r="G57" s="12">
        <v>0.56000000000000005</v>
      </c>
      <c r="H57" s="12" t="s">
        <v>20</v>
      </c>
      <c r="I57" s="12"/>
      <c r="J57" s="12"/>
      <c r="K57" s="12"/>
      <c r="L57" s="12"/>
      <c r="M57" s="386"/>
    </row>
    <row r="58" spans="5:13" s="1" customFormat="1" ht="15.75">
      <c r="E58" s="395" t="s">
        <v>202</v>
      </c>
      <c r="F58" s="13"/>
      <c r="G58" s="13">
        <v>4.4000000000000004</v>
      </c>
      <c r="H58" s="13" t="s">
        <v>6</v>
      </c>
      <c r="I58" s="13"/>
      <c r="J58" s="13"/>
      <c r="K58" s="13"/>
      <c r="L58" s="12"/>
      <c r="M58" s="58"/>
    </row>
    <row r="59" spans="5:13" s="1" customFormat="1" ht="15.75">
      <c r="E59" s="394" t="s">
        <v>19</v>
      </c>
      <c r="F59" s="12"/>
      <c r="G59" s="12"/>
      <c r="H59" s="12"/>
      <c r="I59" s="12"/>
      <c r="J59" s="396">
        <f>G57*G58</f>
        <v>2.4640000000000004</v>
      </c>
      <c r="K59" s="12" t="s">
        <v>21</v>
      </c>
      <c r="L59" s="12"/>
      <c r="M59" s="58"/>
    </row>
    <row r="60" spans="5:13" s="1" customFormat="1" ht="15.75">
      <c r="E60" s="394" t="s">
        <v>503</v>
      </c>
      <c r="F60" s="12"/>
      <c r="G60" s="12"/>
      <c r="H60" s="12"/>
      <c r="I60" s="12"/>
      <c r="J60" s="12"/>
      <c r="K60" s="12"/>
      <c r="L60" s="12"/>
      <c r="M60" s="58"/>
    </row>
    <row r="61" spans="5:13" s="1" customFormat="1" ht="15.75">
      <c r="E61" s="394" t="s">
        <v>504</v>
      </c>
      <c r="F61" s="12"/>
      <c r="G61" s="12" t="s">
        <v>506</v>
      </c>
      <c r="H61" s="12"/>
      <c r="I61" s="12"/>
      <c r="J61" s="12"/>
      <c r="K61" s="12"/>
      <c r="L61" s="12"/>
      <c r="M61" s="58"/>
    </row>
    <row r="62" spans="5:13" s="1" customFormat="1" ht="15.75">
      <c r="E62" s="394" t="s">
        <v>505</v>
      </c>
      <c r="F62" s="12"/>
      <c r="G62" s="12" t="s">
        <v>507</v>
      </c>
      <c r="H62" s="12"/>
      <c r="I62" s="12"/>
      <c r="J62" s="12"/>
      <c r="K62" s="12"/>
      <c r="L62" s="12"/>
      <c r="M62" s="58"/>
    </row>
    <row r="63" spans="5:13" s="1" customFormat="1" ht="15.75">
      <c r="E63" s="382" t="s">
        <v>508</v>
      </c>
      <c r="F63" s="4"/>
      <c r="G63" s="4">
        <v>4.2</v>
      </c>
      <c r="H63" s="4" t="s">
        <v>20</v>
      </c>
      <c r="I63" s="4"/>
      <c r="J63" s="4"/>
      <c r="K63" s="4"/>
      <c r="L63" s="4"/>
      <c r="M63" s="151"/>
    </row>
    <row r="64" spans="5:13" s="1" customFormat="1" ht="15.75">
      <c r="E64" s="382" t="s">
        <v>509</v>
      </c>
      <c r="F64" s="4"/>
      <c r="G64" s="4">
        <v>5.5</v>
      </c>
      <c r="H64" s="4" t="s">
        <v>20</v>
      </c>
      <c r="I64" s="4"/>
      <c r="J64" s="4"/>
      <c r="K64" s="4"/>
      <c r="L64" s="4"/>
      <c r="M64" s="151"/>
    </row>
    <row r="65" spans="3:14" s="1" customFormat="1" ht="15.75">
      <c r="E65" s="382" t="s">
        <v>510</v>
      </c>
      <c r="F65" s="4"/>
      <c r="G65" s="4">
        <f>(G63+G64)/2</f>
        <v>4.8499999999999996</v>
      </c>
      <c r="H65" s="4"/>
      <c r="I65" s="4"/>
      <c r="J65" s="4"/>
      <c r="K65" s="4"/>
      <c r="L65" s="4"/>
      <c r="M65" s="151"/>
    </row>
    <row r="66" spans="3:14" s="1" customFormat="1" ht="15.75">
      <c r="E66" s="383" t="s">
        <v>22</v>
      </c>
      <c r="F66" s="96"/>
      <c r="G66" s="96">
        <v>11.5</v>
      </c>
      <c r="H66" s="96" t="s">
        <v>6</v>
      </c>
      <c r="I66" s="96"/>
      <c r="J66" s="96"/>
      <c r="K66" s="96"/>
      <c r="L66" s="96"/>
      <c r="M66" s="387"/>
    </row>
    <row r="67" spans="3:14" s="1" customFormat="1" ht="15.75">
      <c r="E67" s="382" t="s">
        <v>19</v>
      </c>
      <c r="F67" s="4"/>
      <c r="G67" s="4"/>
      <c r="H67" s="4"/>
      <c r="I67" s="4"/>
      <c r="J67" s="4">
        <f>G65*G66</f>
        <v>55.774999999999999</v>
      </c>
      <c r="K67" s="4" t="s">
        <v>21</v>
      </c>
      <c r="L67" s="4"/>
      <c r="M67" s="151"/>
    </row>
    <row r="68" spans="3:14" s="1" customFormat="1" ht="15.75">
      <c r="E68" s="382" t="s">
        <v>121</v>
      </c>
      <c r="F68" s="4"/>
      <c r="I68" s="4"/>
      <c r="J68" s="374"/>
      <c r="K68" s="4"/>
      <c r="L68" s="4"/>
      <c r="M68" s="151"/>
    </row>
    <row r="69" spans="3:14" s="1" customFormat="1" ht="15.75">
      <c r="E69" s="382" t="s">
        <v>122</v>
      </c>
      <c r="G69" s="4">
        <v>15</v>
      </c>
      <c r="H69" s="4" t="s">
        <v>20</v>
      </c>
      <c r="J69" s="372"/>
      <c r="M69" s="58"/>
    </row>
    <row r="70" spans="3:14" s="1" customFormat="1" ht="15.75">
      <c r="E70" s="383" t="s">
        <v>511</v>
      </c>
      <c r="F70" s="96"/>
      <c r="G70" s="96">
        <v>5</v>
      </c>
      <c r="H70" s="96" t="s">
        <v>6</v>
      </c>
      <c r="I70" s="96"/>
      <c r="J70" s="376"/>
      <c r="K70" s="96"/>
      <c r="M70" s="58"/>
    </row>
    <row r="71" spans="3:14" s="1" customFormat="1" ht="15.75">
      <c r="E71" s="382" t="s">
        <v>512</v>
      </c>
      <c r="J71" s="372">
        <f>G69*G70</f>
        <v>75</v>
      </c>
      <c r="K71" s="1" t="s">
        <v>21</v>
      </c>
      <c r="M71" s="58"/>
    </row>
    <row r="72" spans="3:14" s="1" customFormat="1" ht="15.75">
      <c r="E72" s="384" t="s">
        <v>513</v>
      </c>
      <c r="J72" s="372"/>
      <c r="M72" s="58"/>
    </row>
    <row r="73" spans="3:14" s="1" customFormat="1" ht="15.75">
      <c r="E73" s="382" t="s">
        <v>514</v>
      </c>
      <c r="F73" s="1" t="s">
        <v>516</v>
      </c>
      <c r="J73" s="1">
        <f>-1.2*1.2*5</f>
        <v>-7.1999999999999993</v>
      </c>
      <c r="K73" s="1" t="s">
        <v>21</v>
      </c>
      <c r="M73" s="58"/>
    </row>
    <row r="74" spans="3:14" s="1" customFormat="1" ht="15.75">
      <c r="E74" s="382" t="s">
        <v>515</v>
      </c>
      <c r="J74" s="372">
        <v>-0.4</v>
      </c>
      <c r="K74" s="1" t="s">
        <v>21</v>
      </c>
      <c r="M74" s="58"/>
    </row>
    <row r="75" spans="3:14" s="1" customFormat="1" ht="15.75">
      <c r="C75" s="382"/>
      <c r="E75" s="371" t="s">
        <v>491</v>
      </c>
      <c r="J75" s="372"/>
      <c r="M75" s="385">
        <f>SUM(J46:J74)</f>
        <v>166.63399999999999</v>
      </c>
      <c r="N75" s="371" t="s">
        <v>21</v>
      </c>
    </row>
    <row r="76" spans="3:14" s="1" customFormat="1"/>
    <row r="77" spans="3:14" ht="15.75">
      <c r="C77" s="371" t="s">
        <v>464</v>
      </c>
      <c r="D77" s="371"/>
      <c r="E77" s="1" t="s">
        <v>467</v>
      </c>
      <c r="F77" s="1"/>
      <c r="G77" s="1"/>
      <c r="H77" s="1"/>
      <c r="I77" s="1"/>
      <c r="J77" s="1"/>
      <c r="K77" s="1"/>
    </row>
    <row r="78" spans="3:14">
      <c r="C78" s="1"/>
      <c r="E78" s="1" t="s">
        <v>446</v>
      </c>
      <c r="F78" s="1"/>
      <c r="G78" s="1">
        <v>18.3</v>
      </c>
      <c r="H78" s="1" t="s">
        <v>20</v>
      </c>
      <c r="I78" s="1"/>
      <c r="J78" s="1"/>
      <c r="K78" s="1"/>
    </row>
    <row r="79" spans="3:14">
      <c r="C79" s="1"/>
      <c r="E79" s="96" t="s">
        <v>202</v>
      </c>
      <c r="F79" s="96"/>
      <c r="G79" s="96">
        <v>0.75</v>
      </c>
      <c r="H79" s="96" t="s">
        <v>6</v>
      </c>
      <c r="I79" s="96"/>
      <c r="J79" s="96"/>
      <c r="K79" s="96"/>
    </row>
    <row r="80" spans="3:14">
      <c r="C80" s="1"/>
      <c r="E80" s="151" t="s">
        <v>19</v>
      </c>
      <c r="F80" s="1"/>
      <c r="G80" s="1"/>
      <c r="H80" s="1"/>
      <c r="I80" s="1"/>
      <c r="J80" s="372">
        <f>G78*G79</f>
        <v>13.725000000000001</v>
      </c>
      <c r="K80" s="1" t="s">
        <v>21</v>
      </c>
    </row>
    <row r="81" spans="3:14" s="1" customFormat="1">
      <c r="E81" s="151" t="s">
        <v>468</v>
      </c>
      <c r="G81" s="1" t="s">
        <v>469</v>
      </c>
      <c r="J81" s="1">
        <f>0.15*0.5</f>
        <v>7.4999999999999997E-2</v>
      </c>
      <c r="K81" s="1" t="s">
        <v>21</v>
      </c>
      <c r="M81" s="58"/>
    </row>
    <row r="82" spans="3:14" s="1" customFormat="1">
      <c r="E82" s="151" t="s">
        <v>470</v>
      </c>
      <c r="J82" s="372"/>
      <c r="M82" s="58"/>
    </row>
    <row r="83" spans="3:14" s="1" customFormat="1">
      <c r="E83" s="151" t="s">
        <v>117</v>
      </c>
      <c r="F83" s="4"/>
      <c r="G83" s="4">
        <v>4.3</v>
      </c>
      <c r="H83" s="4" t="s">
        <v>20</v>
      </c>
      <c r="I83" s="4"/>
      <c r="J83" s="374"/>
      <c r="K83" s="4"/>
      <c r="M83" s="58"/>
    </row>
    <row r="84" spans="3:14" s="1" customFormat="1">
      <c r="E84" s="375" t="s">
        <v>471</v>
      </c>
      <c r="F84" s="96"/>
      <c r="G84" s="96">
        <v>0.8</v>
      </c>
      <c r="H84" s="96" t="s">
        <v>20</v>
      </c>
      <c r="I84" s="96"/>
      <c r="J84" s="376"/>
      <c r="K84" s="96"/>
      <c r="M84" s="58"/>
    </row>
    <row r="85" spans="3:14" s="1" customFormat="1">
      <c r="E85" s="151" t="s">
        <v>19</v>
      </c>
      <c r="J85" s="372">
        <f>G83*G84</f>
        <v>3.44</v>
      </c>
      <c r="K85" s="1" t="s">
        <v>21</v>
      </c>
      <c r="M85" s="58"/>
    </row>
    <row r="86" spans="3:14">
      <c r="C86" s="1"/>
      <c r="E86" s="1" t="s">
        <v>473</v>
      </c>
      <c r="F86" s="1"/>
      <c r="G86" s="1"/>
      <c r="H86" s="1"/>
      <c r="I86" s="1"/>
      <c r="J86" s="1"/>
      <c r="K86" s="1"/>
    </row>
    <row r="87" spans="3:14" s="1" customFormat="1">
      <c r="E87" s="1" t="s">
        <v>117</v>
      </c>
      <c r="G87" s="1">
        <v>1.9</v>
      </c>
      <c r="H87" s="1" t="s">
        <v>20</v>
      </c>
      <c r="M87" s="58"/>
    </row>
    <row r="88" spans="3:14">
      <c r="C88" s="1"/>
      <c r="E88" s="96" t="s">
        <v>472</v>
      </c>
      <c r="F88" s="96"/>
      <c r="G88" s="96">
        <v>4.8</v>
      </c>
      <c r="H88" s="96" t="s">
        <v>6</v>
      </c>
      <c r="I88" s="96"/>
      <c r="J88" s="96"/>
      <c r="K88" s="96"/>
    </row>
    <row r="89" spans="3:14">
      <c r="C89" s="1"/>
      <c r="E89" s="151" t="s">
        <v>19</v>
      </c>
      <c r="F89" s="1"/>
      <c r="G89" s="1"/>
      <c r="H89" s="1"/>
      <c r="I89" s="1"/>
      <c r="J89" s="372">
        <f>G87*G88</f>
        <v>9.1199999999999992</v>
      </c>
      <c r="K89" s="1" t="s">
        <v>21</v>
      </c>
    </row>
    <row r="90" spans="3:14" s="1" customFormat="1">
      <c r="E90" s="1" t="s">
        <v>474</v>
      </c>
      <c r="M90" s="58"/>
    </row>
    <row r="91" spans="3:14" s="1" customFormat="1">
      <c r="E91" s="1" t="s">
        <v>117</v>
      </c>
      <c r="G91" s="1">
        <v>2.0499999999999998</v>
      </c>
      <c r="H91" s="1" t="s">
        <v>20</v>
      </c>
      <c r="M91" s="58"/>
    </row>
    <row r="92" spans="3:14" s="1" customFormat="1">
      <c r="E92" s="96" t="s">
        <v>472</v>
      </c>
      <c r="F92" s="96"/>
      <c r="G92" s="96">
        <v>5.12</v>
      </c>
      <c r="H92" s="96" t="s">
        <v>6</v>
      </c>
      <c r="I92" s="96"/>
      <c r="J92" s="96"/>
      <c r="K92" s="96"/>
      <c r="M92" s="58"/>
    </row>
    <row r="93" spans="3:14" s="1" customFormat="1">
      <c r="E93" s="151" t="s">
        <v>19</v>
      </c>
      <c r="J93" s="372">
        <f>G91*G92</f>
        <v>10.495999999999999</v>
      </c>
      <c r="K93" s="1" t="s">
        <v>21</v>
      </c>
      <c r="M93" s="58"/>
    </row>
    <row r="94" spans="3:14" s="1" customFormat="1">
      <c r="E94" s="151" t="s">
        <v>118</v>
      </c>
      <c r="J94" s="372"/>
      <c r="M94" s="58"/>
    </row>
    <row r="95" spans="3:14" s="1" customFormat="1">
      <c r="E95" s="151" t="s">
        <v>488</v>
      </c>
      <c r="F95" s="1" t="s">
        <v>489</v>
      </c>
      <c r="J95" s="151">
        <f>0.2*0.07*(4.8+5.2)</f>
        <v>0.14000000000000001</v>
      </c>
      <c r="M95" s="58"/>
    </row>
    <row r="96" spans="3:14" s="1" customFormat="1" ht="15.75">
      <c r="E96" s="371" t="s">
        <v>475</v>
      </c>
      <c r="M96" s="385">
        <f>SUM(J79:J95)</f>
        <v>36.995999999999995</v>
      </c>
      <c r="N96" s="371" t="s">
        <v>21</v>
      </c>
    </row>
    <row r="97" spans="3:14" s="1" customFormat="1" ht="15.75">
      <c r="E97" s="371"/>
      <c r="M97" s="388"/>
      <c r="N97" s="371"/>
    </row>
    <row r="98" spans="3:14" ht="15.75">
      <c r="C98" s="371" t="s">
        <v>462</v>
      </c>
      <c r="D98" s="371"/>
      <c r="E98" s="1"/>
      <c r="F98" s="1"/>
      <c r="G98" s="1"/>
      <c r="H98" s="1"/>
      <c r="I98" s="1"/>
      <c r="J98" s="1"/>
      <c r="K98" s="1"/>
    </row>
    <row r="99" spans="3:14">
      <c r="C99" s="1"/>
      <c r="E99" s="1" t="s">
        <v>446</v>
      </c>
      <c r="F99" s="1"/>
      <c r="G99" s="1">
        <v>23.3</v>
      </c>
      <c r="H99" s="1" t="s">
        <v>20</v>
      </c>
      <c r="I99" s="1"/>
      <c r="J99" s="1"/>
      <c r="K99" s="1"/>
    </row>
    <row r="100" spans="3:14">
      <c r="C100" s="1"/>
      <c r="E100" s="96" t="s">
        <v>202</v>
      </c>
      <c r="F100" s="96"/>
      <c r="G100" s="96">
        <v>0.75</v>
      </c>
      <c r="H100" s="96" t="s">
        <v>6</v>
      </c>
      <c r="I100" s="96"/>
      <c r="J100" s="96"/>
      <c r="K100" s="96"/>
    </row>
    <row r="101" spans="3:14">
      <c r="C101" s="1"/>
      <c r="E101" s="151" t="s">
        <v>19</v>
      </c>
      <c r="F101" s="1"/>
      <c r="G101" s="1"/>
      <c r="H101" s="1"/>
      <c r="I101" s="1"/>
      <c r="J101" s="372">
        <f>G99*G100</f>
        <v>17.475000000000001</v>
      </c>
      <c r="K101" s="1" t="s">
        <v>21</v>
      </c>
    </row>
    <row r="102" spans="3:14" s="1" customFormat="1">
      <c r="E102" s="1" t="s">
        <v>453</v>
      </c>
      <c r="M102" s="58"/>
    </row>
    <row r="103" spans="3:14" s="1" customFormat="1">
      <c r="E103" s="1" t="s">
        <v>117</v>
      </c>
      <c r="G103" s="1">
        <v>1.8</v>
      </c>
      <c r="H103" s="1" t="s">
        <v>20</v>
      </c>
      <c r="M103" s="58"/>
    </row>
    <row r="104" spans="3:14" s="1" customFormat="1">
      <c r="E104" s="96" t="s">
        <v>22</v>
      </c>
      <c r="F104" s="96"/>
      <c r="G104" s="96">
        <v>5</v>
      </c>
      <c r="H104" s="96" t="s">
        <v>6</v>
      </c>
      <c r="I104" s="96"/>
      <c r="J104" s="96"/>
      <c r="K104" s="96"/>
      <c r="M104" s="58"/>
    </row>
    <row r="105" spans="3:14" s="1" customFormat="1">
      <c r="E105" s="151" t="s">
        <v>19</v>
      </c>
      <c r="J105" s="1">
        <f>G103*G104</f>
        <v>9</v>
      </c>
      <c r="K105" s="1" t="s">
        <v>21</v>
      </c>
      <c r="M105" s="58"/>
    </row>
    <row r="106" spans="3:14" s="1" customFormat="1">
      <c r="E106" s="1" t="s">
        <v>457</v>
      </c>
      <c r="M106" s="58"/>
    </row>
    <row r="107" spans="3:14" s="1" customFormat="1">
      <c r="E107" s="1" t="s">
        <v>458</v>
      </c>
      <c r="H107" s="1">
        <v>1.8</v>
      </c>
      <c r="I107" s="1" t="s">
        <v>20</v>
      </c>
      <c r="M107" s="58"/>
    </row>
    <row r="108" spans="3:14" s="1" customFormat="1">
      <c r="E108" s="96" t="s">
        <v>22</v>
      </c>
      <c r="F108" s="96"/>
      <c r="G108" s="96"/>
      <c r="H108" s="96">
        <v>5.4</v>
      </c>
      <c r="I108" s="96" t="s">
        <v>6</v>
      </c>
      <c r="J108" s="96"/>
      <c r="K108" s="96"/>
      <c r="M108" s="58"/>
    </row>
    <row r="109" spans="3:14" s="1" customFormat="1">
      <c r="E109" s="151" t="s">
        <v>19</v>
      </c>
      <c r="J109" s="372">
        <f>H107*H108</f>
        <v>9.7200000000000006</v>
      </c>
      <c r="K109" s="1" t="s">
        <v>21</v>
      </c>
      <c r="M109" s="58"/>
    </row>
    <row r="110" spans="3:14" s="1" customFormat="1" ht="15.75">
      <c r="E110" s="371" t="s">
        <v>463</v>
      </c>
      <c r="M110" s="385">
        <f>SUM(J101:J109)</f>
        <v>36.195</v>
      </c>
      <c r="N110" s="371" t="s">
        <v>21</v>
      </c>
    </row>
    <row r="112" spans="3:14" ht="15.75">
      <c r="C112" s="371" t="s">
        <v>447</v>
      </c>
      <c r="D112" s="371"/>
    </row>
    <row r="113" spans="5:12">
      <c r="E113" t="s">
        <v>448</v>
      </c>
    </row>
    <row r="114" spans="5:12">
      <c r="E114" t="s">
        <v>446</v>
      </c>
      <c r="G114">
        <v>18.5</v>
      </c>
      <c r="H114" t="s">
        <v>20</v>
      </c>
    </row>
    <row r="115" spans="5:12">
      <c r="E115" s="96" t="s">
        <v>202</v>
      </c>
      <c r="F115" s="96"/>
      <c r="G115" s="96">
        <v>1.5</v>
      </c>
      <c r="H115" s="96" t="s">
        <v>6</v>
      </c>
      <c r="I115" s="96"/>
      <c r="J115" s="96"/>
      <c r="K115" s="96"/>
    </row>
    <row r="116" spans="5:12">
      <c r="E116" s="151" t="s">
        <v>19</v>
      </c>
      <c r="J116" s="372">
        <f>G114*G115</f>
        <v>27.75</v>
      </c>
      <c r="K116" t="s">
        <v>21</v>
      </c>
    </row>
    <row r="117" spans="5:12">
      <c r="E117" s="1" t="s">
        <v>449</v>
      </c>
      <c r="F117" s="1"/>
      <c r="G117" s="1"/>
      <c r="H117" s="1"/>
      <c r="I117" s="1"/>
      <c r="J117" s="1"/>
      <c r="K117" s="1"/>
      <c r="L117" s="1"/>
    </row>
    <row r="118" spans="5:12">
      <c r="E118" s="1" t="s">
        <v>117</v>
      </c>
      <c r="F118" s="1"/>
      <c r="G118" s="1">
        <v>1.65</v>
      </c>
      <c r="H118" s="1" t="s">
        <v>20</v>
      </c>
      <c r="I118" s="1"/>
      <c r="J118" s="1"/>
      <c r="K118" s="1"/>
      <c r="L118" s="1"/>
    </row>
    <row r="119" spans="5:12">
      <c r="E119" s="96" t="s">
        <v>22</v>
      </c>
      <c r="F119" s="96"/>
      <c r="G119" s="96">
        <v>3.7</v>
      </c>
      <c r="H119" s="96" t="s">
        <v>6</v>
      </c>
      <c r="I119" s="96"/>
      <c r="J119" s="96"/>
      <c r="K119" s="96"/>
      <c r="L119" s="1"/>
    </row>
    <row r="120" spans="5:12">
      <c r="E120" s="151" t="s">
        <v>19</v>
      </c>
      <c r="F120" s="1"/>
      <c r="G120" s="1"/>
      <c r="H120" s="1"/>
      <c r="I120" s="1"/>
      <c r="J120" s="1">
        <f>G118*G119</f>
        <v>6.1049999999999995</v>
      </c>
      <c r="K120" s="1" t="s">
        <v>21</v>
      </c>
      <c r="L120" s="1"/>
    </row>
    <row r="121" spans="5:12">
      <c r="E121" t="s">
        <v>453</v>
      </c>
    </row>
    <row r="122" spans="5:12">
      <c r="E122" s="1" t="s">
        <v>117</v>
      </c>
      <c r="F122" s="1"/>
      <c r="G122" s="1">
        <v>7</v>
      </c>
      <c r="H122" s="1" t="s">
        <v>20</v>
      </c>
      <c r="I122" s="1"/>
      <c r="J122" s="1"/>
      <c r="K122" s="1"/>
    </row>
    <row r="123" spans="5:12">
      <c r="E123" s="96" t="s">
        <v>124</v>
      </c>
      <c r="F123" s="96"/>
      <c r="G123" s="96">
        <v>0.6</v>
      </c>
      <c r="H123" s="96" t="s">
        <v>6</v>
      </c>
      <c r="I123" s="96"/>
      <c r="J123" s="96"/>
      <c r="K123" s="96"/>
    </row>
    <row r="124" spans="5:12">
      <c r="E124" s="151" t="s">
        <v>19</v>
      </c>
      <c r="F124" s="1"/>
      <c r="G124" s="1"/>
      <c r="H124" s="1"/>
      <c r="I124" s="1"/>
      <c r="J124" s="1">
        <f>G122*G123</f>
        <v>4.2</v>
      </c>
      <c r="K124" s="1" t="s">
        <v>21</v>
      </c>
    </row>
    <row r="125" spans="5:12">
      <c r="E125" t="s">
        <v>457</v>
      </c>
    </row>
    <row r="126" spans="5:12">
      <c r="E126" s="1" t="s">
        <v>458</v>
      </c>
      <c r="F126" s="1"/>
      <c r="H126" s="1">
        <v>11.3</v>
      </c>
      <c r="I126" s="1" t="s">
        <v>20</v>
      </c>
      <c r="J126" s="1"/>
      <c r="K126" s="1"/>
    </row>
    <row r="127" spans="5:12">
      <c r="E127" s="96" t="s">
        <v>124</v>
      </c>
      <c r="F127" s="96"/>
      <c r="G127" s="96"/>
      <c r="H127" s="96">
        <v>0.6</v>
      </c>
      <c r="I127" s="96" t="s">
        <v>6</v>
      </c>
      <c r="J127" s="96"/>
      <c r="K127" s="96"/>
    </row>
    <row r="128" spans="5:12">
      <c r="E128" s="151" t="s">
        <v>19</v>
      </c>
      <c r="F128" s="1"/>
      <c r="G128" s="1"/>
      <c r="H128" s="1"/>
      <c r="I128" s="1"/>
      <c r="J128" s="372">
        <f>H126*H127</f>
        <v>6.78</v>
      </c>
      <c r="K128" s="1" t="s">
        <v>21</v>
      </c>
    </row>
    <row r="129" spans="3:14" ht="15.75">
      <c r="E129" s="371" t="s">
        <v>459</v>
      </c>
      <c r="M129" s="388">
        <f>SUM(J116:J128)</f>
        <v>44.835000000000001</v>
      </c>
      <c r="N129" s="371" t="s">
        <v>21</v>
      </c>
    </row>
    <row r="130" spans="3:14" ht="15.75">
      <c r="M130" s="389"/>
      <c r="N130" s="371"/>
    </row>
    <row r="131" spans="3:14" ht="15.75">
      <c r="C131" s="371" t="s">
        <v>455</v>
      </c>
      <c r="D131" s="371"/>
    </row>
    <row r="132" spans="3:14">
      <c r="E132" t="s">
        <v>408</v>
      </c>
      <c r="H132" s="1">
        <v>5</v>
      </c>
      <c r="I132" s="1" t="s">
        <v>20</v>
      </c>
      <c r="J132" s="1"/>
      <c r="K132" s="1"/>
    </row>
    <row r="133" spans="3:14">
      <c r="E133" s="96" t="s">
        <v>22</v>
      </c>
      <c r="F133" s="96"/>
      <c r="G133" s="96"/>
      <c r="H133" s="96">
        <v>4.5</v>
      </c>
      <c r="I133" s="96" t="s">
        <v>6</v>
      </c>
      <c r="J133" s="96"/>
      <c r="K133" s="96"/>
    </row>
    <row r="134" spans="3:14">
      <c r="E134" t="s">
        <v>460</v>
      </c>
      <c r="H134" s="1"/>
      <c r="I134" s="1"/>
      <c r="J134" s="372">
        <f>H132*H133</f>
        <v>22.5</v>
      </c>
      <c r="K134" s="1" t="s">
        <v>21</v>
      </c>
    </row>
    <row r="135" spans="3:14">
      <c r="E135" s="1" t="s">
        <v>408</v>
      </c>
      <c r="F135" s="1"/>
      <c r="G135" s="1"/>
      <c r="H135" s="1">
        <v>4.5999999999999996</v>
      </c>
      <c r="I135" s="1" t="s">
        <v>20</v>
      </c>
      <c r="J135" s="1"/>
      <c r="K135" s="1"/>
    </row>
    <row r="136" spans="3:14">
      <c r="E136" s="96" t="s">
        <v>22</v>
      </c>
      <c r="F136" s="96"/>
      <c r="G136" s="96"/>
      <c r="H136" s="376">
        <v>1.88</v>
      </c>
      <c r="I136" s="96" t="s">
        <v>6</v>
      </c>
      <c r="J136" s="96"/>
      <c r="K136" s="96"/>
    </row>
    <row r="137" spans="3:14">
      <c r="E137" s="1" t="s">
        <v>460</v>
      </c>
      <c r="F137" s="1"/>
      <c r="G137" s="1"/>
      <c r="H137" s="1"/>
      <c r="I137" s="1"/>
      <c r="J137" s="372">
        <f>H135*H136</f>
        <v>8.6479999999999997</v>
      </c>
      <c r="K137" s="1" t="s">
        <v>21</v>
      </c>
    </row>
    <row r="138" spans="3:14" ht="15.75">
      <c r="E138" s="371" t="s">
        <v>461</v>
      </c>
      <c r="F138" s="1"/>
      <c r="G138" s="1"/>
      <c r="H138" s="1"/>
      <c r="I138" s="1"/>
      <c r="J138" s="1"/>
      <c r="K138" s="1"/>
      <c r="L138" s="1"/>
      <c r="M138" s="388">
        <f>SUM(J133:J137)</f>
        <v>31.148</v>
      </c>
      <c r="N138" s="373" t="s">
        <v>21</v>
      </c>
    </row>
    <row r="139" spans="3:14" ht="15.75">
      <c r="C139" s="1"/>
      <c r="E139" s="1"/>
      <c r="F139" s="1"/>
      <c r="G139" s="1"/>
      <c r="H139" s="1"/>
      <c r="I139" s="1"/>
      <c r="J139" s="1"/>
      <c r="K139" s="1"/>
      <c r="M139" s="388"/>
      <c r="N139" s="373"/>
    </row>
    <row r="140" spans="3:14" s="1" customFormat="1" ht="15.75">
      <c r="C140" s="371" t="s">
        <v>456</v>
      </c>
      <c r="D140" s="371"/>
      <c r="M140" s="388"/>
      <c r="N140" s="373"/>
    </row>
    <row r="141" spans="3:14" s="1" customFormat="1" ht="15.75">
      <c r="E141" s="1" t="s">
        <v>408</v>
      </c>
      <c r="H141" s="1">
        <v>5</v>
      </c>
      <c r="I141" s="1" t="s">
        <v>20</v>
      </c>
      <c r="M141" s="388"/>
      <c r="N141" s="373"/>
    </row>
    <row r="142" spans="3:14" s="1" customFormat="1" ht="15.75">
      <c r="E142" s="96" t="s">
        <v>22</v>
      </c>
      <c r="F142" s="96"/>
      <c r="G142" s="96"/>
      <c r="H142" s="96">
        <v>5.3</v>
      </c>
      <c r="I142" s="96" t="s">
        <v>6</v>
      </c>
      <c r="J142" s="96"/>
      <c r="K142" s="96"/>
      <c r="M142" s="388"/>
      <c r="N142" s="373"/>
    </row>
    <row r="143" spans="3:14" s="1" customFormat="1" ht="15.75">
      <c r="E143" s="1" t="s">
        <v>460</v>
      </c>
      <c r="J143" s="372">
        <f>H141*H142</f>
        <v>26.5</v>
      </c>
      <c r="K143" s="1" t="s">
        <v>21</v>
      </c>
      <c r="M143" s="388">
        <f>J143</f>
        <v>26.5</v>
      </c>
      <c r="N143" s="373" t="s">
        <v>21</v>
      </c>
    </row>
    <row r="144" spans="3:14" s="1" customFormat="1" ht="15.75">
      <c r="J144" s="372"/>
      <c r="M144" s="388"/>
      <c r="N144" s="373"/>
    </row>
    <row r="145" spans="5:19" s="1" customFormat="1" ht="15.75">
      <c r="E145" s="398" t="s">
        <v>517</v>
      </c>
      <c r="F145" s="398"/>
      <c r="G145" s="398"/>
      <c r="H145" s="398"/>
      <c r="J145" s="372"/>
      <c r="M145" s="388"/>
      <c r="N145" s="373"/>
      <c r="S145" s="391"/>
    </row>
    <row r="146" spans="5:19" s="1" customFormat="1" ht="15.75">
      <c r="E146" s="398" t="s">
        <v>521</v>
      </c>
      <c r="F146" s="398"/>
      <c r="G146" s="398"/>
      <c r="H146" s="398"/>
      <c r="J146" s="372"/>
      <c r="M146" s="388"/>
      <c r="N146" s="373"/>
    </row>
    <row r="147" spans="5:19" s="1" customFormat="1" ht="30">
      <c r="G147" s="1" t="s">
        <v>148</v>
      </c>
      <c r="H147" s="1" t="s">
        <v>54</v>
      </c>
      <c r="I147" s="47" t="s">
        <v>519</v>
      </c>
      <c r="J147" s="372" t="s">
        <v>520</v>
      </c>
      <c r="M147" s="388"/>
      <c r="N147" s="373"/>
    </row>
    <row r="148" spans="5:19" s="1" customFormat="1" ht="15.75">
      <c r="J148" s="372"/>
      <c r="M148" s="388"/>
      <c r="N148" s="373"/>
    </row>
    <row r="149" spans="5:19" s="1" customFormat="1" ht="15.75">
      <c r="E149" s="1" t="s">
        <v>524</v>
      </c>
      <c r="G149" s="1">
        <v>4.7</v>
      </c>
      <c r="H149" s="1">
        <v>0.4</v>
      </c>
      <c r="I149" s="1">
        <v>0.8</v>
      </c>
      <c r="J149" s="372">
        <f>(G149*H149*I149)/2</f>
        <v>0.75200000000000011</v>
      </c>
      <c r="K149" s="1" t="s">
        <v>21</v>
      </c>
      <c r="M149" s="388"/>
      <c r="N149" s="373"/>
    </row>
    <row r="150" spans="5:19" s="1" customFormat="1" ht="15.75">
      <c r="E150" s="1" t="s">
        <v>523</v>
      </c>
      <c r="G150" s="1">
        <v>4.8</v>
      </c>
      <c r="H150" s="1">
        <v>0.4</v>
      </c>
      <c r="I150" s="1">
        <v>0.7</v>
      </c>
      <c r="J150" s="372">
        <f>(G150*H150*I150)/2</f>
        <v>0.67199999999999993</v>
      </c>
      <c r="K150" s="1" t="s">
        <v>21</v>
      </c>
      <c r="M150" s="388"/>
      <c r="N150" s="373"/>
    </row>
    <row r="151" spans="5:19" s="1" customFormat="1" ht="15.75">
      <c r="E151" s="1" t="s">
        <v>522</v>
      </c>
      <c r="G151" s="1">
        <v>4.45</v>
      </c>
      <c r="H151" s="1">
        <v>0.4</v>
      </c>
      <c r="I151" s="1">
        <v>1.05</v>
      </c>
      <c r="J151" s="372">
        <f>(G151*H151*I151)/2</f>
        <v>0.93450000000000022</v>
      </c>
      <c r="K151" s="1" t="s">
        <v>21</v>
      </c>
      <c r="M151" s="388"/>
      <c r="N151" s="373"/>
    </row>
    <row r="152" spans="5:19" s="1" customFormat="1" ht="15.75">
      <c r="E152" s="96" t="s">
        <v>518</v>
      </c>
      <c r="F152" s="96"/>
      <c r="G152" s="96">
        <v>15</v>
      </c>
      <c r="H152" s="96">
        <v>0.4</v>
      </c>
      <c r="I152" s="96">
        <v>1.05</v>
      </c>
      <c r="J152" s="376">
        <f>(G152*H152*I152)/2</f>
        <v>3.1500000000000004</v>
      </c>
      <c r="K152" s="96" t="s">
        <v>21</v>
      </c>
      <c r="M152" s="388"/>
      <c r="N152" s="373"/>
    </row>
    <row r="153" spans="5:19" s="1" customFormat="1" ht="15.75">
      <c r="E153" s="1" t="s">
        <v>30</v>
      </c>
      <c r="M153" s="388">
        <f>SUM(J149:J152)</f>
        <v>5.5085000000000006</v>
      </c>
      <c r="N153" s="373" t="s">
        <v>21</v>
      </c>
    </row>
    <row r="154" spans="5:19" s="1" customFormat="1" ht="15.75">
      <c r="E154" s="96"/>
      <c r="F154" s="96"/>
      <c r="G154" s="96"/>
      <c r="H154" s="96"/>
      <c r="I154" s="96"/>
      <c r="J154" s="376"/>
      <c r="K154" s="96"/>
      <c r="L154" s="96"/>
      <c r="M154" s="399"/>
      <c r="N154" s="400"/>
    </row>
    <row r="155" spans="5:19" s="1" customFormat="1" ht="21">
      <c r="G155" s="1">
        <f>SUM(G149:G152)</f>
        <v>28.95</v>
      </c>
      <c r="M155" s="390">
        <f>SUM(M24:M153)</f>
        <v>536.42250000000001</v>
      </c>
      <c r="N155" s="390" t="s">
        <v>21</v>
      </c>
    </row>
    <row r="156" spans="5:19" s="1" customFormat="1">
      <c r="M156" s="58"/>
    </row>
    <row r="157" spans="5:19" s="1" customFormat="1">
      <c r="M157" s="58"/>
    </row>
    <row r="158" spans="5:19" s="1" customFormat="1">
      <c r="M158" s="58"/>
    </row>
    <row r="159" spans="5:19" s="1" customFormat="1">
      <c r="M159" s="58"/>
    </row>
    <row r="163" spans="2:26" ht="15.75" thickBot="1">
      <c r="Q163" s="4"/>
      <c r="R163" s="4"/>
      <c r="S163" s="4"/>
      <c r="T163" s="4"/>
      <c r="U163" s="4"/>
      <c r="V163" s="4"/>
      <c r="W163" s="4"/>
      <c r="X163" s="4"/>
      <c r="Y163" s="4"/>
      <c r="Z163" s="4"/>
    </row>
    <row r="164" spans="2:26" ht="15.75" thickBot="1">
      <c r="E164" s="639" t="s">
        <v>451</v>
      </c>
      <c r="F164" s="640"/>
      <c r="G164" s="641"/>
      <c r="H164" s="639" t="s">
        <v>450</v>
      </c>
      <c r="I164" s="640"/>
      <c r="J164" s="641"/>
      <c r="K164" s="639" t="s">
        <v>452</v>
      </c>
      <c r="L164" s="640"/>
      <c r="M164" s="641"/>
      <c r="Q164" s="4"/>
      <c r="R164" s="4"/>
      <c r="S164" s="4"/>
      <c r="T164" s="4"/>
      <c r="U164" s="4"/>
      <c r="V164" s="4"/>
      <c r="W164" s="4"/>
      <c r="X164" s="4"/>
      <c r="Y164" s="4"/>
      <c r="Z164" s="4"/>
    </row>
    <row r="165" spans="2:26">
      <c r="B165" s="12" t="s">
        <v>476</v>
      </c>
      <c r="C165" s="12"/>
      <c r="D165" s="12"/>
      <c r="E165" s="470"/>
      <c r="F165" s="470">
        <v>20</v>
      </c>
      <c r="G165" s="470" t="s">
        <v>6</v>
      </c>
      <c r="H165" s="12" t="s">
        <v>528</v>
      </c>
      <c r="I165" s="12">
        <f>14.5+3.5</f>
        <v>18</v>
      </c>
      <c r="J165" s="12" t="s">
        <v>6</v>
      </c>
      <c r="K165" s="12"/>
      <c r="L165" s="12">
        <v>14.5</v>
      </c>
      <c r="M165" s="357" t="s">
        <v>6</v>
      </c>
      <c r="N165" s="12"/>
      <c r="Q165" s="4"/>
      <c r="R165" s="4"/>
      <c r="S165" s="4"/>
      <c r="T165" s="4"/>
      <c r="U165" s="4"/>
      <c r="V165" s="4"/>
      <c r="W165" s="4"/>
      <c r="X165" s="4"/>
      <c r="Y165" s="4"/>
      <c r="Z165" s="4"/>
    </row>
    <row r="166" spans="2:26" s="1" customFormat="1">
      <c r="B166" s="12" t="s">
        <v>479</v>
      </c>
      <c r="C166" s="12"/>
      <c r="D166" s="12"/>
      <c r="E166" s="470" t="s">
        <v>492</v>
      </c>
      <c r="F166" s="470">
        <f>2*5.4</f>
        <v>10.8</v>
      </c>
      <c r="G166" s="470" t="s">
        <v>6</v>
      </c>
      <c r="H166" s="12"/>
      <c r="I166" s="12"/>
      <c r="J166" s="12"/>
      <c r="K166" s="12"/>
      <c r="L166" s="12"/>
      <c r="M166" s="357"/>
      <c r="N166" s="12"/>
      <c r="Q166" s="4"/>
      <c r="R166" s="4"/>
      <c r="S166" s="412"/>
      <c r="T166" s="415"/>
      <c r="U166" s="416"/>
      <c r="V166" s="417"/>
      <c r="W166" s="416"/>
      <c r="X166" s="416"/>
      <c r="Y166" s="412"/>
      <c r="Z166" s="4"/>
    </row>
    <row r="167" spans="2:26" s="1" customFormat="1">
      <c r="B167" s="12" t="s">
        <v>478</v>
      </c>
      <c r="C167" s="12"/>
      <c r="D167" s="12"/>
      <c r="E167" s="12" t="s">
        <v>493</v>
      </c>
      <c r="F167" s="12">
        <f>4*6</f>
        <v>24</v>
      </c>
      <c r="G167" s="12" t="s">
        <v>6</v>
      </c>
      <c r="H167" s="12" t="s">
        <v>529</v>
      </c>
      <c r="I167" s="12">
        <f>12+5+5</f>
        <v>22</v>
      </c>
      <c r="J167" s="12" t="s">
        <v>6</v>
      </c>
      <c r="K167" s="12"/>
      <c r="L167" s="12">
        <v>6</v>
      </c>
      <c r="M167" s="357" t="s">
        <v>6</v>
      </c>
      <c r="N167" s="12"/>
      <c r="Q167" s="4"/>
      <c r="R167" s="4"/>
      <c r="S167" s="412"/>
      <c r="T167" s="415"/>
      <c r="U167" s="416"/>
      <c r="V167" s="417"/>
      <c r="W167" s="416"/>
      <c r="X167" s="416"/>
      <c r="Y167" s="412"/>
      <c r="Z167" s="4"/>
    </row>
    <row r="168" spans="2:26" s="1" customFormat="1">
      <c r="B168" s="12" t="s">
        <v>477</v>
      </c>
      <c r="C168" s="12"/>
      <c r="D168" s="12"/>
      <c r="E168" s="12"/>
      <c r="F168" s="12"/>
      <c r="G168" s="12"/>
      <c r="H168" s="12" t="s">
        <v>530</v>
      </c>
      <c r="I168" s="12">
        <f>7.7+ 3.7</f>
        <v>11.4</v>
      </c>
      <c r="J168" s="12" t="s">
        <v>6</v>
      </c>
      <c r="K168" s="12"/>
      <c r="L168" s="12">
        <v>3.9</v>
      </c>
      <c r="M168" s="357" t="s">
        <v>6</v>
      </c>
      <c r="Q168" s="4"/>
      <c r="R168" s="4"/>
      <c r="S168" s="412"/>
      <c r="T168" s="415"/>
      <c r="U168" s="416"/>
      <c r="V168" s="417"/>
      <c r="W168" s="416"/>
      <c r="X168" s="416"/>
      <c r="Y168" s="412"/>
      <c r="Z168" s="4"/>
    </row>
    <row r="169" spans="2:26" s="1" customFormat="1">
      <c r="B169" s="12" t="s">
        <v>534</v>
      </c>
      <c r="C169" s="12"/>
      <c r="D169" s="12"/>
      <c r="E169" s="12" t="s">
        <v>531</v>
      </c>
      <c r="F169" s="12">
        <f xml:space="preserve"> 0.8+18.5</f>
        <v>19.3</v>
      </c>
      <c r="G169" s="12" t="s">
        <v>6</v>
      </c>
      <c r="H169" s="12"/>
      <c r="I169" s="12"/>
      <c r="J169" s="12"/>
      <c r="K169" s="12"/>
      <c r="L169" s="12"/>
      <c r="M169" s="357"/>
      <c r="Q169" s="4"/>
      <c r="R169" s="4"/>
      <c r="S169" s="412"/>
      <c r="T169" s="415"/>
      <c r="U169" s="417"/>
      <c r="V169" s="416"/>
      <c r="W169" s="412"/>
      <c r="X169" s="416"/>
      <c r="Y169" s="412"/>
      <c r="Z169" s="4"/>
    </row>
    <row r="170" spans="2:26" s="1" customFormat="1">
      <c r="B170" s="12" t="s">
        <v>533</v>
      </c>
      <c r="C170" s="12"/>
      <c r="D170" s="12"/>
      <c r="E170" s="12"/>
      <c r="F170" s="12">
        <v>1</v>
      </c>
      <c r="G170" s="12" t="s">
        <v>6</v>
      </c>
      <c r="H170" s="12"/>
      <c r="I170" s="12"/>
      <c r="J170" s="12"/>
      <c r="K170" s="12"/>
      <c r="L170" s="12"/>
      <c r="M170" s="357"/>
      <c r="Q170" s="4"/>
      <c r="R170" s="4"/>
      <c r="S170" s="412"/>
      <c r="T170" s="415"/>
      <c r="U170" s="645"/>
      <c r="V170" s="416"/>
      <c r="W170" s="412"/>
      <c r="X170" s="412"/>
      <c r="Y170" s="412"/>
      <c r="Z170" s="4"/>
    </row>
    <row r="171" spans="2:26" s="1" customFormat="1">
      <c r="B171" s="12" t="s">
        <v>534</v>
      </c>
      <c r="C171" s="12"/>
      <c r="D171" s="12"/>
      <c r="E171" s="12" t="s">
        <v>532</v>
      </c>
      <c r="F171" s="12">
        <f>0.8+15.3</f>
        <v>16.100000000000001</v>
      </c>
      <c r="G171" s="12" t="s">
        <v>6</v>
      </c>
      <c r="H171" s="12"/>
      <c r="I171" s="12"/>
      <c r="J171" s="12"/>
      <c r="K171" s="12"/>
      <c r="L171" s="12"/>
      <c r="M171" s="357"/>
      <c r="Q171" s="4"/>
      <c r="R171" s="4"/>
      <c r="S171" s="412"/>
      <c r="T171" s="415"/>
      <c r="U171" s="417"/>
      <c r="V171" s="416"/>
      <c r="W171" s="416"/>
      <c r="X171" s="404"/>
      <c r="Y171" s="412"/>
      <c r="Z171" s="4"/>
    </row>
    <row r="172" spans="2:26" s="1" customFormat="1">
      <c r="B172" s="12" t="s">
        <v>473</v>
      </c>
      <c r="C172" s="12"/>
      <c r="D172" s="12"/>
      <c r="E172" s="12"/>
      <c r="F172" s="12">
        <v>11.5</v>
      </c>
      <c r="G172" s="12" t="s">
        <v>6</v>
      </c>
      <c r="H172" s="12"/>
      <c r="I172" s="12"/>
      <c r="J172" s="12"/>
      <c r="K172" s="12"/>
      <c r="L172" s="12"/>
      <c r="M172" s="357"/>
      <c r="Q172" s="4"/>
      <c r="R172" s="4"/>
      <c r="S172" s="412"/>
      <c r="T172" s="415"/>
      <c r="U172" s="417"/>
      <c r="V172" s="416"/>
      <c r="W172" s="416"/>
      <c r="X172" s="404"/>
      <c r="Y172" s="412"/>
      <c r="Z172" s="4"/>
    </row>
    <row r="173" spans="2:26" s="1" customFormat="1">
      <c r="B173" s="12" t="s">
        <v>121</v>
      </c>
      <c r="C173" s="12"/>
      <c r="D173" s="12"/>
      <c r="E173" s="12" t="s">
        <v>535</v>
      </c>
      <c r="F173" s="12">
        <f>2*(11.5+11)</f>
        <v>45</v>
      </c>
      <c r="G173" s="12" t="s">
        <v>6</v>
      </c>
      <c r="H173" s="12"/>
      <c r="I173" s="12"/>
      <c r="J173" s="12"/>
      <c r="K173" s="12"/>
      <c r="L173" s="12"/>
      <c r="M173" s="357"/>
      <c r="Q173" s="4"/>
      <c r="R173" s="4"/>
      <c r="S173" s="412"/>
      <c r="T173" s="415"/>
      <c r="U173" s="417"/>
      <c r="V173" s="416"/>
      <c r="W173" s="416"/>
      <c r="X173" s="404"/>
      <c r="Y173" s="412"/>
      <c r="Z173" s="4"/>
    </row>
    <row r="174" spans="2:26" s="1" customFormat="1">
      <c r="B174" s="12" t="s">
        <v>464</v>
      </c>
      <c r="C174" s="12"/>
      <c r="D174" s="12"/>
      <c r="E174" s="12" t="s">
        <v>465</v>
      </c>
      <c r="F174" s="12">
        <f>5.2+4.7</f>
        <v>9.9</v>
      </c>
      <c r="G174" s="12" t="s">
        <v>6</v>
      </c>
      <c r="H174" s="12"/>
      <c r="I174" s="12">
        <f>2*3.2+3.2</f>
        <v>9.6000000000000014</v>
      </c>
      <c r="J174" s="12" t="s">
        <v>6</v>
      </c>
      <c r="K174" s="12"/>
      <c r="L174" s="12"/>
      <c r="M174" s="357"/>
      <c r="Q174" s="4"/>
      <c r="R174" s="4"/>
      <c r="S174" s="412"/>
      <c r="T174" s="415"/>
      <c r="U174" s="417"/>
      <c r="V174" s="416"/>
      <c r="W174" s="416"/>
      <c r="X174" s="404"/>
      <c r="Y174" s="412"/>
      <c r="Z174" s="4"/>
    </row>
    <row r="175" spans="2:26" s="1" customFormat="1">
      <c r="B175" s="12" t="s">
        <v>462</v>
      </c>
      <c r="C175" s="12"/>
      <c r="D175" s="12"/>
      <c r="E175" s="12" t="s">
        <v>466</v>
      </c>
      <c r="F175" s="12">
        <f>5.3+4.9</f>
        <v>10.199999999999999</v>
      </c>
      <c r="G175" s="12" t="s">
        <v>6</v>
      </c>
      <c r="H175" s="12" t="s">
        <v>536</v>
      </c>
      <c r="I175" s="12">
        <f>2*3+3.6</f>
        <v>9.6</v>
      </c>
      <c r="J175" s="12" t="s">
        <v>6</v>
      </c>
      <c r="K175" s="12"/>
      <c r="L175" s="12">
        <v>5.4</v>
      </c>
      <c r="M175" s="357" t="s">
        <v>6</v>
      </c>
      <c r="Q175" s="4"/>
      <c r="R175" s="4"/>
      <c r="S175" s="412"/>
      <c r="T175" s="415"/>
      <c r="U175" s="645"/>
      <c r="V175" s="416"/>
      <c r="W175" s="412"/>
      <c r="X175" s="412"/>
      <c r="Y175" s="412"/>
      <c r="Z175" s="4"/>
    </row>
    <row r="176" spans="2:26" s="1" customFormat="1">
      <c r="B176" s="12" t="s">
        <v>447</v>
      </c>
      <c r="C176" s="12"/>
      <c r="D176" s="12"/>
      <c r="E176" s="12" t="s">
        <v>454</v>
      </c>
      <c r="F176" s="12">
        <f>2.2+4.5</f>
        <v>6.7</v>
      </c>
      <c r="G176" s="12" t="s">
        <v>6</v>
      </c>
      <c r="H176" s="12"/>
      <c r="I176" s="12">
        <v>3</v>
      </c>
      <c r="J176" s="12" t="s">
        <v>6</v>
      </c>
      <c r="K176" s="12"/>
      <c r="L176" s="12"/>
      <c r="M176" s="12"/>
      <c r="Q176" s="4"/>
      <c r="R176" s="4"/>
      <c r="S176" s="412"/>
      <c r="T176" s="415"/>
      <c r="U176" s="417"/>
      <c r="V176" s="416"/>
      <c r="W176" s="416"/>
      <c r="X176" s="404"/>
      <c r="Y176" s="412"/>
      <c r="Z176" s="4"/>
    </row>
    <row r="177" spans="1:26">
      <c r="B177" s="29" t="s">
        <v>455</v>
      </c>
      <c r="C177" s="29"/>
      <c r="D177" s="29"/>
      <c r="E177" s="29" t="s">
        <v>538</v>
      </c>
      <c r="F177" s="29">
        <f>2*13</f>
        <v>26</v>
      </c>
      <c r="G177" s="29" t="s">
        <v>6</v>
      </c>
      <c r="H177" s="29"/>
      <c r="I177" s="29">
        <v>4</v>
      </c>
      <c r="J177" s="29" t="s">
        <v>6</v>
      </c>
      <c r="K177" s="29"/>
      <c r="L177" s="29"/>
      <c r="M177" s="354"/>
      <c r="Q177" s="4"/>
      <c r="R177" s="4"/>
      <c r="S177" s="412"/>
      <c r="T177" s="415"/>
      <c r="U177" s="417"/>
      <c r="V177" s="416"/>
      <c r="W177" s="416"/>
      <c r="X177" s="404"/>
      <c r="Y177" s="412"/>
      <c r="Z177" s="4"/>
    </row>
    <row r="178" spans="1:26">
      <c r="B178" s="13" t="s">
        <v>456</v>
      </c>
      <c r="C178" s="13"/>
      <c r="D178" s="13"/>
      <c r="E178" s="13" t="s">
        <v>539</v>
      </c>
      <c r="F178" s="13">
        <f>2*5.3</f>
        <v>10.6</v>
      </c>
      <c r="G178" s="13" t="s">
        <v>6</v>
      </c>
      <c r="H178" s="13"/>
      <c r="I178" s="13">
        <v>0</v>
      </c>
      <c r="J178" s="13"/>
      <c r="K178" s="13"/>
      <c r="L178" s="13"/>
      <c r="M178" s="363"/>
      <c r="Q178" s="4"/>
      <c r="R178" s="4"/>
      <c r="S178" s="412"/>
      <c r="T178" s="415"/>
      <c r="U178" s="417"/>
      <c r="V178" s="416"/>
      <c r="W178" s="416"/>
      <c r="X178" s="404"/>
      <c r="Y178" s="412"/>
      <c r="Z178" s="4"/>
    </row>
    <row r="179" spans="1:26">
      <c r="B179" s="354" t="s">
        <v>30</v>
      </c>
      <c r="C179" s="12"/>
      <c r="D179" s="12"/>
      <c r="E179" s="12"/>
      <c r="F179" s="12">
        <f>SUM(F165:F178)*1.2</f>
        <v>253.31999999999994</v>
      </c>
      <c r="G179" s="12" t="s">
        <v>6</v>
      </c>
      <c r="H179" s="12"/>
      <c r="I179" s="12">
        <f>SUM(I166:I178)*1.2</f>
        <v>71.52</v>
      </c>
      <c r="J179" s="12" t="s">
        <v>6</v>
      </c>
      <c r="K179" s="12"/>
      <c r="L179" s="12">
        <f>SUM(L165:L178)*1.15</f>
        <v>34.269999999999996</v>
      </c>
      <c r="M179" s="357" t="s">
        <v>6</v>
      </c>
      <c r="Q179" s="4"/>
      <c r="R179" s="4"/>
      <c r="S179" s="412"/>
      <c r="T179" s="415"/>
      <c r="U179" s="417"/>
      <c r="V179" s="416"/>
      <c r="W179" s="416"/>
      <c r="X179" s="404"/>
      <c r="Y179" s="412"/>
      <c r="Z179" s="4"/>
    </row>
    <row r="180" spans="1:26">
      <c r="B180" s="12"/>
      <c r="C180" s="12"/>
      <c r="D180" s="12"/>
      <c r="E180" s="12"/>
      <c r="F180" s="12"/>
      <c r="G180" s="12"/>
      <c r="H180" s="12"/>
      <c r="I180" s="12"/>
      <c r="J180" s="12"/>
      <c r="K180" s="12"/>
      <c r="L180" s="12"/>
      <c r="M180" s="357"/>
      <c r="Q180" s="4"/>
      <c r="R180" s="4"/>
      <c r="S180" s="4"/>
      <c r="T180" s="4"/>
      <c r="U180" s="4"/>
      <c r="V180" s="4"/>
      <c r="W180" s="4"/>
      <c r="X180" s="4"/>
      <c r="Y180" s="4"/>
      <c r="Z180" s="4"/>
    </row>
    <row r="181" spans="1:26" s="1" customFormat="1">
      <c r="B181" s="3"/>
      <c r="C181" s="3"/>
      <c r="D181" s="3"/>
      <c r="E181" s="3"/>
      <c r="F181" s="3"/>
      <c r="G181" s="3"/>
      <c r="H181" s="3"/>
      <c r="I181" s="3"/>
      <c r="J181" s="3"/>
      <c r="K181" s="3"/>
      <c r="L181" s="3"/>
      <c r="M181" s="224"/>
      <c r="Q181" s="4"/>
      <c r="R181" s="4"/>
      <c r="S181" s="4"/>
      <c r="T181" s="4"/>
      <c r="U181" s="4"/>
      <c r="V181" s="4"/>
      <c r="W181" s="4"/>
      <c r="X181" s="4"/>
      <c r="Y181" s="4"/>
      <c r="Z181" s="4"/>
    </row>
    <row r="182" spans="1:26" s="1" customFormat="1">
      <c r="B182" s="1" t="s">
        <v>525</v>
      </c>
      <c r="M182" s="58"/>
      <c r="Q182" s="4"/>
      <c r="R182" s="4"/>
      <c r="S182" s="4"/>
      <c r="T182" s="4"/>
      <c r="U182" s="4"/>
      <c r="V182" s="4"/>
      <c r="W182" s="4"/>
      <c r="X182" s="4"/>
      <c r="Y182" s="4"/>
      <c r="Z182" s="4"/>
    </row>
    <row r="183" spans="1:26" s="1" customFormat="1">
      <c r="B183" s="469" t="s">
        <v>526</v>
      </c>
      <c r="M183" s="58"/>
      <c r="Q183" s="4"/>
      <c r="R183" s="4"/>
      <c r="S183" s="4"/>
      <c r="T183" s="4"/>
      <c r="U183" s="4"/>
      <c r="V183" s="4"/>
      <c r="W183" s="4"/>
      <c r="X183" s="4"/>
      <c r="Y183" s="4"/>
      <c r="Z183" s="4"/>
    </row>
    <row r="184" spans="1:26" s="1" customFormat="1">
      <c r="F184" s="12" t="s">
        <v>527</v>
      </c>
      <c r="M184" s="58"/>
      <c r="Q184" s="4"/>
      <c r="R184" s="412"/>
      <c r="S184" s="415"/>
      <c r="T184" s="416"/>
      <c r="U184" s="417"/>
      <c r="V184" s="416"/>
      <c r="W184" s="416"/>
      <c r="X184" s="412"/>
      <c r="Y184" s="4"/>
      <c r="Z184" s="4"/>
    </row>
    <row r="185" spans="1:26" s="1" customFormat="1">
      <c r="B185" s="12" t="s">
        <v>476</v>
      </c>
      <c r="C185" s="12"/>
      <c r="D185" s="12"/>
      <c r="E185" s="12"/>
      <c r="F185" s="12">
        <v>23.3</v>
      </c>
      <c r="G185" s="12" t="s">
        <v>6</v>
      </c>
      <c r="H185" s="381"/>
      <c r="I185" s="381"/>
      <c r="J185" s="381"/>
      <c r="K185" s="381"/>
      <c r="L185" s="381"/>
      <c r="M185" s="228"/>
      <c r="Q185" s="4"/>
      <c r="R185" s="412"/>
      <c r="S185" s="415"/>
      <c r="T185" s="416"/>
      <c r="U185" s="417"/>
      <c r="V185" s="416"/>
      <c r="W185" s="416"/>
      <c r="X185" s="412"/>
      <c r="Y185" s="4"/>
      <c r="Z185" s="4"/>
    </row>
    <row r="186" spans="1:26" s="1" customFormat="1">
      <c r="B186" s="12" t="s">
        <v>478</v>
      </c>
      <c r="C186" s="12"/>
      <c r="D186" s="12"/>
      <c r="E186" s="12"/>
      <c r="F186" s="12">
        <v>25</v>
      </c>
      <c r="G186" s="12" t="s">
        <v>6</v>
      </c>
      <c r="H186" s="381"/>
      <c r="I186" s="381"/>
      <c r="J186" s="381"/>
      <c r="K186" s="381"/>
      <c r="L186" s="381"/>
      <c r="M186" s="228"/>
      <c r="Q186" s="4"/>
      <c r="R186" s="412"/>
      <c r="S186" s="415"/>
      <c r="T186" s="416"/>
      <c r="U186" s="417"/>
      <c r="V186" s="416"/>
      <c r="W186" s="416"/>
      <c r="X186" s="412"/>
      <c r="Y186" s="4"/>
      <c r="Z186" s="4"/>
    </row>
    <row r="187" spans="1:26" s="1" customFormat="1">
      <c r="B187" s="12" t="s">
        <v>477</v>
      </c>
      <c r="C187" s="381"/>
      <c r="D187" s="381"/>
      <c r="E187" s="381"/>
      <c r="F187" s="12">
        <v>14</v>
      </c>
      <c r="G187" s="381" t="s">
        <v>6</v>
      </c>
      <c r="H187" s="381"/>
      <c r="I187" s="381"/>
      <c r="J187" s="381"/>
      <c r="K187" s="381"/>
      <c r="L187" s="381"/>
      <c r="M187" s="228"/>
      <c r="Q187" s="4"/>
      <c r="R187" s="412"/>
      <c r="S187" s="415"/>
      <c r="T187" s="417"/>
      <c r="U187" s="416"/>
      <c r="V187" s="412"/>
      <c r="W187" s="416"/>
      <c r="X187" s="412"/>
      <c r="Y187" s="4"/>
      <c r="Z187" s="4"/>
    </row>
    <row r="188" spans="1:26" s="1" customFormat="1">
      <c r="B188" s="1" t="s">
        <v>464</v>
      </c>
      <c r="F188" s="12">
        <v>13.5</v>
      </c>
      <c r="G188" s="1" t="s">
        <v>6</v>
      </c>
      <c r="M188" s="58"/>
      <c r="Q188" s="4"/>
      <c r="R188" s="412"/>
      <c r="S188" s="415"/>
      <c r="T188" s="645"/>
      <c r="U188" s="416"/>
      <c r="V188" s="412"/>
      <c r="W188" s="412"/>
      <c r="X188" s="412"/>
      <c r="Y188" s="4"/>
      <c r="Z188" s="4"/>
    </row>
    <row r="189" spans="1:26" s="1" customFormat="1">
      <c r="B189" s="1" t="s">
        <v>462</v>
      </c>
      <c r="F189" s="12">
        <v>13</v>
      </c>
      <c r="G189" s="1" t="s">
        <v>6</v>
      </c>
      <c r="M189" s="58"/>
      <c r="Q189" s="4"/>
      <c r="R189" s="412"/>
      <c r="S189" s="415"/>
      <c r="T189" s="417"/>
      <c r="U189" s="416"/>
      <c r="V189" s="416"/>
      <c r="W189" s="404"/>
      <c r="X189" s="412"/>
      <c r="Y189" s="4"/>
      <c r="Z189" s="4"/>
    </row>
    <row r="190" spans="1:26" s="1" customFormat="1">
      <c r="A190" s="4"/>
      <c r="B190" s="96" t="s">
        <v>447</v>
      </c>
      <c r="C190" s="96"/>
      <c r="D190" s="96"/>
      <c r="E190" s="96"/>
      <c r="F190" s="13">
        <v>4</v>
      </c>
      <c r="G190" s="96" t="s">
        <v>6</v>
      </c>
      <c r="H190" s="96"/>
      <c r="I190" s="96"/>
      <c r="J190" s="96"/>
      <c r="K190" s="4"/>
      <c r="M190" s="58"/>
      <c r="Q190" s="4"/>
      <c r="R190" s="412"/>
      <c r="S190" s="415"/>
      <c r="T190" s="417"/>
      <c r="U190" s="416"/>
      <c r="V190" s="416"/>
      <c r="W190" s="404"/>
      <c r="X190" s="412"/>
      <c r="Y190" s="4"/>
      <c r="Z190" s="4"/>
    </row>
    <row r="191" spans="1:26" s="1" customFormat="1">
      <c r="A191" s="4"/>
      <c r="B191" s="151" t="s">
        <v>30</v>
      </c>
      <c r="C191" s="4"/>
      <c r="D191" s="4"/>
      <c r="E191" s="4"/>
      <c r="F191" s="4">
        <f>SUM(F185:F190)</f>
        <v>92.8</v>
      </c>
      <c r="G191" s="151" t="s">
        <v>537</v>
      </c>
      <c r="H191" s="4"/>
      <c r="I191" s="4"/>
      <c r="J191" s="4"/>
      <c r="K191" s="4"/>
      <c r="M191" s="58"/>
      <c r="Q191" s="4"/>
      <c r="R191" s="412"/>
      <c r="S191" s="415"/>
      <c r="T191" s="417"/>
      <c r="U191" s="416"/>
      <c r="V191" s="416"/>
      <c r="W191" s="404"/>
      <c r="X191" s="412"/>
      <c r="Y191" s="4"/>
      <c r="Z191" s="4"/>
    </row>
    <row r="192" spans="1:26" s="1" customFormat="1">
      <c r="A192" s="4"/>
      <c r="B192" s="4"/>
      <c r="C192" s="4"/>
      <c r="D192" s="4"/>
      <c r="E192" s="4"/>
      <c r="F192" s="4"/>
      <c r="G192" s="4"/>
      <c r="H192" s="4"/>
      <c r="I192" s="4"/>
      <c r="J192" s="4"/>
      <c r="K192" s="4"/>
      <c r="M192" s="58"/>
      <c r="Q192" s="4"/>
      <c r="R192" s="412"/>
      <c r="S192" s="415"/>
      <c r="T192" s="417"/>
      <c r="U192" s="416"/>
      <c r="V192" s="416"/>
      <c r="W192" s="404"/>
      <c r="X192" s="412"/>
      <c r="Y192" s="4"/>
      <c r="Z192" s="4"/>
    </row>
    <row r="193" spans="1:25">
      <c r="A193" s="4"/>
      <c r="B193" s="4"/>
      <c r="C193" s="4"/>
      <c r="D193" s="4"/>
      <c r="E193" s="4"/>
      <c r="F193" s="4"/>
      <c r="G193" s="4"/>
      <c r="H193" s="4"/>
      <c r="I193" s="4"/>
      <c r="J193" s="4"/>
      <c r="K193" s="4"/>
      <c r="R193" s="412"/>
      <c r="S193" s="415"/>
      <c r="T193" s="645"/>
      <c r="U193" s="416"/>
      <c r="V193" s="412"/>
      <c r="W193" s="412"/>
      <c r="X193" s="406"/>
    </row>
    <row r="194" spans="1:25">
      <c r="C194" s="4"/>
      <c r="D194" s="4"/>
      <c r="E194" s="4"/>
      <c r="F194" s="4"/>
      <c r="G194" s="4"/>
      <c r="H194" s="4"/>
      <c r="I194" s="4"/>
      <c r="J194" s="4"/>
      <c r="K194" s="4"/>
      <c r="L194" s="4"/>
      <c r="M194" s="151"/>
      <c r="N194" s="4"/>
      <c r="O194" s="4"/>
      <c r="P194" s="4"/>
      <c r="Q194" s="4"/>
      <c r="R194" s="412"/>
      <c r="S194" s="415"/>
      <c r="T194" s="417"/>
      <c r="U194" s="416"/>
      <c r="V194" s="416"/>
      <c r="W194" s="404"/>
      <c r="X194" s="412"/>
      <c r="Y194" s="4"/>
    </row>
    <row r="195" spans="1:25">
      <c r="C195" s="4"/>
      <c r="D195" s="4"/>
      <c r="E195" s="4"/>
      <c r="F195" s="4"/>
      <c r="G195" s="4"/>
      <c r="H195" s="4"/>
      <c r="I195" s="4"/>
      <c r="J195" s="4"/>
      <c r="K195" s="4"/>
      <c r="L195" s="4"/>
      <c r="M195" s="151"/>
      <c r="N195" s="4"/>
      <c r="O195" s="4"/>
      <c r="P195" s="4"/>
      <c r="Q195" s="4"/>
      <c r="R195" s="412"/>
      <c r="S195" s="415"/>
      <c r="T195" s="417"/>
      <c r="U195" s="416"/>
      <c r="V195" s="416"/>
      <c r="W195" s="404"/>
      <c r="X195" s="412"/>
      <c r="Y195" s="4"/>
    </row>
    <row r="196" spans="1:25">
      <c r="C196" s="4"/>
      <c r="D196" s="4"/>
      <c r="E196" s="646"/>
      <c r="F196" s="4"/>
      <c r="G196" s="4"/>
      <c r="H196" s="4"/>
      <c r="I196" s="4"/>
      <c r="J196" s="4"/>
      <c r="K196" s="4"/>
      <c r="L196" s="4"/>
      <c r="M196" s="151"/>
      <c r="N196" s="4"/>
      <c r="O196" s="4"/>
      <c r="P196" s="4"/>
      <c r="Q196" s="4"/>
      <c r="R196" s="412"/>
      <c r="S196" s="415"/>
      <c r="T196" s="417"/>
      <c r="U196" s="416"/>
      <c r="V196" s="416"/>
      <c r="W196" s="404"/>
      <c r="X196" s="412"/>
      <c r="Y196" s="4"/>
    </row>
    <row r="197" spans="1:25">
      <c r="C197" s="4"/>
      <c r="D197" s="4"/>
      <c r="E197" s="467"/>
      <c r="F197" s="467"/>
      <c r="G197" s="467"/>
      <c r="H197" s="467"/>
      <c r="I197" s="467"/>
      <c r="J197" s="467"/>
      <c r="K197" s="467"/>
      <c r="L197" s="4"/>
      <c r="M197" s="151"/>
      <c r="N197" s="4"/>
      <c r="O197" s="4"/>
      <c r="P197" s="4"/>
      <c r="Q197" s="4"/>
      <c r="R197" s="412"/>
      <c r="S197" s="415"/>
      <c r="T197" s="417"/>
      <c r="U197" s="416"/>
      <c r="V197" s="416"/>
      <c r="W197" s="404"/>
      <c r="X197" s="412"/>
      <c r="Y197" s="4"/>
    </row>
    <row r="198" spans="1:25" ht="36">
      <c r="C198" s="4"/>
      <c r="D198" s="4"/>
      <c r="E198" s="466"/>
      <c r="F198" s="466"/>
      <c r="G198" s="466"/>
      <c r="H198" s="467"/>
      <c r="I198" s="467"/>
      <c r="J198" s="467"/>
      <c r="K198" s="467"/>
      <c r="L198" s="4"/>
      <c r="M198" s="151"/>
      <c r="N198" s="4"/>
      <c r="O198" s="4"/>
      <c r="P198" s="4"/>
      <c r="Q198" s="4"/>
      <c r="R198" s="412"/>
      <c r="S198" s="415"/>
      <c r="T198" s="645"/>
      <c r="U198" s="416"/>
      <c r="V198" s="412"/>
      <c r="W198" s="412"/>
      <c r="X198" s="412"/>
      <c r="Y198" s="4"/>
    </row>
    <row r="199" spans="1:25">
      <c r="C199" s="4"/>
      <c r="D199" s="4"/>
      <c r="E199" s="467"/>
      <c r="F199" s="467"/>
      <c r="G199" s="467"/>
      <c r="H199" s="467"/>
      <c r="I199" s="467"/>
      <c r="J199" s="467"/>
      <c r="K199" s="467"/>
      <c r="L199" s="4"/>
      <c r="M199" s="151"/>
      <c r="N199" s="4"/>
      <c r="O199" s="4"/>
      <c r="P199" s="4"/>
      <c r="Q199" s="4"/>
      <c r="R199" s="412"/>
      <c r="S199" s="415"/>
      <c r="T199" s="417"/>
      <c r="U199" s="416"/>
      <c r="V199" s="416"/>
      <c r="W199" s="404"/>
      <c r="X199" s="412"/>
      <c r="Y199" s="4"/>
    </row>
    <row r="200" spans="1:25">
      <c r="C200" s="4"/>
      <c r="D200" s="4"/>
      <c r="E200" s="401"/>
      <c r="F200" s="402"/>
      <c r="G200" s="403"/>
      <c r="H200" s="404"/>
      <c r="I200" s="405"/>
      <c r="J200" s="405"/>
      <c r="K200" s="412"/>
      <c r="L200" s="4"/>
      <c r="M200" s="151"/>
      <c r="N200" s="4"/>
      <c r="O200" s="4"/>
      <c r="P200" s="4"/>
      <c r="Q200" s="4"/>
      <c r="R200" s="412"/>
      <c r="S200" s="415"/>
      <c r="T200" s="417"/>
      <c r="U200" s="416"/>
      <c r="V200" s="416"/>
      <c r="W200" s="404"/>
      <c r="X200" s="412"/>
      <c r="Y200" s="4"/>
    </row>
    <row r="201" spans="1:25">
      <c r="C201" s="4"/>
      <c r="D201" s="4"/>
      <c r="E201" s="468"/>
      <c r="F201" s="412"/>
      <c r="G201" s="403"/>
      <c r="H201" s="407"/>
      <c r="I201" s="405"/>
      <c r="J201" s="405"/>
      <c r="K201" s="412"/>
      <c r="L201" s="4"/>
      <c r="M201" s="151"/>
      <c r="N201" s="4"/>
      <c r="O201" s="4"/>
      <c r="P201" s="4"/>
      <c r="Q201" s="4"/>
      <c r="R201" s="412"/>
      <c r="S201" s="415"/>
      <c r="T201" s="417"/>
      <c r="U201" s="416"/>
      <c r="V201" s="416"/>
      <c r="W201" s="404"/>
      <c r="X201" s="412"/>
      <c r="Y201" s="4"/>
    </row>
    <row r="202" spans="1:25">
      <c r="C202" s="4"/>
      <c r="D202" s="4"/>
      <c r="E202" s="408"/>
      <c r="F202" s="408"/>
      <c r="G202" s="408"/>
      <c r="H202" s="408"/>
      <c r="I202" s="408"/>
      <c r="J202" s="408"/>
      <c r="K202" s="412"/>
      <c r="L202" s="4"/>
      <c r="M202" s="151"/>
      <c r="N202" s="4"/>
      <c r="O202" s="4"/>
      <c r="P202" s="4"/>
      <c r="Q202" s="4"/>
      <c r="R202" s="412"/>
      <c r="S202" s="415"/>
      <c r="T202" s="417"/>
      <c r="U202" s="416"/>
      <c r="V202" s="416"/>
      <c r="W202" s="404"/>
      <c r="X202" s="412"/>
      <c r="Y202" s="4"/>
    </row>
    <row r="203" spans="1:25">
      <c r="C203" s="4"/>
      <c r="D203" s="4"/>
      <c r="E203" s="408"/>
      <c r="F203" s="408"/>
      <c r="G203" s="409"/>
      <c r="H203" s="408"/>
      <c r="I203" s="408"/>
      <c r="J203" s="408"/>
      <c r="K203" s="412"/>
      <c r="L203" s="4"/>
      <c r="M203" s="151"/>
      <c r="N203" s="4"/>
      <c r="O203" s="4"/>
      <c r="P203" s="4"/>
      <c r="Q203" s="4"/>
      <c r="R203" s="412"/>
      <c r="S203" s="415"/>
      <c r="T203" s="645"/>
      <c r="U203" s="416"/>
      <c r="V203" s="412"/>
      <c r="W203" s="412"/>
      <c r="X203" s="412"/>
      <c r="Y203" s="4"/>
    </row>
    <row r="204" spans="1:25">
      <c r="C204" s="4"/>
      <c r="D204" s="4"/>
      <c r="E204" s="408"/>
      <c r="F204" s="408"/>
      <c r="G204" s="409"/>
      <c r="H204" s="408"/>
      <c r="I204" s="410"/>
      <c r="J204" s="408"/>
      <c r="K204" s="412"/>
      <c r="L204" s="4"/>
      <c r="M204" s="151"/>
      <c r="N204" s="4"/>
      <c r="O204" s="4"/>
      <c r="P204" s="4"/>
      <c r="Q204" s="4"/>
      <c r="R204" s="412"/>
      <c r="S204" s="415"/>
      <c r="T204" s="417"/>
      <c r="U204" s="416"/>
      <c r="V204" s="416"/>
      <c r="W204" s="404"/>
      <c r="X204" s="412"/>
      <c r="Y204" s="4"/>
    </row>
    <row r="205" spans="1:25">
      <c r="C205" s="4"/>
      <c r="D205" s="4"/>
      <c r="E205" s="408"/>
      <c r="F205" s="408"/>
      <c r="G205" s="408"/>
      <c r="H205" s="408"/>
      <c r="I205" s="410"/>
      <c r="J205" s="408"/>
      <c r="K205" s="412"/>
      <c r="L205" s="4"/>
      <c r="M205" s="151"/>
      <c r="N205" s="4"/>
      <c r="O205" s="4"/>
      <c r="P205" s="4"/>
      <c r="Q205" s="4"/>
      <c r="R205" s="412"/>
      <c r="S205" s="415"/>
      <c r="T205" s="417"/>
      <c r="U205" s="416"/>
      <c r="V205" s="416"/>
      <c r="W205" s="404"/>
      <c r="X205" s="412"/>
      <c r="Y205" s="4"/>
    </row>
    <row r="206" spans="1:25">
      <c r="C206" s="4"/>
      <c r="D206" s="4"/>
      <c r="E206" s="408"/>
      <c r="F206" s="408"/>
      <c r="G206" s="408"/>
      <c r="H206" s="408"/>
      <c r="I206" s="410"/>
      <c r="J206" s="408"/>
      <c r="K206" s="412"/>
      <c r="L206" s="4"/>
      <c r="M206" s="151"/>
      <c r="N206" s="4"/>
      <c r="O206" s="4"/>
      <c r="P206" s="4"/>
      <c r="Q206" s="4"/>
      <c r="R206" s="412"/>
      <c r="S206" s="415"/>
      <c r="T206" s="417"/>
      <c r="U206" s="416"/>
      <c r="V206" s="416"/>
      <c r="W206" s="404"/>
      <c r="X206" s="412"/>
      <c r="Y206" s="4"/>
    </row>
    <row r="207" spans="1:25">
      <c r="C207" s="4"/>
      <c r="D207" s="4"/>
      <c r="E207" s="408"/>
      <c r="F207" s="408"/>
      <c r="G207" s="408"/>
      <c r="H207" s="408"/>
      <c r="I207" s="410"/>
      <c r="J207" s="408"/>
      <c r="K207" s="412"/>
      <c r="L207" s="4"/>
      <c r="M207" s="151"/>
      <c r="N207" s="4"/>
      <c r="O207" s="4"/>
      <c r="P207" s="4"/>
      <c r="Q207" s="4"/>
      <c r="R207" s="412"/>
      <c r="S207" s="415"/>
      <c r="T207" s="417"/>
      <c r="U207" s="416"/>
      <c r="V207" s="416"/>
      <c r="W207" s="404"/>
      <c r="X207" s="412"/>
      <c r="Y207" s="4"/>
    </row>
    <row r="208" spans="1:25">
      <c r="C208" s="4"/>
      <c r="D208" s="4"/>
      <c r="E208" s="411"/>
      <c r="F208" s="412"/>
      <c r="G208" s="405"/>
      <c r="H208" s="404"/>
      <c r="I208" s="413"/>
      <c r="J208" s="405"/>
      <c r="K208" s="412"/>
      <c r="L208" s="4"/>
      <c r="M208" s="151"/>
      <c r="N208" s="4"/>
      <c r="O208" s="4"/>
      <c r="P208" s="4"/>
      <c r="Q208" s="4"/>
      <c r="R208" s="412"/>
      <c r="S208" s="415"/>
      <c r="T208" s="417"/>
      <c r="U208" s="416"/>
      <c r="V208" s="416"/>
      <c r="W208" s="404"/>
      <c r="X208" s="412"/>
      <c r="Y208" s="4"/>
    </row>
    <row r="209" spans="3:25">
      <c r="C209" s="4"/>
      <c r="D209" s="4"/>
      <c r="E209" s="411"/>
      <c r="F209" s="412"/>
      <c r="G209" s="405"/>
      <c r="H209" s="404"/>
      <c r="I209" s="413"/>
      <c r="J209" s="405"/>
      <c r="K209" s="412"/>
      <c r="L209" s="4"/>
      <c r="M209" s="151"/>
      <c r="N209" s="4"/>
      <c r="O209" s="4"/>
      <c r="P209" s="4"/>
      <c r="Q209" s="4"/>
      <c r="R209" s="412"/>
      <c r="S209" s="415"/>
      <c r="T209" s="416"/>
      <c r="U209" s="417"/>
      <c r="V209" s="416"/>
      <c r="W209" s="404"/>
      <c r="X209" s="412"/>
      <c r="Y209" s="4"/>
    </row>
    <row r="210" spans="3:25">
      <c r="C210" s="4"/>
      <c r="D210" s="4"/>
      <c r="E210" s="414"/>
      <c r="F210" s="415"/>
      <c r="G210" s="416"/>
      <c r="H210" s="417"/>
      <c r="I210" s="418"/>
      <c r="J210" s="416"/>
      <c r="K210" s="412"/>
      <c r="L210" s="4"/>
      <c r="M210" s="151"/>
      <c r="N210" s="4"/>
      <c r="O210" s="4"/>
      <c r="P210" s="4"/>
      <c r="Q210" s="4"/>
      <c r="R210" s="412"/>
      <c r="S210" s="415"/>
      <c r="T210" s="416"/>
      <c r="U210" s="417"/>
      <c r="V210" s="416"/>
      <c r="W210" s="416"/>
      <c r="X210" s="412"/>
      <c r="Y210" s="4"/>
    </row>
    <row r="211" spans="3:25">
      <c r="C211" s="4"/>
      <c r="D211" s="4"/>
      <c r="E211" s="419"/>
      <c r="F211" s="415"/>
      <c r="G211" s="416"/>
      <c r="H211" s="417"/>
      <c r="I211" s="418"/>
      <c r="J211" s="416"/>
      <c r="K211" s="412"/>
      <c r="L211" s="4"/>
      <c r="M211" s="151"/>
      <c r="N211" s="4"/>
      <c r="O211" s="4"/>
      <c r="P211" s="4"/>
      <c r="Q211" s="4"/>
      <c r="R211" s="412"/>
      <c r="S211" s="415"/>
      <c r="T211" s="416"/>
      <c r="U211" s="417"/>
      <c r="V211" s="416"/>
      <c r="W211" s="404"/>
      <c r="X211" s="412"/>
      <c r="Y211" s="4"/>
    </row>
    <row r="212" spans="3:25">
      <c r="C212" s="4"/>
      <c r="D212" s="4"/>
      <c r="E212" s="419"/>
      <c r="F212" s="415"/>
      <c r="G212" s="416"/>
      <c r="H212" s="417"/>
      <c r="I212" s="418"/>
      <c r="J212" s="416"/>
      <c r="K212" s="412"/>
      <c r="L212" s="4"/>
      <c r="M212" s="151"/>
      <c r="N212" s="4"/>
      <c r="O212" s="4"/>
      <c r="P212" s="4"/>
      <c r="Q212" s="4"/>
      <c r="R212" s="412"/>
      <c r="S212" s="412"/>
      <c r="T212" s="412"/>
      <c r="U212" s="412"/>
      <c r="V212" s="412"/>
      <c r="W212" s="412"/>
      <c r="X212" s="412"/>
      <c r="Y212" s="4"/>
    </row>
    <row r="213" spans="3:25">
      <c r="C213" s="4"/>
      <c r="D213" s="4"/>
      <c r="E213" s="419"/>
      <c r="F213" s="415"/>
      <c r="G213" s="416"/>
      <c r="H213" s="417"/>
      <c r="I213" s="418"/>
      <c r="J213" s="416"/>
      <c r="K213" s="412"/>
      <c r="L213" s="4"/>
      <c r="M213" s="151"/>
      <c r="N213" s="4"/>
      <c r="O213" s="4"/>
      <c r="P213" s="4"/>
      <c r="Q213" s="4"/>
      <c r="R213" s="4"/>
      <c r="S213" s="4"/>
      <c r="T213" s="4"/>
      <c r="U213" s="4"/>
      <c r="V213" s="4"/>
      <c r="W213" s="4"/>
      <c r="X213" s="4"/>
      <c r="Y213" s="4"/>
    </row>
    <row r="214" spans="3:25">
      <c r="C214" s="4"/>
      <c r="D214" s="4"/>
      <c r="E214" s="419"/>
      <c r="F214" s="415"/>
      <c r="G214" s="416"/>
      <c r="H214" s="417"/>
      <c r="I214" s="418"/>
      <c r="J214" s="416"/>
      <c r="K214" s="412"/>
      <c r="L214" s="4"/>
      <c r="M214" s="151"/>
      <c r="N214" s="4"/>
      <c r="O214" s="4"/>
      <c r="P214" s="4"/>
      <c r="Q214" s="4"/>
      <c r="R214" s="4"/>
      <c r="S214" s="4"/>
      <c r="T214" s="4"/>
      <c r="U214" s="4"/>
      <c r="V214" s="4"/>
      <c r="W214" s="4"/>
      <c r="X214" s="4"/>
      <c r="Y214" s="4"/>
    </row>
    <row r="215" spans="3:25">
      <c r="C215" s="4"/>
      <c r="D215" s="4"/>
      <c r="E215" s="419"/>
      <c r="F215" s="415"/>
      <c r="G215" s="416"/>
      <c r="H215" s="417"/>
      <c r="I215" s="418"/>
      <c r="J215" s="416"/>
      <c r="K215" s="412"/>
      <c r="L215" s="4"/>
      <c r="M215" s="151"/>
      <c r="N215" s="4"/>
      <c r="O215" s="4"/>
      <c r="P215" s="4"/>
      <c r="Q215" s="4"/>
      <c r="R215" s="4"/>
      <c r="S215" s="4"/>
      <c r="T215" s="4"/>
      <c r="U215" s="4"/>
      <c r="V215" s="4"/>
      <c r="W215" s="4"/>
      <c r="X215" s="4"/>
      <c r="Y215" s="4"/>
    </row>
    <row r="216" spans="3:25">
      <c r="C216" s="4"/>
      <c r="D216" s="4"/>
      <c r="E216" s="419"/>
      <c r="F216" s="415"/>
      <c r="G216" s="416"/>
      <c r="H216" s="417"/>
      <c r="I216" s="418"/>
      <c r="J216" s="416"/>
      <c r="K216" s="412"/>
      <c r="L216" s="4"/>
      <c r="M216" s="151"/>
      <c r="N216" s="4"/>
      <c r="O216" s="4"/>
      <c r="P216" s="4"/>
      <c r="Q216" s="4"/>
      <c r="R216" s="4"/>
      <c r="S216" s="4"/>
      <c r="T216" s="4"/>
      <c r="U216" s="4"/>
      <c r="V216" s="4"/>
      <c r="W216" s="4"/>
      <c r="X216" s="4"/>
      <c r="Y216" s="4"/>
    </row>
    <row r="217" spans="3:25">
      <c r="C217" s="4"/>
      <c r="D217" s="4"/>
      <c r="E217" s="419"/>
      <c r="F217" s="415"/>
      <c r="G217" s="416"/>
      <c r="H217" s="417"/>
      <c r="I217" s="418"/>
      <c r="J217" s="416"/>
      <c r="K217" s="412"/>
      <c r="L217" s="4"/>
      <c r="M217" s="151"/>
      <c r="N217" s="4"/>
      <c r="O217" s="4"/>
      <c r="P217" s="4"/>
      <c r="Q217" s="4"/>
      <c r="R217" s="4"/>
      <c r="S217" s="4"/>
      <c r="T217" s="4"/>
      <c r="U217" s="4"/>
      <c r="V217" s="4"/>
      <c r="W217" s="4"/>
      <c r="X217" s="4"/>
      <c r="Y217" s="4"/>
    </row>
    <row r="218" spans="3:25">
      <c r="C218" s="4"/>
      <c r="D218" s="4"/>
      <c r="E218" s="419"/>
      <c r="F218" s="415"/>
      <c r="G218" s="416"/>
      <c r="H218" s="417"/>
      <c r="I218" s="418"/>
      <c r="J218" s="416"/>
      <c r="K218" s="412"/>
      <c r="L218" s="4"/>
      <c r="M218" s="151"/>
      <c r="N218" s="4"/>
      <c r="O218" s="4"/>
      <c r="P218" s="4"/>
      <c r="Q218" s="4"/>
      <c r="R218" s="4"/>
      <c r="S218" s="4"/>
      <c r="T218" s="4"/>
      <c r="U218" s="4"/>
      <c r="V218" s="4"/>
      <c r="W218" s="4"/>
      <c r="X218" s="4"/>
      <c r="Y218" s="4"/>
    </row>
    <row r="219" spans="3:25">
      <c r="C219" s="4"/>
      <c r="D219" s="4"/>
      <c r="E219" s="419"/>
      <c r="F219" s="415"/>
      <c r="G219" s="416"/>
      <c r="H219" s="417"/>
      <c r="I219" s="418"/>
      <c r="J219" s="416"/>
      <c r="K219" s="412"/>
      <c r="L219" s="4"/>
      <c r="M219" s="151"/>
      <c r="N219" s="4"/>
      <c r="O219" s="4"/>
      <c r="P219" s="4"/>
      <c r="Q219" s="4"/>
      <c r="R219" s="4"/>
      <c r="S219" s="4"/>
      <c r="T219" s="4"/>
      <c r="U219" s="4"/>
      <c r="V219" s="4"/>
      <c r="W219" s="4"/>
      <c r="X219" s="4"/>
      <c r="Y219" s="4"/>
    </row>
    <row r="220" spans="3:25">
      <c r="C220" s="4"/>
      <c r="D220" s="4"/>
      <c r="E220" s="419"/>
      <c r="F220" s="415"/>
      <c r="G220" s="416"/>
      <c r="H220" s="417"/>
      <c r="I220" s="418"/>
      <c r="J220" s="416"/>
      <c r="K220" s="412"/>
      <c r="L220" s="4"/>
      <c r="M220" s="151"/>
      <c r="N220" s="4"/>
      <c r="O220" s="4"/>
      <c r="P220" s="4"/>
      <c r="Q220" s="4"/>
      <c r="R220" s="4"/>
      <c r="S220" s="4"/>
      <c r="T220" s="4"/>
      <c r="U220" s="4"/>
      <c r="V220" s="4"/>
      <c r="W220" s="4"/>
      <c r="X220" s="4"/>
      <c r="Y220" s="4"/>
    </row>
    <row r="221" spans="3:25">
      <c r="C221" s="4"/>
      <c r="D221" s="4"/>
      <c r="E221" s="419"/>
      <c r="F221" s="415"/>
      <c r="G221" s="416"/>
      <c r="H221" s="417"/>
      <c r="I221" s="418"/>
      <c r="J221" s="416"/>
      <c r="K221" s="412"/>
      <c r="L221" s="4"/>
      <c r="M221" s="151"/>
      <c r="N221" s="4"/>
      <c r="O221" s="4"/>
      <c r="P221" s="4"/>
      <c r="Q221" s="4"/>
      <c r="R221" s="4"/>
      <c r="S221" s="4"/>
      <c r="T221" s="4"/>
      <c r="U221" s="4"/>
      <c r="V221" s="4"/>
      <c r="W221" s="4"/>
      <c r="X221" s="4"/>
      <c r="Y221" s="4"/>
    </row>
    <row r="222" spans="3:25">
      <c r="C222" s="4"/>
      <c r="D222" s="4"/>
      <c r="E222" s="419"/>
      <c r="F222" s="415"/>
      <c r="G222" s="416"/>
      <c r="H222" s="417"/>
      <c r="I222" s="418"/>
      <c r="J222" s="416"/>
      <c r="K222" s="412"/>
      <c r="L222" s="4"/>
      <c r="M222" s="151"/>
      <c r="N222" s="4"/>
      <c r="O222" s="4"/>
      <c r="P222" s="4"/>
      <c r="Q222" s="4"/>
      <c r="R222" s="4"/>
      <c r="S222" s="4"/>
      <c r="T222" s="4"/>
      <c r="U222" s="4"/>
      <c r="V222" s="4"/>
      <c r="W222" s="4"/>
      <c r="X222" s="4"/>
      <c r="Y222" s="4"/>
    </row>
    <row r="223" spans="3:25">
      <c r="C223" s="4"/>
      <c r="D223" s="4"/>
      <c r="E223" s="419"/>
      <c r="F223" s="415"/>
      <c r="G223" s="416"/>
      <c r="H223" s="417"/>
      <c r="I223" s="418"/>
      <c r="J223" s="416"/>
      <c r="K223" s="412"/>
      <c r="L223" s="4"/>
      <c r="M223" s="151"/>
      <c r="N223" s="4"/>
      <c r="O223" s="4"/>
      <c r="P223" s="4"/>
      <c r="Q223" s="4"/>
      <c r="R223" s="4"/>
      <c r="S223" s="4"/>
      <c r="T223" s="4"/>
      <c r="U223" s="4"/>
      <c r="V223" s="4"/>
      <c r="W223" s="4"/>
      <c r="X223" s="4"/>
      <c r="Y223" s="4"/>
    </row>
    <row r="224" spans="3:25">
      <c r="C224" s="4"/>
      <c r="D224" s="4"/>
      <c r="E224" s="419"/>
      <c r="F224" s="415"/>
      <c r="G224" s="416"/>
      <c r="H224" s="417"/>
      <c r="I224" s="418"/>
      <c r="J224" s="416"/>
      <c r="K224" s="412"/>
      <c r="L224" s="4"/>
      <c r="M224" s="151"/>
      <c r="N224" s="4"/>
      <c r="O224" s="4"/>
      <c r="P224" s="4"/>
      <c r="Q224" s="4"/>
      <c r="R224" s="4"/>
      <c r="S224" s="4"/>
      <c r="T224" s="4"/>
      <c r="U224" s="4"/>
      <c r="V224" s="4"/>
      <c r="W224" s="4"/>
      <c r="X224" s="4"/>
      <c r="Y224" s="4"/>
    </row>
    <row r="225" spans="3:25">
      <c r="C225" s="4"/>
      <c r="D225" s="4"/>
      <c r="E225" s="419"/>
      <c r="F225" s="415"/>
      <c r="G225" s="416"/>
      <c r="H225" s="417"/>
      <c r="I225" s="418"/>
      <c r="J225" s="416"/>
      <c r="K225" s="412"/>
      <c r="L225" s="4"/>
      <c r="M225" s="151"/>
      <c r="N225" s="4"/>
      <c r="O225" s="4"/>
      <c r="P225" s="4"/>
      <c r="Q225" s="4"/>
      <c r="R225" s="4"/>
      <c r="S225" s="4"/>
      <c r="T225" s="4"/>
      <c r="U225" s="4"/>
      <c r="V225" s="4"/>
      <c r="W225" s="4"/>
      <c r="X225" s="4"/>
      <c r="Y225" s="4"/>
    </row>
    <row r="226" spans="3:25">
      <c r="C226" s="4"/>
      <c r="D226" s="4"/>
      <c r="E226" s="419"/>
      <c r="F226" s="415"/>
      <c r="G226" s="416"/>
      <c r="H226" s="417"/>
      <c r="I226" s="418"/>
      <c r="J226" s="416"/>
      <c r="K226" s="412"/>
      <c r="L226" s="4"/>
      <c r="M226" s="151"/>
      <c r="N226" s="4"/>
      <c r="O226" s="4"/>
      <c r="P226" s="4"/>
      <c r="Q226" s="4"/>
      <c r="R226" s="4"/>
      <c r="S226" s="4"/>
      <c r="T226" s="4"/>
      <c r="U226" s="4"/>
      <c r="V226" s="4"/>
      <c r="W226" s="4"/>
      <c r="X226" s="4"/>
      <c r="Y226" s="4"/>
    </row>
    <row r="227" spans="3:25">
      <c r="C227" s="4"/>
      <c r="D227" s="4"/>
      <c r="E227" s="419"/>
      <c r="F227" s="415"/>
      <c r="G227" s="416"/>
      <c r="H227" s="417"/>
      <c r="I227" s="418"/>
      <c r="J227" s="416"/>
      <c r="K227" s="412"/>
      <c r="L227" s="4"/>
      <c r="M227" s="151"/>
      <c r="N227" s="4"/>
      <c r="O227" s="4"/>
      <c r="P227" s="4"/>
      <c r="Q227" s="4"/>
      <c r="R227" s="4"/>
      <c r="S227" s="4"/>
      <c r="T227" s="4"/>
      <c r="U227" s="4"/>
      <c r="V227" s="4"/>
      <c r="W227" s="4"/>
      <c r="X227" s="4"/>
      <c r="Y227" s="4"/>
    </row>
    <row r="228" spans="3:25">
      <c r="C228" s="4"/>
      <c r="D228" s="4"/>
      <c r="E228" s="419"/>
      <c r="F228" s="415"/>
      <c r="G228" s="416"/>
      <c r="H228" s="417"/>
      <c r="I228" s="418"/>
      <c r="J228" s="416"/>
      <c r="K228" s="412"/>
      <c r="L228" s="4"/>
      <c r="M228" s="151"/>
      <c r="N228" s="4"/>
      <c r="O228" s="4"/>
      <c r="P228" s="4"/>
      <c r="Q228" s="4"/>
      <c r="R228" s="4"/>
      <c r="S228" s="4"/>
      <c r="T228" s="4"/>
      <c r="U228" s="4"/>
      <c r="V228" s="4"/>
      <c r="W228" s="4"/>
      <c r="X228" s="4"/>
      <c r="Y228" s="4"/>
    </row>
    <row r="229" spans="3:25">
      <c r="C229" s="4"/>
      <c r="D229" s="4"/>
      <c r="E229" s="419"/>
      <c r="F229" s="415"/>
      <c r="G229" s="416"/>
      <c r="H229" s="417"/>
      <c r="I229" s="418"/>
      <c r="J229" s="416"/>
      <c r="K229" s="412"/>
      <c r="L229" s="4"/>
      <c r="M229" s="151"/>
      <c r="N229" s="4"/>
      <c r="O229" s="4"/>
      <c r="P229" s="4"/>
      <c r="Q229" s="4"/>
      <c r="R229" s="4"/>
      <c r="S229" s="4"/>
      <c r="T229" s="4"/>
      <c r="U229" s="4"/>
      <c r="V229" s="4"/>
      <c r="W229" s="4"/>
      <c r="X229" s="4"/>
      <c r="Y229" s="4"/>
    </row>
    <row r="230" spans="3:25">
      <c r="C230" s="4"/>
      <c r="D230" s="4"/>
      <c r="E230" s="419"/>
      <c r="F230" s="415"/>
      <c r="G230" s="416"/>
      <c r="H230" s="417"/>
      <c r="I230" s="418"/>
      <c r="J230" s="416"/>
      <c r="K230" s="412"/>
      <c r="L230" s="4"/>
      <c r="M230" s="151"/>
      <c r="N230" s="4"/>
      <c r="O230" s="4"/>
      <c r="P230" s="4"/>
      <c r="Q230" s="4"/>
      <c r="R230" s="4"/>
      <c r="S230" s="4"/>
      <c r="T230" s="4"/>
      <c r="U230" s="4"/>
      <c r="V230" s="4"/>
      <c r="W230" s="4"/>
      <c r="X230" s="4"/>
      <c r="Y230" s="4"/>
    </row>
    <row r="231" spans="3:25">
      <c r="C231" s="4"/>
      <c r="D231" s="4"/>
      <c r="E231" s="419"/>
      <c r="F231" s="415"/>
      <c r="G231" s="416"/>
      <c r="H231" s="417"/>
      <c r="I231" s="418"/>
      <c r="J231" s="416"/>
      <c r="K231" s="412"/>
      <c r="L231" s="4"/>
      <c r="M231" s="151"/>
      <c r="N231" s="4"/>
      <c r="O231" s="4"/>
      <c r="P231" s="4"/>
      <c r="Q231" s="4"/>
      <c r="R231" s="4"/>
      <c r="S231" s="4"/>
      <c r="T231" s="4"/>
      <c r="U231" s="4"/>
      <c r="V231" s="4"/>
      <c r="W231" s="4"/>
      <c r="X231" s="4"/>
      <c r="Y231" s="4"/>
    </row>
    <row r="232" spans="3:25">
      <c r="C232" s="4"/>
      <c r="D232" s="4"/>
      <c r="E232" s="419"/>
      <c r="F232" s="415"/>
      <c r="G232" s="416"/>
      <c r="H232" s="417"/>
      <c r="I232" s="418"/>
      <c r="J232" s="416"/>
      <c r="K232" s="412"/>
      <c r="L232" s="4"/>
      <c r="M232" s="151"/>
      <c r="N232" s="4"/>
      <c r="O232" s="4"/>
      <c r="P232" s="4"/>
      <c r="Q232" s="4"/>
      <c r="R232" s="4"/>
      <c r="S232" s="4"/>
      <c r="T232" s="4"/>
      <c r="U232" s="4"/>
      <c r="V232" s="4"/>
      <c r="W232" s="4"/>
      <c r="X232" s="4"/>
      <c r="Y232" s="4"/>
    </row>
    <row r="233" spans="3:25">
      <c r="C233" s="4"/>
      <c r="D233" s="4"/>
      <c r="E233" s="419"/>
      <c r="F233" s="415"/>
      <c r="G233" s="416"/>
      <c r="H233" s="417"/>
      <c r="I233" s="418"/>
      <c r="J233" s="416"/>
      <c r="K233" s="412"/>
      <c r="L233" s="4"/>
      <c r="M233" s="151"/>
      <c r="N233" s="4"/>
      <c r="O233" s="4"/>
      <c r="P233" s="4"/>
      <c r="Q233" s="4"/>
      <c r="R233" s="4"/>
      <c r="S233" s="4"/>
      <c r="T233" s="4"/>
      <c r="U233" s="4"/>
      <c r="V233" s="4"/>
      <c r="W233" s="4"/>
      <c r="X233" s="4"/>
      <c r="Y233" s="4"/>
    </row>
    <row r="234" spans="3:25">
      <c r="C234" s="4"/>
      <c r="D234" s="4"/>
      <c r="E234" s="419"/>
      <c r="F234" s="415"/>
      <c r="G234" s="416"/>
      <c r="H234" s="417"/>
      <c r="I234" s="418"/>
      <c r="J234" s="416"/>
      <c r="K234" s="412"/>
      <c r="L234" s="4"/>
      <c r="M234" s="151"/>
      <c r="N234" s="4"/>
      <c r="O234" s="4"/>
      <c r="P234" s="4"/>
      <c r="Q234" s="4"/>
      <c r="R234" s="4"/>
      <c r="S234" s="4"/>
      <c r="T234" s="4"/>
      <c r="U234" s="4"/>
      <c r="V234" s="4"/>
      <c r="W234" s="4"/>
      <c r="X234" s="4"/>
      <c r="Y234" s="4"/>
    </row>
    <row r="235" spans="3:25">
      <c r="C235" s="4"/>
      <c r="D235" s="4"/>
      <c r="E235" s="419"/>
      <c r="F235" s="415"/>
      <c r="G235" s="416"/>
      <c r="H235" s="417"/>
      <c r="I235" s="418"/>
      <c r="J235" s="416"/>
      <c r="K235" s="412"/>
      <c r="L235" s="4"/>
      <c r="M235" s="151"/>
      <c r="N235" s="4"/>
      <c r="O235" s="4"/>
      <c r="P235" s="4"/>
      <c r="Q235" s="4"/>
      <c r="R235" s="4"/>
      <c r="S235" s="4"/>
      <c r="T235" s="4"/>
      <c r="U235" s="4"/>
      <c r="V235" s="4"/>
      <c r="W235" s="4"/>
      <c r="X235" s="4"/>
      <c r="Y235" s="4"/>
    </row>
    <row r="236" spans="3:25">
      <c r="C236" s="4"/>
      <c r="D236" s="4"/>
      <c r="E236" s="419"/>
      <c r="F236" s="415"/>
      <c r="G236" s="416"/>
      <c r="H236" s="417"/>
      <c r="I236" s="418"/>
      <c r="J236" s="416"/>
      <c r="K236" s="412"/>
      <c r="L236" s="4"/>
      <c r="M236" s="151"/>
      <c r="N236" s="4"/>
      <c r="O236" s="4"/>
      <c r="P236" s="4"/>
      <c r="Q236" s="4"/>
      <c r="R236" s="4"/>
      <c r="S236" s="4"/>
      <c r="T236" s="4"/>
      <c r="U236" s="4"/>
      <c r="V236" s="4"/>
      <c r="W236" s="4"/>
      <c r="X236" s="4"/>
      <c r="Y236" s="4"/>
    </row>
    <row r="237" spans="3:25">
      <c r="C237" s="4"/>
      <c r="D237" s="4"/>
      <c r="E237" s="419"/>
      <c r="F237" s="415"/>
      <c r="G237" s="416"/>
      <c r="H237" s="417"/>
      <c r="I237" s="418"/>
      <c r="J237" s="416"/>
      <c r="K237" s="412"/>
      <c r="L237" s="4"/>
      <c r="M237" s="151"/>
      <c r="N237" s="4"/>
      <c r="O237" s="4"/>
      <c r="P237" s="4"/>
      <c r="Q237" s="4"/>
      <c r="R237" s="4"/>
      <c r="S237" s="4"/>
      <c r="T237" s="4"/>
      <c r="U237" s="4"/>
      <c r="V237" s="4"/>
      <c r="W237" s="4"/>
      <c r="X237" s="4"/>
      <c r="Y237" s="4"/>
    </row>
    <row r="238" spans="3:25">
      <c r="C238" s="4"/>
      <c r="D238" s="4"/>
      <c r="E238" s="419"/>
      <c r="F238" s="415"/>
      <c r="G238" s="416"/>
      <c r="H238" s="417"/>
      <c r="I238" s="418"/>
      <c r="J238" s="416"/>
      <c r="K238" s="412"/>
      <c r="L238" s="4"/>
      <c r="M238" s="151"/>
      <c r="N238" s="4"/>
      <c r="O238" s="4"/>
      <c r="P238" s="4"/>
      <c r="Q238" s="4"/>
      <c r="R238" s="4"/>
      <c r="S238" s="4"/>
      <c r="T238" s="4"/>
      <c r="U238" s="4"/>
      <c r="V238" s="4"/>
      <c r="W238" s="4"/>
      <c r="X238" s="4"/>
      <c r="Y238" s="4"/>
    </row>
    <row r="239" spans="3:25">
      <c r="C239" s="4"/>
      <c r="D239" s="4"/>
      <c r="E239" s="419"/>
      <c r="F239" s="415"/>
      <c r="G239" s="412"/>
      <c r="H239" s="417"/>
      <c r="I239" s="418"/>
      <c r="J239" s="416"/>
      <c r="K239" s="412"/>
      <c r="L239" s="4"/>
      <c r="M239" s="151"/>
      <c r="N239" s="4"/>
      <c r="O239" s="4"/>
      <c r="P239" s="4"/>
      <c r="Q239" s="4"/>
      <c r="R239" s="4"/>
      <c r="S239" s="4"/>
      <c r="T239" s="4"/>
      <c r="U239" s="4"/>
      <c r="V239" s="4"/>
      <c r="W239" s="4"/>
      <c r="X239" s="4"/>
      <c r="Y239" s="4"/>
    </row>
    <row r="240" spans="3:25">
      <c r="C240" s="4"/>
      <c r="D240" s="4"/>
      <c r="E240" s="419"/>
      <c r="F240" s="415"/>
      <c r="G240" s="412"/>
      <c r="H240" s="417"/>
      <c r="I240" s="418"/>
      <c r="J240" s="416"/>
      <c r="K240" s="412"/>
      <c r="L240" s="4"/>
      <c r="M240" s="151"/>
      <c r="N240" s="4"/>
      <c r="O240" s="4"/>
      <c r="P240" s="4"/>
      <c r="Q240" s="4"/>
      <c r="R240" s="4"/>
      <c r="S240" s="4"/>
      <c r="T240" s="4"/>
      <c r="U240" s="4"/>
      <c r="V240" s="4"/>
      <c r="W240" s="4"/>
      <c r="X240" s="4"/>
      <c r="Y240" s="4"/>
    </row>
    <row r="241" spans="3:25">
      <c r="C241" s="4"/>
      <c r="D241" s="4"/>
      <c r="E241" s="419"/>
      <c r="F241" s="415"/>
      <c r="G241" s="412"/>
      <c r="H241" s="417"/>
      <c r="I241" s="418"/>
      <c r="J241" s="416"/>
      <c r="K241" s="412"/>
      <c r="L241" s="4"/>
      <c r="M241" s="151"/>
      <c r="N241" s="4"/>
      <c r="O241" s="4"/>
      <c r="P241" s="4"/>
      <c r="Q241" s="4"/>
      <c r="R241" s="4"/>
      <c r="S241" s="4"/>
      <c r="T241" s="4"/>
      <c r="U241" s="4"/>
      <c r="V241" s="4"/>
      <c r="W241" s="4"/>
      <c r="X241" s="4"/>
      <c r="Y241" s="4"/>
    </row>
    <row r="242" spans="3:25">
      <c r="C242" s="4"/>
      <c r="D242" s="4"/>
      <c r="E242" s="419"/>
      <c r="F242" s="415"/>
      <c r="G242" s="416"/>
      <c r="H242" s="417"/>
      <c r="I242" s="418"/>
      <c r="J242" s="416"/>
      <c r="K242" s="412"/>
      <c r="L242" s="4"/>
      <c r="M242" s="151"/>
      <c r="N242" s="4"/>
      <c r="O242" s="4"/>
      <c r="P242" s="4"/>
      <c r="Q242" s="4"/>
      <c r="R242" s="4"/>
      <c r="S242" s="4"/>
      <c r="T242" s="4"/>
      <c r="U242" s="4"/>
      <c r="V242" s="4"/>
      <c r="W242" s="4"/>
      <c r="X242" s="4"/>
      <c r="Y242" s="4"/>
    </row>
    <row r="243" spans="3:25">
      <c r="C243" s="4"/>
      <c r="D243" s="4"/>
      <c r="E243" s="419"/>
      <c r="F243" s="415"/>
      <c r="G243" s="412"/>
      <c r="H243" s="417"/>
      <c r="I243" s="418"/>
      <c r="J243" s="416"/>
      <c r="K243" s="412"/>
      <c r="L243" s="4"/>
      <c r="M243" s="151"/>
      <c r="N243" s="4"/>
      <c r="O243" s="4"/>
      <c r="P243" s="4"/>
      <c r="Q243" s="4"/>
      <c r="R243" s="4"/>
      <c r="S243" s="4"/>
      <c r="T243" s="4"/>
      <c r="U243" s="4"/>
      <c r="V243" s="4"/>
      <c r="W243" s="4"/>
      <c r="X243" s="4"/>
      <c r="Y243" s="4"/>
    </row>
    <row r="244" spans="3:25">
      <c r="C244" s="4"/>
      <c r="D244" s="4"/>
      <c r="E244" s="419"/>
      <c r="F244" s="415"/>
      <c r="G244" s="412"/>
      <c r="H244" s="417"/>
      <c r="I244" s="418"/>
      <c r="J244" s="416"/>
      <c r="K244" s="412"/>
      <c r="L244" s="4"/>
      <c r="M244" s="151"/>
      <c r="N244" s="4"/>
      <c r="O244" s="4"/>
      <c r="P244" s="4"/>
      <c r="Q244" s="4"/>
      <c r="R244" s="4"/>
      <c r="S244" s="4"/>
      <c r="T244" s="4"/>
      <c r="U244" s="4"/>
      <c r="V244" s="4"/>
      <c r="W244" s="4"/>
      <c r="X244" s="4"/>
      <c r="Y244" s="4"/>
    </row>
    <row r="245" spans="3:25">
      <c r="C245" s="4"/>
      <c r="D245" s="4"/>
      <c r="E245" s="419"/>
      <c r="F245" s="415"/>
      <c r="G245" s="412"/>
      <c r="H245" s="417"/>
      <c r="I245" s="418"/>
      <c r="J245" s="416"/>
      <c r="K245" s="412"/>
      <c r="L245" s="4"/>
      <c r="M245" s="151"/>
      <c r="N245" s="4"/>
      <c r="O245" s="4"/>
      <c r="P245" s="4"/>
      <c r="Q245" s="4"/>
      <c r="R245" s="4"/>
      <c r="S245" s="4"/>
      <c r="T245" s="4"/>
      <c r="U245" s="4"/>
      <c r="V245" s="4"/>
      <c r="W245" s="4"/>
      <c r="X245" s="4"/>
      <c r="Y245" s="4"/>
    </row>
    <row r="246" spans="3:25">
      <c r="C246" s="4"/>
      <c r="D246" s="4"/>
      <c r="E246" s="419"/>
      <c r="F246" s="419"/>
      <c r="G246" s="412"/>
      <c r="H246" s="417"/>
      <c r="I246" s="418"/>
      <c r="J246" s="416"/>
      <c r="K246" s="412"/>
      <c r="L246" s="4"/>
      <c r="M246" s="151"/>
      <c r="N246" s="4"/>
      <c r="O246" s="4"/>
      <c r="P246" s="4"/>
      <c r="Q246" s="4"/>
      <c r="R246" s="4"/>
      <c r="S246" s="4"/>
      <c r="T246" s="4"/>
      <c r="U246" s="4"/>
      <c r="V246" s="4"/>
      <c r="W246" s="4"/>
      <c r="X246" s="4"/>
      <c r="Y246" s="4"/>
    </row>
    <row r="247" spans="3:25">
      <c r="C247" s="4"/>
      <c r="D247" s="4"/>
      <c r="E247" s="419"/>
      <c r="F247" s="415"/>
      <c r="G247" s="416"/>
      <c r="H247" s="417"/>
      <c r="I247" s="418"/>
      <c r="J247" s="416"/>
      <c r="K247" s="412"/>
      <c r="L247" s="4"/>
      <c r="M247" s="151"/>
      <c r="N247" s="4"/>
      <c r="O247" s="4"/>
      <c r="P247" s="4"/>
      <c r="Q247" s="4"/>
      <c r="R247" s="4"/>
      <c r="S247" s="4"/>
      <c r="T247" s="4"/>
      <c r="U247" s="4"/>
      <c r="V247" s="4"/>
      <c r="W247" s="4"/>
      <c r="X247" s="4"/>
      <c r="Y247" s="4"/>
    </row>
    <row r="248" spans="3:25">
      <c r="C248" s="4"/>
      <c r="D248" s="4"/>
      <c r="E248" s="419"/>
      <c r="F248" s="415"/>
      <c r="G248" s="412"/>
      <c r="H248" s="417"/>
      <c r="I248" s="418"/>
      <c r="J248" s="416"/>
      <c r="K248" s="412"/>
      <c r="L248" s="4"/>
      <c r="M248" s="151"/>
      <c r="N248" s="4"/>
      <c r="O248" s="4"/>
      <c r="P248" s="4"/>
      <c r="Q248" s="4"/>
      <c r="R248" s="4"/>
      <c r="S248" s="4"/>
      <c r="T248" s="4"/>
      <c r="U248" s="4"/>
      <c r="V248" s="4"/>
      <c r="W248" s="4"/>
      <c r="X248" s="4"/>
      <c r="Y248" s="4"/>
    </row>
    <row r="249" spans="3:25">
      <c r="C249" s="4"/>
      <c r="D249" s="4"/>
      <c r="E249" s="412"/>
      <c r="F249" s="412"/>
      <c r="G249" s="412"/>
      <c r="H249" s="412"/>
      <c r="I249" s="418"/>
      <c r="J249" s="412"/>
      <c r="K249" s="412"/>
      <c r="L249" s="4"/>
      <c r="M249" s="151"/>
      <c r="N249" s="4"/>
      <c r="O249" s="4"/>
      <c r="P249" s="4"/>
      <c r="Q249" s="4"/>
      <c r="R249" s="4"/>
      <c r="S249" s="4"/>
      <c r="T249" s="4"/>
      <c r="U249" s="4"/>
      <c r="V249" s="4"/>
      <c r="W249" s="4"/>
      <c r="X249" s="4"/>
      <c r="Y249" s="4"/>
    </row>
    <row r="250" spans="3:25">
      <c r="C250" s="4"/>
      <c r="D250" s="4"/>
      <c r="E250" s="419"/>
      <c r="F250" s="412"/>
      <c r="G250" s="412"/>
      <c r="H250" s="412"/>
      <c r="I250" s="418"/>
      <c r="J250" s="412"/>
      <c r="K250" s="412"/>
      <c r="L250" s="4"/>
      <c r="M250" s="151"/>
      <c r="N250" s="4"/>
      <c r="O250" s="4"/>
      <c r="P250" s="4"/>
      <c r="Q250" s="4"/>
      <c r="R250" s="4"/>
      <c r="S250" s="4"/>
      <c r="T250" s="4"/>
      <c r="U250" s="4"/>
      <c r="V250" s="4"/>
      <c r="W250" s="4"/>
      <c r="X250" s="4"/>
      <c r="Y250" s="4"/>
    </row>
    <row r="251" spans="3:25">
      <c r="C251" s="4"/>
      <c r="D251" s="4"/>
      <c r="E251" s="412"/>
      <c r="F251" s="412"/>
      <c r="G251" s="412"/>
      <c r="H251" s="412"/>
      <c r="I251" s="418"/>
      <c r="J251" s="412"/>
      <c r="K251" s="412"/>
      <c r="L251" s="4"/>
      <c r="M251" s="151"/>
      <c r="N251" s="4"/>
      <c r="O251" s="4"/>
      <c r="P251" s="4"/>
      <c r="Q251" s="4"/>
      <c r="R251" s="4"/>
      <c r="S251" s="4"/>
      <c r="T251" s="4"/>
      <c r="U251" s="4"/>
      <c r="V251" s="4"/>
      <c r="W251" s="4"/>
      <c r="X251" s="4"/>
      <c r="Y251" s="4"/>
    </row>
    <row r="252" spans="3:25">
      <c r="C252" s="4"/>
      <c r="D252" s="4"/>
      <c r="E252" s="419"/>
      <c r="F252" s="412"/>
      <c r="G252" s="412"/>
      <c r="H252" s="412"/>
      <c r="I252" s="418"/>
      <c r="J252" s="412"/>
      <c r="K252" s="412"/>
      <c r="L252" s="4"/>
      <c r="M252" s="151"/>
      <c r="N252" s="4"/>
      <c r="O252" s="4"/>
      <c r="P252" s="4"/>
      <c r="Q252" s="4"/>
      <c r="R252" s="4"/>
      <c r="S252" s="4"/>
      <c r="T252" s="4"/>
      <c r="U252" s="4"/>
      <c r="V252" s="4"/>
      <c r="W252" s="4"/>
      <c r="X252" s="4"/>
      <c r="Y252" s="4"/>
    </row>
    <row r="253" spans="3:25">
      <c r="C253" s="4"/>
      <c r="D253" s="4"/>
      <c r="E253" s="412"/>
      <c r="F253" s="412"/>
      <c r="G253" s="420"/>
      <c r="H253" s="417"/>
      <c r="I253" s="418"/>
      <c r="J253" s="412"/>
      <c r="K253" s="412"/>
      <c r="L253" s="4"/>
      <c r="M253" s="151"/>
      <c r="N253" s="4"/>
      <c r="O253" s="4"/>
      <c r="P253" s="4"/>
      <c r="Q253" s="4"/>
      <c r="R253" s="4"/>
      <c r="S253" s="4"/>
      <c r="T253" s="4"/>
      <c r="U253" s="4"/>
      <c r="V253" s="4"/>
      <c r="W253" s="4"/>
      <c r="X253" s="4"/>
      <c r="Y253" s="4"/>
    </row>
    <row r="254" spans="3:25">
      <c r="C254" s="4"/>
      <c r="D254" s="4"/>
      <c r="E254" s="419"/>
      <c r="F254" s="415"/>
      <c r="G254" s="416"/>
      <c r="H254" s="417"/>
      <c r="I254" s="418"/>
      <c r="J254" s="412"/>
      <c r="K254" s="412"/>
      <c r="L254" s="4"/>
      <c r="M254" s="151"/>
      <c r="N254" s="4"/>
      <c r="O254" s="4"/>
      <c r="P254" s="4"/>
      <c r="Q254" s="4"/>
      <c r="R254" s="4"/>
      <c r="S254" s="4"/>
      <c r="T254" s="4"/>
      <c r="U254" s="4"/>
      <c r="V254" s="4"/>
      <c r="W254" s="4"/>
      <c r="X254" s="4"/>
      <c r="Y254" s="4"/>
    </row>
    <row r="255" spans="3:25">
      <c r="C255" s="4"/>
      <c r="D255" s="4"/>
      <c r="E255" s="419"/>
      <c r="F255" s="412"/>
      <c r="G255" s="420"/>
      <c r="H255" s="412"/>
      <c r="I255" s="418"/>
      <c r="J255" s="412"/>
      <c r="K255" s="412"/>
      <c r="L255" s="4"/>
      <c r="M255" s="151"/>
      <c r="N255" s="4"/>
      <c r="O255" s="4"/>
      <c r="P255" s="4"/>
      <c r="Q255" s="4"/>
      <c r="R255" s="4"/>
      <c r="S255" s="4"/>
      <c r="T255" s="4"/>
      <c r="U255" s="4"/>
      <c r="V255" s="4"/>
      <c r="W255" s="4"/>
      <c r="X255" s="4"/>
      <c r="Y255" s="4"/>
    </row>
    <row r="256" spans="3:25">
      <c r="C256" s="4"/>
      <c r="D256" s="4"/>
      <c r="E256" s="419"/>
      <c r="F256" s="415"/>
      <c r="G256" s="412"/>
      <c r="H256" s="417"/>
      <c r="I256" s="418"/>
      <c r="J256" s="416"/>
      <c r="K256" s="412"/>
      <c r="L256" s="4"/>
      <c r="M256" s="151"/>
      <c r="N256" s="4"/>
      <c r="O256" s="4"/>
      <c r="P256" s="4"/>
      <c r="Q256" s="4"/>
      <c r="R256" s="4"/>
      <c r="S256" s="4"/>
      <c r="T256" s="4"/>
      <c r="U256" s="4"/>
      <c r="V256" s="4"/>
      <c r="W256" s="4"/>
      <c r="X256" s="4"/>
      <c r="Y256" s="4"/>
    </row>
    <row r="257" spans="3:25">
      <c r="C257" s="4"/>
      <c r="D257" s="4"/>
      <c r="E257" s="419"/>
      <c r="F257" s="412"/>
      <c r="G257" s="420"/>
      <c r="H257" s="412"/>
      <c r="I257" s="418"/>
      <c r="J257" s="412"/>
      <c r="K257" s="412"/>
      <c r="L257" s="4"/>
      <c r="M257" s="151"/>
      <c r="N257" s="4"/>
      <c r="O257" s="4"/>
      <c r="P257" s="4"/>
      <c r="Q257" s="4"/>
      <c r="R257" s="4"/>
      <c r="S257" s="4"/>
      <c r="T257" s="4"/>
      <c r="U257" s="4"/>
      <c r="V257" s="4"/>
      <c r="W257" s="4"/>
      <c r="X257" s="4"/>
      <c r="Y257" s="4"/>
    </row>
    <row r="258" spans="3:25">
      <c r="C258" s="4"/>
      <c r="D258" s="4"/>
      <c r="E258" s="419"/>
      <c r="F258" s="412"/>
      <c r="G258" s="420"/>
      <c r="H258" s="417"/>
      <c r="I258" s="418"/>
      <c r="J258" s="412"/>
      <c r="K258" s="412"/>
      <c r="L258" s="4"/>
      <c r="M258" s="151"/>
      <c r="N258" s="4"/>
      <c r="O258" s="4"/>
      <c r="P258" s="4"/>
      <c r="Q258" s="4"/>
      <c r="R258" s="4"/>
      <c r="S258" s="4"/>
      <c r="T258" s="4"/>
      <c r="U258" s="4"/>
      <c r="V258" s="4"/>
      <c r="W258" s="4"/>
      <c r="X258" s="4"/>
      <c r="Y258" s="4"/>
    </row>
    <row r="259" spans="3:25">
      <c r="C259" s="4"/>
      <c r="D259" s="4"/>
      <c r="E259" s="419"/>
      <c r="F259" s="415"/>
      <c r="G259" s="416"/>
      <c r="H259" s="417"/>
      <c r="I259" s="418"/>
      <c r="J259" s="412"/>
      <c r="K259" s="412"/>
      <c r="L259" s="4"/>
      <c r="M259" s="151"/>
      <c r="N259" s="4"/>
      <c r="O259" s="4"/>
      <c r="P259" s="4"/>
      <c r="Q259" s="4"/>
      <c r="R259" s="4"/>
      <c r="S259" s="4"/>
      <c r="T259" s="4"/>
      <c r="U259" s="4"/>
      <c r="V259" s="4"/>
      <c r="W259" s="4"/>
      <c r="X259" s="4"/>
      <c r="Y259" s="4"/>
    </row>
    <row r="260" spans="3:25">
      <c r="C260" s="4"/>
      <c r="D260" s="4"/>
      <c r="E260" s="419"/>
      <c r="F260" s="412"/>
      <c r="G260" s="412"/>
      <c r="H260" s="412"/>
      <c r="I260" s="418"/>
      <c r="J260" s="416"/>
      <c r="K260" s="412"/>
      <c r="L260" s="4"/>
      <c r="M260" s="151"/>
      <c r="N260" s="4"/>
      <c r="O260" s="4"/>
      <c r="P260" s="4"/>
      <c r="Q260" s="4"/>
      <c r="R260" s="4"/>
      <c r="S260" s="4"/>
      <c r="T260" s="4"/>
      <c r="U260" s="4"/>
      <c r="V260" s="4"/>
      <c r="W260" s="4"/>
      <c r="X260" s="4"/>
      <c r="Y260" s="4"/>
    </row>
    <row r="261" spans="3:25">
      <c r="C261" s="4"/>
      <c r="D261" s="4"/>
      <c r="E261" s="412"/>
      <c r="F261" s="412"/>
      <c r="G261" s="412"/>
      <c r="H261" s="412"/>
      <c r="I261" s="418"/>
      <c r="J261" s="412"/>
      <c r="K261" s="412"/>
      <c r="L261" s="4"/>
      <c r="M261" s="151"/>
      <c r="N261" s="4"/>
      <c r="O261" s="4"/>
      <c r="P261" s="4"/>
      <c r="Q261" s="4"/>
      <c r="R261" s="4"/>
      <c r="S261" s="4"/>
      <c r="T261" s="4"/>
      <c r="U261" s="4"/>
      <c r="V261" s="4"/>
      <c r="W261" s="4"/>
      <c r="X261" s="4"/>
      <c r="Y261" s="4"/>
    </row>
    <row r="262" spans="3:25">
      <c r="C262" s="4"/>
      <c r="D262" s="4"/>
      <c r="E262" s="419"/>
      <c r="F262" s="415"/>
      <c r="G262" s="416"/>
      <c r="H262" s="417"/>
      <c r="I262" s="418"/>
      <c r="J262" s="416"/>
      <c r="K262" s="412"/>
      <c r="L262" s="4"/>
      <c r="M262" s="151"/>
      <c r="N262" s="4"/>
      <c r="O262" s="4"/>
      <c r="P262" s="4"/>
      <c r="Q262" s="4"/>
      <c r="R262" s="4"/>
      <c r="S262" s="4"/>
      <c r="T262" s="4"/>
      <c r="U262" s="4"/>
      <c r="V262" s="4"/>
      <c r="W262" s="4"/>
      <c r="X262" s="4"/>
      <c r="Y262" s="4"/>
    </row>
    <row r="263" spans="3:25">
      <c r="C263" s="4"/>
      <c r="D263" s="4"/>
      <c r="E263" s="419"/>
      <c r="F263" s="415"/>
      <c r="G263" s="416"/>
      <c r="H263" s="417"/>
      <c r="I263" s="418"/>
      <c r="J263" s="416"/>
      <c r="K263" s="412"/>
      <c r="L263" s="4"/>
      <c r="M263" s="151"/>
      <c r="N263" s="4"/>
      <c r="O263" s="4"/>
      <c r="P263" s="4"/>
      <c r="Q263" s="4"/>
      <c r="R263" s="4"/>
      <c r="S263" s="4"/>
      <c r="T263" s="4"/>
      <c r="U263" s="4"/>
      <c r="V263" s="4"/>
      <c r="W263" s="4"/>
      <c r="X263" s="4"/>
      <c r="Y263" s="4"/>
    </row>
    <row r="264" spans="3:25">
      <c r="C264" s="4"/>
      <c r="D264" s="4"/>
      <c r="E264" s="419"/>
      <c r="F264" s="415"/>
      <c r="G264" s="416"/>
      <c r="H264" s="417"/>
      <c r="I264" s="418"/>
      <c r="J264" s="416"/>
      <c r="K264" s="412"/>
      <c r="L264" s="4"/>
      <c r="M264" s="151"/>
      <c r="N264" s="4"/>
      <c r="O264" s="4"/>
      <c r="P264" s="4"/>
      <c r="Q264" s="4"/>
      <c r="R264" s="4"/>
      <c r="S264" s="4"/>
      <c r="T264" s="4"/>
      <c r="U264" s="4"/>
      <c r="V264" s="4"/>
      <c r="W264" s="4"/>
      <c r="X264" s="4"/>
      <c r="Y264" s="4"/>
    </row>
    <row r="265" spans="3:25">
      <c r="C265" s="4"/>
      <c r="D265" s="4"/>
      <c r="E265" s="419"/>
      <c r="F265" s="415"/>
      <c r="G265" s="415"/>
      <c r="H265" s="417"/>
      <c r="I265" s="418"/>
      <c r="J265" s="416"/>
      <c r="K265" s="412"/>
      <c r="L265" s="4"/>
      <c r="M265" s="151"/>
      <c r="N265" s="4"/>
      <c r="O265" s="4"/>
      <c r="P265" s="4"/>
      <c r="Q265" s="4"/>
      <c r="R265" s="4"/>
      <c r="S265" s="4"/>
      <c r="T265" s="4"/>
      <c r="U265" s="4"/>
      <c r="V265" s="4"/>
      <c r="W265" s="4"/>
      <c r="X265" s="4"/>
      <c r="Y265" s="4"/>
    </row>
    <row r="266" spans="3:25">
      <c r="C266" s="4"/>
      <c r="D266" s="4"/>
      <c r="E266" s="419"/>
      <c r="F266" s="415"/>
      <c r="G266" s="416"/>
      <c r="H266" s="417"/>
      <c r="I266" s="418"/>
      <c r="J266" s="416"/>
      <c r="K266" s="412"/>
      <c r="L266" s="4"/>
      <c r="M266" s="151"/>
      <c r="N266" s="4"/>
      <c r="O266" s="4"/>
      <c r="P266" s="4"/>
      <c r="Q266" s="4"/>
      <c r="R266" s="4"/>
      <c r="S266" s="4"/>
      <c r="T266" s="4"/>
      <c r="U266" s="4"/>
      <c r="V266" s="4"/>
      <c r="W266" s="4"/>
      <c r="X266" s="4"/>
      <c r="Y266" s="4"/>
    </row>
    <row r="267" spans="3:25">
      <c r="C267" s="4"/>
      <c r="D267" s="4"/>
      <c r="E267" s="419"/>
      <c r="F267" s="415"/>
      <c r="G267" s="416"/>
      <c r="H267" s="417"/>
      <c r="I267" s="418"/>
      <c r="J267" s="416"/>
      <c r="K267" s="412"/>
      <c r="L267" s="4"/>
      <c r="M267" s="151"/>
      <c r="N267" s="4"/>
      <c r="O267" s="4"/>
      <c r="P267" s="4"/>
      <c r="Q267" s="4"/>
      <c r="R267" s="4"/>
      <c r="S267" s="4"/>
      <c r="T267" s="4"/>
      <c r="U267" s="4"/>
      <c r="V267" s="4"/>
      <c r="W267" s="4"/>
      <c r="X267" s="4"/>
      <c r="Y267" s="4"/>
    </row>
    <row r="268" spans="3:25">
      <c r="C268" s="4"/>
      <c r="D268" s="4"/>
      <c r="E268" s="419"/>
      <c r="F268" s="415"/>
      <c r="G268" s="416"/>
      <c r="H268" s="417"/>
      <c r="I268" s="418"/>
      <c r="J268" s="416"/>
      <c r="K268" s="412"/>
      <c r="L268" s="4"/>
      <c r="M268" s="151"/>
      <c r="N268" s="4"/>
      <c r="O268" s="4"/>
      <c r="P268" s="4"/>
      <c r="Q268" s="4"/>
      <c r="R268" s="4"/>
      <c r="S268" s="4"/>
      <c r="T268" s="4"/>
      <c r="U268" s="4"/>
      <c r="V268" s="4"/>
      <c r="W268" s="4"/>
      <c r="X268" s="4"/>
      <c r="Y268" s="4"/>
    </row>
    <row r="269" spans="3:25">
      <c r="C269" s="4"/>
      <c r="D269" s="4"/>
      <c r="E269" s="419"/>
      <c r="F269" s="415"/>
      <c r="G269" s="416"/>
      <c r="H269" s="417"/>
      <c r="I269" s="418"/>
      <c r="J269" s="416"/>
      <c r="K269" s="412"/>
      <c r="L269" s="4"/>
      <c r="M269" s="151"/>
      <c r="N269" s="4"/>
      <c r="O269" s="4"/>
      <c r="P269" s="4"/>
      <c r="Q269" s="4"/>
      <c r="R269" s="4"/>
      <c r="S269" s="4"/>
      <c r="T269" s="4"/>
      <c r="U269" s="4"/>
      <c r="V269" s="4"/>
      <c r="W269" s="4"/>
      <c r="X269" s="4"/>
      <c r="Y269" s="4"/>
    </row>
    <row r="270" spans="3:25">
      <c r="C270" s="4"/>
      <c r="D270" s="4"/>
      <c r="E270" s="419"/>
      <c r="F270" s="415"/>
      <c r="G270" s="416"/>
      <c r="H270" s="417"/>
      <c r="I270" s="418"/>
      <c r="J270" s="416"/>
      <c r="K270" s="412"/>
      <c r="L270" s="4"/>
      <c r="M270" s="151"/>
      <c r="N270" s="4"/>
      <c r="O270" s="4"/>
      <c r="P270" s="4"/>
      <c r="Q270" s="4"/>
      <c r="R270" s="4"/>
      <c r="S270" s="4"/>
      <c r="T270" s="4"/>
      <c r="U270" s="4"/>
      <c r="V270" s="4"/>
      <c r="W270" s="4"/>
      <c r="X270" s="4"/>
      <c r="Y270" s="4"/>
    </row>
    <row r="271" spans="3:25">
      <c r="C271" s="4"/>
      <c r="D271" s="4"/>
      <c r="E271" s="419"/>
      <c r="F271" s="415"/>
      <c r="G271" s="416"/>
      <c r="H271" s="417"/>
      <c r="I271" s="418"/>
      <c r="J271" s="416"/>
      <c r="K271" s="412"/>
      <c r="L271" s="4"/>
      <c r="M271" s="151"/>
      <c r="N271" s="4"/>
      <c r="O271" s="4"/>
      <c r="P271" s="4"/>
      <c r="Q271" s="4"/>
      <c r="R271" s="4"/>
      <c r="S271" s="4"/>
      <c r="T271" s="4"/>
      <c r="U271" s="4"/>
      <c r="V271" s="4"/>
      <c r="W271" s="4"/>
      <c r="X271" s="4"/>
      <c r="Y271" s="4"/>
    </row>
    <row r="272" spans="3:25">
      <c r="C272" s="4"/>
      <c r="D272" s="4"/>
      <c r="E272" s="419"/>
      <c r="F272" s="415"/>
      <c r="G272" s="416"/>
      <c r="H272" s="417"/>
      <c r="I272" s="418"/>
      <c r="J272" s="416"/>
      <c r="K272" s="412"/>
      <c r="L272" s="4"/>
      <c r="M272" s="151"/>
      <c r="N272" s="4"/>
      <c r="O272" s="4"/>
      <c r="P272" s="4"/>
      <c r="Q272" s="4"/>
      <c r="R272" s="4"/>
      <c r="S272" s="4"/>
      <c r="T272" s="4"/>
      <c r="U272" s="4"/>
      <c r="V272" s="4"/>
      <c r="W272" s="4"/>
      <c r="X272" s="4"/>
      <c r="Y272" s="4"/>
    </row>
    <row r="273" spans="3:25">
      <c r="C273" s="4"/>
      <c r="D273" s="4"/>
      <c r="E273" s="419"/>
      <c r="F273" s="415"/>
      <c r="G273" s="416"/>
      <c r="H273" s="417"/>
      <c r="I273" s="418"/>
      <c r="J273" s="416"/>
      <c r="K273" s="412"/>
      <c r="L273" s="4"/>
      <c r="M273" s="151"/>
      <c r="N273" s="4"/>
      <c r="O273" s="4"/>
      <c r="P273" s="4"/>
      <c r="Q273" s="4"/>
      <c r="R273" s="4"/>
      <c r="S273" s="4"/>
      <c r="T273" s="4"/>
      <c r="U273" s="4"/>
      <c r="V273" s="4"/>
      <c r="W273" s="4"/>
      <c r="X273" s="4"/>
      <c r="Y273" s="4"/>
    </row>
    <row r="274" spans="3:25">
      <c r="C274" s="4"/>
      <c r="D274" s="4"/>
      <c r="E274" s="419"/>
      <c r="F274" s="415"/>
      <c r="G274" s="416"/>
      <c r="H274" s="417"/>
      <c r="I274" s="418"/>
      <c r="J274" s="416"/>
      <c r="K274" s="412"/>
      <c r="L274" s="4"/>
      <c r="M274" s="151"/>
      <c r="N274" s="4"/>
      <c r="O274" s="4"/>
      <c r="P274" s="4"/>
      <c r="Q274" s="4"/>
      <c r="R274" s="4"/>
      <c r="S274" s="4"/>
      <c r="T274" s="4"/>
      <c r="U274" s="4"/>
      <c r="V274" s="4"/>
      <c r="W274" s="4"/>
      <c r="X274" s="4"/>
      <c r="Y274" s="4"/>
    </row>
    <row r="275" spans="3:25">
      <c r="C275" s="4"/>
      <c r="D275" s="4"/>
      <c r="E275" s="26"/>
      <c r="F275" s="26"/>
      <c r="G275" s="26"/>
      <c r="H275" s="26"/>
      <c r="I275" s="26"/>
      <c r="J275" s="26"/>
      <c r="K275" s="26"/>
      <c r="L275" s="4"/>
      <c r="M275" s="151"/>
      <c r="N275" s="4"/>
      <c r="O275" s="4"/>
      <c r="P275" s="4"/>
      <c r="Q275" s="4"/>
      <c r="R275" s="4"/>
      <c r="S275" s="4"/>
      <c r="T275" s="4"/>
      <c r="U275" s="4"/>
      <c r="V275" s="4"/>
      <c r="W275" s="4"/>
      <c r="X275" s="4"/>
      <c r="Y275" s="4"/>
    </row>
    <row r="276" spans="3:25">
      <c r="C276" s="4"/>
      <c r="D276" s="4"/>
      <c r="E276" s="4"/>
      <c r="F276" s="4"/>
      <c r="G276" s="4"/>
      <c r="H276" s="4"/>
      <c r="I276" s="4"/>
      <c r="J276" s="4"/>
      <c r="K276" s="4"/>
      <c r="L276" s="4"/>
      <c r="M276" s="151"/>
      <c r="N276" s="4"/>
      <c r="O276" s="4"/>
      <c r="P276" s="4"/>
      <c r="Q276" s="4"/>
      <c r="R276" s="4"/>
      <c r="S276" s="4"/>
      <c r="T276" s="4"/>
      <c r="U276" s="4"/>
      <c r="V276" s="4"/>
      <c r="W276" s="4"/>
      <c r="X276" s="4"/>
      <c r="Y276" s="4"/>
    </row>
    <row r="277" spans="3:25">
      <c r="C277" s="4"/>
      <c r="D277" s="4"/>
      <c r="E277" s="4"/>
      <c r="F277" s="4"/>
      <c r="G277" s="4"/>
      <c r="H277" s="4"/>
      <c r="I277" s="4"/>
      <c r="J277" s="4"/>
      <c r="K277" s="4"/>
      <c r="L277" s="4"/>
      <c r="M277" s="151"/>
      <c r="N277" s="4"/>
      <c r="O277" s="4"/>
      <c r="P277" s="4"/>
      <c r="Q277" s="4"/>
      <c r="R277" s="4"/>
      <c r="S277" s="4"/>
      <c r="T277" s="4"/>
      <c r="U277" s="4"/>
      <c r="V277" s="4"/>
      <c r="W277" s="4"/>
      <c r="X277" s="4"/>
      <c r="Y277" s="4"/>
    </row>
    <row r="278" spans="3:25">
      <c r="C278" s="4"/>
      <c r="D278" s="4"/>
      <c r="E278" s="4"/>
      <c r="F278" s="4"/>
      <c r="G278" s="4"/>
      <c r="H278" s="4"/>
      <c r="I278" s="4"/>
      <c r="J278" s="4"/>
      <c r="K278" s="4"/>
      <c r="L278" s="4"/>
      <c r="M278" s="151"/>
      <c r="N278" s="4"/>
      <c r="O278" s="4"/>
      <c r="P278" s="4"/>
      <c r="Q278" s="4"/>
      <c r="R278" s="4"/>
      <c r="S278" s="4"/>
      <c r="T278" s="4"/>
      <c r="U278" s="4"/>
      <c r="V278" s="4"/>
      <c r="W278" s="4"/>
      <c r="X278" s="4"/>
      <c r="Y278" s="4"/>
    </row>
    <row r="279" spans="3:25">
      <c r="C279" s="4"/>
      <c r="D279" s="4"/>
      <c r="E279" s="4"/>
      <c r="F279" s="4"/>
      <c r="G279" s="4"/>
      <c r="H279" s="4"/>
      <c r="I279" s="4"/>
      <c r="J279" s="4"/>
      <c r="K279" s="4"/>
      <c r="L279" s="4"/>
      <c r="M279" s="151"/>
      <c r="N279" s="4"/>
      <c r="O279" s="4"/>
      <c r="P279" s="4"/>
      <c r="Q279" s="4"/>
      <c r="R279" s="4"/>
      <c r="S279" s="4"/>
      <c r="T279" s="4"/>
      <c r="U279" s="4"/>
      <c r="V279" s="4"/>
      <c r="W279" s="4"/>
      <c r="X279" s="4"/>
      <c r="Y279" s="4"/>
    </row>
    <row r="280" spans="3:25">
      <c r="C280" s="4"/>
      <c r="D280" s="4"/>
      <c r="E280" s="4"/>
      <c r="F280" s="4"/>
      <c r="G280" s="4"/>
      <c r="H280" s="4"/>
      <c r="I280" s="4"/>
      <c r="J280" s="4"/>
      <c r="K280" s="4"/>
      <c r="L280" s="4"/>
      <c r="M280" s="151"/>
      <c r="N280" s="4"/>
      <c r="O280" s="4"/>
      <c r="P280" s="4"/>
      <c r="Q280" s="4"/>
      <c r="R280" s="4"/>
      <c r="S280" s="4"/>
      <c r="T280" s="4"/>
      <c r="U280" s="4"/>
      <c r="V280" s="4"/>
      <c r="W280" s="4"/>
      <c r="X280" s="4"/>
      <c r="Y280" s="4"/>
    </row>
    <row r="281" spans="3:25">
      <c r="C281" s="4"/>
      <c r="D281" s="4"/>
      <c r="E281" s="4"/>
      <c r="F281" s="4"/>
      <c r="G281" s="4"/>
      <c r="H281" s="4"/>
      <c r="I281" s="4"/>
      <c r="J281" s="4"/>
      <c r="K281" s="4"/>
      <c r="L281" s="4"/>
      <c r="M281" s="151"/>
      <c r="N281" s="4"/>
      <c r="O281" s="4"/>
      <c r="P281" s="4"/>
      <c r="Q281" s="4"/>
      <c r="R281" s="4"/>
      <c r="S281" s="4"/>
      <c r="T281" s="4"/>
      <c r="U281" s="4"/>
      <c r="V281" s="4"/>
      <c r="W281" s="4"/>
      <c r="X281" s="4"/>
      <c r="Y281" s="4"/>
    </row>
    <row r="282" spans="3:25">
      <c r="C282" s="4"/>
      <c r="D282" s="4"/>
      <c r="E282" s="4"/>
      <c r="F282" s="4"/>
      <c r="G282" s="4"/>
      <c r="H282" s="4"/>
      <c r="I282" s="4"/>
      <c r="J282" s="4"/>
      <c r="K282" s="4"/>
      <c r="L282" s="4"/>
      <c r="M282" s="151"/>
      <c r="N282" s="4"/>
      <c r="O282" s="4"/>
      <c r="P282" s="4"/>
      <c r="Q282" s="4"/>
      <c r="R282" s="4"/>
      <c r="S282" s="4"/>
      <c r="T282" s="4"/>
      <c r="U282" s="4"/>
      <c r="V282" s="4"/>
      <c r="W282" s="4"/>
      <c r="X282" s="4"/>
      <c r="Y282" s="4"/>
    </row>
    <row r="283" spans="3:25">
      <c r="C283" s="4"/>
      <c r="D283" s="4"/>
      <c r="E283" s="4"/>
      <c r="F283" s="4"/>
      <c r="G283" s="4"/>
      <c r="H283" s="4"/>
      <c r="I283" s="4"/>
      <c r="J283" s="4"/>
      <c r="K283" s="4"/>
      <c r="L283" s="4"/>
      <c r="M283" s="151"/>
      <c r="N283" s="4"/>
      <c r="O283" s="4"/>
      <c r="P283" s="4"/>
      <c r="Q283" s="4"/>
      <c r="R283" s="4"/>
      <c r="S283" s="4"/>
      <c r="T283" s="4"/>
      <c r="U283" s="4"/>
      <c r="V283" s="4"/>
      <c r="W283" s="4"/>
      <c r="X283" s="4"/>
      <c r="Y283" s="4"/>
    </row>
    <row r="284" spans="3:25">
      <c r="C284" s="4"/>
      <c r="D284" s="4"/>
      <c r="E284" s="4"/>
      <c r="F284" s="4"/>
      <c r="G284" s="4"/>
      <c r="H284" s="4"/>
      <c r="I284" s="4"/>
      <c r="J284" s="4"/>
      <c r="K284" s="4"/>
      <c r="L284" s="4"/>
      <c r="M284" s="151"/>
      <c r="N284" s="4"/>
      <c r="O284" s="4"/>
      <c r="P284" s="4"/>
      <c r="Q284" s="4"/>
      <c r="R284" s="4"/>
      <c r="S284" s="4"/>
      <c r="T284" s="4"/>
      <c r="U284" s="4"/>
      <c r="V284" s="4"/>
      <c r="W284" s="4"/>
      <c r="X284" s="4"/>
      <c r="Y284" s="4"/>
    </row>
    <row r="285" spans="3:25">
      <c r="C285" s="4"/>
      <c r="D285" s="4"/>
      <c r="E285" s="4"/>
      <c r="F285" s="4"/>
      <c r="G285" s="4"/>
      <c r="H285" s="4"/>
      <c r="I285" s="4"/>
      <c r="J285" s="4"/>
      <c r="K285" s="4"/>
      <c r="L285" s="4"/>
      <c r="M285" s="151"/>
      <c r="N285" s="4"/>
      <c r="O285" s="4"/>
      <c r="P285" s="4"/>
      <c r="Q285" s="4"/>
      <c r="R285" s="4"/>
      <c r="S285" s="4"/>
      <c r="T285" s="4"/>
      <c r="U285" s="4"/>
      <c r="V285" s="4"/>
      <c r="W285" s="4"/>
      <c r="X285" s="4"/>
      <c r="Y285" s="4"/>
    </row>
    <row r="286" spans="3:25">
      <c r="C286" s="4"/>
      <c r="D286" s="4"/>
      <c r="E286" s="4"/>
      <c r="F286" s="4"/>
      <c r="G286" s="4"/>
      <c r="H286" s="4"/>
      <c r="I286" s="4"/>
      <c r="J286" s="4"/>
      <c r="K286" s="4"/>
      <c r="L286" s="4"/>
      <c r="M286" s="151"/>
      <c r="N286" s="4"/>
      <c r="O286" s="4"/>
      <c r="P286" s="4"/>
      <c r="Q286" s="4"/>
      <c r="R286" s="4"/>
      <c r="S286" s="4"/>
      <c r="T286" s="4"/>
      <c r="U286" s="4"/>
      <c r="V286" s="4"/>
      <c r="W286" s="4"/>
      <c r="X286" s="4"/>
      <c r="Y286" s="4"/>
    </row>
    <row r="287" spans="3:25">
      <c r="C287" s="4"/>
      <c r="D287" s="4"/>
      <c r="E287" s="4"/>
      <c r="F287" s="4"/>
      <c r="G287" s="4"/>
      <c r="H287" s="4"/>
      <c r="I287" s="4"/>
      <c r="J287" s="4"/>
      <c r="K287" s="4"/>
      <c r="L287" s="4"/>
      <c r="M287" s="151"/>
      <c r="N287" s="4"/>
      <c r="O287" s="4"/>
      <c r="P287" s="4"/>
      <c r="Q287" s="4"/>
      <c r="R287" s="4"/>
      <c r="S287" s="4"/>
      <c r="T287" s="4"/>
      <c r="U287" s="4"/>
      <c r="V287" s="4"/>
      <c r="W287" s="4"/>
      <c r="X287" s="4"/>
      <c r="Y287" s="4"/>
    </row>
    <row r="288" spans="3:25">
      <c r="C288" s="4"/>
      <c r="D288" s="4"/>
      <c r="E288" s="4"/>
      <c r="F288" s="4"/>
      <c r="G288" s="4"/>
      <c r="H288" s="4"/>
      <c r="I288" s="4"/>
      <c r="J288" s="4"/>
      <c r="K288" s="4"/>
      <c r="L288" s="4"/>
      <c r="M288" s="151"/>
      <c r="N288" s="4"/>
      <c r="O288" s="4"/>
      <c r="P288" s="4"/>
      <c r="Q288" s="4"/>
      <c r="R288" s="4"/>
      <c r="S288" s="4"/>
      <c r="T288" s="4"/>
      <c r="U288" s="4"/>
      <c r="V288" s="4"/>
      <c r="W288" s="4"/>
      <c r="X288" s="4"/>
      <c r="Y288" s="4"/>
    </row>
    <row r="289" spans="3:25">
      <c r="C289" s="4"/>
      <c r="D289" s="4"/>
      <c r="E289" s="4"/>
      <c r="F289" s="4"/>
      <c r="G289" s="4"/>
      <c r="H289" s="4"/>
      <c r="I289" s="4"/>
      <c r="J289" s="4"/>
      <c r="K289" s="4"/>
      <c r="L289" s="4"/>
      <c r="M289" s="151"/>
      <c r="N289" s="4"/>
      <c r="O289" s="4"/>
      <c r="P289" s="4"/>
      <c r="Q289" s="4"/>
      <c r="R289" s="4"/>
      <c r="S289" s="4"/>
      <c r="T289" s="4"/>
      <c r="U289" s="4"/>
      <c r="V289" s="4"/>
      <c r="W289" s="4"/>
      <c r="X289" s="4"/>
      <c r="Y289" s="4"/>
    </row>
    <row r="290" spans="3:25">
      <c r="C290" s="4"/>
      <c r="D290" s="4"/>
      <c r="E290" s="4"/>
      <c r="F290" s="4"/>
      <c r="G290" s="4"/>
      <c r="H290" s="4"/>
      <c r="I290" s="4"/>
      <c r="J290" s="4"/>
      <c r="K290" s="4"/>
      <c r="L290" s="4"/>
      <c r="M290" s="151"/>
      <c r="N290" s="4"/>
      <c r="O290" s="4"/>
      <c r="P290" s="4"/>
      <c r="Q290" s="4"/>
      <c r="R290" s="4"/>
      <c r="S290" s="4"/>
      <c r="T290" s="4"/>
      <c r="U290" s="4"/>
      <c r="V290" s="4"/>
      <c r="W290" s="4"/>
      <c r="X290" s="4"/>
      <c r="Y290" s="4"/>
    </row>
    <row r="291" spans="3:25">
      <c r="C291" s="4"/>
      <c r="D291" s="4"/>
      <c r="E291" s="4"/>
      <c r="F291" s="4"/>
      <c r="G291" s="4"/>
      <c r="H291" s="4"/>
      <c r="I291" s="4"/>
      <c r="J291" s="4"/>
      <c r="K291" s="4"/>
      <c r="L291" s="4"/>
      <c r="M291" s="151"/>
      <c r="N291" s="4"/>
      <c r="O291" s="4"/>
      <c r="P291" s="4"/>
      <c r="Q291" s="4"/>
      <c r="R291" s="4"/>
      <c r="S291" s="4"/>
      <c r="T291" s="4"/>
      <c r="U291" s="4"/>
      <c r="V291" s="4"/>
      <c r="W291" s="4"/>
      <c r="X291" s="4"/>
      <c r="Y291" s="4"/>
    </row>
    <row r="292" spans="3:25">
      <c r="C292" s="4"/>
      <c r="D292" s="4"/>
      <c r="E292" s="4"/>
      <c r="F292" s="4"/>
      <c r="G292" s="4"/>
      <c r="H292" s="4"/>
      <c r="I292" s="4"/>
      <c r="J292" s="4"/>
      <c r="K292" s="4"/>
      <c r="L292" s="4"/>
      <c r="M292" s="151"/>
      <c r="N292" s="4"/>
      <c r="O292" s="4"/>
      <c r="P292" s="4"/>
      <c r="Q292" s="4"/>
      <c r="R292" s="4"/>
      <c r="S292" s="4"/>
      <c r="T292" s="4"/>
      <c r="U292" s="4"/>
      <c r="V292" s="4"/>
      <c r="W292" s="4"/>
      <c r="X292" s="4"/>
      <c r="Y292" s="4"/>
    </row>
  </sheetData>
  <mergeCells count="3">
    <mergeCell ref="E164:G164"/>
    <mergeCell ref="H164:J164"/>
    <mergeCell ref="K164:M164"/>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vt:i4>
      </vt:variant>
    </vt:vector>
  </HeadingPairs>
  <TitlesOfParts>
    <vt:vector size="8" baseType="lpstr">
      <vt:lpstr>SO_02 Rekapitulace</vt:lpstr>
      <vt:lpstr>SO_02_KL1_zemní_práce</vt:lpstr>
      <vt:lpstr>SO_02 KL2_konstrukce</vt:lpstr>
      <vt:lpstr>pracovní</vt:lpstr>
      <vt:lpstr>'SO_02 Rekapitulace'!Názvy_tisku</vt:lpstr>
      <vt:lpstr>'SO_02 KL2_konstrukce'!Oblast_tisku</vt:lpstr>
      <vt:lpstr>'SO_02 Rekapitulace'!Oblast_tisku</vt:lpstr>
      <vt:lpstr>SO_02_KL1_zemní_práce!Oblast_tisku</vt:lpstr>
    </vt:vector>
  </TitlesOfParts>
  <Company>Pöyry Environment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Foltynova, Lucie</dc:creator>
  <cp:lastModifiedBy>Proschl</cp:lastModifiedBy>
  <cp:lastPrinted>2022-08-24T12:29:03Z</cp:lastPrinted>
  <dcterms:created xsi:type="dcterms:W3CDTF">2016-09-06T06:14:26Z</dcterms:created>
  <dcterms:modified xsi:type="dcterms:W3CDTF">2024-02-13T07:04:33Z</dcterms:modified>
</cp:coreProperties>
</file>