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456" yWindow="32760" windowWidth="13910" windowHeight="10560" activeTab="0"/>
  </bookViews>
  <sheets>
    <sheet name="střecha a světlík" sheetId="1" r:id="rId1"/>
    <sheet name="výměry" sheetId="2" state="hidden" r:id="rId2"/>
  </sheets>
  <definedNames>
    <definedName name="_xlnm.Print_Area" localSheetId="0">'střecha a světlík'!$B$2:$K$81</definedName>
  </definedNames>
  <calcPr fullCalcOnLoad="1"/>
</workbook>
</file>

<file path=xl/comments2.xml><?xml version="1.0" encoding="utf-8"?>
<comments xmlns="http://schemas.openxmlformats.org/spreadsheetml/2006/main">
  <authors>
    <author>zurynek</author>
  </authors>
  <commentList>
    <comment ref="D34" authorId="0">
      <text>
        <r>
          <rPr>
            <sz val="8"/>
            <rFont val="Tahoma"/>
            <family val="2"/>
          </rPr>
          <t xml:space="preserve">2x10
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podvaření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<sst xmlns="http://schemas.openxmlformats.org/spreadsheetml/2006/main" count="243" uniqueCount="135">
  <si>
    <t>Kód položky</t>
  </si>
  <si>
    <t>m2</t>
  </si>
  <si>
    <t>MJ</t>
  </si>
  <si>
    <t>kpl</t>
  </si>
  <si>
    <t>ks</t>
  </si>
  <si>
    <t>Množství celkem</t>
  </si>
  <si>
    <t>Cena celkem</t>
  </si>
  <si>
    <t>Popis</t>
  </si>
  <si>
    <t>m</t>
  </si>
  <si>
    <t>KCN</t>
  </si>
  <si>
    <t>Cena jednotková</t>
  </si>
  <si>
    <t>P.Č.</t>
  </si>
  <si>
    <t>Povlaková krytina střech</t>
  </si>
  <si>
    <t>celkem</t>
  </si>
  <si>
    <t>šířka haly</t>
  </si>
  <si>
    <t>světlík dle dok.</t>
  </si>
  <si>
    <t>délka haly</t>
  </si>
  <si>
    <t>obvod</t>
  </si>
  <si>
    <t>3světlíky</t>
  </si>
  <si>
    <t>plocha půdorysná</t>
  </si>
  <si>
    <t>světlík obruba</t>
  </si>
  <si>
    <t>plocha střechy</t>
  </si>
  <si>
    <t>obvod 3sv</t>
  </si>
  <si>
    <t>plocha 3sv</t>
  </si>
  <si>
    <t>(zahrnuje i plochu žlabů)</t>
  </si>
  <si>
    <t>nezahrnuje plochu u podélné atiky - do svislého vytažení</t>
  </si>
  <si>
    <t>předp.cca  100mm zateplení fasády</t>
  </si>
  <si>
    <t>svislé vytažení</t>
  </si>
  <si>
    <t>světlíky</t>
  </si>
  <si>
    <t>stěna k vyšší střeše</t>
  </si>
  <si>
    <t>atika podélná</t>
  </si>
  <si>
    <t>atika příčná</t>
  </si>
  <si>
    <t>stěna k přístavku</t>
  </si>
  <si>
    <t>v proměnná  min. 33, max. 75</t>
  </si>
  <si>
    <t>výška cm</t>
  </si>
  <si>
    <t>(bude se zvyšovat10cm)</t>
  </si>
  <si>
    <t>technolog. napojeni  - folie</t>
  </si>
  <si>
    <t>délka</t>
  </si>
  <si>
    <t>dilatační atika - 2str.</t>
  </si>
  <si>
    <t>plocha vyt.</t>
  </si>
  <si>
    <t>plocha</t>
  </si>
  <si>
    <t>L</t>
  </si>
  <si>
    <t>I</t>
  </si>
  <si>
    <t>profil</t>
  </si>
  <si>
    <t>záv. Lišta</t>
  </si>
  <si>
    <t>žlaby</t>
  </si>
  <si>
    <t>3x</t>
  </si>
  <si>
    <t>šířka</t>
  </si>
  <si>
    <t>celkem natavení na viplanyl</t>
  </si>
  <si>
    <t>viplanyl</t>
  </si>
  <si>
    <t>zalomenáx2</t>
  </si>
  <si>
    <t>lišty</t>
  </si>
  <si>
    <t>š</t>
  </si>
  <si>
    <t>zahruje plochu kratší atiky</t>
  </si>
  <si>
    <t>vytažení na atiku</t>
  </si>
  <si>
    <t>vč. Prořezu 1,17</t>
  </si>
  <si>
    <t xml:space="preserve">žlab krajní </t>
  </si>
  <si>
    <t>žlab středový</t>
  </si>
  <si>
    <t>M</t>
  </si>
  <si>
    <t>D</t>
  </si>
  <si>
    <t>.</t>
  </si>
  <si>
    <t>Úklid</t>
  </si>
  <si>
    <t>Elektromontáže</t>
  </si>
  <si>
    <t>NUS</t>
  </si>
  <si>
    <t xml:space="preserve">Likvidace odpadu, obaly, odřezky </t>
  </si>
  <si>
    <t>Montáž atikových klínů</t>
  </si>
  <si>
    <t>Dodávka atikových klínů 50/50mm</t>
  </si>
  <si>
    <t>Konstrukce klempířské</t>
  </si>
  <si>
    <t>Nabídka č.</t>
  </si>
  <si>
    <t>t</t>
  </si>
  <si>
    <t>bm</t>
  </si>
  <si>
    <t xml:space="preserve">celkem </t>
  </si>
  <si>
    <t>atiky</t>
  </si>
  <si>
    <t>Ostatní</t>
  </si>
  <si>
    <t xml:space="preserve"> Ostatní</t>
  </si>
  <si>
    <t>Svislá doprava materiálu, autojeřáb/ plošina/ ruční přesun</t>
  </si>
  <si>
    <t>Demontáže</t>
  </si>
  <si>
    <t>Montáž vytažení, obvodové detaily - vrchní asf. pás</t>
  </si>
  <si>
    <t xml:space="preserve">Povlaková krytina střech </t>
  </si>
  <si>
    <t>Tepelné izolace</t>
  </si>
  <si>
    <t>Montáž hydroizolace střech  parotěs. asf. pásu</t>
  </si>
  <si>
    <t xml:space="preserve">D+M ukončující lišta vč. zatmelení </t>
  </si>
  <si>
    <t>střecha</t>
  </si>
  <si>
    <t>světlík</t>
  </si>
  <si>
    <t xml:space="preserve">Zpracoval : </t>
  </si>
  <si>
    <t>Datum :</t>
  </si>
  <si>
    <t xml:space="preserve">Poplatek za provedení rozboru odpadu </t>
  </si>
  <si>
    <t>Poplatek za uložení odpadu asf. pásy , předp. bez dehtu</t>
  </si>
  <si>
    <t>demontáž hromosvodu</t>
  </si>
  <si>
    <t xml:space="preserve">revize hormosvodu </t>
  </si>
  <si>
    <t>Montáž a dodávka nového hromosvodu,Al vodič.  Vedení v původním rozsahu a geometrii,  napojení na svislé svody, bez řešení uzemnění</t>
  </si>
  <si>
    <t>Demontáž stáv. asfaltových pásů - z atiky</t>
  </si>
  <si>
    <t>Přesun hmot  ze střechy, naložení, odvoz na skládku</t>
  </si>
  <si>
    <t>Očištění  povrchu</t>
  </si>
  <si>
    <t xml:space="preserve">Montáž hydroizolace střech  spodní vrstva - asf. pás plocha </t>
  </si>
  <si>
    <t>Dodávka -  spodní asf. pás  samolepící, tl. 3mm SBS -30 např. VEDATOP SU</t>
  </si>
  <si>
    <t>Dodávka -  parotěs. asf. pásu tl. 4mm, Al + G200 vložka</t>
  </si>
  <si>
    <t>Montáž hydroizolace střech - vrchní asf. pás - plocha</t>
  </si>
  <si>
    <t>Opracování prostupů 1000/1200mm</t>
  </si>
  <si>
    <t>Dodávka EPS 100S tl.40 - 280mm</t>
  </si>
  <si>
    <t>Montáž izolace tepelné střech - spádové klíny 1 až 3 vrstvy</t>
  </si>
  <si>
    <t>Dopěnění EPS desek PUR, přebroušení</t>
  </si>
  <si>
    <t>Dodávka lepidla např. PUK  1-3vrstvy</t>
  </si>
  <si>
    <t>Montáž  EPS  - lepení  1-3vrstvy</t>
  </si>
  <si>
    <t>Mimostaveništní doprava materiálu , osob</t>
  </si>
  <si>
    <t xml:space="preserve">Zařízení stěveniště  TOI, OPLOCENÍ </t>
  </si>
  <si>
    <t>bez parotěsné zábrany</t>
  </si>
  <si>
    <t>Dodávka EPS 100S oboustraně spádovaný  tl.10 - 80mm za světlík</t>
  </si>
  <si>
    <t>Dodávka EPS 100S oboustraně spádovaný  tl.10 - 80mm u výlezu</t>
  </si>
  <si>
    <t>Dodávka  kotvení hydroizolace, rektifikační šrouby</t>
  </si>
  <si>
    <t>Montáž liniového kotvení  - hydroizolace</t>
  </si>
  <si>
    <t>Montáž vytažení - spodní  vrstva samolepící pás ,pouze výška 150mm, přesah na vodorovnou 200mm</t>
  </si>
  <si>
    <t>Dodávka EPS 100S oboustraně spádovaný  tl.10 - 80mm spodní roh stř.</t>
  </si>
  <si>
    <t xml:space="preserve">Dodávka - vrchní asf. pás např. PVS5 SBS -25 např.  EUROFLEX </t>
  </si>
  <si>
    <t>D+M oplech.atiky PZN r.š. 330mm, bez spádování</t>
  </si>
  <si>
    <t xml:space="preserve">přesklení světlíku </t>
  </si>
  <si>
    <t>Montáž a dodávka přesklení světlíku  - plocha PC 10mm opál</t>
  </si>
  <si>
    <t>Montáž a dodávka přesklení světlíku  - čela</t>
  </si>
  <si>
    <t>likvidace hmot, doprava, přesuny</t>
  </si>
  <si>
    <t>Montáž a dodávka oplechování  hřeben r.š. do 400mm</t>
  </si>
  <si>
    <t>Celkem  střecha 1 bez DPH</t>
  </si>
  <si>
    <t>Celkem světlík 2 bez DPH</t>
  </si>
  <si>
    <t>Opracování u  PŘEPADU</t>
  </si>
  <si>
    <t xml:space="preserve"> předp. zrušení vpusti</t>
  </si>
  <si>
    <t>ostatní</t>
  </si>
  <si>
    <t>zařízení staveniště</t>
  </si>
  <si>
    <t>nátěry - odrezení a dvojnásobný nátěr poklopu</t>
  </si>
  <si>
    <t>Celkem komplet bez DPH</t>
  </si>
  <si>
    <t xml:space="preserve">Vypracoval : </t>
  </si>
  <si>
    <t>Objednavatel :</t>
  </si>
  <si>
    <t>POVODÍ LABE, státní podnik</t>
  </si>
  <si>
    <t>MVE Mladá Boleslav, oprava střechy</t>
  </si>
  <si>
    <t>Stavba :</t>
  </si>
  <si>
    <t xml:space="preserve">Objekt : </t>
  </si>
  <si>
    <t>VÝKAZ VÝMĚR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</si>
</sst>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* _-#,##0\ &quot;Kč&quot;;* \-#,##0\ &quot;Kč&quot;;* _-&quot;-&quot;\ &quot;Kč&quot;;@"/>
    <numFmt numFmtId="167" formatCode="* #,##0;* \-#,##0;* &quot;-&quot;;@"/>
    <numFmt numFmtId="168" formatCode="* _-#,##0.00\ &quot;Kč&quot;;* \-#,##0.00\ &quot;Kč&quot;;* _-&quot;-&quot;??\ &quot;Kč&quot;;@"/>
    <numFmt numFmtId="169" formatCode="* #,##0.00;* \-#,##0.00;* &quot;-&quot;??;@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#"/>
    <numFmt numFmtId="175" formatCode="#,##0.000"/>
    <numFmt numFmtId="176" formatCode="#,##0.0"/>
    <numFmt numFmtId="177" formatCode="mmm/yyyy"/>
    <numFmt numFmtId="178" formatCode="#,##0.00\ &quot;Kč&quot;"/>
    <numFmt numFmtId="179" formatCode="[$-405]d\.\ mmmm\ yyyy"/>
  </numFmts>
  <fonts count="7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6"/>
      <name val="Arial CE"/>
      <family val="0"/>
    </font>
    <font>
      <b/>
      <sz val="7"/>
      <color indexed="18"/>
      <name val="Arial CE"/>
      <family val="0"/>
    </font>
    <font>
      <b/>
      <u val="single"/>
      <sz val="8"/>
      <color indexed="10"/>
      <name val="Arial CE"/>
      <family val="0"/>
    </font>
    <font>
      <b/>
      <sz val="7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0"/>
      <name val="Arial CE"/>
      <family val="0"/>
    </font>
    <font>
      <b/>
      <sz val="8"/>
      <name val="Arial CE"/>
      <family val="0"/>
    </font>
    <font>
      <b/>
      <sz val="8"/>
      <color indexed="18"/>
      <name val="Arial CE"/>
      <family val="0"/>
    </font>
    <font>
      <b/>
      <sz val="10"/>
      <color indexed="10"/>
      <name val="Arial CE"/>
      <family val="0"/>
    </font>
    <font>
      <b/>
      <sz val="10"/>
      <name val="Arial CE"/>
      <family val="0"/>
    </font>
    <font>
      <sz val="8"/>
      <name val="Arial"/>
      <family val="2"/>
    </font>
    <font>
      <b/>
      <sz val="11"/>
      <color indexed="18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7"/>
      <color indexed="10"/>
      <name val="Arial CE"/>
      <family val="0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7"/>
      <color rgb="FFFF0000"/>
      <name val="Arial CE"/>
      <family val="0"/>
    </font>
    <font>
      <b/>
      <sz val="8"/>
      <color rgb="FFFF0000"/>
      <name val="Arial CE"/>
      <family val="0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206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EA39C"/>
        <bgColor indexed="64"/>
      </patternFill>
    </fill>
    <fill>
      <patternFill patternType="solid">
        <fgColor rgb="FFFD919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2" applyNumberForma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5" fillId="33" borderId="0" xfId="0" applyNumberFormat="1" applyFont="1" applyFill="1" applyAlignment="1" applyProtection="1">
      <alignment vertical="center"/>
      <protection/>
    </xf>
    <xf numFmtId="0" fontId="7" fillId="33" borderId="0" xfId="0" applyNumberFormat="1" applyFont="1" applyFill="1" applyAlignment="1" applyProtection="1">
      <alignment vertical="center"/>
      <protection/>
    </xf>
    <xf numFmtId="0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1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8" fillId="34" borderId="13" xfId="0" applyNumberFormat="1" applyFont="1" applyFill="1" applyBorder="1" applyAlignment="1" applyProtection="1">
      <alignment horizontal="center" vertical="center" wrapText="1"/>
      <protection/>
    </xf>
    <xf numFmtId="0" fontId="8" fillId="34" borderId="14" xfId="0" applyNumberFormat="1" applyFont="1" applyFill="1" applyBorder="1" applyAlignment="1" applyProtection="1">
      <alignment horizontal="center" vertical="center" wrapText="1"/>
      <protection/>
    </xf>
    <xf numFmtId="0" fontId="8" fillId="34" borderId="15" xfId="0" applyNumberFormat="1" applyFont="1" applyFill="1" applyBorder="1" applyAlignment="1" applyProtection="1">
      <alignment horizontal="center" vertical="center" wrapText="1"/>
      <protection/>
    </xf>
    <xf numFmtId="174" fontId="9" fillId="35" borderId="0" xfId="0" applyNumberFormat="1" applyFont="1" applyFill="1" applyBorder="1" applyAlignment="1" applyProtection="1">
      <alignment horizontal="right"/>
      <protection/>
    </xf>
    <xf numFmtId="174" fontId="9" fillId="35" borderId="0" xfId="0" applyNumberFormat="1" applyFont="1" applyFill="1" applyBorder="1" applyAlignment="1" applyProtection="1">
      <alignment horizontal="center"/>
      <protection/>
    </xf>
    <xf numFmtId="174" fontId="9" fillId="35" borderId="0" xfId="0" applyNumberFormat="1" applyFont="1" applyFill="1" applyBorder="1" applyAlignment="1" applyProtection="1">
      <alignment horizontal="left"/>
      <protection/>
    </xf>
    <xf numFmtId="175" fontId="9" fillId="35" borderId="0" xfId="0" applyNumberFormat="1" applyFont="1" applyFill="1" applyBorder="1" applyAlignment="1" applyProtection="1">
      <alignment horizontal="right"/>
      <protection/>
    </xf>
    <xf numFmtId="4" fontId="9" fillId="35" borderId="0" xfId="0" applyNumberFormat="1" applyFont="1" applyFill="1" applyBorder="1" applyAlignment="1" applyProtection="1">
      <alignment horizontal="right"/>
      <protection/>
    </xf>
    <xf numFmtId="174" fontId="9" fillId="35" borderId="0" xfId="0" applyNumberFormat="1" applyFont="1" applyFill="1" applyBorder="1" applyAlignment="1" applyProtection="1">
      <alignment horizontal="center" vertical="center"/>
      <protection/>
    </xf>
    <xf numFmtId="174" fontId="9" fillId="35" borderId="0" xfId="0" applyNumberFormat="1" applyFont="1" applyFill="1" applyBorder="1" applyAlignment="1" applyProtection="1">
      <alignment horizontal="left" vertical="center"/>
      <protection/>
    </xf>
    <xf numFmtId="174" fontId="10" fillId="35" borderId="0" xfId="0" applyNumberFormat="1" applyFont="1" applyFill="1" applyBorder="1" applyAlignment="1" applyProtection="1">
      <alignment horizontal="right"/>
      <protection/>
    </xf>
    <xf numFmtId="174" fontId="10" fillId="35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174" fontId="11" fillId="35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12" borderId="0" xfId="0" applyFill="1" applyAlignment="1">
      <alignment/>
    </xf>
    <xf numFmtId="0" fontId="65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/>
    </xf>
    <xf numFmtId="4" fontId="66" fillId="35" borderId="0" xfId="0" applyNumberFormat="1" applyFont="1" applyFill="1" applyBorder="1" applyAlignment="1" applyProtection="1">
      <alignment horizontal="right" vertical="center"/>
      <protection/>
    </xf>
    <xf numFmtId="4" fontId="66" fillId="35" borderId="0" xfId="0" applyNumberFormat="1" applyFont="1" applyFill="1" applyBorder="1" applyAlignment="1" applyProtection="1">
      <alignment horizontal="right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4" fontId="14" fillId="35" borderId="0" xfId="0" applyNumberFormat="1" applyFont="1" applyFill="1" applyBorder="1" applyAlignment="1" applyProtection="1">
      <alignment horizontal="right"/>
      <protection/>
    </xf>
    <xf numFmtId="175" fontId="14" fillId="35" borderId="0" xfId="0" applyNumberFormat="1" applyFont="1" applyFill="1" applyBorder="1" applyAlignment="1" applyProtection="1">
      <alignment horizontal="right"/>
      <protection/>
    </xf>
    <xf numFmtId="174" fontId="66" fillId="35" borderId="0" xfId="0" applyNumberFormat="1" applyFont="1" applyFill="1" applyBorder="1" applyAlignment="1" applyProtection="1">
      <alignment horizontal="right" vertical="center"/>
      <protection/>
    </xf>
    <xf numFmtId="174" fontId="66" fillId="35" borderId="0" xfId="0" applyNumberFormat="1" applyFont="1" applyFill="1" applyBorder="1" applyAlignment="1" applyProtection="1">
      <alignment horizontal="right"/>
      <protection/>
    </xf>
    <xf numFmtId="174" fontId="66" fillId="0" borderId="0" xfId="0" applyNumberFormat="1" applyFont="1" applyFill="1" applyBorder="1" applyAlignment="1" applyProtection="1">
      <alignment horizontal="right" vertical="center"/>
      <protection/>
    </xf>
    <xf numFmtId="174" fontId="66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174" fontId="5" fillId="0" borderId="0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4" fontId="16" fillId="35" borderId="0" xfId="0" applyNumberFormat="1" applyFont="1" applyFill="1" applyBorder="1" applyAlignment="1" applyProtection="1">
      <alignment horizontal="right" vertical="center"/>
      <protection/>
    </xf>
    <xf numFmtId="174" fontId="16" fillId="35" borderId="0" xfId="0" applyNumberFormat="1" applyFont="1" applyFill="1" applyBorder="1" applyAlignment="1" applyProtection="1">
      <alignment horizontal="left" vertical="center" wrapText="1"/>
      <protection/>
    </xf>
    <xf numFmtId="174" fontId="7" fillId="0" borderId="17" xfId="0" applyNumberFormat="1" applyFont="1" applyFill="1" applyBorder="1" applyAlignment="1" applyProtection="1">
      <alignment horizontal="center" vertical="center"/>
      <protection/>
    </xf>
    <xf numFmtId="174" fontId="7" fillId="0" borderId="17" xfId="0" applyNumberFormat="1" applyFont="1" applyFill="1" applyBorder="1" applyAlignment="1" applyProtection="1">
      <alignment horizontal="left" vertical="center"/>
      <protection/>
    </xf>
    <xf numFmtId="174" fontId="7" fillId="0" borderId="17" xfId="0" applyNumberFormat="1" applyFont="1" applyFill="1" applyBorder="1" applyAlignment="1" applyProtection="1">
      <alignment horizontal="left" vertical="center" wrapText="1"/>
      <protection/>
    </xf>
    <xf numFmtId="4" fontId="7" fillId="0" borderId="17" xfId="0" applyNumberFormat="1" applyFont="1" applyFill="1" applyBorder="1" applyAlignment="1" applyProtection="1">
      <alignment horizontal="right" vertical="center"/>
      <protection/>
    </xf>
    <xf numFmtId="4" fontId="7" fillId="0" borderId="18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/>
      <protection/>
    </xf>
    <xf numFmtId="174" fontId="10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174" fontId="67" fillId="35" borderId="0" xfId="0" applyNumberFormat="1" applyFont="1" applyFill="1" applyBorder="1" applyAlignment="1" applyProtection="1">
      <alignment horizontal="right" vertical="center"/>
      <protection/>
    </xf>
    <xf numFmtId="174" fontId="16" fillId="35" borderId="0" xfId="0" applyNumberFormat="1" applyFont="1" applyFill="1" applyBorder="1" applyAlignment="1" applyProtection="1">
      <alignment horizontal="center" vertical="center"/>
      <protection/>
    </xf>
    <xf numFmtId="174" fontId="16" fillId="35" borderId="0" xfId="0" applyNumberFormat="1" applyFont="1" applyFill="1" applyBorder="1" applyAlignment="1" applyProtection="1">
      <alignment horizontal="left" vertical="center"/>
      <protection/>
    </xf>
    <xf numFmtId="4" fontId="67" fillId="35" borderId="0" xfId="0" applyNumberFormat="1" applyFont="1" applyFill="1" applyBorder="1" applyAlignment="1" applyProtection="1">
      <alignment horizontal="right" vertical="center"/>
      <protection/>
    </xf>
    <xf numFmtId="174" fontId="16" fillId="35" borderId="0" xfId="0" applyNumberFormat="1" applyFont="1" applyFill="1" applyBorder="1" applyAlignment="1" applyProtection="1">
      <alignment horizontal="center"/>
      <protection/>
    </xf>
    <xf numFmtId="174" fontId="16" fillId="35" borderId="0" xfId="0" applyNumberFormat="1" applyFont="1" applyFill="1" applyBorder="1" applyAlignment="1" applyProtection="1">
      <alignment horizontal="left"/>
      <protection/>
    </xf>
    <xf numFmtId="174" fontId="16" fillId="35" borderId="0" xfId="0" applyNumberFormat="1" applyFont="1" applyFill="1" applyBorder="1" applyAlignment="1" applyProtection="1">
      <alignment horizontal="left" wrapText="1"/>
      <protection/>
    </xf>
    <xf numFmtId="174" fontId="67" fillId="0" borderId="0" xfId="0" applyNumberFormat="1" applyFont="1" applyFill="1" applyBorder="1" applyAlignment="1" applyProtection="1">
      <alignment horizontal="right" vertical="center"/>
      <protection/>
    </xf>
    <xf numFmtId="4" fontId="67" fillId="35" borderId="0" xfId="0" applyNumberFormat="1" applyFont="1" applyFill="1" applyBorder="1" applyAlignment="1" applyProtection="1">
      <alignment horizontal="right"/>
      <protection/>
    </xf>
    <xf numFmtId="174" fontId="7" fillId="35" borderId="17" xfId="0" applyNumberFormat="1" applyFont="1" applyFill="1" applyBorder="1" applyAlignment="1" applyProtection="1">
      <alignment horizontal="center" vertical="center"/>
      <protection/>
    </xf>
    <xf numFmtId="174" fontId="7" fillId="35" borderId="17" xfId="0" applyNumberFormat="1" applyFont="1" applyFill="1" applyBorder="1" applyAlignment="1" applyProtection="1">
      <alignment horizontal="left" vertical="center"/>
      <protection/>
    </xf>
    <xf numFmtId="174" fontId="7" fillId="35" borderId="17" xfId="0" applyNumberFormat="1" applyFont="1" applyFill="1" applyBorder="1" applyAlignment="1" applyProtection="1">
      <alignment horizontal="left" vertical="center" wrapText="1"/>
      <protection/>
    </xf>
    <xf numFmtId="4" fontId="7" fillId="35" borderId="17" xfId="0" applyNumberFormat="1" applyFont="1" applyFill="1" applyBorder="1" applyAlignment="1" applyProtection="1">
      <alignment horizontal="right" vertical="center"/>
      <protection/>
    </xf>
    <xf numFmtId="4" fontId="7" fillId="35" borderId="18" xfId="0" applyNumberFormat="1" applyFont="1" applyFill="1" applyBorder="1" applyAlignment="1" applyProtection="1">
      <alignment horizontal="right" vertical="center"/>
      <protection/>
    </xf>
    <xf numFmtId="174" fontId="7" fillId="35" borderId="0" xfId="0" applyNumberFormat="1" applyFont="1" applyFill="1" applyBorder="1" applyAlignment="1" applyProtection="1">
      <alignment horizontal="center" vertical="center"/>
      <protection/>
    </xf>
    <xf numFmtId="175" fontId="16" fillId="35" borderId="0" xfId="0" applyNumberFormat="1" applyFont="1" applyFill="1" applyBorder="1" applyAlignment="1" applyProtection="1">
      <alignment horizontal="right" vertical="center"/>
      <protection/>
    </xf>
    <xf numFmtId="0" fontId="1" fillId="7" borderId="19" xfId="0" applyFont="1" applyFill="1" applyBorder="1" applyAlignment="1">
      <alignment horizontal="left" indent="1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1" fillId="36" borderId="21" xfId="0" applyNumberFormat="1" applyFont="1" applyFill="1" applyBorder="1" applyAlignment="1">
      <alignment horizontal="center"/>
    </xf>
    <xf numFmtId="174" fontId="7" fillId="0" borderId="0" xfId="0" applyNumberFormat="1" applyFont="1" applyFill="1" applyBorder="1" applyAlignment="1" applyProtection="1">
      <alignment horizontal="center" vertical="center"/>
      <protection/>
    </xf>
    <xf numFmtId="174" fontId="7" fillId="0" borderId="0" xfId="0" applyNumberFormat="1" applyFont="1" applyFill="1" applyBorder="1" applyAlignment="1" applyProtection="1">
      <alignment horizontal="lef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" fontId="17" fillId="35" borderId="0" xfId="0" applyNumberFormat="1" applyFont="1" applyFill="1" applyBorder="1" applyAlignment="1" applyProtection="1">
      <alignment horizontal="right"/>
      <protection/>
    </xf>
    <xf numFmtId="174" fontId="17" fillId="35" borderId="0" xfId="0" applyNumberFormat="1" applyFont="1" applyFill="1" applyBorder="1" applyAlignment="1" applyProtection="1">
      <alignment horizontal="left" wrapText="1"/>
      <protection/>
    </xf>
    <xf numFmtId="174" fontId="15" fillId="35" borderId="0" xfId="0" applyNumberFormat="1" applyFont="1" applyFill="1" applyBorder="1" applyAlignment="1" applyProtection="1">
      <alignment horizontal="left"/>
      <protection/>
    </xf>
    <xf numFmtId="4" fontId="1" fillId="36" borderId="2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4" fontId="1" fillId="36" borderId="24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left" indent="1"/>
    </xf>
    <xf numFmtId="4" fontId="68" fillId="0" borderId="0" xfId="0" applyNumberFormat="1" applyFont="1" applyFill="1" applyBorder="1" applyAlignment="1">
      <alignment horizontal="center"/>
    </xf>
    <xf numFmtId="4" fontId="65" fillId="0" borderId="0" xfId="0" applyNumberFormat="1" applyFont="1" applyFill="1" applyBorder="1" applyAlignment="1">
      <alignment horizontal="center"/>
    </xf>
    <xf numFmtId="0" fontId="0" fillId="7" borderId="25" xfId="0" applyFont="1" applyFill="1" applyBorder="1" applyAlignment="1">
      <alignment/>
    </xf>
    <xf numFmtId="0" fontId="0" fillId="7" borderId="25" xfId="0" applyFont="1" applyFill="1" applyBorder="1" applyAlignment="1">
      <alignment horizontal="left" indent="1"/>
    </xf>
    <xf numFmtId="0" fontId="0" fillId="7" borderId="26" xfId="0" applyFont="1" applyFill="1" applyBorder="1" applyAlignment="1">
      <alignment horizontal="left" indent="1"/>
    </xf>
    <xf numFmtId="0" fontId="1" fillId="7" borderId="26" xfId="0" applyFont="1" applyFill="1" applyBorder="1" applyAlignment="1">
      <alignment horizontal="center"/>
    </xf>
    <xf numFmtId="4" fontId="18" fillId="0" borderId="0" xfId="0" applyNumberFormat="1" applyFont="1" applyFill="1" applyBorder="1" applyAlignment="1" applyProtection="1">
      <alignment horizontal="right"/>
      <protection/>
    </xf>
    <xf numFmtId="3" fontId="0" fillId="0" borderId="23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5" borderId="20" xfId="0" applyFont="1" applyFill="1" applyBorder="1" applyAlignment="1">
      <alignment horizontal="center"/>
    </xf>
    <xf numFmtId="4" fontId="0" fillId="5" borderId="0" xfId="0" applyNumberFormat="1" applyFont="1" applyFill="1" applyBorder="1" applyAlignment="1">
      <alignment horizontal="center"/>
    </xf>
    <xf numFmtId="4" fontId="1" fillId="5" borderId="0" xfId="0" applyNumberFormat="1" applyFont="1" applyFill="1" applyBorder="1" applyAlignment="1">
      <alignment horizontal="center"/>
    </xf>
    <xf numFmtId="4" fontId="0" fillId="5" borderId="20" xfId="0" applyNumberFormat="1" applyFont="1" applyFill="1" applyBorder="1" applyAlignment="1">
      <alignment horizontal="center"/>
    </xf>
    <xf numFmtId="4" fontId="0" fillId="5" borderId="23" xfId="0" applyNumberFormat="1" applyFont="1" applyFill="1" applyBorder="1" applyAlignment="1">
      <alignment horizontal="center"/>
    </xf>
    <xf numFmtId="4" fontId="7" fillId="37" borderId="18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4" fontId="15" fillId="35" borderId="0" xfId="0" applyNumberFormat="1" applyFont="1" applyFill="1" applyBorder="1" applyAlignment="1" applyProtection="1">
      <alignment horizontal="right" vertical="center"/>
      <protection/>
    </xf>
    <xf numFmtId="174" fontId="15" fillId="35" borderId="0" xfId="0" applyNumberFormat="1" applyFont="1" applyFill="1" applyBorder="1" applyAlignment="1" applyProtection="1">
      <alignment horizontal="right"/>
      <protection/>
    </xf>
    <xf numFmtId="174" fontId="15" fillId="0" borderId="0" xfId="0" applyNumberFormat="1" applyFont="1" applyFill="1" applyBorder="1" applyAlignment="1" applyProtection="1">
      <alignment horizontal="right" vertical="center"/>
      <protection/>
    </xf>
    <xf numFmtId="174" fontId="15" fillId="0" borderId="0" xfId="0" applyNumberFormat="1" applyFont="1" applyFill="1" applyBorder="1" applyAlignment="1" applyProtection="1">
      <alignment horizontal="right"/>
      <protection/>
    </xf>
    <xf numFmtId="174" fontId="15" fillId="35" borderId="0" xfId="0" applyNumberFormat="1" applyFont="1" applyFill="1" applyBorder="1" applyAlignment="1" applyProtection="1">
      <alignment horizontal="left" wrapText="1"/>
      <protection/>
    </xf>
    <xf numFmtId="4" fontId="11" fillId="35" borderId="0" xfId="0" applyNumberFormat="1" applyFont="1" applyFill="1" applyBorder="1" applyAlignment="1" applyProtection="1">
      <alignment horizontal="right"/>
      <protection/>
    </xf>
    <xf numFmtId="174" fontId="66" fillId="35" borderId="0" xfId="0" applyNumberFormat="1" applyFont="1" applyFill="1" applyBorder="1" applyAlignment="1" applyProtection="1">
      <alignment horizontal="center" vertical="center"/>
      <protection/>
    </xf>
    <xf numFmtId="174" fontId="67" fillId="35" borderId="0" xfId="0" applyNumberFormat="1" applyFont="1" applyFill="1" applyBorder="1" applyAlignment="1" applyProtection="1">
      <alignment horizontal="center" vertical="center"/>
      <protection/>
    </xf>
    <xf numFmtId="174" fontId="67" fillId="35" borderId="0" xfId="0" applyNumberFormat="1" applyFont="1" applyFill="1" applyBorder="1" applyAlignment="1" applyProtection="1">
      <alignment horizontal="center"/>
      <protection/>
    </xf>
    <xf numFmtId="0" fontId="19" fillId="0" borderId="0" xfId="0" applyFont="1" applyFill="1" applyAlignment="1">
      <alignment horizontal="center"/>
    </xf>
    <xf numFmtId="4" fontId="7" fillId="38" borderId="17" xfId="0" applyNumberFormat="1" applyFont="1" applyFill="1" applyBorder="1" applyAlignment="1" applyProtection="1">
      <alignment horizontal="right" vertical="center"/>
      <protection/>
    </xf>
    <xf numFmtId="174" fontId="7" fillId="11" borderId="27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>
      <alignment horizontal="center"/>
    </xf>
    <xf numFmtId="4" fontId="7" fillId="38" borderId="18" xfId="0" applyNumberFormat="1" applyFont="1" applyFill="1" applyBorder="1" applyAlignment="1" applyProtection="1">
      <alignment horizontal="right" vertical="center"/>
      <protection/>
    </xf>
    <xf numFmtId="0" fontId="1" fillId="36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1" fillId="5" borderId="21" xfId="0" applyNumberFormat="1" applyFont="1" applyFill="1" applyBorder="1" applyAlignment="1">
      <alignment horizontal="center"/>
    </xf>
    <xf numFmtId="168" fontId="5" fillId="0" borderId="0" xfId="38" applyFont="1" applyFill="1" applyBorder="1" applyAlignment="1" applyProtection="1">
      <alignment horizontal="right" vertical="center"/>
      <protection/>
    </xf>
    <xf numFmtId="168" fontId="0" fillId="0" borderId="0" xfId="38" applyFont="1" applyAlignment="1">
      <alignment/>
    </xf>
    <xf numFmtId="168" fontId="69" fillId="0" borderId="0" xfId="38" applyFont="1" applyFill="1" applyAlignment="1">
      <alignment horizontal="left"/>
    </xf>
    <xf numFmtId="174" fontId="7" fillId="38" borderId="27" xfId="0" applyNumberFormat="1" applyFont="1" applyFill="1" applyBorder="1" applyAlignment="1" applyProtection="1">
      <alignment horizontal="center" vertical="center"/>
      <protection/>
    </xf>
    <xf numFmtId="174" fontId="7" fillId="38" borderId="17" xfId="0" applyNumberFormat="1" applyFont="1" applyFill="1" applyBorder="1" applyAlignment="1" applyProtection="1">
      <alignment horizontal="center" vertical="center"/>
      <protection/>
    </xf>
    <xf numFmtId="174" fontId="7" fillId="38" borderId="17" xfId="0" applyNumberFormat="1" applyFont="1" applyFill="1" applyBorder="1" applyAlignment="1" applyProtection="1">
      <alignment horizontal="left" vertical="center"/>
      <protection/>
    </xf>
    <xf numFmtId="174" fontId="7" fillId="38" borderId="17" xfId="0" applyNumberFormat="1" applyFont="1" applyFill="1" applyBorder="1" applyAlignment="1" applyProtection="1">
      <alignment horizontal="left" vertical="center" wrapText="1"/>
      <protection/>
    </xf>
    <xf numFmtId="174" fontId="7" fillId="36" borderId="27" xfId="0" applyNumberFormat="1" applyFont="1" applyFill="1" applyBorder="1" applyAlignment="1" applyProtection="1">
      <alignment horizontal="center" vertical="center"/>
      <protection/>
    </xf>
    <xf numFmtId="174" fontId="7" fillId="36" borderId="17" xfId="0" applyNumberFormat="1" applyFont="1" applyFill="1" applyBorder="1" applyAlignment="1" applyProtection="1">
      <alignment horizontal="center" vertical="center"/>
      <protection/>
    </xf>
    <xf numFmtId="174" fontId="7" fillId="36" borderId="17" xfId="0" applyNumberFormat="1" applyFont="1" applyFill="1" applyBorder="1" applyAlignment="1" applyProtection="1">
      <alignment horizontal="left" vertical="center"/>
      <protection/>
    </xf>
    <xf numFmtId="174" fontId="7" fillId="36" borderId="17" xfId="0" applyNumberFormat="1" applyFont="1" applyFill="1" applyBorder="1" applyAlignment="1" applyProtection="1">
      <alignment horizontal="left" vertical="center" wrapText="1"/>
      <protection/>
    </xf>
    <xf numFmtId="4" fontId="7" fillId="36" borderId="17" xfId="0" applyNumberFormat="1" applyFont="1" applyFill="1" applyBorder="1" applyAlignment="1" applyProtection="1">
      <alignment horizontal="right" vertical="center"/>
      <protection/>
    </xf>
    <xf numFmtId="4" fontId="7" fillId="36" borderId="18" xfId="0" applyNumberFormat="1" applyFont="1" applyFill="1" applyBorder="1" applyAlignment="1" applyProtection="1">
      <alignment horizontal="right" vertical="center"/>
      <protection/>
    </xf>
    <xf numFmtId="175" fontId="7" fillId="36" borderId="17" xfId="0" applyNumberFormat="1" applyFont="1" applyFill="1" applyBorder="1" applyAlignment="1" applyProtection="1">
      <alignment horizontal="right" vertical="center"/>
      <protection/>
    </xf>
    <xf numFmtId="0" fontId="68" fillId="36" borderId="0" xfId="0" applyFont="1" applyFill="1" applyAlignment="1">
      <alignment/>
    </xf>
    <xf numFmtId="0" fontId="0" fillId="36" borderId="0" xfId="0" applyFill="1" applyAlignment="1">
      <alignment/>
    </xf>
    <xf numFmtId="174" fontId="20" fillId="35" borderId="0" xfId="0" applyNumberFormat="1" applyFont="1" applyFill="1" applyBorder="1" applyAlignment="1" applyProtection="1">
      <alignment horizontal="left" wrapText="1"/>
      <protection/>
    </xf>
    <xf numFmtId="168" fontId="7" fillId="0" borderId="17" xfId="38" applyFont="1" applyFill="1" applyBorder="1" applyAlignment="1" applyProtection="1">
      <alignment horizontal="center" vertical="center"/>
      <protection/>
    </xf>
    <xf numFmtId="168" fontId="7" fillId="0" borderId="17" xfId="38" applyFont="1" applyFill="1" applyBorder="1" applyAlignment="1" applyProtection="1">
      <alignment horizontal="left" vertical="center"/>
      <protection/>
    </xf>
    <xf numFmtId="168" fontId="0" fillId="0" borderId="0" xfId="38" applyFont="1" applyAlignment="1">
      <alignment/>
    </xf>
    <xf numFmtId="4" fontId="0" fillId="0" borderId="0" xfId="0" applyNumberFormat="1" applyAlignment="1">
      <alignment/>
    </xf>
    <xf numFmtId="4" fontId="70" fillId="0" borderId="0" xfId="0" applyNumberFormat="1" applyFont="1" applyAlignment="1">
      <alignment/>
    </xf>
    <xf numFmtId="174" fontId="17" fillId="35" borderId="0" xfId="0" applyNumberFormat="1" applyFont="1" applyFill="1" applyBorder="1" applyAlignment="1" applyProtection="1">
      <alignment horizontal="left" wrapText="1"/>
      <protection/>
    </xf>
    <xf numFmtId="4" fontId="7" fillId="39" borderId="17" xfId="0" applyNumberFormat="1" applyFont="1" applyFill="1" applyBorder="1" applyAlignment="1" applyProtection="1">
      <alignment horizontal="right" vertical="center"/>
      <protection/>
    </xf>
    <xf numFmtId="0" fontId="15" fillId="33" borderId="0" xfId="0" applyFont="1" applyFill="1" applyAlignment="1">
      <alignment vertical="center"/>
    </xf>
    <xf numFmtId="0" fontId="7" fillId="40" borderId="0" xfId="0" applyFont="1" applyFill="1" applyAlignment="1">
      <alignment vertical="center"/>
    </xf>
    <xf numFmtId="14" fontId="7" fillId="40" borderId="0" xfId="0" applyNumberFormat="1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4" fillId="33" borderId="0" xfId="0" applyNumberFormat="1" applyFont="1" applyFill="1" applyAlignment="1" applyProtection="1">
      <alignment vertical="center"/>
      <protection/>
    </xf>
    <xf numFmtId="0" fontId="18" fillId="33" borderId="0" xfId="0" applyFont="1" applyFill="1" applyAlignment="1">
      <alignment vertical="center"/>
    </xf>
    <xf numFmtId="0" fontId="1" fillId="36" borderId="24" xfId="0" applyFont="1" applyFill="1" applyBorder="1" applyAlignment="1">
      <alignment horizontal="left" indent="1"/>
    </xf>
    <xf numFmtId="0" fontId="1" fillId="36" borderId="21" xfId="0" applyFont="1" applyFill="1" applyBorder="1" applyAlignment="1">
      <alignment horizontal="left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V80"/>
  <sheetViews>
    <sheetView tabSelected="1" workbookViewId="0" topLeftCell="A10">
      <selection activeCell="H22" sqref="H22"/>
    </sheetView>
  </sheetViews>
  <sheetFormatPr defaultColWidth="9.140625" defaultRowHeight="12.75"/>
  <cols>
    <col min="1" max="1" width="4.421875" style="39" customWidth="1"/>
    <col min="2" max="2" width="4.421875" style="0" customWidth="1"/>
    <col min="3" max="3" width="6.57421875" style="0" customWidth="1"/>
    <col min="4" max="4" width="0" style="0" hidden="1" customWidth="1"/>
    <col min="5" max="5" width="47.421875" style="0" customWidth="1"/>
    <col min="6" max="6" width="4.57421875" style="0" customWidth="1"/>
    <col min="7" max="7" width="10.421875" style="0" customWidth="1"/>
    <col min="8" max="8" width="9.8515625" style="0" customWidth="1"/>
    <col min="9" max="9" width="12.00390625" style="0" customWidth="1"/>
    <col min="10" max="10" width="11.140625" style="0" customWidth="1"/>
    <col min="11" max="11" width="20.140625" style="0" customWidth="1"/>
    <col min="12" max="12" width="12.57421875" style="0" customWidth="1"/>
    <col min="14" max="14" width="9.140625" style="0" bestFit="1" customWidth="1"/>
    <col min="15" max="15" width="9.00390625" style="0" customWidth="1"/>
    <col min="16" max="16" width="9.57421875" style="0" customWidth="1"/>
    <col min="17" max="17" width="12.421875" style="0" customWidth="1"/>
    <col min="18" max="18" width="10.421875" style="0" customWidth="1"/>
    <col min="19" max="19" width="10.57421875" style="0" customWidth="1"/>
    <col min="20" max="20" width="4.57421875" style="0" customWidth="1"/>
  </cols>
  <sheetData>
    <row r="1" ht="19.5" customHeight="1"/>
    <row r="2" spans="1:9" ht="42.75" customHeight="1">
      <c r="A2" s="52"/>
      <c r="B2" s="158" t="s">
        <v>134</v>
      </c>
      <c r="C2" s="1"/>
      <c r="D2" s="1"/>
      <c r="E2" s="1"/>
      <c r="F2" s="1"/>
      <c r="G2" s="1"/>
      <c r="H2" s="1"/>
      <c r="I2" s="1"/>
    </row>
    <row r="3" spans="1:9" ht="15" customHeight="1">
      <c r="A3" s="53"/>
      <c r="B3" s="157" t="s">
        <v>132</v>
      </c>
      <c r="C3" s="41"/>
      <c r="D3" s="41"/>
      <c r="E3" s="159" t="s">
        <v>131</v>
      </c>
      <c r="F3" s="41"/>
      <c r="G3" s="41" t="s">
        <v>68</v>
      </c>
      <c r="H3" s="155"/>
      <c r="I3" s="42"/>
    </row>
    <row r="4" spans="1:9" ht="27" customHeight="1">
      <c r="A4" s="53"/>
      <c r="B4" s="157" t="s">
        <v>133</v>
      </c>
      <c r="C4" s="41"/>
      <c r="D4" s="41"/>
      <c r="E4" s="41"/>
      <c r="F4" s="41"/>
      <c r="G4" s="41"/>
      <c r="H4" s="41"/>
      <c r="I4" s="42"/>
    </row>
    <row r="5" spans="1:9" ht="15" customHeight="1">
      <c r="A5" s="54"/>
      <c r="B5" s="41" t="s">
        <v>129</v>
      </c>
      <c r="C5" s="41"/>
      <c r="D5" s="41"/>
      <c r="E5" s="154" t="s">
        <v>130</v>
      </c>
      <c r="F5" s="41"/>
      <c r="G5" s="41" t="s">
        <v>84</v>
      </c>
      <c r="H5" s="155"/>
      <c r="I5" s="42"/>
    </row>
    <row r="6" spans="1:9" ht="15" customHeight="1">
      <c r="A6" s="54"/>
      <c r="B6" s="41" t="s">
        <v>128</v>
      </c>
      <c r="C6" s="41"/>
      <c r="D6" s="41"/>
      <c r="E6" s="155"/>
      <c r="F6" s="41"/>
      <c r="G6" s="41" t="s">
        <v>85</v>
      </c>
      <c r="H6" s="156"/>
      <c r="I6" s="42"/>
    </row>
    <row r="7" spans="1:9" ht="18" customHeight="1">
      <c r="A7" s="55"/>
      <c r="B7" s="2"/>
      <c r="C7" s="2"/>
      <c r="D7" s="2"/>
      <c r="E7" s="2"/>
      <c r="F7" s="2"/>
      <c r="G7" s="2"/>
      <c r="H7" s="2"/>
      <c r="I7" s="1"/>
    </row>
    <row r="8" spans="1:9" ht="18">
      <c r="A8" s="56"/>
      <c r="B8" s="3" t="s">
        <v>11</v>
      </c>
      <c r="C8" s="4" t="s">
        <v>9</v>
      </c>
      <c r="D8" s="4" t="s">
        <v>0</v>
      </c>
      <c r="E8" s="4" t="s">
        <v>7</v>
      </c>
      <c r="F8" s="4" t="s">
        <v>2</v>
      </c>
      <c r="G8" s="4" t="s">
        <v>5</v>
      </c>
      <c r="H8" s="4" t="s">
        <v>10</v>
      </c>
      <c r="I8" s="5" t="s">
        <v>6</v>
      </c>
    </row>
    <row r="9" spans="1:9" ht="12">
      <c r="A9" s="57"/>
      <c r="B9" s="6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8">
        <v>8</v>
      </c>
    </row>
    <row r="10" spans="1:19" ht="19.5" customHeight="1">
      <c r="A10" s="50"/>
      <c r="B10" s="9"/>
      <c r="C10" s="10"/>
      <c r="D10" s="11"/>
      <c r="E10" s="64" t="s">
        <v>76</v>
      </c>
      <c r="F10" s="19"/>
      <c r="G10" s="12"/>
      <c r="H10" s="13"/>
      <c r="I10" s="13"/>
      <c r="M10" s="102"/>
      <c r="N10" s="103"/>
      <c r="O10" s="103"/>
      <c r="P10" s="85"/>
      <c r="Q10" s="39"/>
      <c r="R10" s="85"/>
      <c r="S10" s="104"/>
    </row>
    <row r="11" spans="1:19" ht="18" customHeight="1">
      <c r="A11" s="40"/>
      <c r="B11" s="137">
        <v>1</v>
      </c>
      <c r="C11" s="138" t="s">
        <v>60</v>
      </c>
      <c r="D11" s="139"/>
      <c r="E11" s="140" t="s">
        <v>91</v>
      </c>
      <c r="F11" s="138" t="s">
        <v>1</v>
      </c>
      <c r="G11" s="141">
        <f>M34*0.65</f>
        <v>27.326</v>
      </c>
      <c r="H11" s="153"/>
      <c r="I11" s="142">
        <f>H11*G11</f>
        <v>0</v>
      </c>
      <c r="J11" s="144"/>
      <c r="M11" s="101"/>
      <c r="N11" s="101"/>
      <c r="O11" s="101"/>
      <c r="P11" s="85"/>
      <c r="Q11" s="88"/>
      <c r="R11" s="100"/>
      <c r="S11" s="88"/>
    </row>
    <row r="12" spans="1:19" ht="18" customHeight="1">
      <c r="A12" s="40"/>
      <c r="B12" s="137">
        <v>2</v>
      </c>
      <c r="C12" s="138" t="s">
        <v>60</v>
      </c>
      <c r="D12" s="139"/>
      <c r="E12" s="140" t="s">
        <v>92</v>
      </c>
      <c r="F12" s="138" t="s">
        <v>3</v>
      </c>
      <c r="G12" s="141">
        <v>1</v>
      </c>
      <c r="H12" s="153"/>
      <c r="I12" s="142">
        <f>H12*G12</f>
        <v>0</v>
      </c>
      <c r="J12" s="145"/>
      <c r="M12" s="101"/>
      <c r="N12" s="101"/>
      <c r="O12" s="101"/>
      <c r="P12" s="85"/>
      <c r="Q12" s="88"/>
      <c r="R12" s="100"/>
      <c r="S12" s="88"/>
    </row>
    <row r="13" spans="1:19" ht="18" customHeight="1">
      <c r="A13" s="40"/>
      <c r="B13" s="137">
        <v>3</v>
      </c>
      <c r="C13" s="138" t="s">
        <v>60</v>
      </c>
      <c r="D13" s="139"/>
      <c r="E13" s="140" t="s">
        <v>87</v>
      </c>
      <c r="F13" s="138" t="s">
        <v>69</v>
      </c>
      <c r="G13" s="143">
        <f>G11*0.005</f>
        <v>0.13663</v>
      </c>
      <c r="H13" s="153"/>
      <c r="I13" s="142">
        <f>H13*G13</f>
        <v>0</v>
      </c>
      <c r="J13" s="145"/>
      <c r="M13" s="101"/>
      <c r="N13" s="101"/>
      <c r="O13" s="101"/>
      <c r="P13" s="85"/>
      <c r="Q13" s="88"/>
      <c r="R13" s="100"/>
      <c r="S13" s="88"/>
    </row>
    <row r="14" spans="1:19" ht="18" customHeight="1">
      <c r="A14" s="40"/>
      <c r="B14" s="137">
        <v>4</v>
      </c>
      <c r="C14" s="138" t="s">
        <v>60</v>
      </c>
      <c r="D14" s="139"/>
      <c r="E14" s="140" t="s">
        <v>86</v>
      </c>
      <c r="F14" s="138" t="s">
        <v>3</v>
      </c>
      <c r="G14" s="143">
        <v>1</v>
      </c>
      <c r="H14" s="153"/>
      <c r="I14" s="142">
        <f>H14*G14</f>
        <v>0</v>
      </c>
      <c r="J14" s="145"/>
      <c r="M14" s="101"/>
      <c r="N14" s="101"/>
      <c r="O14" s="101"/>
      <c r="P14" s="85"/>
      <c r="Q14" s="88"/>
      <c r="R14" s="100"/>
      <c r="S14" s="88"/>
    </row>
    <row r="15" spans="1:19" ht="18" customHeight="1">
      <c r="A15" s="40"/>
      <c r="B15" s="78"/>
      <c r="C15" s="78"/>
      <c r="D15" s="79"/>
      <c r="E15" s="44" t="str">
        <f>E10</f>
        <v>Demontáže</v>
      </c>
      <c r="F15" s="78"/>
      <c r="G15" s="111"/>
      <c r="H15" s="80"/>
      <c r="I15" s="43">
        <f>SUM(I11:I14)</f>
        <v>0</v>
      </c>
      <c r="M15" s="101"/>
      <c r="N15" s="101"/>
      <c r="O15" s="101"/>
      <c r="P15" s="85"/>
      <c r="Q15" s="88"/>
      <c r="R15" s="100"/>
      <c r="S15" s="88"/>
    </row>
    <row r="16" spans="1:9" ht="19.5" customHeight="1">
      <c r="A16" s="50"/>
      <c r="B16" s="9"/>
      <c r="C16" s="10"/>
      <c r="D16" s="11"/>
      <c r="E16" s="64" t="s">
        <v>78</v>
      </c>
      <c r="F16" s="19"/>
      <c r="G16" s="12"/>
      <c r="H16" s="13"/>
      <c r="I16" s="13"/>
    </row>
    <row r="17" spans="1:9" ht="19.5" customHeight="1">
      <c r="A17" s="50"/>
      <c r="B17" s="123">
        <v>5</v>
      </c>
      <c r="C17" s="45"/>
      <c r="D17" s="46"/>
      <c r="E17" s="47" t="s">
        <v>93</v>
      </c>
      <c r="F17" s="45" t="s">
        <v>1</v>
      </c>
      <c r="G17" s="48">
        <f>O21</f>
        <v>107.43249999999999</v>
      </c>
      <c r="H17" s="153"/>
      <c r="I17" s="110">
        <f>H17*G17</f>
        <v>0</v>
      </c>
    </row>
    <row r="18" spans="1:19" ht="19.5" customHeight="1">
      <c r="A18" s="50"/>
      <c r="B18" s="133">
        <v>6</v>
      </c>
      <c r="C18" s="134"/>
      <c r="D18" s="135"/>
      <c r="E18" s="136" t="s">
        <v>80</v>
      </c>
      <c r="F18" s="134" t="s">
        <v>1</v>
      </c>
      <c r="G18" s="122">
        <f>G17</f>
        <v>107.43249999999999</v>
      </c>
      <c r="H18" s="153"/>
      <c r="I18" s="125">
        <f aca="true" t="shared" si="0" ref="I18:I29">H18*G18</f>
        <v>0</v>
      </c>
      <c r="J18" s="18" t="s">
        <v>106</v>
      </c>
      <c r="M18" s="102"/>
      <c r="N18" s="103"/>
      <c r="O18" s="103"/>
      <c r="P18" s="85"/>
      <c r="Q18" s="39"/>
      <c r="R18" s="85"/>
      <c r="S18" s="104"/>
    </row>
    <row r="19" spans="1:19" ht="19.5" customHeight="1">
      <c r="A19" s="50"/>
      <c r="B19" s="133">
        <v>7</v>
      </c>
      <c r="C19" s="134"/>
      <c r="D19" s="135"/>
      <c r="E19" s="136" t="s">
        <v>96</v>
      </c>
      <c r="F19" s="134" t="s">
        <v>1</v>
      </c>
      <c r="G19" s="122">
        <f>G18*1.2</f>
        <v>128.91899999999998</v>
      </c>
      <c r="H19" s="153"/>
      <c r="I19" s="125">
        <f t="shared" si="0"/>
        <v>0</v>
      </c>
      <c r="J19" s="18" t="s">
        <v>106</v>
      </c>
      <c r="M19" s="74" t="s">
        <v>40</v>
      </c>
      <c r="N19" s="93"/>
      <c r="O19" s="93"/>
      <c r="P19" s="96" t="s">
        <v>13</v>
      </c>
      <c r="R19" s="85"/>
      <c r="S19" s="104"/>
    </row>
    <row r="20" spans="1:19" ht="18" customHeight="1">
      <c r="A20" s="40"/>
      <c r="B20" s="123">
        <v>8</v>
      </c>
      <c r="C20" s="45" t="s">
        <v>60</v>
      </c>
      <c r="D20" s="46" t="s">
        <v>58</v>
      </c>
      <c r="E20" s="47" t="s">
        <v>94</v>
      </c>
      <c r="F20" s="45" t="s">
        <v>1</v>
      </c>
      <c r="G20" s="48">
        <f>G17</f>
        <v>107.43249999999999</v>
      </c>
      <c r="H20" s="153"/>
      <c r="I20" s="49">
        <f t="shared" si="0"/>
        <v>0</v>
      </c>
      <c r="L20" s="121"/>
      <c r="M20" s="105" t="s">
        <v>8</v>
      </c>
      <c r="N20" s="106" t="s">
        <v>8</v>
      </c>
      <c r="O20" s="107" t="s">
        <v>1</v>
      </c>
      <c r="P20" s="126" t="s">
        <v>1</v>
      </c>
      <c r="Q20" s="89"/>
      <c r="R20" s="85"/>
      <c r="S20" s="104"/>
    </row>
    <row r="21" spans="1:19" ht="18" customHeight="1">
      <c r="A21" s="40"/>
      <c r="B21" s="123">
        <v>9</v>
      </c>
      <c r="C21" s="45" t="s">
        <v>60</v>
      </c>
      <c r="D21" s="46"/>
      <c r="E21" s="47" t="s">
        <v>111</v>
      </c>
      <c r="F21" s="45" t="s">
        <v>8</v>
      </c>
      <c r="G21" s="48">
        <f>M32+M33+P29</f>
        <v>64.03999999999999</v>
      </c>
      <c r="H21" s="153"/>
      <c r="I21" s="110">
        <f t="shared" si="0"/>
        <v>0</v>
      </c>
      <c r="L21" s="121" t="s">
        <v>82</v>
      </c>
      <c r="M21" s="105">
        <v>12.25</v>
      </c>
      <c r="N21" s="106">
        <f>2.45+3.75+2.57</f>
        <v>8.77</v>
      </c>
      <c r="O21" s="107">
        <f>M21*N21</f>
        <v>107.43249999999999</v>
      </c>
      <c r="P21" s="126"/>
      <c r="Q21" s="89"/>
      <c r="R21" s="85"/>
      <c r="S21" s="104"/>
    </row>
    <row r="22" spans="1:19" ht="18" customHeight="1">
      <c r="A22" s="40"/>
      <c r="B22" s="123">
        <v>10</v>
      </c>
      <c r="C22" s="45" t="s">
        <v>60</v>
      </c>
      <c r="D22" s="46"/>
      <c r="E22" s="47" t="s">
        <v>95</v>
      </c>
      <c r="F22" s="45" t="s">
        <v>1</v>
      </c>
      <c r="G22" s="48">
        <f>(G20+G21*0.55)*1.24</f>
        <v>176.89157999999998</v>
      </c>
      <c r="H22" s="153"/>
      <c r="I22" s="110">
        <f t="shared" si="0"/>
        <v>0</v>
      </c>
      <c r="L22" s="121" t="s">
        <v>83</v>
      </c>
      <c r="M22" s="127">
        <v>3.75</v>
      </c>
      <c r="N22" s="128">
        <v>7.25</v>
      </c>
      <c r="O22" s="129">
        <f>-M22*N22</f>
        <v>-27.1875</v>
      </c>
      <c r="P22" s="84">
        <f>O21+O22</f>
        <v>80.24499999999999</v>
      </c>
      <c r="Q22" s="89"/>
      <c r="R22" s="85"/>
      <c r="S22" s="104"/>
    </row>
    <row r="23" spans="1:19" ht="18" customHeight="1">
      <c r="A23" s="40"/>
      <c r="B23" s="123">
        <v>11</v>
      </c>
      <c r="C23" s="45"/>
      <c r="D23" s="46"/>
      <c r="E23" s="47" t="s">
        <v>110</v>
      </c>
      <c r="F23" s="45" t="s">
        <v>4</v>
      </c>
      <c r="G23" s="48">
        <f>ROUND(G21*3,0)</f>
        <v>192</v>
      </c>
      <c r="H23" s="153"/>
      <c r="I23" s="49">
        <f>H23*G23</f>
        <v>0</v>
      </c>
      <c r="L23" s="121"/>
      <c r="M23" s="101"/>
      <c r="N23" s="100"/>
      <c r="O23" s="124"/>
      <c r="P23" s="124"/>
      <c r="Q23" s="89"/>
      <c r="R23" s="85"/>
      <c r="S23" s="104"/>
    </row>
    <row r="24" spans="1:9" ht="18" customHeight="1">
      <c r="A24" s="40"/>
      <c r="B24" s="123">
        <v>12</v>
      </c>
      <c r="C24" s="45"/>
      <c r="D24" s="46"/>
      <c r="E24" s="47" t="s">
        <v>109</v>
      </c>
      <c r="F24" s="45" t="s">
        <v>4</v>
      </c>
      <c r="G24" s="48">
        <f>G23</f>
        <v>192</v>
      </c>
      <c r="H24" s="153"/>
      <c r="I24" s="49">
        <f>H24*G24</f>
        <v>0</v>
      </c>
    </row>
    <row r="25" spans="1:9" ht="18" customHeight="1">
      <c r="A25" s="40"/>
      <c r="B25" s="123">
        <v>13</v>
      </c>
      <c r="C25" s="45" t="s">
        <v>60</v>
      </c>
      <c r="D25" s="46"/>
      <c r="E25" s="47" t="s">
        <v>97</v>
      </c>
      <c r="F25" s="45" t="s">
        <v>1</v>
      </c>
      <c r="G25" s="48">
        <f>O21</f>
        <v>107.43249999999999</v>
      </c>
      <c r="H25" s="153"/>
      <c r="I25" s="110">
        <f t="shared" si="0"/>
        <v>0</v>
      </c>
    </row>
    <row r="26" spans="1:17" ht="18" customHeight="1">
      <c r="A26" s="40"/>
      <c r="B26" s="123">
        <v>14</v>
      </c>
      <c r="C26" s="45" t="s">
        <v>60</v>
      </c>
      <c r="D26" s="46" t="s">
        <v>58</v>
      </c>
      <c r="E26" s="47" t="s">
        <v>77</v>
      </c>
      <c r="F26" s="45" t="s">
        <v>8</v>
      </c>
      <c r="G26" s="48">
        <f>G21</f>
        <v>64.03999999999999</v>
      </c>
      <c r="H26" s="153"/>
      <c r="I26" s="110">
        <f t="shared" si="0"/>
        <v>0</v>
      </c>
      <c r="L26" s="121"/>
      <c r="M26" s="74" t="s">
        <v>83</v>
      </c>
      <c r="N26" s="94"/>
      <c r="O26" s="94"/>
      <c r="P26" s="95"/>
      <c r="Q26" s="90"/>
    </row>
    <row r="27" spans="1:17" ht="18" customHeight="1">
      <c r="A27" s="40"/>
      <c r="B27" s="123">
        <v>15</v>
      </c>
      <c r="C27" s="45"/>
      <c r="D27" s="46"/>
      <c r="E27" s="47" t="s">
        <v>113</v>
      </c>
      <c r="F27" s="45" t="s">
        <v>1</v>
      </c>
      <c r="G27" s="48">
        <f>(G25+G26*0.8)*1.24</f>
        <v>196.74397999999997</v>
      </c>
      <c r="H27" s="153"/>
      <c r="I27" s="110">
        <f t="shared" si="0"/>
        <v>0</v>
      </c>
      <c r="L27" s="121"/>
      <c r="M27" s="75" t="s">
        <v>8</v>
      </c>
      <c r="N27" s="76" t="s">
        <v>8</v>
      </c>
      <c r="O27" s="85" t="s">
        <v>1</v>
      </c>
      <c r="P27" s="99" t="s">
        <v>70</v>
      </c>
      <c r="Q27" s="89"/>
    </row>
    <row r="28" spans="1:17" ht="18" customHeight="1">
      <c r="A28" s="40"/>
      <c r="B28" s="123">
        <v>16</v>
      </c>
      <c r="C28" s="45" t="s">
        <v>60</v>
      </c>
      <c r="D28" s="46" t="s">
        <v>59</v>
      </c>
      <c r="E28" s="47" t="s">
        <v>65</v>
      </c>
      <c r="F28" s="45" t="s">
        <v>8</v>
      </c>
      <c r="G28" s="48">
        <f>G26</f>
        <v>64.03999999999999</v>
      </c>
      <c r="H28" s="153"/>
      <c r="I28" s="110">
        <f t="shared" si="0"/>
        <v>0</v>
      </c>
      <c r="L28" s="121"/>
      <c r="M28" s="127">
        <v>3.75</v>
      </c>
      <c r="N28" s="128">
        <v>7.25</v>
      </c>
      <c r="O28" s="106">
        <f>N28*M28</f>
        <v>27.1875</v>
      </c>
      <c r="P28" s="109">
        <f>(M28+N28)*2</f>
        <v>22</v>
      </c>
      <c r="Q28" s="91"/>
    </row>
    <row r="29" spans="1:22" ht="18" customHeight="1">
      <c r="A29" s="40"/>
      <c r="B29" s="123">
        <v>17</v>
      </c>
      <c r="C29" s="45" t="s">
        <v>60</v>
      </c>
      <c r="D29" s="46"/>
      <c r="E29" s="47" t="s">
        <v>66</v>
      </c>
      <c r="F29" s="45" t="s">
        <v>8</v>
      </c>
      <c r="G29" s="48">
        <f>G28*1.1</f>
        <v>70.444</v>
      </c>
      <c r="H29" s="153"/>
      <c r="I29" s="110">
        <f t="shared" si="0"/>
        <v>0</v>
      </c>
      <c r="L29" s="121"/>
      <c r="M29" s="160" t="s">
        <v>71</v>
      </c>
      <c r="N29" s="161"/>
      <c r="O29" s="77">
        <f>O28</f>
        <v>27.1875</v>
      </c>
      <c r="P29" s="84">
        <f>P28</f>
        <v>22</v>
      </c>
      <c r="Q29" s="92"/>
      <c r="T29" s="121"/>
      <c r="U29" s="121"/>
      <c r="V29" s="121"/>
    </row>
    <row r="30" spans="1:9" ht="18" customHeight="1">
      <c r="A30" s="40"/>
      <c r="B30" s="123">
        <v>18</v>
      </c>
      <c r="C30" s="45"/>
      <c r="D30" s="46"/>
      <c r="E30" s="47" t="s">
        <v>98</v>
      </c>
      <c r="F30" s="45" t="s">
        <v>4</v>
      </c>
      <c r="G30" s="48">
        <v>1</v>
      </c>
      <c r="H30" s="153"/>
      <c r="I30" s="110">
        <f>H30*G30</f>
        <v>0</v>
      </c>
    </row>
    <row r="31" spans="1:14" s="131" customFormat="1" ht="18" customHeight="1">
      <c r="A31" s="130"/>
      <c r="B31" s="123">
        <v>19</v>
      </c>
      <c r="C31" s="147" t="s">
        <v>60</v>
      </c>
      <c r="D31" s="148"/>
      <c r="E31" s="47" t="s">
        <v>122</v>
      </c>
      <c r="F31" s="147" t="s">
        <v>3</v>
      </c>
      <c r="G31" s="48">
        <v>1</v>
      </c>
      <c r="H31" s="153"/>
      <c r="I31" s="49">
        <f>H31*G31</f>
        <v>0</v>
      </c>
      <c r="J31" s="149" t="s">
        <v>123</v>
      </c>
      <c r="L31" s="132"/>
      <c r="M31" s="74" t="s">
        <v>72</v>
      </c>
      <c r="N31" s="95"/>
    </row>
    <row r="32" spans="1:19" ht="18" customHeight="1">
      <c r="A32" s="40"/>
      <c r="B32" s="123">
        <v>20</v>
      </c>
      <c r="C32" s="45" t="s">
        <v>60</v>
      </c>
      <c r="D32" s="46"/>
      <c r="E32" s="47" t="s">
        <v>75</v>
      </c>
      <c r="F32" s="45" t="s">
        <v>3</v>
      </c>
      <c r="G32" s="48">
        <v>1</v>
      </c>
      <c r="H32" s="153"/>
      <c r="I32" s="110">
        <f>H32*G32</f>
        <v>0</v>
      </c>
      <c r="M32" s="105">
        <f>M21*2+N21*2</f>
        <v>42.04</v>
      </c>
      <c r="N32" s="86"/>
      <c r="O32" s="100"/>
      <c r="P32" s="100"/>
      <c r="Q32" s="91"/>
      <c r="R32" s="100"/>
      <c r="S32" s="100"/>
    </row>
    <row r="33" spans="1:14" ht="18" customHeight="1">
      <c r="A33" s="37"/>
      <c r="B33" s="35"/>
      <c r="C33" s="14"/>
      <c r="D33" s="15"/>
      <c r="E33" s="44" t="s">
        <v>12</v>
      </c>
      <c r="F33" s="118"/>
      <c r="G33" s="30"/>
      <c r="H33" s="30"/>
      <c r="I33" s="43">
        <f>SUM(I17:I32)</f>
        <v>0</v>
      </c>
      <c r="M33" s="108"/>
      <c r="N33" s="98"/>
    </row>
    <row r="34" spans="1:14" ht="18" customHeight="1">
      <c r="A34" s="37"/>
      <c r="B34" s="35"/>
      <c r="C34" s="14"/>
      <c r="D34" s="15"/>
      <c r="E34" s="64" t="s">
        <v>79</v>
      </c>
      <c r="F34" s="118"/>
      <c r="G34" s="30"/>
      <c r="H34" s="30"/>
      <c r="I34" s="61"/>
      <c r="M34" s="87">
        <f>M32</f>
        <v>42.04</v>
      </c>
      <c r="N34" s="84" t="s">
        <v>70</v>
      </c>
    </row>
    <row r="35" spans="1:9" ht="18" customHeight="1">
      <c r="A35" s="37"/>
      <c r="B35" s="123">
        <v>21</v>
      </c>
      <c r="C35" s="45" t="s">
        <v>60</v>
      </c>
      <c r="D35" s="46"/>
      <c r="E35" s="47" t="s">
        <v>100</v>
      </c>
      <c r="F35" s="45" t="s">
        <v>1</v>
      </c>
      <c r="G35" s="48">
        <f>G17</f>
        <v>107.43249999999999</v>
      </c>
      <c r="H35" s="153"/>
      <c r="I35" s="49">
        <f aca="true" t="shared" si="1" ref="I35:I43">H35*G35</f>
        <v>0</v>
      </c>
    </row>
    <row r="36" spans="1:9" ht="18" customHeight="1">
      <c r="A36" s="37"/>
      <c r="B36" s="123">
        <v>22</v>
      </c>
      <c r="C36" s="45" t="s">
        <v>60</v>
      </c>
      <c r="D36" s="46"/>
      <c r="E36" s="47" t="s">
        <v>99</v>
      </c>
      <c r="F36" s="45" t="s">
        <v>1</v>
      </c>
      <c r="G36" s="48">
        <f>G35</f>
        <v>107.43249999999999</v>
      </c>
      <c r="H36" s="153"/>
      <c r="I36" s="49">
        <f t="shared" si="1"/>
        <v>0</v>
      </c>
    </row>
    <row r="37" spans="1:9" ht="18" customHeight="1">
      <c r="A37" s="37"/>
      <c r="B37" s="123">
        <v>23</v>
      </c>
      <c r="C37" s="45"/>
      <c r="D37" s="46"/>
      <c r="E37" s="47" t="s">
        <v>107</v>
      </c>
      <c r="F37" s="45" t="s">
        <v>8</v>
      </c>
      <c r="G37" s="48">
        <v>3.75</v>
      </c>
      <c r="H37" s="153"/>
      <c r="I37" s="49">
        <f t="shared" si="1"/>
        <v>0</v>
      </c>
    </row>
    <row r="38" spans="1:9" ht="18" customHeight="1">
      <c r="A38" s="37"/>
      <c r="B38" s="123">
        <v>24</v>
      </c>
      <c r="C38" s="45"/>
      <c r="D38" s="46"/>
      <c r="E38" s="47" t="s">
        <v>108</v>
      </c>
      <c r="F38" s="45" t="s">
        <v>8</v>
      </c>
      <c r="G38" s="48">
        <f>2</f>
        <v>2</v>
      </c>
      <c r="H38" s="153"/>
      <c r="I38" s="49">
        <f t="shared" si="1"/>
        <v>0</v>
      </c>
    </row>
    <row r="39" spans="1:9" ht="18" customHeight="1">
      <c r="A39" s="37"/>
      <c r="B39" s="123">
        <v>25</v>
      </c>
      <c r="C39" s="45"/>
      <c r="D39" s="46"/>
      <c r="E39" s="47" t="s">
        <v>112</v>
      </c>
      <c r="F39" s="45" t="s">
        <v>8</v>
      </c>
      <c r="G39" s="48">
        <v>2</v>
      </c>
      <c r="H39" s="153"/>
      <c r="I39" s="49">
        <f>H39*G39</f>
        <v>0</v>
      </c>
    </row>
    <row r="40" spans="1:9" ht="18" customHeight="1">
      <c r="A40" s="37"/>
      <c r="B40" s="123">
        <v>26</v>
      </c>
      <c r="C40" s="45"/>
      <c r="D40" s="46"/>
      <c r="E40" s="47" t="s">
        <v>103</v>
      </c>
      <c r="F40" s="45" t="s">
        <v>1</v>
      </c>
      <c r="G40" s="48">
        <f>G41</f>
        <v>107.43249999999999</v>
      </c>
      <c r="H40" s="153"/>
      <c r="I40" s="49">
        <f t="shared" si="1"/>
        <v>0</v>
      </c>
    </row>
    <row r="41" spans="1:9" ht="18" customHeight="1">
      <c r="A41" s="37"/>
      <c r="B41" s="123">
        <v>27</v>
      </c>
      <c r="C41" s="45"/>
      <c r="D41" s="46"/>
      <c r="E41" s="47" t="s">
        <v>102</v>
      </c>
      <c r="F41" s="45" t="s">
        <v>1</v>
      </c>
      <c r="G41" s="48">
        <f>G35</f>
        <v>107.43249999999999</v>
      </c>
      <c r="H41" s="153"/>
      <c r="I41" s="49">
        <f t="shared" si="1"/>
        <v>0</v>
      </c>
    </row>
    <row r="42" spans="1:9" ht="18" customHeight="1">
      <c r="A42" s="37"/>
      <c r="B42" s="123">
        <v>28</v>
      </c>
      <c r="C42" s="45"/>
      <c r="D42" s="46"/>
      <c r="E42" s="47" t="s">
        <v>101</v>
      </c>
      <c r="F42" s="45" t="s">
        <v>3</v>
      </c>
      <c r="G42" s="48">
        <v>1</v>
      </c>
      <c r="H42" s="153"/>
      <c r="I42" s="49">
        <f t="shared" si="1"/>
        <v>0</v>
      </c>
    </row>
    <row r="43" spans="1:9" ht="18" customHeight="1">
      <c r="A43" s="37"/>
      <c r="B43" s="123">
        <v>29</v>
      </c>
      <c r="C43" s="45" t="s">
        <v>60</v>
      </c>
      <c r="D43" s="46"/>
      <c r="E43" s="47" t="s">
        <v>75</v>
      </c>
      <c r="F43" s="45" t="s">
        <v>3</v>
      </c>
      <c r="G43" s="48">
        <v>1</v>
      </c>
      <c r="H43" s="153"/>
      <c r="I43" s="49">
        <f t="shared" si="1"/>
        <v>0</v>
      </c>
    </row>
    <row r="44" spans="1:9" ht="18" customHeight="1">
      <c r="A44" s="37"/>
      <c r="B44" s="35"/>
      <c r="C44" s="14"/>
      <c r="D44" s="15"/>
      <c r="E44" s="44" t="str">
        <f>E34</f>
        <v>Tepelné izolace</v>
      </c>
      <c r="F44" s="118"/>
      <c r="G44" s="30"/>
      <c r="H44" s="30"/>
      <c r="I44" s="43">
        <f>SUM(I35:I43)</f>
        <v>0</v>
      </c>
    </row>
    <row r="45" spans="1:9" ht="18" customHeight="1">
      <c r="A45" s="38"/>
      <c r="B45" s="36"/>
      <c r="C45" s="10"/>
      <c r="D45" s="11"/>
      <c r="E45" s="116" t="s">
        <v>67</v>
      </c>
      <c r="F45" s="19"/>
      <c r="G45" s="117"/>
      <c r="H45" s="117"/>
      <c r="I45" s="31"/>
    </row>
    <row r="46" spans="1:9" ht="18" customHeight="1">
      <c r="A46" s="40"/>
      <c r="B46" s="123">
        <v>30</v>
      </c>
      <c r="C46" s="45" t="s">
        <v>60</v>
      </c>
      <c r="D46" s="46" t="s">
        <v>58</v>
      </c>
      <c r="E46" s="47" t="s">
        <v>114</v>
      </c>
      <c r="F46" s="45" t="s">
        <v>8</v>
      </c>
      <c r="G46" s="48">
        <f>M34</f>
        <v>42.04</v>
      </c>
      <c r="H46" s="153"/>
      <c r="I46" s="49">
        <f>H46*G46</f>
        <v>0</v>
      </c>
    </row>
    <row r="47" spans="1:9" ht="18" customHeight="1">
      <c r="A47" s="40"/>
      <c r="B47" s="123">
        <v>31</v>
      </c>
      <c r="C47" s="45"/>
      <c r="D47" s="46"/>
      <c r="E47" s="47" t="s">
        <v>81</v>
      </c>
      <c r="F47" s="45" t="s">
        <v>8</v>
      </c>
      <c r="G47" s="48">
        <f>P28+3</f>
        <v>25</v>
      </c>
      <c r="H47" s="153"/>
      <c r="I47" s="49">
        <f>H47*G47</f>
        <v>0</v>
      </c>
    </row>
    <row r="48" spans="1:9" ht="18" customHeight="1">
      <c r="A48" s="40"/>
      <c r="B48" s="123">
        <v>32</v>
      </c>
      <c r="C48" s="45" t="s">
        <v>60</v>
      </c>
      <c r="D48" s="46" t="s">
        <v>58</v>
      </c>
      <c r="E48" s="47" t="s">
        <v>75</v>
      </c>
      <c r="F48" s="45" t="s">
        <v>3</v>
      </c>
      <c r="G48" s="48">
        <v>1</v>
      </c>
      <c r="H48" s="153"/>
      <c r="I48" s="49">
        <f>H48*G48</f>
        <v>0</v>
      </c>
    </row>
    <row r="49" spans="1:9" ht="18" customHeight="1">
      <c r="A49" s="37"/>
      <c r="B49" s="58"/>
      <c r="C49" s="59"/>
      <c r="D49" s="60"/>
      <c r="E49" s="44" t="str">
        <f>E45</f>
        <v>Konstrukce klempířské</v>
      </c>
      <c r="F49" s="119"/>
      <c r="G49" s="61"/>
      <c r="H49" s="61"/>
      <c r="I49" s="43">
        <f>SUM(I46:I48)</f>
        <v>0</v>
      </c>
    </row>
    <row r="50" spans="1:9" ht="18" customHeight="1">
      <c r="A50" s="38"/>
      <c r="B50" s="113"/>
      <c r="C50" s="62"/>
      <c r="D50" s="63"/>
      <c r="F50" s="120"/>
      <c r="G50" s="66"/>
      <c r="H50" s="66"/>
      <c r="I50" s="66"/>
    </row>
    <row r="51" spans="1:9" ht="18" customHeight="1">
      <c r="A51" s="38"/>
      <c r="B51" s="113"/>
      <c r="C51" s="62"/>
      <c r="D51" s="63"/>
      <c r="E51" s="64" t="s">
        <v>62</v>
      </c>
      <c r="F51" s="120"/>
      <c r="G51" s="66"/>
      <c r="H51" s="66"/>
      <c r="I51" s="66"/>
    </row>
    <row r="52" spans="1:9" ht="18" customHeight="1">
      <c r="A52" s="38"/>
      <c r="B52" s="123">
        <v>33</v>
      </c>
      <c r="C52" s="45" t="s">
        <v>60</v>
      </c>
      <c r="D52" s="46"/>
      <c r="E52" s="47" t="s">
        <v>88</v>
      </c>
      <c r="F52" s="45" t="s">
        <v>3</v>
      </c>
      <c r="G52" s="48">
        <v>1</v>
      </c>
      <c r="H52" s="153"/>
      <c r="I52" s="49">
        <f>H52*G52</f>
        <v>0</v>
      </c>
    </row>
    <row r="53" spans="1:9" ht="22.5" customHeight="1">
      <c r="A53" s="38"/>
      <c r="B53" s="123">
        <v>34</v>
      </c>
      <c r="C53" s="45" t="s">
        <v>60</v>
      </c>
      <c r="D53" s="46"/>
      <c r="E53" s="47" t="s">
        <v>90</v>
      </c>
      <c r="F53" s="45" t="s">
        <v>3</v>
      </c>
      <c r="G53" s="48">
        <v>1</v>
      </c>
      <c r="H53" s="153"/>
      <c r="I53" s="49">
        <f>H53*G53</f>
        <v>0</v>
      </c>
    </row>
    <row r="54" spans="1:9" ht="18" customHeight="1">
      <c r="A54" s="38"/>
      <c r="B54" s="123">
        <v>35</v>
      </c>
      <c r="C54" s="45" t="s">
        <v>60</v>
      </c>
      <c r="D54" s="46"/>
      <c r="E54" s="47" t="s">
        <v>89</v>
      </c>
      <c r="F54" s="45" t="s">
        <v>3</v>
      </c>
      <c r="G54" s="48">
        <v>1</v>
      </c>
      <c r="H54" s="153"/>
      <c r="I54" s="49">
        <f>H54*G54</f>
        <v>0</v>
      </c>
    </row>
    <row r="55" spans="1:9" ht="18" customHeight="1">
      <c r="A55" s="38"/>
      <c r="B55" s="114"/>
      <c r="C55" s="59"/>
      <c r="D55" s="60"/>
      <c r="E55" s="44" t="s">
        <v>62</v>
      </c>
      <c r="F55" s="119"/>
      <c r="G55" s="61"/>
      <c r="H55" s="61"/>
      <c r="I55" s="43">
        <f>SUM(I52:I54)</f>
        <v>0</v>
      </c>
    </row>
    <row r="56" spans="1:9" ht="18" customHeight="1">
      <c r="A56" s="38"/>
      <c r="B56" s="114"/>
      <c r="C56" s="59"/>
      <c r="D56" s="60"/>
      <c r="E56" s="64" t="s">
        <v>74</v>
      </c>
      <c r="F56" s="119"/>
      <c r="G56" s="61"/>
      <c r="H56" s="61"/>
      <c r="I56" s="43"/>
    </row>
    <row r="57" spans="1:9" ht="18" customHeight="1">
      <c r="A57" s="40"/>
      <c r="B57" s="123">
        <v>36</v>
      </c>
      <c r="C57" s="67" t="s">
        <v>60</v>
      </c>
      <c r="D57" s="68" t="s">
        <v>58</v>
      </c>
      <c r="E57" s="69" t="s">
        <v>61</v>
      </c>
      <c r="F57" s="67" t="s">
        <v>3</v>
      </c>
      <c r="G57" s="70">
        <v>1</v>
      </c>
      <c r="H57" s="153"/>
      <c r="I57" s="71">
        <f>H57*G57</f>
        <v>0</v>
      </c>
    </row>
    <row r="58" spans="1:9" ht="18" customHeight="1">
      <c r="A58" s="40"/>
      <c r="B58" s="123">
        <v>37</v>
      </c>
      <c r="C58" s="45" t="s">
        <v>60</v>
      </c>
      <c r="D58" s="68" t="s">
        <v>58</v>
      </c>
      <c r="E58" s="69" t="s">
        <v>64</v>
      </c>
      <c r="F58" s="67" t="s">
        <v>3</v>
      </c>
      <c r="G58" s="70">
        <v>1</v>
      </c>
      <c r="H58" s="153"/>
      <c r="I58" s="71">
        <f>H58*G58</f>
        <v>0</v>
      </c>
    </row>
    <row r="59" spans="1:9" ht="18" customHeight="1">
      <c r="A59" s="37"/>
      <c r="B59" s="112"/>
      <c r="C59" s="59"/>
      <c r="D59" s="60"/>
      <c r="E59" s="44" t="s">
        <v>73</v>
      </c>
      <c r="F59" s="119"/>
      <c r="G59" s="61"/>
      <c r="H59" s="61"/>
      <c r="I59" s="43">
        <f>SUM(I57:I58)</f>
        <v>0</v>
      </c>
    </row>
    <row r="60" spans="1:9" ht="24.75" customHeight="1">
      <c r="A60" s="38"/>
      <c r="B60" s="115"/>
      <c r="C60" s="62"/>
      <c r="D60" s="63"/>
      <c r="E60" s="64" t="s">
        <v>63</v>
      </c>
      <c r="F60" s="120"/>
      <c r="G60" s="66"/>
      <c r="H60" s="66"/>
      <c r="I60" s="66"/>
    </row>
    <row r="61" spans="1:9" ht="18" customHeight="1">
      <c r="A61" s="40"/>
      <c r="B61" s="123">
        <v>38</v>
      </c>
      <c r="C61" s="67" t="s">
        <v>60</v>
      </c>
      <c r="D61" s="68" t="s">
        <v>60</v>
      </c>
      <c r="E61" s="69" t="s">
        <v>104</v>
      </c>
      <c r="F61" s="67" t="s">
        <v>3</v>
      </c>
      <c r="G61" s="70">
        <v>1</v>
      </c>
      <c r="H61" s="153"/>
      <c r="I61" s="71">
        <f>H61*G61</f>
        <v>0</v>
      </c>
    </row>
    <row r="62" spans="1:9" ht="18" customHeight="1">
      <c r="A62" s="40"/>
      <c r="B62" s="123">
        <v>39</v>
      </c>
      <c r="C62" s="67" t="s">
        <v>60</v>
      </c>
      <c r="D62" s="68" t="s">
        <v>60</v>
      </c>
      <c r="E62" s="69" t="s">
        <v>105</v>
      </c>
      <c r="F62" s="67" t="s">
        <v>3</v>
      </c>
      <c r="G62" s="70">
        <v>1</v>
      </c>
      <c r="H62" s="153"/>
      <c r="I62" s="71">
        <f>H62*G62</f>
        <v>0</v>
      </c>
    </row>
    <row r="63" spans="1:9" ht="18" customHeight="1">
      <c r="A63" s="32"/>
      <c r="B63" s="65"/>
      <c r="C63" s="72" t="s">
        <v>60</v>
      </c>
      <c r="D63" s="60"/>
      <c r="E63" s="44" t="s">
        <v>63</v>
      </c>
      <c r="F63" s="59"/>
      <c r="G63" s="73"/>
      <c r="H63" s="43"/>
      <c r="I63" s="43">
        <f>SUM(I61:I62)</f>
        <v>0</v>
      </c>
    </row>
    <row r="64" spans="1:12" ht="18" customHeight="1">
      <c r="A64" s="51"/>
      <c r="B64" s="16"/>
      <c r="C64" s="72" t="s">
        <v>60</v>
      </c>
      <c r="D64" s="17"/>
      <c r="E64" s="82" t="s">
        <v>120</v>
      </c>
      <c r="F64" s="83"/>
      <c r="G64" s="34"/>
      <c r="H64" s="33"/>
      <c r="I64" s="81">
        <f>I63+I59+I55+I49+I44+I33+I15</f>
        <v>0</v>
      </c>
      <c r="J64" s="150"/>
      <c r="K64" s="18"/>
      <c r="L64" s="97"/>
    </row>
    <row r="65" spans="1:12" ht="18" customHeight="1">
      <c r="A65" s="51"/>
      <c r="B65" s="16"/>
      <c r="C65" s="72"/>
      <c r="D65" s="17"/>
      <c r="E65" s="82"/>
      <c r="F65" s="83"/>
      <c r="G65" s="34"/>
      <c r="H65" s="33"/>
      <c r="I65" s="81"/>
      <c r="L65" s="97"/>
    </row>
    <row r="66" ht="13.5">
      <c r="E66" s="146" t="s">
        <v>115</v>
      </c>
    </row>
    <row r="67" spans="2:9" ht="12">
      <c r="B67" s="123">
        <v>41</v>
      </c>
      <c r="C67" s="67" t="s">
        <v>60</v>
      </c>
      <c r="D67" s="68" t="s">
        <v>60</v>
      </c>
      <c r="E67" s="69" t="s">
        <v>116</v>
      </c>
      <c r="F67" s="67" t="s">
        <v>1</v>
      </c>
      <c r="G67" s="70">
        <f>7.25*2.33</f>
        <v>16.892500000000002</v>
      </c>
      <c r="H67" s="153"/>
      <c r="I67" s="71">
        <f>H67*G67</f>
        <v>0</v>
      </c>
    </row>
    <row r="68" spans="2:9" ht="12">
      <c r="B68" s="123">
        <v>42</v>
      </c>
      <c r="C68" s="67" t="s">
        <v>60</v>
      </c>
      <c r="D68" s="68" t="s">
        <v>60</v>
      </c>
      <c r="E68" s="69" t="s">
        <v>117</v>
      </c>
      <c r="F68" s="67" t="s">
        <v>4</v>
      </c>
      <c r="G68" s="70">
        <v>2</v>
      </c>
      <c r="H68" s="153"/>
      <c r="I68" s="71">
        <f>H68*G68</f>
        <v>0</v>
      </c>
    </row>
    <row r="69" spans="2:9" ht="12">
      <c r="B69" s="123">
        <v>43</v>
      </c>
      <c r="C69" s="67"/>
      <c r="D69" s="68"/>
      <c r="E69" s="69" t="s">
        <v>119</v>
      </c>
      <c r="F69" s="67" t="s">
        <v>8</v>
      </c>
      <c r="G69" s="70">
        <v>7.25</v>
      </c>
      <c r="H69" s="153"/>
      <c r="I69" s="71">
        <f>H69*G69</f>
        <v>0</v>
      </c>
    </row>
    <row r="70" spans="2:9" ht="12">
      <c r="B70" s="123">
        <v>44</v>
      </c>
      <c r="C70" s="67" t="s">
        <v>60</v>
      </c>
      <c r="D70" s="68" t="s">
        <v>60</v>
      </c>
      <c r="E70" s="69" t="s">
        <v>118</v>
      </c>
      <c r="F70" s="67" t="s">
        <v>3</v>
      </c>
      <c r="G70" s="70">
        <v>1</v>
      </c>
      <c r="H70" s="153"/>
      <c r="I70" s="71">
        <f>H70*G70</f>
        <v>0</v>
      </c>
    </row>
    <row r="71" spans="5:9" ht="12.75">
      <c r="E71" s="82" t="s">
        <v>121</v>
      </c>
      <c r="I71" s="81">
        <f>SUM(I67:I70)</f>
        <v>0</v>
      </c>
    </row>
    <row r="73" spans="5:9" ht="12.75">
      <c r="E73" s="82"/>
      <c r="I73" s="81"/>
    </row>
    <row r="75" spans="2:5" ht="12">
      <c r="B75" s="16"/>
      <c r="C75" s="72"/>
      <c r="D75" s="17"/>
      <c r="E75" s="64" t="s">
        <v>124</v>
      </c>
    </row>
    <row r="76" spans="2:9" ht="12">
      <c r="B76" s="123"/>
      <c r="C76" s="67" t="s">
        <v>60</v>
      </c>
      <c r="D76" s="68" t="s">
        <v>60</v>
      </c>
      <c r="E76" s="69" t="s">
        <v>126</v>
      </c>
      <c r="F76" s="67" t="s">
        <v>3</v>
      </c>
      <c r="G76" s="70">
        <v>1</v>
      </c>
      <c r="H76" s="153"/>
      <c r="I76" s="71">
        <f>H76*G76</f>
        <v>0</v>
      </c>
    </row>
    <row r="77" spans="2:9" ht="12">
      <c r="B77" s="123"/>
      <c r="C77" s="67" t="s">
        <v>60</v>
      </c>
      <c r="D77" s="68" t="s">
        <v>60</v>
      </c>
      <c r="E77" s="69" t="s">
        <v>125</v>
      </c>
      <c r="F77" s="67" t="s">
        <v>3</v>
      </c>
      <c r="G77" s="70">
        <v>1</v>
      </c>
      <c r="H77" s="153"/>
      <c r="I77" s="71">
        <f>H77*G77</f>
        <v>0</v>
      </c>
    </row>
    <row r="78" spans="5:9" ht="12">
      <c r="E78" s="64" t="s">
        <v>124</v>
      </c>
      <c r="I78" s="151">
        <f>SUM(I76:I77)</f>
        <v>0</v>
      </c>
    </row>
    <row r="80" spans="5:9" ht="12.75">
      <c r="E80" s="152" t="s">
        <v>127</v>
      </c>
      <c r="I80" s="81">
        <f>I71+I64+I78</f>
        <v>0</v>
      </c>
    </row>
  </sheetData>
  <sheetProtection password="DE74" sheet="1"/>
  <protectedRanges>
    <protectedRange sqref="H5" name="Oblast2"/>
    <protectedRange sqref="H3 E6 H6 H11:H77" name="Oblast1"/>
  </protectedRanges>
  <mergeCells count="1">
    <mergeCell ref="M29:N29"/>
  </mergeCells>
  <printOptions/>
  <pageMargins left="0.5118110236220472" right="0.11811023622047245" top="0.7874015748031497" bottom="0.7874015748031497" header="0.31496062992125984" footer="0.31496062992125984"/>
  <pageSetup fitToHeight="2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6"/>
  <sheetViews>
    <sheetView zoomScalePageLayoutView="0" workbookViewId="0" topLeftCell="A1">
      <selection activeCell="E50" sqref="E50"/>
    </sheetView>
  </sheetViews>
  <sheetFormatPr defaultColWidth="9.140625" defaultRowHeight="12.75"/>
  <cols>
    <col min="1" max="1" width="15.421875" style="0" customWidth="1"/>
  </cols>
  <sheetData>
    <row r="2" spans="1:12" ht="12.75">
      <c r="A2" s="23" t="s">
        <v>14</v>
      </c>
      <c r="B2">
        <v>6.1</v>
      </c>
      <c r="C2" s="24">
        <v>6.28</v>
      </c>
      <c r="D2">
        <v>5.9</v>
      </c>
      <c r="E2">
        <v>5.8</v>
      </c>
      <c r="F2" s="24">
        <v>6.28</v>
      </c>
      <c r="G2">
        <v>5.9</v>
      </c>
      <c r="H2">
        <v>5.9</v>
      </c>
      <c r="I2" s="24">
        <v>6.28</v>
      </c>
      <c r="J2">
        <v>6.2</v>
      </c>
      <c r="K2" s="23">
        <f>SUM(B2:J2)</f>
        <v>54.64000000000001</v>
      </c>
      <c r="L2" s="18" t="s">
        <v>8</v>
      </c>
    </row>
    <row r="3" spans="1:3" ht="12.75">
      <c r="A3" s="23"/>
      <c r="C3" t="s">
        <v>15</v>
      </c>
    </row>
    <row r="4" ht="12.75">
      <c r="A4" s="23"/>
    </row>
    <row r="5" spans="1:12" ht="12.75">
      <c r="A5" s="23" t="s">
        <v>16</v>
      </c>
      <c r="B5" s="26">
        <v>73</v>
      </c>
      <c r="C5" s="26">
        <v>6.2</v>
      </c>
      <c r="D5" s="26">
        <v>6.35</v>
      </c>
      <c r="K5" s="23">
        <f>SUM(B5:J5)</f>
        <v>85.55</v>
      </c>
      <c r="L5" s="18" t="s">
        <v>8</v>
      </c>
    </row>
    <row r="6" spans="1:9" ht="12.75">
      <c r="A6" s="23"/>
      <c r="H6" s="18" t="s">
        <v>18</v>
      </c>
      <c r="I6" s="18" t="s">
        <v>22</v>
      </c>
    </row>
    <row r="7" spans="1:9" ht="12.75">
      <c r="A7" s="23" t="s">
        <v>20</v>
      </c>
      <c r="B7">
        <v>73</v>
      </c>
      <c r="C7">
        <v>6.28</v>
      </c>
      <c r="F7" s="18" t="s">
        <v>17</v>
      </c>
      <c r="G7">
        <f>B7*2+C7*2</f>
        <v>158.56</v>
      </c>
      <c r="H7" s="18">
        <v>3</v>
      </c>
      <c r="I7">
        <f>H7*G7</f>
        <v>475.68</v>
      </c>
    </row>
    <row r="8" spans="1:3" ht="12.75">
      <c r="A8" s="23"/>
      <c r="B8" s="27" t="s">
        <v>41</v>
      </c>
      <c r="C8" s="27" t="s">
        <v>52</v>
      </c>
    </row>
    <row r="9" spans="1:9" ht="12.75">
      <c r="A9" s="23"/>
      <c r="F9" s="18" t="s">
        <v>19</v>
      </c>
      <c r="I9" s="18" t="s">
        <v>23</v>
      </c>
    </row>
    <row r="10" spans="1:9" ht="12.75">
      <c r="A10" s="23"/>
      <c r="G10">
        <f>B7*C7</f>
        <v>458.44</v>
      </c>
      <c r="H10" s="18">
        <v>3</v>
      </c>
      <c r="I10">
        <f>H10*G10</f>
        <v>1375.32</v>
      </c>
    </row>
    <row r="11" ht="12.75">
      <c r="A11" s="23"/>
    </row>
    <row r="12" spans="3:4" ht="12.75">
      <c r="C12" s="23">
        <f>K2*K5-I10</f>
        <v>3299.1320000000005</v>
      </c>
      <c r="D12" s="18" t="s">
        <v>24</v>
      </c>
    </row>
    <row r="13" spans="1:4" ht="12.75">
      <c r="A13" s="23"/>
      <c r="D13" s="18" t="s">
        <v>25</v>
      </c>
    </row>
    <row r="14" spans="1:7" ht="12.75">
      <c r="A14" s="25" t="s">
        <v>21</v>
      </c>
      <c r="B14" s="18" t="s">
        <v>13</v>
      </c>
      <c r="C14" s="25">
        <f>C12+D14</f>
        <v>3333.3520000000003</v>
      </c>
      <c r="D14" s="23">
        <f>(0.3+0.1)*K5</f>
        <v>34.22</v>
      </c>
      <c r="G14" s="18" t="s">
        <v>26</v>
      </c>
    </row>
    <row r="15" spans="1:7" ht="12.75">
      <c r="A15" s="23"/>
      <c r="B15" s="18" t="s">
        <v>40</v>
      </c>
      <c r="D15" s="18" t="s">
        <v>53</v>
      </c>
      <c r="G15">
        <f>0.3*K2</f>
        <v>16.392000000000003</v>
      </c>
    </row>
    <row r="16" ht="12.75">
      <c r="A16" s="23"/>
    </row>
    <row r="17" spans="1:14" ht="12.75">
      <c r="A17" s="23"/>
      <c r="E17" s="18" t="s">
        <v>36</v>
      </c>
      <c r="K17" s="18" t="s">
        <v>37</v>
      </c>
      <c r="L17" s="18" t="s">
        <v>43</v>
      </c>
      <c r="M17" s="18" t="s">
        <v>43</v>
      </c>
      <c r="N17" s="18" t="s">
        <v>44</v>
      </c>
    </row>
    <row r="18" spans="1:13" ht="12.75">
      <c r="A18" s="23" t="s">
        <v>27</v>
      </c>
      <c r="D18" s="18" t="s">
        <v>34</v>
      </c>
      <c r="G18" s="18" t="s">
        <v>13</v>
      </c>
      <c r="H18" s="18" t="s">
        <v>37</v>
      </c>
      <c r="I18" s="18" t="s">
        <v>39</v>
      </c>
      <c r="K18" s="18" t="s">
        <v>49</v>
      </c>
      <c r="L18" s="18" t="s">
        <v>41</v>
      </c>
      <c r="M18" s="18" t="s">
        <v>42</v>
      </c>
    </row>
    <row r="19" spans="1:12" ht="12.75">
      <c r="A19" s="23"/>
      <c r="B19" s="18" t="s">
        <v>28</v>
      </c>
      <c r="D19" s="18">
        <v>24</v>
      </c>
      <c r="F19">
        <v>28</v>
      </c>
      <c r="G19">
        <f>F19+D19</f>
        <v>52</v>
      </c>
      <c r="H19" s="23">
        <f>(73*2+6.28*2)*3</f>
        <v>475.68</v>
      </c>
      <c r="I19" s="23">
        <f>H19*G19*0.01</f>
        <v>247.3536</v>
      </c>
      <c r="L19">
        <f>H19*2</f>
        <v>951.36</v>
      </c>
    </row>
    <row r="20" spans="1:11" ht="12.75">
      <c r="A20" s="23"/>
      <c r="B20" s="18"/>
      <c r="D20" s="18"/>
      <c r="K20" s="18"/>
    </row>
    <row r="21" spans="1:4" ht="12.75">
      <c r="A21" s="23"/>
      <c r="B21" s="18"/>
      <c r="D21" s="18"/>
    </row>
    <row r="23" spans="2:13" ht="12.75">
      <c r="B23" s="18" t="s">
        <v>29</v>
      </c>
      <c r="D23">
        <v>20</v>
      </c>
      <c r="F23">
        <f>20+20</f>
        <v>40</v>
      </c>
      <c r="G23">
        <f>F23+D23</f>
        <v>60</v>
      </c>
      <c r="H23" s="23">
        <v>85.4</v>
      </c>
      <c r="I23" s="23">
        <f>H23*G23*0.01</f>
        <v>51.24</v>
      </c>
      <c r="L23" s="18">
        <f>H23</f>
        <v>85.4</v>
      </c>
      <c r="M23">
        <f>H23</f>
        <v>85.4</v>
      </c>
    </row>
    <row r="24" spans="8:9" ht="12.75">
      <c r="H24" s="23"/>
      <c r="I24" s="23"/>
    </row>
    <row r="25" spans="2:13" ht="12.75">
      <c r="B25" s="18" t="s">
        <v>32</v>
      </c>
      <c r="E25">
        <f>(35+75)/2</f>
        <v>55</v>
      </c>
      <c r="F25">
        <v>20</v>
      </c>
      <c r="G25">
        <v>95</v>
      </c>
      <c r="H25" s="23">
        <f>54.64*2</f>
        <v>109.28</v>
      </c>
      <c r="I25" s="23">
        <f>H25*G25*0.01</f>
        <v>103.816</v>
      </c>
      <c r="L25">
        <f>H25*3</f>
        <v>327.84000000000003</v>
      </c>
      <c r="M25">
        <f>H25</f>
        <v>109.28</v>
      </c>
    </row>
    <row r="26" spans="2:9" ht="12.75">
      <c r="B26" s="18" t="s">
        <v>33</v>
      </c>
      <c r="E26" s="18" t="s">
        <v>50</v>
      </c>
      <c r="H26" s="23"/>
      <c r="I26" s="23"/>
    </row>
    <row r="27" spans="2:9" ht="12.75">
      <c r="B27" s="18" t="s">
        <v>54</v>
      </c>
      <c r="E27" s="18"/>
      <c r="H27" s="23"/>
      <c r="I27" s="23"/>
    </row>
    <row r="28" spans="2:9" ht="12.75">
      <c r="B28" s="18"/>
      <c r="H28" s="23"/>
      <c r="I28" s="23"/>
    </row>
    <row r="29" spans="2:14" ht="12.75">
      <c r="B29" s="18" t="s">
        <v>30</v>
      </c>
      <c r="D29">
        <v>12</v>
      </c>
      <c r="F29">
        <v>20</v>
      </c>
      <c r="G29">
        <f>F29+D29</f>
        <v>32</v>
      </c>
      <c r="H29" s="23">
        <v>85.4</v>
      </c>
      <c r="I29" s="23">
        <f>H29*G29*0.01</f>
        <v>27.328000000000003</v>
      </c>
      <c r="L29">
        <f>H29*2</f>
        <v>170.8</v>
      </c>
      <c r="N29">
        <f>H29</f>
        <v>85.4</v>
      </c>
    </row>
    <row r="30" spans="2:9" ht="12.75">
      <c r="B30" s="18" t="s">
        <v>35</v>
      </c>
      <c r="H30" s="23"/>
      <c r="I30" s="23"/>
    </row>
    <row r="31" spans="8:9" ht="12.75">
      <c r="H31" s="23"/>
      <c r="I31" s="23"/>
    </row>
    <row r="32" spans="2:14" ht="12.75">
      <c r="B32" s="18" t="s">
        <v>31</v>
      </c>
      <c r="D32">
        <v>10</v>
      </c>
      <c r="F32">
        <v>20</v>
      </c>
      <c r="G32">
        <f>F32+D32</f>
        <v>30</v>
      </c>
      <c r="H32" s="23">
        <v>54.64</v>
      </c>
      <c r="I32" s="23">
        <f>H32*G32*0.01</f>
        <v>16.392</v>
      </c>
      <c r="L32">
        <f>H32*2</f>
        <v>109.28</v>
      </c>
      <c r="N32">
        <f>H32</f>
        <v>54.64</v>
      </c>
    </row>
    <row r="33" spans="8:9" ht="12.75">
      <c r="H33" s="23"/>
      <c r="I33" s="23"/>
    </row>
    <row r="34" spans="2:12" ht="12.75">
      <c r="B34" s="18" t="s">
        <v>38</v>
      </c>
      <c r="D34">
        <v>20</v>
      </c>
      <c r="F34">
        <v>20</v>
      </c>
      <c r="G34">
        <f>F34+D34</f>
        <v>40</v>
      </c>
      <c r="H34" s="23">
        <f>B2+D2+E2+G2+H2+J2</f>
        <v>35.800000000000004</v>
      </c>
      <c r="I34" s="23">
        <f>H34*G34*0.01</f>
        <v>14.320000000000002</v>
      </c>
      <c r="K34" s="18" t="s">
        <v>51</v>
      </c>
      <c r="L34">
        <f>H34*2</f>
        <v>71.60000000000001</v>
      </c>
    </row>
    <row r="35" spans="2:11" ht="12.75">
      <c r="B35" s="18"/>
      <c r="H35" s="23"/>
      <c r="I35" s="23"/>
      <c r="K35" s="18"/>
    </row>
    <row r="36" spans="2:11" ht="12.75">
      <c r="B36" s="18" t="s">
        <v>56</v>
      </c>
      <c r="D36" s="22"/>
      <c r="H36" s="23"/>
      <c r="I36" s="23"/>
      <c r="K36" s="18"/>
    </row>
    <row r="37" spans="2:11" ht="12.75">
      <c r="B37" s="18"/>
      <c r="H37" s="23"/>
      <c r="I37" s="23"/>
      <c r="K37" s="18"/>
    </row>
    <row r="38" spans="2:12" ht="12.75">
      <c r="B38" s="20" t="s">
        <v>57</v>
      </c>
      <c r="C38" s="21"/>
      <c r="D38" s="28"/>
      <c r="E38" s="21"/>
      <c r="F38" s="21"/>
      <c r="G38" s="21"/>
      <c r="H38" s="29"/>
      <c r="I38" s="29"/>
      <c r="J38" s="21"/>
      <c r="K38" s="20"/>
      <c r="L38" s="21"/>
    </row>
    <row r="39" spans="2:11" ht="12.75">
      <c r="B39" s="18"/>
      <c r="D39" s="22"/>
      <c r="H39" s="23"/>
      <c r="I39" s="23"/>
      <c r="K39" s="18"/>
    </row>
    <row r="40" spans="11:14" ht="12.75">
      <c r="K40">
        <f>L40+M40</f>
        <v>1910.9599999999998</v>
      </c>
      <c r="L40" s="23">
        <f>SUM(L19:L38)</f>
        <v>1716.2799999999997</v>
      </c>
      <c r="M40" s="23">
        <f>SUM(M19:M38)</f>
        <v>194.68</v>
      </c>
      <c r="N40" s="23">
        <f>SUM(N19:N38)</f>
        <v>140.04000000000002</v>
      </c>
    </row>
    <row r="41" spans="8:9" ht="12.75">
      <c r="H41" s="23">
        <f>SUM(H19:H40)</f>
        <v>846.1999999999999</v>
      </c>
      <c r="I41" s="23">
        <f>SUM(I19:I40)</f>
        <v>460.4495999999999</v>
      </c>
    </row>
    <row r="42" ht="12">
      <c r="L42" s="18" t="s">
        <v>47</v>
      </c>
    </row>
    <row r="43" spans="1:14" ht="12.75">
      <c r="A43" s="23" t="s">
        <v>45</v>
      </c>
      <c r="B43" s="18" t="s">
        <v>37</v>
      </c>
      <c r="C43">
        <f>K5</f>
        <v>85.55</v>
      </c>
      <c r="D43" s="18" t="s">
        <v>46</v>
      </c>
      <c r="E43" s="23">
        <f>C43*3</f>
        <v>256.65</v>
      </c>
      <c r="F43" s="23" t="s">
        <v>8</v>
      </c>
      <c r="L43">
        <v>0.1</v>
      </c>
      <c r="M43">
        <v>0.05</v>
      </c>
      <c r="N43">
        <v>0.1</v>
      </c>
    </row>
    <row r="44" spans="9:14" ht="12">
      <c r="I44">
        <f>I41*1.17</f>
        <v>538.7260319999999</v>
      </c>
      <c r="L44">
        <f>L43*L40</f>
        <v>171.628</v>
      </c>
      <c r="M44">
        <f>M43*M40</f>
        <v>9.734000000000002</v>
      </c>
      <c r="N44">
        <f>N43*N40</f>
        <v>14.004000000000003</v>
      </c>
    </row>
    <row r="45" spans="9:12" ht="12">
      <c r="I45" t="s">
        <v>55</v>
      </c>
      <c r="L45" s="18" t="s">
        <v>48</v>
      </c>
    </row>
    <row r="46" ht="12">
      <c r="L46">
        <f>L44+M44+N44</f>
        <v>195.36599999999999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Dušan Veselka</dc:creator>
  <cp:keywords/>
  <dc:description/>
  <cp:lastModifiedBy>Ing. Daniel Benda</cp:lastModifiedBy>
  <cp:lastPrinted>2023-11-08T10:00:37Z</cp:lastPrinted>
  <dcterms:created xsi:type="dcterms:W3CDTF">2011-06-09T12:42:00Z</dcterms:created>
  <dcterms:modified xsi:type="dcterms:W3CDTF">2024-02-27T09:31:29Z</dcterms:modified>
  <cp:category/>
  <cp:version/>
  <cp:contentType/>
  <cp:contentStatus/>
</cp:coreProperties>
</file>