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R:\211204_vd_hubenov\211204_31_002_dps\F_Soupis_prací\230627_cistopis\"/>
    </mc:Choice>
  </mc:AlternateContent>
  <xr:revisionPtr revIDLastSave="0" documentId="13_ncr:1_{E67DAC4C-F23D-4C12-BC5A-1A608E105FD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O_03_Vypočet_množství" sheetId="22" r:id="rId1"/>
    <sheet name="KL_1" sheetId="23" r:id="rId2"/>
  </sheets>
  <definedNames>
    <definedName name="_xlnm.Print_Titles" localSheetId="0">SO_03_Vypočet_množství!$11:$11</definedName>
    <definedName name="_xlnm.Print_Area" localSheetId="1">KL_1!$B$3:$Q$45</definedName>
    <definedName name="_xlnm.Print_Area" localSheetId="0">SO_03_Vypočet_množství!$B$4:$F$337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6" i="22" l="1"/>
  <c r="E218" i="22"/>
  <c r="E56" i="22" l="1"/>
  <c r="E83" i="22" l="1"/>
  <c r="E106" i="22"/>
  <c r="E195" i="22"/>
  <c r="E274" i="22"/>
  <c r="E277" i="22"/>
  <c r="E269" i="22"/>
  <c r="E266" i="22"/>
  <c r="E263" i="22"/>
  <c r="E241" i="22"/>
  <c r="E42" i="22"/>
  <c r="E86" i="22"/>
  <c r="E80" i="22"/>
  <c r="E74" i="22"/>
  <c r="E71" i="22"/>
  <c r="E15" i="22"/>
  <c r="E292" i="22"/>
  <c r="E257" i="22" l="1"/>
  <c r="E285" i="22" l="1"/>
  <c r="E109" i="22"/>
  <c r="P43" i="23"/>
  <c r="G32" i="23"/>
  <c r="O24" i="23"/>
  <c r="O22" i="23"/>
  <c r="O20" i="23"/>
  <c r="O18" i="23"/>
  <c r="O16" i="23"/>
  <c r="E99" i="22"/>
  <c r="G35" i="23"/>
  <c r="M40" i="23"/>
  <c r="E204" i="22"/>
  <c r="E24" i="22" l="1"/>
  <c r="E213" i="22"/>
  <c r="L24" i="23" l="1"/>
  <c r="L22" i="23"/>
  <c r="L20" i="23"/>
  <c r="L18" i="23"/>
  <c r="L16" i="23"/>
  <c r="G37" i="23" l="1"/>
  <c r="E103" i="22"/>
  <c r="J29" i="23"/>
  <c r="F24" i="23"/>
  <c r="G24" i="23" s="1"/>
  <c r="F22" i="23"/>
  <c r="F20" i="23"/>
  <c r="F18" i="23"/>
  <c r="F16" i="23"/>
  <c r="G16" i="23" s="1"/>
  <c r="I24" i="23"/>
  <c r="I22" i="23"/>
  <c r="I20" i="23"/>
  <c r="I18" i="23"/>
  <c r="I16" i="23"/>
  <c r="E205" i="22"/>
  <c r="E36" i="22"/>
  <c r="E33" i="22"/>
  <c r="D24" i="23"/>
  <c r="P24" i="23" s="1"/>
  <c r="D22" i="23"/>
  <c r="P22" i="23" s="1"/>
  <c r="D20" i="23"/>
  <c r="P20" i="23" s="1"/>
  <c r="D18" i="23"/>
  <c r="P18" i="23" s="1"/>
  <c r="D16" i="23"/>
  <c r="P16" i="23" s="1"/>
  <c r="M24" i="23" l="1"/>
  <c r="M18" i="23"/>
  <c r="P26" i="23"/>
  <c r="P45" i="23" s="1"/>
  <c r="J16" i="23"/>
  <c r="M20" i="23"/>
  <c r="M22" i="23"/>
  <c r="J18" i="23"/>
  <c r="M16" i="23"/>
  <c r="M26" i="23" s="1"/>
  <c r="M45" i="23" s="1"/>
  <c r="G18" i="23"/>
  <c r="J20" i="23"/>
  <c r="J24" i="23"/>
  <c r="J22" i="23"/>
  <c r="J26" i="23" s="1"/>
  <c r="J45" i="23" s="1"/>
  <c r="G20" i="23"/>
  <c r="G22" i="23"/>
  <c r="E300" i="22"/>
  <c r="G26" i="23" l="1"/>
  <c r="G45" i="23" s="1"/>
  <c r="E39" i="22"/>
  <c r="E250" i="22" l="1"/>
  <c r="E238" i="22"/>
  <c r="E183" i="22" l="1"/>
  <c r="E157" i="22"/>
  <c r="E282" i="22" l="1"/>
  <c r="E188" i="22"/>
  <c r="E187" i="22"/>
  <c r="E180" i="22"/>
  <c r="E166" i="22"/>
  <c r="E161" i="22"/>
  <c r="E154" i="22"/>
  <c r="E151" i="22"/>
  <c r="E147" i="22"/>
  <c r="E144" i="22"/>
  <c r="E163" i="22" s="1"/>
  <c r="E77" i="22"/>
  <c r="E186" i="22" l="1"/>
</calcChain>
</file>

<file path=xl/sharedStrings.xml><?xml version="1.0" encoding="utf-8"?>
<sst xmlns="http://schemas.openxmlformats.org/spreadsheetml/2006/main" count="420" uniqueCount="278">
  <si>
    <t>ks</t>
  </si>
  <si>
    <t>Položka</t>
  </si>
  <si>
    <t>Popis položky</t>
  </si>
  <si>
    <t>Jednotka</t>
  </si>
  <si>
    <t>Množství DPS</t>
  </si>
  <si>
    <r>
      <t xml:space="preserve">Výkaz výměr - </t>
    </r>
    <r>
      <rPr>
        <b/>
        <sz val="14"/>
        <rFont val="Arial CE"/>
        <charset val="238"/>
      </rPr>
      <t>výpočet množství</t>
    </r>
  </si>
  <si>
    <t>Poznámka</t>
  </si>
  <si>
    <t>Objednatel : Povodí Moravy s.p.</t>
  </si>
  <si>
    <t>Zhotovitel :AQUATIS a.s.</t>
  </si>
  <si>
    <t>VD Hubenov – opatření na převedení KPV10 000</t>
  </si>
  <si>
    <t>Sanace stěn komunikační chodby</t>
  </si>
  <si>
    <t xml:space="preserve">Sanace stěn odpadní chodby </t>
  </si>
  <si>
    <t>Sanace stropu komunikační chodby</t>
  </si>
  <si>
    <t>Sanace stropu odpadní chodby</t>
  </si>
  <si>
    <t>Komunikace do podhrází</t>
  </si>
  <si>
    <t>obvod z půdorysu komunikační chodby x výška</t>
  </si>
  <si>
    <t>m</t>
  </si>
  <si>
    <t>délka</t>
  </si>
  <si>
    <t>plocha - vršek</t>
  </si>
  <si>
    <t>plocha - spodek</t>
  </si>
  <si>
    <t>2 x plocha stěny 117,0m2</t>
  </si>
  <si>
    <t>2x plocha stěny 131 m2</t>
  </si>
  <si>
    <t>Sanace stěn strojovny - očištění lokální vyspravení, sanační stěrka 5 mm</t>
  </si>
  <si>
    <t>Sanace stropu strojovny - očištění lokální vyspravení, sanační stěrka 5 mm</t>
  </si>
  <si>
    <t>celá chodba 197,3 m2</t>
  </si>
  <si>
    <t>Vyspárování římsy vývaru včetně doplnění kamenů po odbourání zábradlí</t>
  </si>
  <si>
    <t>Sanace čelní stěny vstupu do chodby včetně ostění - očištění tlakovou vodou, vyspravení hlubších nerovností, sanace stěrkou 5 mm, vnější fasádní vrstva šedé barvy (odstín odsouhlasí investor).</t>
  </si>
  <si>
    <t xml:space="preserve">Očištění zavazovacích křídel tlakovou vodou </t>
  </si>
  <si>
    <t>kplt</t>
  </si>
  <si>
    <t xml:space="preserve">kplt </t>
  </si>
  <si>
    <t>m2</t>
  </si>
  <si>
    <t>Ochrana vztlakoměrných vrtů - ponechávaných</t>
  </si>
  <si>
    <t>m3</t>
  </si>
  <si>
    <t>Odstranění hadice včetně jejího uchycení v odpadní chodbě</t>
  </si>
  <si>
    <t>Technologický předpis sanace včetně zkušebních ploch a provedené kontroly</t>
  </si>
  <si>
    <t>Kontrola předupraveného povrchu , stanovení pevnosti v tahu povrchových vrstev min. 3 stanovení na 100 m2 povrchu.</t>
  </si>
  <si>
    <t>Kontrola antikorozního nátěru - min. 3 stanovení tloušťky antikorozního nátěru</t>
  </si>
  <si>
    <t>Kontrola soudržnosti správkové hmoty s podkladem min. 3 stanovení na 100 m2.</t>
  </si>
  <si>
    <t xml:space="preserve">Odsávání a vhánění čistého vzduchu do jednotlivých úseků provádění sanací </t>
  </si>
  <si>
    <t xml:space="preserve">Prachotěsná přepážka mezi chodbou a strojovnou s dveřmi a zajištěním geotextilním závěsem </t>
  </si>
  <si>
    <t>Provizorní podepření stropu chodby v době provádění sanace stropu v okolí</t>
  </si>
  <si>
    <t>počet 252 ks</t>
  </si>
  <si>
    <t>Výkopy pro kabelovou komoru pod schodištěm ruční těsně vedle drenážní šachty</t>
  </si>
  <si>
    <t>1,2*1,2*1,2</t>
  </si>
  <si>
    <t>Odstranění asfaltové vrstvy vozovky tl. 0,1m</t>
  </si>
  <si>
    <t>Spojovací postřik PS-E</t>
  </si>
  <si>
    <t>Infiltrační postřik PI-E</t>
  </si>
  <si>
    <t>Směs stmelená cementem SC C1,5/2,0 200 mm</t>
  </si>
  <si>
    <t>kg</t>
  </si>
  <si>
    <t>Odbourání veškerých nepotřebných ocelových lišt a prvků v chodbách včetně jejich likvidace dle platné legislativy</t>
  </si>
  <si>
    <t>Bourací práce</t>
  </si>
  <si>
    <t>Zemní práce</t>
  </si>
  <si>
    <t>Zakládání</t>
  </si>
  <si>
    <t>Nové konstrukce - sanace</t>
  </si>
  <si>
    <t>Kabelové trasy</t>
  </si>
  <si>
    <t>Ocelové a kompozitové konstrukce</t>
  </si>
  <si>
    <t>Ostatní</t>
  </si>
  <si>
    <t>Krajnice komunikace do podhrází šířky 0,5m hutněná fr. 0-16 ve sklonu 8%, tl. min. 200 mm</t>
  </si>
  <si>
    <t>Přepážky v chodbě při provádění jednotlivých úseků sanace, přemísťovatelné</t>
  </si>
  <si>
    <t>Asfaltový beton pro obrusné vrstvy ACO11 40mm</t>
  </si>
  <si>
    <t>Asfaltový beton pro ložné vrstvy ACL 16+ 60mm</t>
  </si>
  <si>
    <t>Štěrkodrť fr. 0-32, 200mm</t>
  </si>
  <si>
    <t>Zkušební vzorky sanace v chodbě cca 3ks 1,0 x 1,0m</t>
  </si>
  <si>
    <t>(23,1*7)+(2*8,9*2,1)</t>
  </si>
  <si>
    <t>plocha  115,45* 1,1 * 2 * 50%</t>
  </si>
  <si>
    <t>SO 03 Sanace odpadní a komunikační chodby</t>
  </si>
  <si>
    <t>délka zábradlí 46,5 m</t>
  </si>
  <si>
    <t>délka zábradlí 40,5 m</t>
  </si>
  <si>
    <t>objem 10m x 2,15m x 0,015m x 2ks = 0,65m3</t>
  </si>
  <si>
    <t xml:space="preserve">Provizorní zajištění zavzdušňovacích otvorů proti prachu s možným odnímáním v době povodně. </t>
  </si>
  <si>
    <t>2 otvory 500 x 500 mm</t>
  </si>
  <si>
    <t>Cementová malta tl. 20 mm pro uložení římsy portálu a vyspárování žulových desek.</t>
  </si>
  <si>
    <t>v ploše 0,6 x 14m</t>
  </si>
  <si>
    <t>celková plocha 247m2</t>
  </si>
  <si>
    <t>Kopaná sonda v zatravnění na levém břehu vývaru pro ověření polohy potrubí odběru vody před prováděním drenážních vrtů, ruční odkop.</t>
  </si>
  <si>
    <t>se zapažením a zpětným zasypáním (skrývka a ohumusování s osetím)</t>
  </si>
  <si>
    <t>cca 1,5m x 1,5m x 2,0 m</t>
  </si>
  <si>
    <t>Průvrty stropem u vztlakoměrných vrtů</t>
  </si>
  <si>
    <t>fi.50mm, délky 600 mm</t>
  </si>
  <si>
    <t>Výkop rýhy trasy k limnigrafu a rozšíření v místě šachet, výkop v křížení s drenáží provádět ručně</t>
  </si>
  <si>
    <t>Obetonování kabelové komory v ploše parkoviště</t>
  </si>
  <si>
    <t xml:space="preserve">včetně bednění </t>
  </si>
  <si>
    <t>56R16-800mm+28R16-2900mm, tj.200kg</t>
  </si>
  <si>
    <t>Odstranení mříží nasávacích otvorů  a mříže do odpadní chodby a poklopů šachet vřetně rámů, předpokládaná celková hmotnost 300 kg.</t>
  </si>
  <si>
    <t>plocha 2x 12 x 4m=96m2</t>
  </si>
  <si>
    <t>odpad. chodba 62x3x2,1=391m3</t>
  </si>
  <si>
    <t>Lešení strojovny, vývaru, chodby a čelní stěny</t>
  </si>
  <si>
    <t>200m2 + 2*115 m2 + 2x65x2,1 + 10*4,5</t>
  </si>
  <si>
    <t>Datum : duben 2023</t>
  </si>
  <si>
    <r>
      <t>m</t>
    </r>
    <r>
      <rPr>
        <vertAlign val="superscript"/>
        <sz val="11"/>
        <rFont val="Arial"/>
        <family val="2"/>
        <charset val="238"/>
      </rPr>
      <t>2</t>
    </r>
  </si>
  <si>
    <t>Odstranění podkladních vrstev vozovky tl. 0,3m</t>
  </si>
  <si>
    <t>Výkaz výměr - kubaturové listy</t>
  </si>
  <si>
    <t>km</t>
  </si>
  <si>
    <t>staničení</t>
  </si>
  <si>
    <t>PF</t>
  </si>
  <si>
    <t>vzdálenost</t>
  </si>
  <si>
    <t>jednotl.</t>
  </si>
  <si>
    <t>průměr</t>
  </si>
  <si>
    <t>množství</t>
  </si>
  <si>
    <t>Skrývka ornice v místě zasakovacího drénu</t>
  </si>
  <si>
    <t>03/K2</t>
  </si>
  <si>
    <t>03/K3</t>
  </si>
  <si>
    <t>03/K4</t>
  </si>
  <si>
    <t>03/K5</t>
  </si>
  <si>
    <t>03/K6</t>
  </si>
  <si>
    <t>03/K7=KÚ</t>
  </si>
  <si>
    <t>20.1</t>
  </si>
  <si>
    <t>dle KL_1</t>
  </si>
  <si>
    <t>Vybourání kamenných obrubníků komunikace v podhrází a uložení v podhrází včetně vybourání obetonování</t>
  </si>
  <si>
    <t>komunikace 2025m2, plocha u vývaru 196m2</t>
  </si>
  <si>
    <t>24.1</t>
  </si>
  <si>
    <t>Výkop zasakovacího drénu</t>
  </si>
  <si>
    <t>Dopočet skrývky pro drén (plocha u vývaru)</t>
  </si>
  <si>
    <t>plocha z řezu 03/K1 * dl. z půdorysu</t>
  </si>
  <si>
    <t>délka z řezu 03/K1 * dl. z půdorysu</t>
  </si>
  <si>
    <t>Dopočet výkopu pro drén (plocha u vývaru)</t>
  </si>
  <si>
    <t>KOMUNIKACE DO PODHRÁZÍ</t>
  </si>
  <si>
    <t>CELKEM</t>
  </si>
  <si>
    <t>Dopočet výkopu plochy u vývaru</t>
  </si>
  <si>
    <t>20.2</t>
  </si>
  <si>
    <t>Výkop v místě zasakovavího drénu</t>
  </si>
  <si>
    <t>drén včetně plochy u vývaru (dle KL_1)</t>
  </si>
  <si>
    <t>24.2</t>
  </si>
  <si>
    <t>Výkop plochy u vývaru</t>
  </si>
  <si>
    <t>(Dle  KL_1)</t>
  </si>
  <si>
    <t>24.3</t>
  </si>
  <si>
    <t>Kopané sondy</t>
  </si>
  <si>
    <t>předpoklad 1*5</t>
  </si>
  <si>
    <t>Skrývka ornice v místě drénu -  plocha u vývaru</t>
  </si>
  <si>
    <t>20.3</t>
  </si>
  <si>
    <t>Zásyp zasakovacího drénu, fr. 16-32 ( komunikace)</t>
  </si>
  <si>
    <t>Ohumusování a osetí v místě zasakovacího drénu</t>
  </si>
  <si>
    <t xml:space="preserve">dle KL_1 </t>
  </si>
  <si>
    <t>Skrývka ornice v místě zasakovacího drénu (komunikace)</t>
  </si>
  <si>
    <t>Zásyp v místě zasakovacího  drénu</t>
  </si>
  <si>
    <t>Dopočet zásypu drénu (plocha u vývaru)</t>
  </si>
  <si>
    <t>plocha z půdorysu * tl. z řezu 03/K1</t>
  </si>
  <si>
    <t>24.4</t>
  </si>
  <si>
    <t>508+515m</t>
  </si>
  <si>
    <t>komunikace včetně rozšíření 2057m2, plocha u vývaru 195m2</t>
  </si>
  <si>
    <t>Ohumusování a osetí v místě zasakovacího drénu - plocha u vývaru</t>
  </si>
  <si>
    <t>20.4</t>
  </si>
  <si>
    <t>24.5</t>
  </si>
  <si>
    <t xml:space="preserve">Štěrkopískový obsyp zasakovacího drénu, fr. 4-8 </t>
  </si>
  <si>
    <t>plocha z řezu 03/K1*délka z půdorysu</t>
  </si>
  <si>
    <t>0,3m2*22m</t>
  </si>
  <si>
    <t>Dopočet ohumusování v místě drénu drénu (plocha u vývaru)</t>
  </si>
  <si>
    <t>planimetrováno</t>
  </si>
  <si>
    <t>Přehutnění pláně pod vrstvy vozovky vč. plochy u vývaru</t>
  </si>
  <si>
    <t>Vyčištění propustku</t>
  </si>
  <si>
    <t>56.1</t>
  </si>
  <si>
    <t>Ochrana elektroinstalací na stěně u vstupu do komunikační chodby proti prachu - geotextilie a bednění</t>
  </si>
  <si>
    <t>Ochrana vodárenského potrubí (tl. stěny potrubí je pouze 3 mm) bedněním</t>
  </si>
  <si>
    <t>délka 70m , průměr potrubí 500mm</t>
  </si>
  <si>
    <t>Bednění obetonování chrániček</t>
  </si>
  <si>
    <t>Výztuž obetonování KARI sítí 6/100-6/100 (4,44 kg/m2)</t>
  </si>
  <si>
    <t>Oplocení dřevin na pozemku ZPF, plot drátěný v. 1,8 m včetně sloupků a kotvení</t>
  </si>
  <si>
    <t>69.1</t>
  </si>
  <si>
    <t xml:space="preserve">Provizorní bandáž dilatačních spár v době injektáže, bednění trvaru T, instalace a zrušení, délka 7,5 + 7,5 m, částečná opakovatelnost využití </t>
  </si>
  <si>
    <t>Zhotovitel : AQUATIS a.s.</t>
  </si>
  <si>
    <t>sanovány budou pouze poškozené dilatační spáry, o rozsahu sanace bude rozhodnuto podle stávajících výluhů a podle stavu po odbourání na stavbě za přítomnosti TDI, položka nemusí být čerpána v plném rozsahu</t>
  </si>
  <si>
    <t>Injektáž poškozených dilatačních spár šířky 2-5 cm na bázi polyuretanu</t>
  </si>
  <si>
    <t>Vlepení náhradní výztuže v okolí vrtů a navaření předehřáté výztuže R16, vždy 1+1 ks výztuže na 1 hydrovrt, celkem rušených i nových hydrovrtů 14 ks</t>
  </si>
  <si>
    <t>délka 50m + pásek pod svary tl. 10mm, šířka 20 mm  (svarová podložka) 70m, cellkem 70+50=120m, tj. 120 m x 1,578kg/m = 190,0kg</t>
  </si>
  <si>
    <t>Kotvy pancíře M16-450mm komplet (vyvrtání profil 20 mm, vlepení, zaříznutí, matice s náběhem, zajištění matic, matice je třeba chránit hlavicemi s náběhem proti otáčení, zapravení zinkovým nátěrem...), hloubka kotvení 400 mm. Únosnost v tahu jedné kotvy min. 50kN.</t>
  </si>
  <si>
    <t>Těsnící ocelový pásek (límec) š. 20mm tl. 10 mm kolem pancíře včetně přivaření a vyřezání drážky pro jeho osazení a zapravení drážky vyrovnávací plastmaltou na bázi epoxidu</t>
  </si>
  <si>
    <t>82.1</t>
  </si>
  <si>
    <t>82.2</t>
  </si>
  <si>
    <t>Magnetické testování (magnetická prášková zkouška) v rozsahu 20% svarů</t>
  </si>
  <si>
    <t xml:space="preserve">Ultrazvukové testování svarů v rozsahu 50% svarů </t>
  </si>
  <si>
    <t>Montážní svary pancíře včetně ošetření zinkovým nátěrem, délka je pouze orientační, bude upravena ve výrobní dokumentaci zhotovitele dle velikosti navržených velikostí desek pancíře</t>
  </si>
  <si>
    <t>délky (souvislá délka všech spár odhad)</t>
  </si>
  <si>
    <t>při vrtání nesmí být porušena výztuž, nutno ověřit vrtem menšího profilu</t>
  </si>
  <si>
    <t>2x š.10m x výška 2,1m</t>
  </si>
  <si>
    <t xml:space="preserve">Úprava betonové plochy pod pancíř, odbourání na hloubku min. 22 mm, dle stavu stěny i větší, očištění  </t>
  </si>
  <si>
    <t>Návodní sypaná příp. nasazená jímka s chráničkou požární hadice pro převod asanačního průtoku v odpadním korytě pod vývarem.</t>
  </si>
  <si>
    <t>14*0,6*0,12=1,008m3</t>
  </si>
  <si>
    <t>Vybourání kamenné římsy nad čelní stěnou nad vývvarem délka 14.0 m, šířka 0,6 m, výška 0,12 m, očištění a uložení kamenů do podhrází k dalšímu využití investorem.</t>
  </si>
  <si>
    <t>2 x 6 ks - 3m/1ks, tj. 2*6*3= 36m</t>
  </si>
  <si>
    <t>předpoklad 5,0m3</t>
  </si>
  <si>
    <t>Kopané sondy v pravobřežní ploše u vývaru pro zjištění polohy sítí</t>
  </si>
  <si>
    <t>Sanace dna odpadní chodby</t>
  </si>
  <si>
    <t xml:space="preserve">Půlená chránička v křížení se stávajícím el. vedením v pravobřežní ploše u vývaru. </t>
  </si>
  <si>
    <t>Příplatek za provedení ručních výkopů v okolí stávajících sítí v pravobřežní ploše u vývaru.</t>
  </si>
  <si>
    <t>Obednění stromu jako ohrana proti poškození a odstranění po dokončení prací</t>
  </si>
  <si>
    <t>Vrty drenážní ve stěnách vývaru , dovrchní 3°, profil 94 mm pro výpažnici 8/P. Vrty budou prováděny s výnosem jádra a jeho dokumentací.</t>
  </si>
  <si>
    <t>Vybourání výklenků v chodbě pro osazení nových snímačů tlaku TBD, 0,2 x 0,2m výšky 0,8m v komunikační chodbě a 1,8 m v odpadní chodbě</t>
  </si>
  <si>
    <t>6ks x 0,2 x 0,2 x(0,8+1,8) = 0,62 m3</t>
  </si>
  <si>
    <t>Demontáž zábradlí u vývaru včetně vybourání základu sloupků</t>
  </si>
  <si>
    <t>Demontáž zábradlí u schodiště včetně vybourání základu sloupků</t>
  </si>
  <si>
    <t>Obsyp chrániček fr. 4-8 , délka: z koruny hráze do komory KK03/1 43 m š. 0,9m, od plochy u vývaru k limnigrafu 114,5 m š. 0,7m</t>
  </si>
  <si>
    <t xml:space="preserve"> 0,4 x((43 x 0,9) + (114,5 x 0,7))</t>
  </si>
  <si>
    <t xml:space="preserve"> (0,8-0,4-0,1) x ((43 x 0,9) + (114,5 x 0,7))</t>
  </si>
  <si>
    <t>Hutněný zásyp kabelové trasy v terénu, (výška výkopu-obsypu-ohumusování) x délka x šířka</t>
  </si>
  <si>
    <t>23.1</t>
  </si>
  <si>
    <t>Ruční výkop rýhy kabelové trasy vzdušnou stranou hráze z koruny hráze ke KK03/1, terén ve sklonu 1:2,</t>
  </si>
  <si>
    <t>š. 0,9 x v. 0,8 x d. 43m</t>
  </si>
  <si>
    <t>0,7 x 0,8 x 130m + 6 x 1 x 0,4x 0,8</t>
  </si>
  <si>
    <t>Injektáž plochy pod pancířem (pevnost v tlaku 60 MPa) po částech.</t>
  </si>
  <si>
    <t>fólie PE a bednění na celou výšku chodby 2 x 2,1 m,včetně přikotvení do betonu, následně sanace kotevních míst</t>
  </si>
  <si>
    <t>délka spáry 7,5 m v odpadní a 7,5 m v komunikační chodbě, celkem 6ks spár, tj (7,5+7,5)*6 = 90 m</t>
  </si>
  <si>
    <t xml:space="preserve">celková plocha stěn a stropů chodeb: 234+162+198,1+197,3= 791,4 m2 </t>
  </si>
  <si>
    <t>Mechanické osekání uvolněných částí stropu a stěn v okolí zkorodované výztuže s očištěním výztuže cca do hl. 80 mm v 35% plochy</t>
  </si>
  <si>
    <t>délka * šířka*2ks, 23*1,0*2</t>
  </si>
  <si>
    <t>Spárování kamenného obkladu stěn vývaru včetně očištění tlakovou vodou, vyčištění poškozených spár do hloubky 70 mm, odbourání uvolněných částí, předpokládá se 50% plochy</t>
  </si>
  <si>
    <t>Zajištění okna proti porušení, okno 3,0 x 2,0 m</t>
  </si>
  <si>
    <t>Vyčištění a sanace vnitřních ploch šachty odběru vody v komunikační chodbě u levobřežního východu, 1,0 x 3,0 x 2,0m</t>
  </si>
  <si>
    <t>Sanace podlahy komunikační chodby, lokální vyspravení výtluků na 10 % plochy chodby a strojovny.</t>
  </si>
  <si>
    <t>Těsnící systém do dilatačních spár - provazec nebo těsnící pěnová šňůra, 2x pěnová mřížka s otevřenými komůrkami 40 mm, vše jen v porušených dilatacích, bude určeno po odbourání porušených vrstev, max. délka všech dilatačních spár: délka v horní a dolní chodbě x počet spár (7,5m+7,5m)*6 ks</t>
  </si>
  <si>
    <t>0,7 x 0,3 x (15,5+19)</t>
  </si>
  <si>
    <t>Obetonování chrániček pod komunikací C30/37 (pravobřežní plocha vedle vývaru)</t>
  </si>
  <si>
    <t>v.0,35m, délka 2x(15,5+19) m</t>
  </si>
  <si>
    <t>0,6 x (15,1+19) x 4,44</t>
  </si>
  <si>
    <t>Rozpěrné pažení výkopu šachet KK03</t>
  </si>
  <si>
    <t>Podbetonování šachet KK03 beton C30/37 XF3</t>
  </si>
  <si>
    <t>5ks x (0,8x1,0x4) +1ks x 0,8*1,2*4)</t>
  </si>
  <si>
    <t>5ks x 0,9 x 0,9 x 0,1 + 1ks 1,2 x 1,2 x 0,1</t>
  </si>
  <si>
    <t>Obetonování stávajících sítí v pravobřežní ploše u vývaru, cca 0,5m3</t>
  </si>
  <si>
    <t>Dílenské čištění strojů ze strojovny v hrázi po rekonstrukci</t>
  </si>
  <si>
    <t>Převedení vody asanačního průtoku 13 l/s do koryta (15m za vývar) potrubím  DN100 s redukcí z 200 mm včetně vyvěšení na stěnu vývaru pomocí ocelové lávky, délka potrubí 105 m,  a vyvěšení na stěnu vývaru pomocí ocelové lávky, včetně přemístění na druhou stranu vývaru.</t>
  </si>
  <si>
    <t>Vyčerpání vývaru 2x Objem vývaru: cca 108m3</t>
  </si>
  <si>
    <t>levá stěna - komunikační chodby 14,3 m2</t>
  </si>
  <si>
    <t>levá stěny - odpadní chodby 6,7 m2</t>
  </si>
  <si>
    <t>pravá stěna - komunikační chodby 14,30 m2</t>
  </si>
  <si>
    <t>pravá stěna - odpadní chodby 8,5 m2</t>
  </si>
  <si>
    <t>rezerva 30%</t>
  </si>
  <si>
    <t>celkem 57,0 m2</t>
  </si>
  <si>
    <t>Injektáž neprobetonovaných hnízd ve stěnách chodeb s lícovou bandáží (bedněním). Vrty v rastru cca 0,25 m, hloubky 0,2m. Vzhledem k menším plochámO provedení injektáže bude rozhodnuto na stavbě ve spolupráci s TDI až po hloubkovém očištění stěn v místech s větší porozitou nebo štěrkových hnízd .</t>
  </si>
  <si>
    <t>Frézování drážky pro osazení náhradní výztuže v místech vztlakoměrných vrtů, dážka šířky 50 mm hloubky 30 mm, délka 3m x 28 ks = 84m</t>
  </si>
  <si>
    <t>14 x 4ks=56ks délky 250 mm šikmých vrtů průměr 20 s vlepením a přivařením vodorovné části s předehřátím, počet svarů 56ks délky 100 mm</t>
  </si>
  <si>
    <t>odbourání porušeného betonu, odstranění ocelových prvků včetně likvidace, lokální vyspravení největších poruch, hloubková sanace min. 80 mm, očištění výztuže cca 300kg, pasivace antikorozním nátěrem, doplnění výztuže (vyvrtání, vlepení, přivaření s předehřátím, odhad 170ks svarů délky 100mm jednostranných), výcevrstvý stříkaný beton s kompozitní výztuží kotvenou nerez kotvami fi.12 v množství 9ks/m2, finální sanace stěrkou 30 mm</t>
  </si>
  <si>
    <t>odbourání porušeného betonu, odstranění ocelových prvků včetně likvidace, lokální vyspravení největších poruch, hloubková sanace min. 80 mm, očištění výztuže cca 300kg, pasivace, doplnění výztuže (vyvrtání, vlepení, přivaření s předehřátím odhad 170ks svarů délky 100mm jednostranných), výcevrstvý stříkaný beton s kompozitní výztuží kotvenou nerez kotvami fi.12 v množství 9ks/m2, finální sanace stěrkou 30 mm</t>
  </si>
  <si>
    <t>odbourání porušeného betonu, lokální vyspravení největších poruch, hloubková sanace min. 80 mm, očištění výztuže, pasivace, doplnění výztuže cca 200kg(vyvrtání, vlepení, přivaření s předehřátímodhad 130ks svarů délky 100mm jednostranných), výcevrstvý stříkaný beton s kompozitní výztuží kotvenou nerez kotvami fi.12 v množství 9ks/m2, finální sanace stěrkou 30 mm</t>
  </si>
  <si>
    <t>odbourání porušeného betonu, lokální vyspravení největších poruch, hloubková sanace min. 80 mm, očištění výztuže, pasivace, doplnění výztuže cca 200kg (vyvrtání, vlepení, přivaření s předehřátím, odhad 130ks svarů délky 100mm jednostranných), výcevrstvý stříkaný beton s kompozitní výztuží kotvenou nerez kotvami fi.12 v množství 9ks/m2, finální sanace stěrkou 30 mm</t>
  </si>
  <si>
    <t>46.1</t>
  </si>
  <si>
    <t>Bednění šikmé kynety výška 150 mm, délka 20 m</t>
  </si>
  <si>
    <t>2 x 0,15 x 20 = 6m2</t>
  </si>
  <si>
    <t>46.2</t>
  </si>
  <si>
    <t>Kompozitní výztuž síť 6/100-6/100</t>
  </si>
  <si>
    <t>3 x 20 = 60m2</t>
  </si>
  <si>
    <t>46.3</t>
  </si>
  <si>
    <t>Kotvení sítě nerezovými kotvami profil 12, počet 9 ks/m2, hloubka kotvení 250 mm</t>
  </si>
  <si>
    <t>60 x 9 = 540ks, délka 540*0,25 = 135 m</t>
  </si>
  <si>
    <t>Vyčištění dna vývaru, plocha 82,5m2</t>
  </si>
  <si>
    <t>Ochrana stávajícího okna 2,1 x 3 m v komunikační chodbě proti poškození při sanaci chodby</t>
  </si>
  <si>
    <t>6 x 2 x 0,35 = 4,2m</t>
  </si>
  <si>
    <t>Zatmelení dilatačních spár trvale pružným tmelem v odpadní chodbě do výšky 350mm, šířka spáry cca 30 mm na hloubku 50 mm.</t>
  </si>
  <si>
    <t>Zpětný zásyp rýhy po uložení chrániček</t>
  </si>
  <si>
    <t>24.6</t>
  </si>
  <si>
    <t>Zpětný zásyp kabelové trasy k limnigrafu</t>
  </si>
  <si>
    <t>07 x 0,23 x 130 m</t>
  </si>
  <si>
    <t>0,9 x 0,23 x 43m</t>
  </si>
  <si>
    <t>1,0 x 130 m + 1 x 43m</t>
  </si>
  <si>
    <t xml:space="preserve">Odbourání porušeného betonu cca 20m od konce chodby u vývaru, nahrazení novou betonovou vrstvou tl. 50 mm s vytvarováním kynety </t>
  </si>
  <si>
    <t>46.4</t>
  </si>
  <si>
    <t>Lokální vyspravení dna chodby v místech obnažené výztuže nebo výmolů cca 12 m2</t>
  </si>
  <si>
    <t>Případné opětovné doinjektování dilatačních spár</t>
  </si>
  <si>
    <t>Kontrola kvality povrchu odtrhové zkoušky včetně vyhodnocení v průběhu sanací, všechny sanované plochy chodeb a strojovny včetně čelní stěny u vývaru, 3 ks na 100 m2</t>
  </si>
  <si>
    <t>Případné dotmelení dilatačních spár trvale pružným tmelem dle pokynů investora s časovým odstupem od sanací dilatací.</t>
  </si>
  <si>
    <t>Vyčištění dilatačních spár  před jejich sanací, zbavení všech nečistot, volných částic, zbytků po použitých tmelech.</t>
  </si>
  <si>
    <t>56.2</t>
  </si>
  <si>
    <t>Svahování v okolí komunikace</t>
  </si>
  <si>
    <t>d. 1023 m x š. 2m</t>
  </si>
  <si>
    <t>135+7</t>
  </si>
  <si>
    <t>Skrývka ornice tl. 0,15 m nad výkopem trasy k limnigrafu (strojně) a kabelové trasy (ručně) na hrázi a opětovné rozprostření a osetí</t>
  </si>
  <si>
    <t>Ohumusování a osetí v místě zasakovacího drénu (komunikace) tl. ohumusování bude cca 148 až 152 cm, tj. vyrovnaná bilance</t>
  </si>
  <si>
    <t>Propojení kabelové trasy a rozvaděče</t>
  </si>
  <si>
    <t>drážka v betonové podlaze, kabelové vedení po stěně. Bourací práce a zapravení povrchu</t>
  </si>
  <si>
    <t>Rekonstrukce propustku pod komunikací, délka propusktu 5m, včetně osazení nového silničního zábradlí cca 2 x 5 m.</t>
  </si>
  <si>
    <t>45.1</t>
  </si>
  <si>
    <t>Ochranný nátěr betonových konstrukcí, impregnační dvojnásobný</t>
  </si>
  <si>
    <t>234+262+198,1+197,3+199,08+105,2=cca1200m2</t>
  </si>
  <si>
    <t>66.1</t>
  </si>
  <si>
    <t>66.2</t>
  </si>
  <si>
    <t xml:space="preserve">Reprofilace podlahy komunikační chodby tl. 15 mm </t>
  </si>
  <si>
    <t>s kompozitní sítí 2,2 mm</t>
  </si>
  <si>
    <t>Sjednocující stěrka dna komunikační chodby 2 mm
247 m2</t>
  </si>
  <si>
    <t xml:space="preserve">Čerpání srážkových vod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</si>
</sst>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 CE"/>
      <charset val="238"/>
    </font>
    <font>
      <sz val="10"/>
      <name val="Arial CE"/>
    </font>
    <font>
      <sz val="10"/>
      <name val="Arial CE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6"/>
      <name val="Arial CE"/>
      <charset val="238"/>
    </font>
    <font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8"/>
      <name val="Arial CE"/>
      <charset val="238"/>
    </font>
    <font>
      <sz val="10"/>
      <color rgb="FFFF0000"/>
      <name val="Arial CE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4"/>
      <name val="Arial"/>
      <family val="2"/>
      <charset val="238"/>
    </font>
    <font>
      <b/>
      <sz val="11"/>
      <color theme="4"/>
      <name val="Arial"/>
      <family val="2"/>
      <charset val="238"/>
    </font>
    <font>
      <vertAlign val="superscript"/>
      <sz val="11"/>
      <name val="Arial"/>
      <family val="2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1"/>
      <color theme="6" tint="-0.249977111117893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45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1" fillId="0" borderId="0" xfId="0" applyFont="1"/>
    <xf numFmtId="0" fontId="13" fillId="0" borderId="0" xfId="0" applyFont="1" applyAlignment="1">
      <alignment vertical="center"/>
    </xf>
    <xf numFmtId="0" fontId="20" fillId="0" borderId="0" xfId="0" applyFont="1"/>
    <xf numFmtId="0" fontId="6" fillId="0" borderId="0" xfId="0" applyFont="1" applyAlignment="1">
      <alignment vertical="center" wrapText="1"/>
    </xf>
    <xf numFmtId="0" fontId="0" fillId="0" borderId="21" xfId="0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5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9" xfId="0" applyBorder="1"/>
    <xf numFmtId="0" fontId="0" fillId="0" borderId="17" xfId="0" applyBorder="1"/>
    <xf numFmtId="0" fontId="21" fillId="0" borderId="21" xfId="0" applyFont="1" applyBorder="1"/>
    <xf numFmtId="0" fontId="0" fillId="0" borderId="27" xfId="0" applyBorder="1" applyAlignment="1">
      <alignment vertical="center" wrapText="1"/>
    </xf>
    <xf numFmtId="0" fontId="0" fillId="0" borderId="27" xfId="0" applyBorder="1"/>
    <xf numFmtId="0" fontId="0" fillId="0" borderId="26" xfId="0" applyBorder="1"/>
    <xf numFmtId="0" fontId="21" fillId="0" borderId="0" xfId="0" applyFont="1"/>
    <xf numFmtId="0" fontId="21" fillId="0" borderId="0" xfId="0" applyFont="1" applyAlignment="1">
      <alignment vertical="center"/>
    </xf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21" fillId="0" borderId="30" xfId="0" applyFont="1" applyBorder="1"/>
    <xf numFmtId="0" fontId="0" fillId="0" borderId="1" xfId="0" applyBorder="1" applyAlignment="1">
      <alignment vertical="center" wrapText="1"/>
    </xf>
    <xf numFmtId="2" fontId="0" fillId="0" borderId="0" xfId="0" applyNumberFormat="1"/>
    <xf numFmtId="2" fontId="21" fillId="0" borderId="0" xfId="0" applyNumberFormat="1" applyFont="1"/>
    <xf numFmtId="0" fontId="0" fillId="0" borderId="32" xfId="0" applyBorder="1"/>
    <xf numFmtId="0" fontId="13" fillId="0" borderId="29" xfId="0" applyFont="1" applyBorder="1"/>
    <xf numFmtId="0" fontId="13" fillId="0" borderId="30" xfId="0" applyFont="1" applyBorder="1"/>
    <xf numFmtId="0" fontId="14" fillId="0" borderId="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23" fillId="0" borderId="1" xfId="0" applyFont="1" applyBorder="1" applyAlignment="1">
      <alignment horizontal="left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16" fontId="14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16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wrapText="1"/>
    </xf>
    <xf numFmtId="164" fontId="15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49" fontId="14" fillId="0" borderId="4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justify" vertical="center"/>
    </xf>
    <xf numFmtId="164" fontId="23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1" xfId="0" applyFont="1" applyBorder="1"/>
    <xf numFmtId="0" fontId="21" fillId="0" borderId="1" xfId="0" applyFont="1" applyBorder="1"/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17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vertical="center" wrapText="1" shrinkToFit="1"/>
    </xf>
    <xf numFmtId="1" fontId="23" fillId="0" borderId="1" xfId="0" applyNumberFormat="1" applyFont="1" applyBorder="1" applyAlignment="1">
      <alignment horizontal="center" vertical="center"/>
    </xf>
    <xf numFmtId="0" fontId="15" fillId="0" borderId="1" xfId="1" applyFont="1" applyBorder="1" applyAlignment="1">
      <alignment vertical="center" wrapText="1" shrinkToFit="1"/>
    </xf>
    <xf numFmtId="1" fontId="15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5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left" wrapText="1"/>
    </xf>
    <xf numFmtId="0" fontId="14" fillId="0" borderId="5" xfId="0" applyFont="1" applyBorder="1" applyAlignment="1">
      <alignment horizontal="center" wrapText="1"/>
    </xf>
    <xf numFmtId="0" fontId="15" fillId="0" borderId="1" xfId="0" applyFont="1" applyBorder="1"/>
    <xf numFmtId="0" fontId="23" fillId="0" borderId="1" xfId="0" applyFont="1" applyBorder="1" applyAlignment="1">
      <alignment horizontal="left" wrapText="1"/>
    </xf>
    <xf numFmtId="164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2" fillId="0" borderId="0" xfId="0" applyFont="1"/>
    <xf numFmtId="0" fontId="0" fillId="0" borderId="1" xfId="0" applyBorder="1"/>
    <xf numFmtId="0" fontId="0" fillId="0" borderId="1" xfId="0" applyBorder="1" applyAlignment="1">
      <alignment vertical="center"/>
    </xf>
    <xf numFmtId="0" fontId="14" fillId="0" borderId="17" xfId="1" applyFont="1" applyBorder="1" applyAlignment="1">
      <alignment vertical="center" wrapText="1" shrinkToFit="1"/>
    </xf>
    <xf numFmtId="0" fontId="14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vertical="center" wrapText="1" shrinkToFit="1"/>
    </xf>
    <xf numFmtId="0" fontId="15" fillId="0" borderId="1" xfId="1" applyFont="1" applyFill="1" applyBorder="1" applyAlignment="1">
      <alignment vertical="center" wrapText="1" shrinkToFit="1"/>
    </xf>
    <xf numFmtId="1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wrapText="1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0" fillId="0" borderId="15" xfId="0" applyFill="1" applyBorder="1" applyAlignment="1">
      <alignment vertical="center"/>
    </xf>
    <xf numFmtId="0" fontId="14" fillId="0" borderId="16" xfId="0" applyFont="1" applyFill="1" applyBorder="1" applyAlignment="1">
      <alignment horizontal="center"/>
    </xf>
  </cellXfs>
  <cellStyles count="3">
    <cellStyle name="Normální" xfId="0" builtinId="0"/>
    <cellStyle name="Normální 2" xfId="2" xr:uid="{00000000-0005-0000-0000-000002000000}"/>
    <cellStyle name="normální_POL.XLS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38"/>
  <sheetViews>
    <sheetView tabSelected="1" topLeftCell="A4" zoomScale="115" zoomScaleNormal="115" zoomScaleSheetLayoutView="70" workbookViewId="0">
      <pane ySplit="8" topLeftCell="A326" activePane="bottomLeft" state="frozen"/>
      <selection activeCell="B4" sqref="B4"/>
      <selection pane="bottomLeft" activeCell="D348" sqref="D348"/>
    </sheetView>
  </sheetViews>
  <sheetFormatPr defaultRowHeight="12.75" x14ac:dyDescent="0.2"/>
  <cols>
    <col min="1" max="1" width="4.28515625" customWidth="1"/>
    <col min="2" max="2" width="7.7109375" customWidth="1"/>
    <col min="3" max="3" width="48" customWidth="1"/>
    <col min="4" max="4" width="8.5703125" style="3" customWidth="1"/>
    <col min="5" max="5" width="9" style="3" customWidth="1"/>
    <col min="6" max="6" width="22.7109375" customWidth="1"/>
    <col min="7" max="7" width="30" customWidth="1"/>
  </cols>
  <sheetData>
    <row r="3" spans="2:7" ht="21.95" customHeight="1" x14ac:dyDescent="0.2">
      <c r="B3" s="4" t="s">
        <v>5</v>
      </c>
    </row>
    <row r="4" spans="2:7" s="2" customFormat="1" ht="20.100000000000001" customHeight="1" x14ac:dyDescent="0.25">
      <c r="B4" s="19" t="s">
        <v>9</v>
      </c>
    </row>
    <row r="5" spans="2:7" s="1" customFormat="1" ht="20.100000000000001" customHeight="1" x14ac:dyDescent="0.2">
      <c r="B5" s="2" t="s">
        <v>65</v>
      </c>
    </row>
    <row r="6" spans="2:7" s="1" customFormat="1" ht="20.100000000000001" customHeight="1" x14ac:dyDescent="0.2">
      <c r="B6" s="2"/>
      <c r="E6" s="13"/>
      <c r="F6" s="14"/>
      <c r="G6" s="13"/>
    </row>
    <row r="7" spans="2:7" s="3" customFormat="1" ht="15.95" customHeight="1" x14ac:dyDescent="0.2">
      <c r="B7" s="5" t="s">
        <v>7</v>
      </c>
    </row>
    <row r="8" spans="2:7" s="3" customFormat="1" ht="15.95" customHeight="1" x14ac:dyDescent="0.2">
      <c r="B8" s="5" t="s">
        <v>159</v>
      </c>
      <c r="D8" s="20"/>
    </row>
    <row r="9" spans="2:7" s="3" customFormat="1" ht="15.95" customHeight="1" x14ac:dyDescent="0.2">
      <c r="B9" s="3" t="s">
        <v>88</v>
      </c>
    </row>
    <row r="10" spans="2:7" ht="13.5" thickBot="1" x14ac:dyDescent="0.25"/>
    <row r="11" spans="2:7" ht="36.75" customHeight="1" thickBot="1" x14ac:dyDescent="0.25">
      <c r="B11" s="6" t="s">
        <v>1</v>
      </c>
      <c r="C11" s="7" t="s">
        <v>2</v>
      </c>
      <c r="D11" s="8" t="s">
        <v>3</v>
      </c>
      <c r="E11" s="9" t="s">
        <v>4</v>
      </c>
      <c r="F11" s="10" t="s">
        <v>6</v>
      </c>
      <c r="G11" s="11"/>
    </row>
    <row r="12" spans="2:7" s="3" customFormat="1" ht="6.75" customHeight="1" thickBot="1" x14ac:dyDescent="0.25">
      <c r="B12" s="15"/>
      <c r="C12" s="16"/>
      <c r="D12" s="17"/>
      <c r="E12" s="17"/>
      <c r="F12" s="18"/>
    </row>
    <row r="13" spans="2:7" s="3" customFormat="1" ht="12.75" customHeight="1" x14ac:dyDescent="0.2">
      <c r="B13" s="50"/>
      <c r="C13" s="51"/>
      <c r="D13" s="52"/>
      <c r="E13" s="52"/>
      <c r="F13" s="53"/>
    </row>
    <row r="14" spans="2:7" s="3" customFormat="1" ht="15" customHeight="1" x14ac:dyDescent="0.25">
      <c r="B14" s="54"/>
      <c r="C14" s="55" t="s">
        <v>50</v>
      </c>
      <c r="D14" s="56"/>
      <c r="E14" s="56"/>
      <c r="F14" s="57"/>
    </row>
    <row r="15" spans="2:7" s="3" customFormat="1" ht="42.75" x14ac:dyDescent="0.2">
      <c r="B15" s="58">
        <v>1</v>
      </c>
      <c r="C15" s="49" t="s">
        <v>186</v>
      </c>
      <c r="D15" s="59" t="s">
        <v>32</v>
      </c>
      <c r="E15" s="60">
        <f>6*0.2*0.2*(0.8+1.8)</f>
        <v>0.62400000000000011</v>
      </c>
      <c r="F15" s="61"/>
    </row>
    <row r="16" spans="2:7" s="3" customFormat="1" ht="14.25" x14ac:dyDescent="0.2">
      <c r="B16" s="58"/>
      <c r="C16" s="49" t="s">
        <v>187</v>
      </c>
      <c r="D16" s="59"/>
      <c r="E16" s="59"/>
      <c r="F16" s="61"/>
    </row>
    <row r="17" spans="2:6" s="3" customFormat="1" ht="14.25" x14ac:dyDescent="0.2">
      <c r="B17" s="58"/>
      <c r="C17" s="49"/>
      <c r="D17" s="59"/>
      <c r="E17" s="59"/>
      <c r="F17" s="61"/>
    </row>
    <row r="18" spans="2:6" s="3" customFormat="1" ht="42.75" x14ac:dyDescent="0.2">
      <c r="B18" s="58">
        <v>2</v>
      </c>
      <c r="C18" s="49" t="s">
        <v>49</v>
      </c>
      <c r="D18" s="59" t="s">
        <v>28</v>
      </c>
      <c r="E18" s="59">
        <v>1</v>
      </c>
      <c r="F18" s="61"/>
    </row>
    <row r="19" spans="2:6" s="3" customFormat="1" ht="14.25" x14ac:dyDescent="0.2">
      <c r="B19" s="58"/>
      <c r="C19" s="49"/>
      <c r="D19" s="59"/>
      <c r="E19" s="59"/>
      <c r="F19" s="61"/>
    </row>
    <row r="20" spans="2:6" s="3" customFormat="1" ht="28.5" x14ac:dyDescent="0.2">
      <c r="B20" s="58">
        <v>3</v>
      </c>
      <c r="C20" s="49" t="s">
        <v>33</v>
      </c>
      <c r="D20" s="59" t="s">
        <v>16</v>
      </c>
      <c r="E20" s="59">
        <v>70</v>
      </c>
      <c r="F20" s="61"/>
    </row>
    <row r="21" spans="2:6" s="3" customFormat="1" ht="14.25" x14ac:dyDescent="0.2">
      <c r="B21" s="62"/>
      <c r="C21" s="49"/>
      <c r="D21" s="59"/>
      <c r="E21" s="59"/>
      <c r="F21" s="61"/>
    </row>
    <row r="22" spans="2:6" s="3" customFormat="1" ht="42.75" x14ac:dyDescent="0.2">
      <c r="B22" s="58">
        <v>4</v>
      </c>
      <c r="C22" s="49" t="s">
        <v>83</v>
      </c>
      <c r="D22" s="59" t="s">
        <v>28</v>
      </c>
      <c r="E22" s="59">
        <v>1</v>
      </c>
      <c r="F22" s="61"/>
    </row>
    <row r="23" spans="2:6" s="3" customFormat="1" ht="15" x14ac:dyDescent="0.2">
      <c r="B23" s="63"/>
      <c r="C23" s="64"/>
      <c r="D23" s="65"/>
      <c r="E23" s="66"/>
      <c r="F23" s="61"/>
    </row>
    <row r="24" spans="2:6" s="3" customFormat="1" ht="42.75" x14ac:dyDescent="0.2">
      <c r="B24" s="58">
        <v>5</v>
      </c>
      <c r="C24" s="67" t="s">
        <v>108</v>
      </c>
      <c r="D24" s="59" t="s">
        <v>16</v>
      </c>
      <c r="E24" s="68">
        <f>508+515</f>
        <v>1023</v>
      </c>
      <c r="F24" s="61"/>
    </row>
    <row r="25" spans="2:6" s="3" customFormat="1" ht="14.25" x14ac:dyDescent="0.2">
      <c r="B25" s="58"/>
      <c r="C25" s="49" t="s">
        <v>138</v>
      </c>
      <c r="D25" s="59"/>
      <c r="E25" s="68"/>
      <c r="F25" s="61"/>
    </row>
    <row r="26" spans="2:6" s="3" customFormat="1" ht="14.25" x14ac:dyDescent="0.2">
      <c r="B26" s="63"/>
      <c r="C26" s="69"/>
      <c r="D26" s="70"/>
      <c r="E26" s="65"/>
      <c r="F26" s="61"/>
    </row>
    <row r="27" spans="2:6" s="3" customFormat="1" ht="28.5" x14ac:dyDescent="0.2">
      <c r="B27" s="58">
        <v>6</v>
      </c>
      <c r="C27" s="49" t="s">
        <v>188</v>
      </c>
      <c r="D27" s="59" t="s">
        <v>28</v>
      </c>
      <c r="E27" s="68">
        <v>1</v>
      </c>
      <c r="F27" s="61"/>
    </row>
    <row r="28" spans="2:6" s="3" customFormat="1" ht="14.25" x14ac:dyDescent="0.2">
      <c r="B28" s="58"/>
      <c r="C28" s="49" t="s">
        <v>66</v>
      </c>
      <c r="D28" s="59"/>
      <c r="E28" s="68"/>
      <c r="F28" s="61"/>
    </row>
    <row r="29" spans="2:6" s="3" customFormat="1" ht="14.25" x14ac:dyDescent="0.2">
      <c r="B29" s="58"/>
      <c r="C29" s="49"/>
      <c r="D29" s="59"/>
      <c r="E29" s="68"/>
      <c r="F29" s="61"/>
    </row>
    <row r="30" spans="2:6" s="3" customFormat="1" ht="28.5" x14ac:dyDescent="0.2">
      <c r="B30" s="58">
        <v>7</v>
      </c>
      <c r="C30" s="67" t="s">
        <v>189</v>
      </c>
      <c r="D30" s="59" t="s">
        <v>28</v>
      </c>
      <c r="E30" s="68">
        <v>1</v>
      </c>
      <c r="F30" s="61"/>
    </row>
    <row r="31" spans="2:6" s="3" customFormat="1" ht="14.25" x14ac:dyDescent="0.2">
      <c r="B31" s="58"/>
      <c r="C31" s="67" t="s">
        <v>67</v>
      </c>
      <c r="D31" s="59"/>
      <c r="E31" s="68"/>
      <c r="F31" s="61"/>
    </row>
    <row r="32" spans="2:6" s="3" customFormat="1" ht="14.25" x14ac:dyDescent="0.2">
      <c r="B32" s="63"/>
      <c r="C32" s="71"/>
      <c r="D32" s="65"/>
      <c r="E32" s="72"/>
      <c r="F32" s="61"/>
    </row>
    <row r="33" spans="2:6" s="3" customFormat="1" ht="14.25" x14ac:dyDescent="0.2">
      <c r="B33" s="58">
        <v>8</v>
      </c>
      <c r="C33" s="67" t="s">
        <v>44</v>
      </c>
      <c r="D33" s="59" t="s">
        <v>30</v>
      </c>
      <c r="E33" s="68">
        <f>2025+196</f>
        <v>2221</v>
      </c>
      <c r="F33" s="61"/>
    </row>
    <row r="34" spans="2:6" s="3" customFormat="1" ht="14.25" x14ac:dyDescent="0.2">
      <c r="B34" s="58"/>
      <c r="C34" s="67" t="s">
        <v>109</v>
      </c>
      <c r="D34" s="59"/>
      <c r="E34" s="68"/>
      <c r="F34" s="61"/>
    </row>
    <row r="35" spans="2:6" s="3" customFormat="1" ht="14.25" x14ac:dyDescent="0.2">
      <c r="B35" s="63"/>
      <c r="C35" s="71"/>
      <c r="D35" s="65"/>
      <c r="E35" s="72"/>
      <c r="F35" s="61"/>
    </row>
    <row r="36" spans="2:6" s="3" customFormat="1" ht="14.25" x14ac:dyDescent="0.2">
      <c r="B36" s="58">
        <v>9</v>
      </c>
      <c r="C36" s="67" t="s">
        <v>90</v>
      </c>
      <c r="D36" s="59" t="s">
        <v>30</v>
      </c>
      <c r="E36" s="68">
        <f>2025+196</f>
        <v>2221</v>
      </c>
      <c r="F36" s="61"/>
    </row>
    <row r="37" spans="2:6" s="3" customFormat="1" ht="14.25" x14ac:dyDescent="0.2">
      <c r="B37" s="58"/>
      <c r="C37" s="67" t="s">
        <v>109</v>
      </c>
      <c r="D37" s="59"/>
      <c r="E37" s="68"/>
      <c r="F37" s="61"/>
    </row>
    <row r="38" spans="2:6" s="3" customFormat="1" ht="14.25" x14ac:dyDescent="0.2">
      <c r="B38" s="63"/>
      <c r="C38" s="71"/>
      <c r="D38" s="65"/>
      <c r="E38" s="72"/>
      <c r="F38" s="61"/>
    </row>
    <row r="39" spans="2:6" s="3" customFormat="1" ht="42.75" x14ac:dyDescent="0.2">
      <c r="B39" s="58">
        <v>10</v>
      </c>
      <c r="C39" s="49" t="s">
        <v>174</v>
      </c>
      <c r="D39" s="59" t="s">
        <v>30</v>
      </c>
      <c r="E39" s="59">
        <f>2*10*2.1</f>
        <v>42</v>
      </c>
      <c r="F39" s="61"/>
    </row>
    <row r="40" spans="2:6" s="3" customFormat="1" ht="14.25" x14ac:dyDescent="0.2">
      <c r="B40" s="58"/>
      <c r="C40" s="49" t="s">
        <v>173</v>
      </c>
      <c r="D40" s="59"/>
      <c r="E40" s="59"/>
      <c r="F40" s="61"/>
    </row>
    <row r="41" spans="2:6" s="3" customFormat="1" ht="14.25" x14ac:dyDescent="0.2">
      <c r="B41" s="63"/>
      <c r="C41" s="69"/>
      <c r="D41" s="65"/>
      <c r="E41" s="65"/>
      <c r="F41" s="61"/>
    </row>
    <row r="42" spans="2:6" s="3" customFormat="1" ht="42.75" x14ac:dyDescent="0.2">
      <c r="B42" s="58">
        <v>11</v>
      </c>
      <c r="C42" s="49" t="s">
        <v>202</v>
      </c>
      <c r="D42" s="59" t="s">
        <v>30</v>
      </c>
      <c r="E42" s="59">
        <f>(234+162+198.1+197.3)*0.35</f>
        <v>276.99</v>
      </c>
      <c r="F42" s="61"/>
    </row>
    <row r="43" spans="2:6" s="3" customFormat="1" ht="28.5" x14ac:dyDescent="0.2">
      <c r="B43" s="58"/>
      <c r="C43" s="49" t="s">
        <v>201</v>
      </c>
      <c r="D43" s="59"/>
      <c r="E43" s="59"/>
      <c r="F43" s="61"/>
    </row>
    <row r="44" spans="2:6" s="3" customFormat="1" ht="14.25" x14ac:dyDescent="0.2">
      <c r="B44" s="63"/>
      <c r="C44" s="69"/>
      <c r="D44" s="65"/>
      <c r="E44" s="65"/>
      <c r="F44" s="61"/>
    </row>
    <row r="45" spans="2:6" s="3" customFormat="1" ht="14.25" x14ac:dyDescent="0.2">
      <c r="B45" s="58">
        <v>12</v>
      </c>
      <c r="C45" s="49" t="s">
        <v>77</v>
      </c>
      <c r="D45" s="59" t="s">
        <v>0</v>
      </c>
      <c r="E45" s="59">
        <v>6</v>
      </c>
      <c r="F45" s="61"/>
    </row>
    <row r="46" spans="2:6" s="3" customFormat="1" ht="14.25" x14ac:dyDescent="0.2">
      <c r="B46" s="58"/>
      <c r="C46" s="49" t="s">
        <v>78</v>
      </c>
      <c r="D46" s="59"/>
      <c r="E46" s="59"/>
      <c r="F46" s="61"/>
    </row>
    <row r="47" spans="2:6" s="3" customFormat="1" ht="28.5" x14ac:dyDescent="0.2">
      <c r="B47" s="58"/>
      <c r="C47" s="49" t="s">
        <v>172</v>
      </c>
      <c r="D47" s="59"/>
      <c r="E47" s="59"/>
      <c r="F47" s="61"/>
    </row>
    <row r="48" spans="2:6" s="3" customFormat="1" ht="14.25" x14ac:dyDescent="0.2">
      <c r="B48" s="58"/>
      <c r="C48" s="49"/>
      <c r="D48" s="59"/>
      <c r="E48" s="59"/>
      <c r="F48" s="61"/>
    </row>
    <row r="49" spans="2:6" s="3" customFormat="1" ht="57" x14ac:dyDescent="0.2">
      <c r="B49" s="58">
        <v>13</v>
      </c>
      <c r="C49" s="49" t="s">
        <v>177</v>
      </c>
      <c r="D49" s="59" t="s">
        <v>32</v>
      </c>
      <c r="E49" s="59">
        <v>1.008</v>
      </c>
      <c r="F49" s="61"/>
    </row>
    <row r="50" spans="2:6" s="3" customFormat="1" ht="14.25" x14ac:dyDescent="0.2">
      <c r="B50" s="58"/>
      <c r="C50" s="49" t="s">
        <v>176</v>
      </c>
      <c r="D50" s="59"/>
      <c r="E50" s="59"/>
      <c r="F50" s="61"/>
    </row>
    <row r="51" spans="2:6" s="3" customFormat="1" ht="14.25" x14ac:dyDescent="0.2">
      <c r="B51" s="58"/>
      <c r="C51" s="49"/>
      <c r="D51" s="59"/>
      <c r="E51" s="59"/>
      <c r="F51" s="61"/>
    </row>
    <row r="52" spans="2:6" s="3" customFormat="1" ht="14.25" x14ac:dyDescent="0.2">
      <c r="B52" s="58">
        <v>14</v>
      </c>
      <c r="C52" s="49" t="s">
        <v>266</v>
      </c>
      <c r="D52" s="59" t="s">
        <v>28</v>
      </c>
      <c r="E52" s="59">
        <v>1</v>
      </c>
      <c r="F52" s="61"/>
    </row>
    <row r="53" spans="2:6" s="3" customFormat="1" ht="28.5" x14ac:dyDescent="0.2">
      <c r="B53" s="58"/>
      <c r="C53" s="49" t="s">
        <v>267</v>
      </c>
      <c r="D53" s="59"/>
      <c r="E53" s="59"/>
      <c r="F53" s="61"/>
    </row>
    <row r="54" spans="2:6" s="3" customFormat="1" ht="14.25" x14ac:dyDescent="0.2">
      <c r="B54" s="63"/>
      <c r="C54" s="69"/>
      <c r="D54" s="70"/>
      <c r="E54" s="65"/>
      <c r="F54" s="61"/>
    </row>
    <row r="55" spans="2:6" s="3" customFormat="1" ht="15" x14ac:dyDescent="0.2">
      <c r="B55" s="58"/>
      <c r="C55" s="73" t="s">
        <v>51</v>
      </c>
      <c r="D55" s="74"/>
      <c r="E55" s="59"/>
      <c r="F55" s="61"/>
    </row>
    <row r="56" spans="2:6" s="3" customFormat="1" ht="42.75" x14ac:dyDescent="0.2">
      <c r="B56" s="58">
        <v>20</v>
      </c>
      <c r="C56" s="49" t="s">
        <v>264</v>
      </c>
      <c r="D56" s="59" t="s">
        <v>30</v>
      </c>
      <c r="E56" s="59">
        <f>130+43</f>
        <v>173</v>
      </c>
      <c r="F56" s="61"/>
    </row>
    <row r="57" spans="2:6" s="3" customFormat="1" ht="14.25" x14ac:dyDescent="0.2">
      <c r="B57" s="58"/>
      <c r="C57" s="49" t="s">
        <v>252</v>
      </c>
      <c r="D57" s="59"/>
      <c r="E57" s="59"/>
      <c r="F57" s="61"/>
    </row>
    <row r="58" spans="2:6" s="3" customFormat="1" ht="14.25" x14ac:dyDescent="0.2">
      <c r="B58" s="63"/>
      <c r="C58" s="69"/>
      <c r="D58" s="65"/>
      <c r="E58" s="65"/>
      <c r="F58" s="61"/>
    </row>
    <row r="59" spans="2:6" s="3" customFormat="1" ht="28.5" x14ac:dyDescent="0.2">
      <c r="B59" s="75" t="s">
        <v>106</v>
      </c>
      <c r="C59" s="49" t="s">
        <v>133</v>
      </c>
      <c r="D59" s="59" t="s">
        <v>30</v>
      </c>
      <c r="E59" s="59">
        <v>1225</v>
      </c>
      <c r="F59" s="61"/>
    </row>
    <row r="60" spans="2:6" s="3" customFormat="1" ht="14.25" x14ac:dyDescent="0.2">
      <c r="B60" s="76"/>
      <c r="C60" s="49" t="s">
        <v>132</v>
      </c>
      <c r="D60" s="59"/>
      <c r="E60" s="65"/>
      <c r="F60" s="61"/>
    </row>
    <row r="61" spans="2:6" s="3" customFormat="1" ht="14.25" x14ac:dyDescent="0.2">
      <c r="B61" s="76"/>
      <c r="C61" s="49"/>
      <c r="D61" s="59"/>
      <c r="E61" s="65"/>
      <c r="F61" s="61"/>
    </row>
    <row r="62" spans="2:6" s="3" customFormat="1" ht="14.25" x14ac:dyDescent="0.2">
      <c r="B62" s="75" t="s">
        <v>119</v>
      </c>
      <c r="C62" s="49" t="s">
        <v>128</v>
      </c>
      <c r="D62" s="59" t="s">
        <v>30</v>
      </c>
      <c r="E62" s="59">
        <v>22.5</v>
      </c>
      <c r="F62" s="61"/>
    </row>
    <row r="63" spans="2:6" s="3" customFormat="1" ht="14.25" x14ac:dyDescent="0.2">
      <c r="B63" s="76"/>
      <c r="C63" s="49" t="s">
        <v>107</v>
      </c>
      <c r="D63" s="59"/>
      <c r="E63" s="65"/>
      <c r="F63" s="61"/>
    </row>
    <row r="64" spans="2:6" s="3" customFormat="1" ht="14.25" x14ac:dyDescent="0.2">
      <c r="B64" s="76"/>
      <c r="C64" s="49"/>
      <c r="D64" s="59"/>
      <c r="E64" s="65"/>
      <c r="F64" s="61"/>
    </row>
    <row r="65" spans="2:8" s="3" customFormat="1" ht="42.75" x14ac:dyDescent="0.2">
      <c r="B65" s="75" t="s">
        <v>129</v>
      </c>
      <c r="C65" s="49" t="s">
        <v>265</v>
      </c>
      <c r="D65" s="59" t="s">
        <v>30</v>
      </c>
      <c r="E65" s="59">
        <v>1235</v>
      </c>
      <c r="F65" s="61"/>
    </row>
    <row r="66" spans="2:8" s="3" customFormat="1" ht="14.25" x14ac:dyDescent="0.2">
      <c r="B66" s="76"/>
      <c r="C66" s="49" t="s">
        <v>107</v>
      </c>
      <c r="D66" s="59"/>
      <c r="E66" s="65"/>
      <c r="F66" s="61"/>
    </row>
    <row r="67" spans="2:8" s="3" customFormat="1" ht="14.25" x14ac:dyDescent="0.2">
      <c r="B67" s="76"/>
      <c r="C67" s="49"/>
      <c r="D67" s="59"/>
      <c r="E67" s="65"/>
      <c r="F67" s="61"/>
    </row>
    <row r="68" spans="2:8" s="3" customFormat="1" ht="28.5" x14ac:dyDescent="0.2">
      <c r="B68" s="75" t="s">
        <v>141</v>
      </c>
      <c r="C68" s="49" t="s">
        <v>140</v>
      </c>
      <c r="D68" s="59" t="s">
        <v>30</v>
      </c>
      <c r="E68" s="59">
        <v>26.25</v>
      </c>
      <c r="F68" s="61"/>
    </row>
    <row r="69" spans="2:8" s="3" customFormat="1" ht="14.25" x14ac:dyDescent="0.2">
      <c r="B69" s="76"/>
      <c r="C69" s="49" t="s">
        <v>107</v>
      </c>
      <c r="D69" s="59"/>
      <c r="E69" s="65"/>
      <c r="F69" s="61"/>
    </row>
    <row r="70" spans="2:8" s="3" customFormat="1" ht="14.25" x14ac:dyDescent="0.2">
      <c r="B70" s="76"/>
      <c r="C70" s="69"/>
      <c r="D70" s="65"/>
      <c r="E70" s="65"/>
      <c r="F70" s="61"/>
    </row>
    <row r="71" spans="2:8" s="3" customFormat="1" ht="42.75" x14ac:dyDescent="0.2">
      <c r="B71" s="58">
        <v>21</v>
      </c>
      <c r="C71" s="77" t="s">
        <v>190</v>
      </c>
      <c r="D71" s="59" t="s">
        <v>32</v>
      </c>
      <c r="E71" s="68">
        <f>0.4*((43*0.9)+(114.5*0.7))</f>
        <v>47.54</v>
      </c>
      <c r="F71" s="61"/>
    </row>
    <row r="72" spans="2:8" s="3" customFormat="1" ht="14.25" x14ac:dyDescent="0.2">
      <c r="B72" s="58"/>
      <c r="C72" s="78" t="s">
        <v>191</v>
      </c>
      <c r="D72" s="59"/>
      <c r="E72" s="59"/>
      <c r="F72" s="61"/>
    </row>
    <row r="73" spans="2:8" s="3" customFormat="1" ht="14.25" x14ac:dyDescent="0.2">
      <c r="B73" s="63"/>
      <c r="C73" s="79"/>
      <c r="D73" s="65"/>
      <c r="E73" s="72"/>
      <c r="F73" s="61"/>
    </row>
    <row r="74" spans="2:8" s="3" customFormat="1" ht="28.5" x14ac:dyDescent="0.2">
      <c r="B74" s="58">
        <v>22</v>
      </c>
      <c r="C74" s="67" t="s">
        <v>193</v>
      </c>
      <c r="D74" s="59" t="s">
        <v>32</v>
      </c>
      <c r="E74" s="68">
        <f>(0.8-0.4-0.1)*((43*0.9)+(114.5*0.7))</f>
        <v>35.655000000000001</v>
      </c>
      <c r="F74" s="61"/>
      <c r="H74" s="12"/>
    </row>
    <row r="75" spans="2:8" s="3" customFormat="1" ht="14.25" x14ac:dyDescent="0.2">
      <c r="B75" s="58"/>
      <c r="C75" s="49" t="s">
        <v>192</v>
      </c>
      <c r="D75" s="59"/>
      <c r="E75" s="59"/>
      <c r="F75" s="61"/>
    </row>
    <row r="76" spans="2:8" s="3" customFormat="1" ht="15" x14ac:dyDescent="0.2">
      <c r="B76" s="63"/>
      <c r="C76" s="64"/>
      <c r="D76" s="65"/>
      <c r="E76" s="66"/>
      <c r="F76" s="48"/>
    </row>
    <row r="77" spans="2:8" s="3" customFormat="1" ht="28.5" x14ac:dyDescent="0.2">
      <c r="B77" s="58">
        <v>23</v>
      </c>
      <c r="C77" s="67" t="s">
        <v>42</v>
      </c>
      <c r="D77" s="59" t="s">
        <v>32</v>
      </c>
      <c r="E77" s="68">
        <f>1.2*1.2*1.2</f>
        <v>1.728</v>
      </c>
      <c r="F77" s="48"/>
    </row>
    <row r="78" spans="2:8" s="3" customFormat="1" ht="15" x14ac:dyDescent="0.2">
      <c r="B78" s="58"/>
      <c r="C78" s="78" t="s">
        <v>43</v>
      </c>
      <c r="D78" s="59"/>
      <c r="E78" s="80"/>
      <c r="F78" s="48"/>
    </row>
    <row r="79" spans="2:8" s="3" customFormat="1" ht="15" x14ac:dyDescent="0.2">
      <c r="B79" s="58"/>
      <c r="C79" s="78"/>
      <c r="D79" s="59"/>
      <c r="E79" s="80"/>
      <c r="F79" s="48"/>
    </row>
    <row r="80" spans="2:8" s="3" customFormat="1" ht="42.75" x14ac:dyDescent="0.2">
      <c r="B80" s="75" t="s">
        <v>194</v>
      </c>
      <c r="C80" s="67" t="s">
        <v>195</v>
      </c>
      <c r="D80" s="59" t="s">
        <v>32</v>
      </c>
      <c r="E80" s="68">
        <f>0.9*0.8*43</f>
        <v>30.960000000000004</v>
      </c>
      <c r="F80" s="48"/>
    </row>
    <row r="81" spans="2:6" s="3" customFormat="1" ht="15" x14ac:dyDescent="0.2">
      <c r="B81" s="58"/>
      <c r="C81" s="78" t="s">
        <v>196</v>
      </c>
      <c r="D81" s="59"/>
      <c r="E81" s="80"/>
      <c r="F81" s="48"/>
    </row>
    <row r="82" spans="2:6" s="3" customFormat="1" ht="15" x14ac:dyDescent="0.2">
      <c r="B82" s="58"/>
      <c r="C82" s="78"/>
      <c r="D82" s="59"/>
      <c r="E82" s="80"/>
      <c r="F82" s="48"/>
    </row>
    <row r="83" spans="2:6" s="3" customFormat="1" ht="15" x14ac:dyDescent="0.2">
      <c r="B83" s="58">
        <v>23.2</v>
      </c>
      <c r="C83" s="78" t="s">
        <v>247</v>
      </c>
      <c r="D83" s="59" t="s">
        <v>32</v>
      </c>
      <c r="E83" s="80">
        <f>0.9*0.23*43</f>
        <v>8.9010000000000016</v>
      </c>
      <c r="F83" s="48"/>
    </row>
    <row r="84" spans="2:6" s="3" customFormat="1" ht="15" x14ac:dyDescent="0.2">
      <c r="B84" s="58"/>
      <c r="C84" s="78" t="s">
        <v>251</v>
      </c>
      <c r="D84" s="59"/>
      <c r="E84" s="80"/>
      <c r="F84" s="48"/>
    </row>
    <row r="85" spans="2:6" s="3" customFormat="1" ht="14.25" x14ac:dyDescent="0.2">
      <c r="B85" s="63"/>
      <c r="C85" s="69"/>
      <c r="D85" s="70"/>
      <c r="E85" s="65"/>
      <c r="F85" s="61"/>
    </row>
    <row r="86" spans="2:6" ht="28.5" x14ac:dyDescent="0.2">
      <c r="B86" s="58">
        <v>24</v>
      </c>
      <c r="C86" s="116" t="s">
        <v>79</v>
      </c>
      <c r="D86" s="117" t="s">
        <v>32</v>
      </c>
      <c r="E86" s="117">
        <f>0.7*0.8*130+6*0.4*0.8</f>
        <v>74.72</v>
      </c>
      <c r="F86" s="48"/>
    </row>
    <row r="87" spans="2:6" ht="14.25" x14ac:dyDescent="0.2">
      <c r="B87" s="58"/>
      <c r="C87" s="78" t="s">
        <v>197</v>
      </c>
      <c r="D87" s="59"/>
      <c r="E87" s="59"/>
      <c r="F87" s="48"/>
    </row>
    <row r="88" spans="2:6" ht="14.25" x14ac:dyDescent="0.2">
      <c r="B88" s="63"/>
      <c r="C88" s="118"/>
      <c r="D88" s="65"/>
      <c r="E88" s="65"/>
      <c r="F88" s="48"/>
    </row>
    <row r="89" spans="2:6" ht="14.25" x14ac:dyDescent="0.2">
      <c r="B89" s="75" t="s">
        <v>110</v>
      </c>
      <c r="C89" s="78" t="s">
        <v>111</v>
      </c>
      <c r="D89" s="59" t="s">
        <v>32</v>
      </c>
      <c r="E89" s="59">
        <v>142</v>
      </c>
      <c r="F89" s="48"/>
    </row>
    <row r="90" spans="2:6" ht="14.25" x14ac:dyDescent="0.2">
      <c r="B90" s="76"/>
      <c r="C90" s="49" t="s">
        <v>121</v>
      </c>
      <c r="D90" s="59"/>
      <c r="E90" s="65"/>
      <c r="F90" s="48"/>
    </row>
    <row r="91" spans="2:6" ht="14.25" x14ac:dyDescent="0.2">
      <c r="B91" s="76"/>
      <c r="C91" s="49" t="s">
        <v>263</v>
      </c>
      <c r="D91" s="59"/>
      <c r="E91" s="65"/>
      <c r="F91" s="48"/>
    </row>
    <row r="92" spans="2:6" ht="14.25" x14ac:dyDescent="0.2">
      <c r="B92" s="76"/>
      <c r="C92" s="49"/>
      <c r="D92" s="59"/>
      <c r="E92" s="65"/>
      <c r="F92" s="48"/>
    </row>
    <row r="93" spans="2:6" ht="14.25" x14ac:dyDescent="0.2">
      <c r="B93" s="75" t="s">
        <v>122</v>
      </c>
      <c r="C93" s="78" t="s">
        <v>123</v>
      </c>
      <c r="D93" s="59" t="s">
        <v>32</v>
      </c>
      <c r="E93" s="59">
        <v>29.4</v>
      </c>
      <c r="F93" s="48"/>
    </row>
    <row r="94" spans="2:6" ht="14.25" x14ac:dyDescent="0.2">
      <c r="B94" s="76"/>
      <c r="C94" s="49" t="s">
        <v>124</v>
      </c>
      <c r="D94" s="59"/>
      <c r="E94" s="65"/>
      <c r="F94" s="48"/>
    </row>
    <row r="95" spans="2:6" ht="14.25" x14ac:dyDescent="0.2">
      <c r="B95" s="76"/>
      <c r="C95" s="49"/>
      <c r="D95" s="59"/>
      <c r="E95" s="59"/>
      <c r="F95" s="48"/>
    </row>
    <row r="96" spans="2:6" ht="14.25" customHeight="1" x14ac:dyDescent="0.2">
      <c r="B96" s="75" t="s">
        <v>125</v>
      </c>
      <c r="C96" s="49" t="s">
        <v>130</v>
      </c>
      <c r="D96" s="59" t="s">
        <v>32</v>
      </c>
      <c r="E96" s="59">
        <f>350+9</f>
        <v>359</v>
      </c>
      <c r="F96" s="48"/>
    </row>
    <row r="97" spans="2:6" ht="14.25" x14ac:dyDescent="0.2">
      <c r="B97" s="76"/>
      <c r="C97" s="49" t="s">
        <v>121</v>
      </c>
      <c r="D97" s="59"/>
      <c r="E97" s="65"/>
      <c r="F97" s="48"/>
    </row>
    <row r="98" spans="2:6" ht="14.25" x14ac:dyDescent="0.2">
      <c r="B98" s="76"/>
      <c r="C98" s="49"/>
      <c r="D98" s="59"/>
    </row>
    <row r="99" spans="2:6" ht="14.25" x14ac:dyDescent="0.2">
      <c r="B99" s="75" t="s">
        <v>137</v>
      </c>
      <c r="C99" s="49" t="s">
        <v>143</v>
      </c>
      <c r="D99" s="59" t="s">
        <v>32</v>
      </c>
      <c r="E99" s="59">
        <f>0.3*22</f>
        <v>6.6</v>
      </c>
      <c r="F99" s="48"/>
    </row>
    <row r="100" spans="2:6" ht="14.25" x14ac:dyDescent="0.2">
      <c r="B100" s="76"/>
      <c r="C100" s="49" t="s">
        <v>144</v>
      </c>
      <c r="D100" s="59"/>
      <c r="E100" s="65"/>
      <c r="F100" s="48"/>
    </row>
    <row r="101" spans="2:6" ht="14.25" x14ac:dyDescent="0.2">
      <c r="B101" s="76"/>
      <c r="C101" s="49" t="s">
        <v>145</v>
      </c>
      <c r="D101" s="59"/>
      <c r="E101" s="65"/>
      <c r="F101" s="48"/>
    </row>
    <row r="102" spans="2:6" ht="14.25" x14ac:dyDescent="0.2">
      <c r="B102" s="76"/>
      <c r="C102" s="49"/>
      <c r="D102" s="59"/>
      <c r="E102" s="65"/>
      <c r="F102" s="48"/>
    </row>
    <row r="103" spans="2:6" ht="28.5" x14ac:dyDescent="0.2">
      <c r="B103" s="75" t="s">
        <v>142</v>
      </c>
      <c r="C103" s="49" t="s">
        <v>180</v>
      </c>
      <c r="D103" s="59" t="s">
        <v>32</v>
      </c>
      <c r="E103" s="59">
        <f>1*5</f>
        <v>5</v>
      </c>
      <c r="F103" s="48"/>
    </row>
    <row r="104" spans="2:6" ht="14.25" x14ac:dyDescent="0.2">
      <c r="B104" s="75"/>
      <c r="C104" s="49" t="s">
        <v>179</v>
      </c>
      <c r="D104" s="65"/>
      <c r="E104" s="65"/>
      <c r="F104" s="48"/>
    </row>
    <row r="105" spans="2:6" ht="14.25" x14ac:dyDescent="0.2">
      <c r="B105" s="75"/>
      <c r="C105" s="49"/>
      <c r="D105" s="65"/>
      <c r="E105" s="65"/>
      <c r="F105" s="48"/>
    </row>
    <row r="106" spans="2:6" ht="14.25" x14ac:dyDescent="0.2">
      <c r="B106" s="75" t="s">
        <v>248</v>
      </c>
      <c r="C106" s="49" t="s">
        <v>249</v>
      </c>
      <c r="D106" s="59" t="s">
        <v>32</v>
      </c>
      <c r="E106" s="59">
        <f>0.7*0.23*130</f>
        <v>20.93</v>
      </c>
      <c r="F106" s="48"/>
    </row>
    <row r="107" spans="2:6" ht="14.25" x14ac:dyDescent="0.2">
      <c r="B107" s="75"/>
      <c r="C107" s="49" t="s">
        <v>250</v>
      </c>
      <c r="D107" s="65"/>
      <c r="E107" s="65"/>
      <c r="F107" s="48"/>
    </row>
    <row r="108" spans="2:6" ht="14.25" x14ac:dyDescent="0.2">
      <c r="B108" s="63"/>
      <c r="C108" s="69"/>
      <c r="D108" s="65"/>
      <c r="E108" s="65"/>
      <c r="F108" s="48"/>
    </row>
    <row r="109" spans="2:6" ht="28.5" x14ac:dyDescent="0.2">
      <c r="B109" s="58">
        <v>25</v>
      </c>
      <c r="C109" s="67" t="s">
        <v>148</v>
      </c>
      <c r="D109" s="59" t="s">
        <v>30</v>
      </c>
      <c r="E109" s="81">
        <f>2815+195</f>
        <v>3010</v>
      </c>
      <c r="F109" s="48"/>
    </row>
    <row r="110" spans="2:6" ht="14.25" x14ac:dyDescent="0.2">
      <c r="B110" s="63"/>
      <c r="C110" s="67" t="s">
        <v>147</v>
      </c>
      <c r="D110" s="65"/>
      <c r="E110" s="72"/>
      <c r="F110" s="48"/>
    </row>
    <row r="111" spans="2:6" ht="15" x14ac:dyDescent="0.2">
      <c r="B111" s="63"/>
      <c r="C111" s="64"/>
      <c r="D111" s="65"/>
      <c r="E111" s="66"/>
      <c r="F111" s="48"/>
    </row>
    <row r="112" spans="2:6" ht="15" x14ac:dyDescent="0.2">
      <c r="B112" s="58"/>
      <c r="C112" s="73" t="s">
        <v>52</v>
      </c>
      <c r="D112" s="59"/>
      <c r="E112" s="60"/>
      <c r="F112" s="48"/>
    </row>
    <row r="113" spans="2:6" ht="28.5" x14ac:dyDescent="0.2">
      <c r="B113" s="58">
        <v>26</v>
      </c>
      <c r="C113" s="49" t="s">
        <v>198</v>
      </c>
      <c r="D113" s="59" t="s">
        <v>28</v>
      </c>
      <c r="E113" s="59">
        <v>1</v>
      </c>
      <c r="F113" s="48"/>
    </row>
    <row r="114" spans="2:6" ht="14.25" x14ac:dyDescent="0.2">
      <c r="B114" s="58"/>
      <c r="C114" s="49" t="s">
        <v>68</v>
      </c>
      <c r="D114" s="59"/>
      <c r="E114" s="59"/>
      <c r="F114" s="48"/>
    </row>
    <row r="115" spans="2:6" ht="14.25" x14ac:dyDescent="0.2">
      <c r="B115" s="63"/>
      <c r="C115" s="69"/>
      <c r="D115" s="70"/>
      <c r="E115" s="65"/>
      <c r="F115" s="61"/>
    </row>
    <row r="116" spans="2:6" ht="99.75" x14ac:dyDescent="0.2">
      <c r="B116" s="58">
        <v>27</v>
      </c>
      <c r="C116" s="49" t="s">
        <v>227</v>
      </c>
      <c r="D116" s="59" t="s">
        <v>28</v>
      </c>
      <c r="E116" s="59">
        <v>1</v>
      </c>
      <c r="F116" s="61"/>
    </row>
    <row r="117" spans="2:6" ht="14.25" x14ac:dyDescent="0.2">
      <c r="B117" s="58"/>
      <c r="C117" s="49" t="s">
        <v>221</v>
      </c>
      <c r="D117" s="59"/>
      <c r="E117" s="59"/>
      <c r="F117" s="61"/>
    </row>
    <row r="118" spans="2:6" ht="14.25" x14ac:dyDescent="0.2">
      <c r="B118" s="58"/>
      <c r="C118" s="49" t="s">
        <v>222</v>
      </c>
      <c r="D118" s="59"/>
      <c r="E118" s="59"/>
      <c r="F118" s="61"/>
    </row>
    <row r="119" spans="2:6" ht="14.25" x14ac:dyDescent="0.2">
      <c r="B119" s="58"/>
      <c r="C119" s="49" t="s">
        <v>223</v>
      </c>
      <c r="D119" s="59"/>
      <c r="E119" s="59"/>
      <c r="F119" s="61"/>
    </row>
    <row r="120" spans="2:6" ht="14.25" x14ac:dyDescent="0.2">
      <c r="B120" s="58"/>
      <c r="C120" s="49" t="s">
        <v>224</v>
      </c>
      <c r="D120" s="59"/>
      <c r="E120" s="59"/>
      <c r="F120" s="61"/>
    </row>
    <row r="121" spans="2:6" ht="14.25" x14ac:dyDescent="0.2">
      <c r="B121" s="58"/>
      <c r="C121" s="49" t="s">
        <v>225</v>
      </c>
      <c r="D121" s="59"/>
      <c r="E121" s="59"/>
      <c r="F121" s="61"/>
    </row>
    <row r="122" spans="2:6" ht="14.25" x14ac:dyDescent="0.2">
      <c r="B122" s="58"/>
      <c r="C122" s="49" t="s">
        <v>226</v>
      </c>
      <c r="D122" s="59"/>
      <c r="E122" s="59"/>
      <c r="F122" s="61"/>
    </row>
    <row r="123" spans="2:6" ht="14.25" x14ac:dyDescent="0.2">
      <c r="B123" s="63"/>
      <c r="C123" s="69"/>
      <c r="D123" s="65"/>
      <c r="E123" s="72"/>
      <c r="F123" s="61"/>
    </row>
    <row r="124" spans="2:6" ht="14.25" x14ac:dyDescent="0.2">
      <c r="B124" s="58">
        <v>28</v>
      </c>
      <c r="C124" s="49" t="s">
        <v>31</v>
      </c>
      <c r="D124" s="59" t="s">
        <v>0</v>
      </c>
      <c r="E124" s="59">
        <v>4</v>
      </c>
      <c r="F124" s="48"/>
    </row>
    <row r="125" spans="2:6" ht="42.75" x14ac:dyDescent="0.2">
      <c r="B125" s="58"/>
      <c r="C125" s="49" t="s">
        <v>199</v>
      </c>
      <c r="D125" s="59"/>
      <c r="E125" s="59"/>
      <c r="F125" s="48"/>
    </row>
    <row r="126" spans="2:6" ht="14.25" x14ac:dyDescent="0.2">
      <c r="B126" s="63"/>
      <c r="C126" s="69"/>
      <c r="D126" s="65"/>
      <c r="E126" s="65"/>
      <c r="F126" s="48"/>
    </row>
    <row r="127" spans="2:6" ht="28.5" x14ac:dyDescent="0.2">
      <c r="B127" s="58">
        <v>29</v>
      </c>
      <c r="C127" s="49" t="s">
        <v>161</v>
      </c>
      <c r="D127" s="59" t="s">
        <v>16</v>
      </c>
      <c r="E127" s="68">
        <v>90</v>
      </c>
      <c r="F127" s="48"/>
    </row>
    <row r="128" spans="2:6" ht="42.75" x14ac:dyDescent="0.2">
      <c r="B128" s="58"/>
      <c r="C128" s="49" t="s">
        <v>200</v>
      </c>
      <c r="D128" s="59"/>
      <c r="E128" s="68"/>
      <c r="F128" s="48"/>
    </row>
    <row r="129" spans="2:6" ht="71.25" x14ac:dyDescent="0.2">
      <c r="B129" s="58"/>
      <c r="C129" s="49" t="s">
        <v>160</v>
      </c>
      <c r="D129" s="59"/>
      <c r="E129" s="68"/>
      <c r="F129" s="48"/>
    </row>
    <row r="130" spans="2:6" ht="14.25" x14ac:dyDescent="0.2">
      <c r="B130" s="58"/>
      <c r="C130" s="49"/>
      <c r="D130" s="59"/>
      <c r="E130" s="68"/>
      <c r="F130" s="48"/>
    </row>
    <row r="131" spans="2:6" ht="14.25" x14ac:dyDescent="0.2">
      <c r="B131" s="62">
        <v>44955</v>
      </c>
      <c r="C131" s="49" t="s">
        <v>256</v>
      </c>
      <c r="D131" s="59" t="s">
        <v>16</v>
      </c>
      <c r="E131" s="68">
        <v>90</v>
      </c>
      <c r="F131" s="48"/>
    </row>
    <row r="132" spans="2:6" ht="14.25" x14ac:dyDescent="0.2">
      <c r="B132" s="63"/>
      <c r="C132" s="69"/>
      <c r="D132" s="65"/>
      <c r="E132" s="65"/>
      <c r="F132" s="48"/>
    </row>
    <row r="133" spans="2:6" ht="42.75" x14ac:dyDescent="0.2">
      <c r="B133" s="82">
        <v>30</v>
      </c>
      <c r="C133" s="49" t="s">
        <v>228</v>
      </c>
      <c r="D133" s="59" t="s">
        <v>16</v>
      </c>
      <c r="E133" s="59">
        <v>84</v>
      </c>
      <c r="F133" s="48"/>
    </row>
    <row r="134" spans="2:6" ht="14.25" x14ac:dyDescent="0.2">
      <c r="B134" s="83"/>
      <c r="C134" s="84"/>
      <c r="D134" s="85"/>
      <c r="E134" s="85"/>
      <c r="F134" s="48"/>
    </row>
    <row r="135" spans="2:6" ht="57" x14ac:dyDescent="0.2">
      <c r="B135" s="82">
        <v>31</v>
      </c>
      <c r="C135" s="49" t="s">
        <v>162</v>
      </c>
      <c r="D135" s="59" t="s">
        <v>28</v>
      </c>
      <c r="E135" s="59">
        <v>1</v>
      </c>
      <c r="F135" s="48"/>
    </row>
    <row r="136" spans="2:6" ht="57" x14ac:dyDescent="0.2">
      <c r="B136" s="86"/>
      <c r="C136" s="49" t="s">
        <v>229</v>
      </c>
      <c r="D136" s="59"/>
      <c r="E136" s="59"/>
      <c r="F136" s="48"/>
    </row>
    <row r="137" spans="2:6" ht="14.25" x14ac:dyDescent="0.2">
      <c r="B137" s="86"/>
      <c r="C137" s="49" t="s">
        <v>82</v>
      </c>
      <c r="D137" s="59"/>
      <c r="E137" s="59"/>
      <c r="F137" s="48"/>
    </row>
    <row r="138" spans="2:6" ht="14.25" x14ac:dyDescent="0.2">
      <c r="B138" s="83"/>
      <c r="C138" s="69"/>
      <c r="D138" s="65"/>
      <c r="E138" s="65"/>
      <c r="F138" s="48"/>
    </row>
    <row r="139" spans="2:6" ht="42.75" x14ac:dyDescent="0.2">
      <c r="B139" s="86">
        <v>32</v>
      </c>
      <c r="C139" s="49" t="s">
        <v>185</v>
      </c>
      <c r="D139" s="59" t="s">
        <v>16</v>
      </c>
      <c r="E139" s="59">
        <v>36</v>
      </c>
      <c r="F139" s="48"/>
    </row>
    <row r="140" spans="2:6" ht="14.25" x14ac:dyDescent="0.2">
      <c r="B140" s="86"/>
      <c r="C140" s="49" t="s">
        <v>178</v>
      </c>
      <c r="D140" s="59"/>
      <c r="E140" s="59"/>
      <c r="F140" s="48"/>
    </row>
    <row r="141" spans="2:6" ht="14.25" x14ac:dyDescent="0.2">
      <c r="B141" s="83"/>
      <c r="C141" s="87"/>
      <c r="D141" s="85"/>
      <c r="E141" s="85"/>
      <c r="F141" s="48"/>
    </row>
    <row r="142" spans="2:6" ht="14.25" x14ac:dyDescent="0.2">
      <c r="B142" s="86"/>
      <c r="C142" s="88" t="s">
        <v>53</v>
      </c>
      <c r="D142" s="89"/>
      <c r="E142" s="89"/>
      <c r="F142" s="48"/>
    </row>
    <row r="143" spans="2:6" ht="14.25" x14ac:dyDescent="0.2">
      <c r="B143" s="86">
        <v>40</v>
      </c>
      <c r="C143" s="78" t="s">
        <v>10</v>
      </c>
      <c r="D143" s="56"/>
      <c r="E143" s="56"/>
      <c r="F143" s="48"/>
    </row>
    <row r="144" spans="2:6" ht="114" x14ac:dyDescent="0.2">
      <c r="B144" s="86"/>
      <c r="C144" s="49" t="s">
        <v>233</v>
      </c>
      <c r="D144" s="59" t="s">
        <v>89</v>
      </c>
      <c r="E144" s="59">
        <f>2*117</f>
        <v>234</v>
      </c>
      <c r="F144" s="48"/>
    </row>
    <row r="145" spans="2:6" ht="14.25" x14ac:dyDescent="0.2">
      <c r="B145" s="58"/>
      <c r="C145" s="49" t="s">
        <v>20</v>
      </c>
      <c r="D145" s="59"/>
      <c r="E145" s="59"/>
      <c r="F145" s="48"/>
    </row>
    <row r="146" spans="2:6" ht="15" x14ac:dyDescent="0.2">
      <c r="B146" s="58"/>
      <c r="C146" s="73"/>
      <c r="D146" s="59"/>
      <c r="E146" s="90"/>
      <c r="F146" s="61"/>
    </row>
    <row r="147" spans="2:6" ht="16.5" x14ac:dyDescent="0.2">
      <c r="B147" s="58">
        <v>41</v>
      </c>
      <c r="C147" s="49" t="s">
        <v>11</v>
      </c>
      <c r="D147" s="59" t="s">
        <v>89</v>
      </c>
      <c r="E147" s="59">
        <f>131*2</f>
        <v>262</v>
      </c>
      <c r="F147" s="61"/>
    </row>
    <row r="148" spans="2:6" ht="114" x14ac:dyDescent="0.2">
      <c r="B148" s="58"/>
      <c r="C148" s="49" t="s">
        <v>232</v>
      </c>
      <c r="D148" s="59"/>
      <c r="E148" s="59"/>
      <c r="F148" s="61"/>
    </row>
    <row r="149" spans="2:6" ht="14.25" x14ac:dyDescent="0.2">
      <c r="B149" s="58"/>
      <c r="C149" s="49" t="s">
        <v>21</v>
      </c>
      <c r="D149" s="59"/>
      <c r="E149" s="59"/>
      <c r="F149" s="61"/>
    </row>
    <row r="150" spans="2:6" ht="14.25" x14ac:dyDescent="0.2">
      <c r="B150" s="58"/>
      <c r="C150" s="49"/>
      <c r="D150" s="59"/>
      <c r="E150" s="59"/>
      <c r="F150" s="61"/>
    </row>
    <row r="151" spans="2:6" ht="16.5" x14ac:dyDescent="0.2">
      <c r="B151" s="58">
        <v>42</v>
      </c>
      <c r="C151" s="49" t="s">
        <v>12</v>
      </c>
      <c r="D151" s="59" t="s">
        <v>89</v>
      </c>
      <c r="E151" s="59">
        <f>198.1</f>
        <v>198.1</v>
      </c>
      <c r="F151" s="61"/>
    </row>
    <row r="152" spans="2:6" ht="142.5" x14ac:dyDescent="0.2">
      <c r="B152" s="58"/>
      <c r="C152" s="49" t="s">
        <v>230</v>
      </c>
      <c r="D152" s="74"/>
      <c r="E152" s="59"/>
      <c r="F152" s="61"/>
    </row>
    <row r="153" spans="2:6" ht="14.25" x14ac:dyDescent="0.2">
      <c r="B153" s="58"/>
      <c r="C153" s="49"/>
      <c r="D153" s="59"/>
      <c r="E153" s="59"/>
      <c r="F153" s="61"/>
    </row>
    <row r="154" spans="2:6" ht="16.5" x14ac:dyDescent="0.2">
      <c r="B154" s="58">
        <v>43</v>
      </c>
      <c r="C154" s="49" t="s">
        <v>13</v>
      </c>
      <c r="D154" s="59" t="s">
        <v>89</v>
      </c>
      <c r="E154" s="59">
        <f>197.3</f>
        <v>197.3</v>
      </c>
      <c r="F154" s="61"/>
    </row>
    <row r="155" spans="2:6" ht="142.5" x14ac:dyDescent="0.2">
      <c r="B155" s="58"/>
      <c r="C155" s="49" t="s">
        <v>231</v>
      </c>
      <c r="D155" s="74"/>
      <c r="E155" s="59"/>
      <c r="F155" s="61"/>
    </row>
    <row r="156" spans="2:6" ht="14.25" x14ac:dyDescent="0.2">
      <c r="B156" s="63"/>
      <c r="C156" s="69"/>
      <c r="D156" s="70"/>
      <c r="E156" s="65"/>
      <c r="F156" s="61"/>
    </row>
    <row r="157" spans="2:6" ht="28.5" x14ac:dyDescent="0.2">
      <c r="B157" s="58">
        <v>44</v>
      </c>
      <c r="C157" s="49" t="s">
        <v>22</v>
      </c>
      <c r="D157" s="59" t="s">
        <v>89</v>
      </c>
      <c r="E157" s="59">
        <f>(23.1*7)+(2*8.9*2.1)</f>
        <v>199.08</v>
      </c>
      <c r="F157" s="91"/>
    </row>
    <row r="158" spans="2:6" ht="14.25" x14ac:dyDescent="0.2">
      <c r="B158" s="58"/>
      <c r="C158" s="49" t="s">
        <v>15</v>
      </c>
      <c r="D158" s="74"/>
      <c r="E158" s="59"/>
      <c r="F158" s="61"/>
    </row>
    <row r="159" spans="2:6" ht="14.25" x14ac:dyDescent="0.2">
      <c r="B159" s="58"/>
      <c r="C159" s="49" t="s">
        <v>63</v>
      </c>
      <c r="D159" s="74"/>
      <c r="E159" s="59"/>
      <c r="F159" s="61"/>
    </row>
    <row r="160" spans="2:6" ht="14.25" x14ac:dyDescent="0.2">
      <c r="B160" s="58"/>
      <c r="C160" s="49"/>
      <c r="D160" s="59"/>
      <c r="E160" s="59"/>
      <c r="F160" s="61"/>
    </row>
    <row r="161" spans="2:6" ht="28.5" x14ac:dyDescent="0.2">
      <c r="B161" s="127">
        <v>45</v>
      </c>
      <c r="C161" s="128" t="s">
        <v>23</v>
      </c>
      <c r="D161" s="129" t="s">
        <v>89</v>
      </c>
      <c r="E161" s="129">
        <f>105.2</f>
        <v>105.2</v>
      </c>
      <c r="F161" s="130"/>
    </row>
    <row r="162" spans="2:6" ht="14.25" x14ac:dyDescent="0.2">
      <c r="B162" s="127"/>
      <c r="C162" s="128"/>
      <c r="D162" s="129"/>
      <c r="E162" s="129"/>
      <c r="F162" s="130"/>
    </row>
    <row r="163" spans="2:6" ht="28.5" x14ac:dyDescent="0.2">
      <c r="B163" s="127" t="s">
        <v>269</v>
      </c>
      <c r="C163" s="128" t="s">
        <v>270</v>
      </c>
      <c r="D163" s="129" t="s">
        <v>30</v>
      </c>
      <c r="E163" s="131">
        <f>E144+E147+E151+E154+E157+E161</f>
        <v>1195.68</v>
      </c>
      <c r="F163" s="130"/>
    </row>
    <row r="164" spans="2:6" ht="28.5" x14ac:dyDescent="0.2">
      <c r="B164" s="127"/>
      <c r="C164" s="128" t="s">
        <v>271</v>
      </c>
      <c r="D164" s="129"/>
      <c r="E164" s="129"/>
      <c r="F164" s="130"/>
    </row>
    <row r="165" spans="2:6" ht="14.25" x14ac:dyDescent="0.2">
      <c r="B165" s="132"/>
      <c r="C165" s="133"/>
      <c r="D165" s="134"/>
      <c r="E165" s="134"/>
      <c r="F165" s="130"/>
    </row>
    <row r="166" spans="2:6" ht="16.5" x14ac:dyDescent="0.2">
      <c r="B166" s="127">
        <v>46</v>
      </c>
      <c r="C166" s="128" t="s">
        <v>181</v>
      </c>
      <c r="D166" s="129" t="s">
        <v>89</v>
      </c>
      <c r="E166" s="129">
        <f>3*20</f>
        <v>60</v>
      </c>
      <c r="F166" s="130" t="s">
        <v>24</v>
      </c>
    </row>
    <row r="167" spans="2:6" ht="42.75" x14ac:dyDescent="0.2">
      <c r="B167" s="127"/>
      <c r="C167" s="128" t="s">
        <v>253</v>
      </c>
      <c r="D167" s="129"/>
      <c r="E167" s="129"/>
      <c r="F167" s="130"/>
    </row>
    <row r="168" spans="2:6" ht="14.25" x14ac:dyDescent="0.2">
      <c r="B168" s="58"/>
      <c r="C168" s="49"/>
      <c r="D168" s="59"/>
      <c r="E168" s="59"/>
      <c r="F168" s="48"/>
    </row>
    <row r="169" spans="2:6" ht="14.25" x14ac:dyDescent="0.2">
      <c r="B169" s="58" t="s">
        <v>234</v>
      </c>
      <c r="C169" s="49" t="s">
        <v>235</v>
      </c>
      <c r="D169" s="59" t="s">
        <v>30</v>
      </c>
      <c r="E169" s="59">
        <v>6</v>
      </c>
      <c r="F169" s="48"/>
    </row>
    <row r="170" spans="2:6" ht="14.25" x14ac:dyDescent="0.2">
      <c r="B170" s="58"/>
      <c r="C170" s="49" t="s">
        <v>236</v>
      </c>
      <c r="D170" s="59"/>
      <c r="E170" s="59"/>
      <c r="F170" s="48"/>
    </row>
    <row r="171" spans="2:6" ht="14.25" x14ac:dyDescent="0.2">
      <c r="B171" s="58"/>
      <c r="C171" s="49"/>
      <c r="D171" s="59"/>
      <c r="E171" s="59"/>
      <c r="F171" s="48"/>
    </row>
    <row r="172" spans="2:6" ht="14.25" x14ac:dyDescent="0.2">
      <c r="B172" s="58" t="s">
        <v>237</v>
      </c>
      <c r="C172" s="49" t="s">
        <v>238</v>
      </c>
      <c r="D172" s="59" t="s">
        <v>30</v>
      </c>
      <c r="E172" s="59">
        <v>60</v>
      </c>
      <c r="F172" s="48"/>
    </row>
    <row r="173" spans="2:6" ht="14.25" x14ac:dyDescent="0.2">
      <c r="B173" s="58"/>
      <c r="C173" s="49" t="s">
        <v>239</v>
      </c>
      <c r="D173" s="59"/>
      <c r="E173" s="59"/>
      <c r="F173" s="48"/>
    </row>
    <row r="174" spans="2:6" ht="14.25" x14ac:dyDescent="0.2">
      <c r="B174" s="58"/>
      <c r="C174" s="49"/>
      <c r="D174" s="59"/>
      <c r="E174" s="59"/>
      <c r="F174" s="48"/>
    </row>
    <row r="175" spans="2:6" ht="28.5" x14ac:dyDescent="0.2">
      <c r="B175" s="58" t="s">
        <v>240</v>
      </c>
      <c r="C175" s="49" t="s">
        <v>241</v>
      </c>
      <c r="D175" s="59" t="s">
        <v>16</v>
      </c>
      <c r="E175" s="59">
        <v>135</v>
      </c>
      <c r="F175" s="48"/>
    </row>
    <row r="176" spans="2:6" ht="14.25" x14ac:dyDescent="0.2">
      <c r="B176" s="58"/>
      <c r="C176" s="49" t="s">
        <v>242</v>
      </c>
      <c r="D176" s="59"/>
      <c r="E176" s="59"/>
      <c r="F176" s="48"/>
    </row>
    <row r="177" spans="2:6" ht="14.25" x14ac:dyDescent="0.2">
      <c r="B177" s="58"/>
      <c r="C177" s="49"/>
      <c r="D177" s="59"/>
      <c r="E177" s="59"/>
      <c r="F177" s="48"/>
    </row>
    <row r="178" spans="2:6" ht="28.5" x14ac:dyDescent="0.2">
      <c r="B178" s="58" t="s">
        <v>254</v>
      </c>
      <c r="C178" s="49" t="s">
        <v>255</v>
      </c>
      <c r="D178" s="59" t="s">
        <v>30</v>
      </c>
      <c r="E178" s="59">
        <v>12</v>
      </c>
      <c r="F178" s="48"/>
    </row>
    <row r="179" spans="2:6" ht="14.25" x14ac:dyDescent="0.2">
      <c r="B179" s="63"/>
      <c r="C179" s="70"/>
      <c r="D179" s="65"/>
      <c r="E179" s="65"/>
      <c r="F179" s="61"/>
    </row>
    <row r="180" spans="2:6" ht="28.5" x14ac:dyDescent="0.2">
      <c r="B180" s="58">
        <v>47</v>
      </c>
      <c r="C180" s="49" t="s">
        <v>25</v>
      </c>
      <c r="D180" s="59" t="s">
        <v>89</v>
      </c>
      <c r="E180" s="59">
        <f>23*1*2</f>
        <v>46</v>
      </c>
      <c r="F180" s="91"/>
    </row>
    <row r="181" spans="2:6" ht="14.25" x14ac:dyDescent="0.2">
      <c r="B181" s="58"/>
      <c r="C181" s="49" t="s">
        <v>203</v>
      </c>
      <c r="D181" s="59"/>
      <c r="E181" s="59"/>
      <c r="F181" s="61"/>
    </row>
    <row r="182" spans="2:6" ht="14.25" x14ac:dyDescent="0.2">
      <c r="B182" s="63"/>
      <c r="C182" s="69"/>
      <c r="D182" s="65"/>
      <c r="E182" s="65"/>
      <c r="F182" s="61"/>
    </row>
    <row r="183" spans="2:6" ht="57" x14ac:dyDescent="0.2">
      <c r="B183" s="58">
        <v>48</v>
      </c>
      <c r="C183" s="49" t="s">
        <v>204</v>
      </c>
      <c r="D183" s="59" t="s">
        <v>89</v>
      </c>
      <c r="E183" s="60">
        <f>115.45*1.1*2*0.5</f>
        <v>126.99500000000002</v>
      </c>
      <c r="F183" s="61"/>
    </row>
    <row r="184" spans="2:6" ht="14.25" x14ac:dyDescent="0.2">
      <c r="B184" s="58"/>
      <c r="C184" s="49" t="s">
        <v>64</v>
      </c>
      <c r="D184" s="59"/>
      <c r="E184" s="59"/>
      <c r="F184" s="61"/>
    </row>
    <row r="185" spans="2:6" ht="14.25" x14ac:dyDescent="0.2">
      <c r="B185" s="63"/>
      <c r="C185" s="69"/>
      <c r="D185" s="65"/>
      <c r="E185" s="65"/>
      <c r="F185" s="61"/>
    </row>
    <row r="186" spans="2:6" ht="71.25" x14ac:dyDescent="0.2">
      <c r="B186" s="58">
        <v>49</v>
      </c>
      <c r="C186" s="49" t="s">
        <v>26</v>
      </c>
      <c r="D186" s="59"/>
      <c r="E186" s="68">
        <f>E187+E188</f>
        <v>49.633499999999998</v>
      </c>
      <c r="F186" s="61"/>
    </row>
    <row r="187" spans="2:6" ht="16.5" x14ac:dyDescent="0.2">
      <c r="B187" s="58"/>
      <c r="C187" s="49" t="s">
        <v>18</v>
      </c>
      <c r="D187" s="59" t="s">
        <v>89</v>
      </c>
      <c r="E187" s="68">
        <f>3.79*13.65-(2*1.4*2+2*2)</f>
        <v>42.133499999999998</v>
      </c>
      <c r="F187" s="61"/>
    </row>
    <row r="188" spans="2:6" ht="16.5" x14ac:dyDescent="0.2">
      <c r="B188" s="58"/>
      <c r="C188" s="49" t="s">
        <v>19</v>
      </c>
      <c r="D188" s="59" t="s">
        <v>89</v>
      </c>
      <c r="E188" s="59">
        <f>9.5-2</f>
        <v>7.5</v>
      </c>
      <c r="F188" s="61"/>
    </row>
    <row r="189" spans="2:6" ht="14.25" x14ac:dyDescent="0.2">
      <c r="B189" s="63"/>
      <c r="C189" s="69"/>
      <c r="D189" s="65"/>
      <c r="E189" s="65"/>
      <c r="F189" s="61"/>
    </row>
    <row r="190" spans="2:6" ht="14.25" x14ac:dyDescent="0.2">
      <c r="B190" s="58">
        <v>50</v>
      </c>
      <c r="C190" s="49" t="s">
        <v>27</v>
      </c>
      <c r="D190" s="59" t="s">
        <v>28</v>
      </c>
      <c r="E190" s="59">
        <v>1</v>
      </c>
      <c r="F190" s="61"/>
    </row>
    <row r="191" spans="2:6" ht="14.25" x14ac:dyDescent="0.2">
      <c r="B191" s="58"/>
      <c r="C191" s="49" t="s">
        <v>84</v>
      </c>
      <c r="D191" s="59"/>
      <c r="E191" s="59"/>
      <c r="F191" s="61"/>
    </row>
    <row r="192" spans="2:6" ht="14.25" x14ac:dyDescent="0.2">
      <c r="B192" s="63"/>
      <c r="C192" s="87"/>
      <c r="D192" s="92"/>
      <c r="E192" s="92"/>
      <c r="F192" s="61"/>
    </row>
    <row r="193" spans="2:6" ht="51" x14ac:dyDescent="0.2">
      <c r="B193" s="58">
        <v>51</v>
      </c>
      <c r="C193" s="93" t="s">
        <v>257</v>
      </c>
      <c r="D193" s="89" t="s">
        <v>28</v>
      </c>
      <c r="E193" s="89">
        <v>1</v>
      </c>
      <c r="F193" s="61"/>
    </row>
    <row r="194" spans="2:6" ht="14.25" x14ac:dyDescent="0.2">
      <c r="B194" s="58"/>
      <c r="C194" s="114"/>
      <c r="D194" s="115"/>
      <c r="E194" s="115"/>
      <c r="F194" s="61"/>
    </row>
    <row r="195" spans="2:6" ht="38.25" x14ac:dyDescent="0.2">
      <c r="B195" s="58">
        <v>52</v>
      </c>
      <c r="C195" s="93" t="s">
        <v>246</v>
      </c>
      <c r="D195" s="89" t="s">
        <v>16</v>
      </c>
      <c r="E195" s="89">
        <f>6*2*0.35</f>
        <v>4.1999999999999993</v>
      </c>
      <c r="F195" s="61"/>
    </row>
    <row r="196" spans="2:6" ht="14.25" x14ac:dyDescent="0.2">
      <c r="B196" s="58"/>
      <c r="C196" s="93" t="s">
        <v>245</v>
      </c>
      <c r="D196" s="89"/>
      <c r="E196" s="89"/>
      <c r="F196" s="61"/>
    </row>
    <row r="197" spans="2:6" ht="14.25" x14ac:dyDescent="0.2">
      <c r="B197" s="63"/>
      <c r="C197" s="87"/>
      <c r="D197" s="85"/>
      <c r="E197" s="85"/>
      <c r="F197" s="61"/>
    </row>
    <row r="198" spans="2:6" ht="14.25" x14ac:dyDescent="0.2">
      <c r="B198" s="58">
        <v>53</v>
      </c>
      <c r="C198" s="114" t="s">
        <v>205</v>
      </c>
      <c r="D198" s="89" t="s">
        <v>29</v>
      </c>
      <c r="E198" s="89">
        <v>1</v>
      </c>
      <c r="F198" s="61"/>
    </row>
    <row r="199" spans="2:6" ht="14.25" x14ac:dyDescent="0.2">
      <c r="B199" s="63"/>
      <c r="C199" s="87"/>
      <c r="D199" s="85"/>
      <c r="E199" s="85"/>
      <c r="F199" s="61"/>
    </row>
    <row r="200" spans="2:6" ht="38.25" x14ac:dyDescent="0.2">
      <c r="B200" s="58">
        <v>54</v>
      </c>
      <c r="C200" s="93" t="s">
        <v>258</v>
      </c>
      <c r="D200" s="89" t="s">
        <v>16</v>
      </c>
      <c r="E200" s="89">
        <v>90</v>
      </c>
      <c r="F200" s="61"/>
    </row>
    <row r="201" spans="2:6" ht="14.25" x14ac:dyDescent="0.2">
      <c r="B201" s="58"/>
      <c r="C201" s="93"/>
      <c r="D201" s="85"/>
      <c r="E201" s="85"/>
      <c r="F201" s="61"/>
    </row>
    <row r="202" spans="2:6" ht="14.25" x14ac:dyDescent="0.2">
      <c r="B202" s="63"/>
      <c r="C202" s="69"/>
      <c r="D202" s="65"/>
      <c r="E202" s="65"/>
      <c r="F202" s="61"/>
    </row>
    <row r="203" spans="2:6" ht="14.25" x14ac:dyDescent="0.2">
      <c r="B203" s="58">
        <v>55</v>
      </c>
      <c r="C203" s="49" t="s">
        <v>14</v>
      </c>
      <c r="D203" s="59"/>
      <c r="E203" s="59"/>
      <c r="F203" s="61"/>
    </row>
    <row r="204" spans="2:6" ht="28.5" x14ac:dyDescent="0.2">
      <c r="B204" s="58"/>
      <c r="C204" s="49" t="s">
        <v>139</v>
      </c>
      <c r="D204" s="59" t="s">
        <v>89</v>
      </c>
      <c r="E204" s="59">
        <f>2057+195</f>
        <v>2252</v>
      </c>
      <c r="F204" s="61"/>
    </row>
    <row r="205" spans="2:6" ht="14.25" x14ac:dyDescent="0.2">
      <c r="B205" s="58"/>
      <c r="C205" s="49" t="s">
        <v>17</v>
      </c>
      <c r="D205" s="59" t="s">
        <v>16</v>
      </c>
      <c r="E205" s="59">
        <f>500</f>
        <v>500</v>
      </c>
      <c r="F205" s="61"/>
    </row>
    <row r="206" spans="2:6" ht="14.25" x14ac:dyDescent="0.2">
      <c r="B206" s="58"/>
      <c r="C206" s="49" t="s">
        <v>59</v>
      </c>
      <c r="D206" s="59"/>
      <c r="E206" s="59"/>
      <c r="F206" s="61"/>
    </row>
    <row r="207" spans="2:6" ht="14.25" x14ac:dyDescent="0.2">
      <c r="B207" s="58"/>
      <c r="C207" s="49" t="s">
        <v>45</v>
      </c>
      <c r="D207" s="59"/>
      <c r="E207" s="59"/>
      <c r="F207" s="61"/>
    </row>
    <row r="208" spans="2:6" ht="14.25" x14ac:dyDescent="0.2">
      <c r="B208" s="58"/>
      <c r="C208" s="49" t="s">
        <v>60</v>
      </c>
      <c r="D208" s="59"/>
      <c r="E208" s="59"/>
      <c r="F208" s="61"/>
    </row>
    <row r="209" spans="2:6" ht="14.25" x14ac:dyDescent="0.2">
      <c r="B209" s="58"/>
      <c r="C209" s="49" t="s">
        <v>46</v>
      </c>
      <c r="D209" s="59"/>
      <c r="E209" s="59"/>
      <c r="F209" s="61"/>
    </row>
    <row r="210" spans="2:6" ht="14.25" x14ac:dyDescent="0.2">
      <c r="B210" s="58"/>
      <c r="C210" s="49" t="s">
        <v>47</v>
      </c>
      <c r="D210" s="59"/>
      <c r="E210" s="59"/>
      <c r="F210" s="61"/>
    </row>
    <row r="211" spans="2:6" ht="14.25" x14ac:dyDescent="0.2">
      <c r="B211" s="58"/>
      <c r="C211" s="49" t="s">
        <v>61</v>
      </c>
      <c r="D211" s="59"/>
      <c r="E211" s="59"/>
      <c r="F211" s="61"/>
    </row>
    <row r="212" spans="2:6" ht="14.25" x14ac:dyDescent="0.2">
      <c r="B212" s="94"/>
      <c r="C212" s="95"/>
      <c r="D212" s="96"/>
      <c r="E212" s="96"/>
      <c r="F212" s="61"/>
    </row>
    <row r="213" spans="2:6" ht="28.5" x14ac:dyDescent="0.2">
      <c r="B213" s="58">
        <v>56</v>
      </c>
      <c r="C213" s="49" t="s">
        <v>57</v>
      </c>
      <c r="D213" s="59" t="s">
        <v>16</v>
      </c>
      <c r="E213" s="59">
        <f>508+515</f>
        <v>1023</v>
      </c>
      <c r="F213" s="61"/>
    </row>
    <row r="214" spans="2:6" ht="15" x14ac:dyDescent="0.2">
      <c r="B214" s="58"/>
      <c r="C214" s="49" t="s">
        <v>138</v>
      </c>
      <c r="D214" s="59"/>
      <c r="E214" s="97"/>
      <c r="F214" s="61"/>
    </row>
    <row r="215" spans="2:6" ht="15" x14ac:dyDescent="0.2">
      <c r="B215" s="58"/>
      <c r="C215" s="49"/>
      <c r="D215" s="59"/>
      <c r="E215" s="97"/>
      <c r="F215" s="61"/>
    </row>
    <row r="216" spans="2:6" ht="14.25" x14ac:dyDescent="0.2">
      <c r="B216" s="58" t="s">
        <v>150</v>
      </c>
      <c r="C216" s="98" t="s">
        <v>149</v>
      </c>
      <c r="D216" s="59" t="s">
        <v>0</v>
      </c>
      <c r="E216" s="81">
        <v>1</v>
      </c>
      <c r="F216" s="61"/>
    </row>
    <row r="217" spans="2:6" ht="14.25" x14ac:dyDescent="0.2">
      <c r="B217" s="58"/>
      <c r="C217" s="98"/>
      <c r="D217" s="59"/>
      <c r="E217" s="81"/>
      <c r="F217" s="61"/>
    </row>
    <row r="218" spans="2:6" ht="14.25" x14ac:dyDescent="0.2">
      <c r="B218" s="58" t="s">
        <v>260</v>
      </c>
      <c r="C218" s="98" t="s">
        <v>261</v>
      </c>
      <c r="D218" s="59" t="s">
        <v>30</v>
      </c>
      <c r="E218" s="81">
        <f>1023*2</f>
        <v>2046</v>
      </c>
      <c r="F218" s="61"/>
    </row>
    <row r="219" spans="2:6" ht="14.25" x14ac:dyDescent="0.2">
      <c r="B219" s="58"/>
      <c r="C219" s="98" t="s">
        <v>262</v>
      </c>
      <c r="D219" s="59"/>
      <c r="E219" s="81"/>
      <c r="F219" s="61"/>
    </row>
    <row r="220" spans="2:6" ht="14.25" x14ac:dyDescent="0.2">
      <c r="B220" s="58"/>
      <c r="C220" s="98"/>
      <c r="D220" s="59"/>
      <c r="E220" s="81"/>
      <c r="F220" s="61"/>
    </row>
    <row r="221" spans="2:6" ht="28.5" x14ac:dyDescent="0.2">
      <c r="B221" s="58">
        <v>57</v>
      </c>
      <c r="C221" s="98" t="s">
        <v>58</v>
      </c>
      <c r="D221" s="59" t="s">
        <v>28</v>
      </c>
      <c r="E221" s="81">
        <v>1</v>
      </c>
      <c r="F221" s="61"/>
    </row>
    <row r="222" spans="2:6" ht="15" x14ac:dyDescent="0.2">
      <c r="B222" s="58"/>
      <c r="C222" s="98"/>
      <c r="D222" s="59"/>
      <c r="E222" s="99"/>
      <c r="F222" s="61"/>
    </row>
    <row r="223" spans="2:6" ht="28.5" x14ac:dyDescent="0.2">
      <c r="B223" s="58">
        <v>58</v>
      </c>
      <c r="C223" s="98" t="s">
        <v>40</v>
      </c>
      <c r="D223" s="59" t="s">
        <v>28</v>
      </c>
      <c r="E223" s="81">
        <v>1</v>
      </c>
      <c r="F223" s="91"/>
    </row>
    <row r="224" spans="2:6" ht="14.25" x14ac:dyDescent="0.2">
      <c r="B224" s="58"/>
      <c r="C224" s="98" t="s">
        <v>85</v>
      </c>
      <c r="D224" s="59"/>
      <c r="E224" s="81"/>
      <c r="F224" s="91"/>
    </row>
    <row r="225" spans="2:6" ht="15" x14ac:dyDescent="0.2">
      <c r="B225" s="58"/>
      <c r="C225" s="98"/>
      <c r="D225" s="59"/>
      <c r="E225" s="99"/>
      <c r="F225" s="61"/>
    </row>
    <row r="226" spans="2:6" ht="42.75" x14ac:dyDescent="0.2">
      <c r="B226" s="58">
        <v>59</v>
      </c>
      <c r="C226" s="98" t="s">
        <v>206</v>
      </c>
      <c r="D226" s="59" t="s">
        <v>28</v>
      </c>
      <c r="E226" s="81">
        <v>1</v>
      </c>
      <c r="F226" s="61"/>
    </row>
    <row r="227" spans="2:6" ht="14.25" x14ac:dyDescent="0.2">
      <c r="B227" s="63"/>
      <c r="C227" s="69"/>
      <c r="D227" s="65"/>
      <c r="E227" s="65"/>
      <c r="F227" s="61"/>
    </row>
    <row r="228" spans="2:6" ht="28.5" x14ac:dyDescent="0.2">
      <c r="B228" s="58">
        <v>60</v>
      </c>
      <c r="C228" s="67" t="s">
        <v>62</v>
      </c>
      <c r="D228" s="59" t="s">
        <v>28</v>
      </c>
      <c r="E228" s="68">
        <v>1</v>
      </c>
      <c r="F228" s="61"/>
    </row>
    <row r="229" spans="2:6" ht="14.25" x14ac:dyDescent="0.2">
      <c r="B229" s="63"/>
      <c r="C229" s="71"/>
      <c r="D229" s="65"/>
      <c r="E229" s="72"/>
      <c r="F229" s="61"/>
    </row>
    <row r="230" spans="2:6" ht="28.5" x14ac:dyDescent="0.2">
      <c r="B230" s="58">
        <v>61</v>
      </c>
      <c r="C230" s="49" t="s">
        <v>34</v>
      </c>
      <c r="D230" s="59" t="s">
        <v>28</v>
      </c>
      <c r="E230" s="59">
        <v>1</v>
      </c>
      <c r="F230" s="61"/>
    </row>
    <row r="231" spans="2:6" ht="14.25" x14ac:dyDescent="0.2">
      <c r="B231" s="58"/>
      <c r="C231" s="49"/>
      <c r="D231" s="59"/>
      <c r="E231" s="59"/>
      <c r="F231" s="61"/>
    </row>
    <row r="232" spans="2:6" ht="28.5" x14ac:dyDescent="0.2">
      <c r="B232" s="58">
        <v>62</v>
      </c>
      <c r="C232" s="98" t="s">
        <v>38</v>
      </c>
      <c r="D232" s="59" t="s">
        <v>28</v>
      </c>
      <c r="E232" s="81">
        <v>1</v>
      </c>
      <c r="F232" s="61"/>
    </row>
    <row r="233" spans="2:6" ht="15" x14ac:dyDescent="0.2">
      <c r="B233" s="58"/>
      <c r="C233" s="98"/>
      <c r="D233" s="59"/>
      <c r="E233" s="99"/>
      <c r="F233" s="61"/>
    </row>
    <row r="234" spans="2:6" ht="42.75" x14ac:dyDescent="0.2">
      <c r="B234" s="58">
        <v>63</v>
      </c>
      <c r="C234" s="98" t="s">
        <v>39</v>
      </c>
      <c r="D234" s="59" t="s">
        <v>28</v>
      </c>
      <c r="E234" s="81">
        <v>1</v>
      </c>
      <c r="F234" s="61"/>
    </row>
    <row r="235" spans="2:6" ht="14.25" x14ac:dyDescent="0.2">
      <c r="B235" s="63"/>
      <c r="C235" s="100"/>
      <c r="D235" s="65"/>
      <c r="E235" s="101"/>
      <c r="F235" s="61"/>
    </row>
    <row r="236" spans="2:6" ht="42.75" x14ac:dyDescent="0.2">
      <c r="B236" s="58">
        <v>64</v>
      </c>
      <c r="C236" s="98" t="s">
        <v>259</v>
      </c>
      <c r="D236" s="59" t="s">
        <v>16</v>
      </c>
      <c r="E236" s="81">
        <v>90</v>
      </c>
      <c r="F236" s="61"/>
    </row>
    <row r="237" spans="2:6" ht="14.25" x14ac:dyDescent="0.2">
      <c r="B237" s="58"/>
      <c r="C237" s="98"/>
      <c r="D237" s="59"/>
      <c r="E237" s="81"/>
      <c r="F237" s="61"/>
    </row>
    <row r="238" spans="2:6" ht="28.5" x14ac:dyDescent="0.2">
      <c r="B238" s="58">
        <v>65</v>
      </c>
      <c r="C238" s="98" t="s">
        <v>71</v>
      </c>
      <c r="D238" s="59" t="s">
        <v>30</v>
      </c>
      <c r="E238" s="81">
        <f>0.6*14</f>
        <v>8.4</v>
      </c>
      <c r="F238" s="61"/>
    </row>
    <row r="239" spans="2:6" ht="14.25" x14ac:dyDescent="0.2">
      <c r="B239" s="58"/>
      <c r="C239" s="98" t="s">
        <v>72</v>
      </c>
      <c r="D239" s="59"/>
      <c r="E239" s="81"/>
      <c r="F239" s="61"/>
    </row>
    <row r="240" spans="2:6" ht="14.25" x14ac:dyDescent="0.2">
      <c r="B240" s="58"/>
      <c r="C240" s="98"/>
      <c r="D240" s="59"/>
      <c r="E240" s="81"/>
      <c r="F240" s="61"/>
    </row>
    <row r="241" spans="2:6" ht="42.75" x14ac:dyDescent="0.2">
      <c r="B241" s="58">
        <v>66</v>
      </c>
      <c r="C241" s="98" t="s">
        <v>207</v>
      </c>
      <c r="D241" s="59" t="s">
        <v>30</v>
      </c>
      <c r="E241" s="81">
        <f>247*0.1</f>
        <v>24.700000000000003</v>
      </c>
      <c r="F241" s="61"/>
    </row>
    <row r="242" spans="2:6" ht="14.25" x14ac:dyDescent="0.2">
      <c r="B242" s="127"/>
      <c r="C242" s="135" t="s">
        <v>73</v>
      </c>
      <c r="D242" s="129"/>
      <c r="E242" s="131"/>
      <c r="F242" s="61"/>
    </row>
    <row r="243" spans="2:6" ht="14.25" x14ac:dyDescent="0.2">
      <c r="B243" s="127"/>
      <c r="C243" s="135"/>
      <c r="D243" s="129"/>
      <c r="E243" s="131"/>
      <c r="F243" s="61"/>
    </row>
    <row r="244" spans="2:6" ht="42.75" x14ac:dyDescent="0.2">
      <c r="B244" s="127" t="s">
        <v>272</v>
      </c>
      <c r="C244" s="135" t="s">
        <v>276</v>
      </c>
      <c r="D244" s="129" t="s">
        <v>30</v>
      </c>
      <c r="E244" s="131">
        <v>247</v>
      </c>
      <c r="F244" s="61"/>
    </row>
    <row r="245" spans="2:6" ht="14.25" x14ac:dyDescent="0.2">
      <c r="B245" s="127"/>
      <c r="C245" s="135"/>
      <c r="D245" s="129"/>
      <c r="E245" s="131"/>
      <c r="F245" s="61"/>
    </row>
    <row r="246" spans="2:6" ht="28.5" x14ac:dyDescent="0.2">
      <c r="B246" s="127" t="s">
        <v>273</v>
      </c>
      <c r="C246" s="135" t="s">
        <v>274</v>
      </c>
      <c r="D246" s="129" t="s">
        <v>30</v>
      </c>
      <c r="E246" s="131">
        <v>247</v>
      </c>
      <c r="F246" s="61"/>
    </row>
    <row r="247" spans="2:6" ht="14.25" x14ac:dyDescent="0.2">
      <c r="B247" s="127"/>
      <c r="C247" s="135" t="s">
        <v>275</v>
      </c>
      <c r="D247" s="129"/>
      <c r="E247" s="131"/>
      <c r="F247" s="61"/>
    </row>
    <row r="248" spans="2:6" ht="14.25" x14ac:dyDescent="0.2">
      <c r="B248" s="127"/>
      <c r="C248" s="135"/>
      <c r="D248" s="129"/>
      <c r="E248" s="131"/>
      <c r="F248" s="61"/>
    </row>
    <row r="249" spans="2:6" ht="14.25" x14ac:dyDescent="0.2">
      <c r="B249" s="132"/>
      <c r="C249" s="136"/>
      <c r="D249" s="134"/>
      <c r="E249" s="137"/>
      <c r="F249" s="61"/>
    </row>
    <row r="250" spans="2:6" ht="42.75" x14ac:dyDescent="0.2">
      <c r="B250" s="127">
        <v>67</v>
      </c>
      <c r="C250" s="135" t="s">
        <v>74</v>
      </c>
      <c r="D250" s="129" t="s">
        <v>32</v>
      </c>
      <c r="E250" s="131">
        <f>1.5*1.5*2</f>
        <v>4.5</v>
      </c>
      <c r="F250" s="61"/>
    </row>
    <row r="251" spans="2:6" ht="28.5" x14ac:dyDescent="0.2">
      <c r="B251" s="58"/>
      <c r="C251" s="98" t="s">
        <v>75</v>
      </c>
      <c r="D251" s="59"/>
      <c r="E251" s="81"/>
      <c r="F251" s="61"/>
    </row>
    <row r="252" spans="2:6" ht="14.25" x14ac:dyDescent="0.2">
      <c r="B252" s="58"/>
      <c r="C252" s="98" t="s">
        <v>76</v>
      </c>
      <c r="D252" s="59"/>
      <c r="E252" s="81"/>
      <c r="F252" s="61"/>
    </row>
    <row r="253" spans="2:6" ht="14.25" x14ac:dyDescent="0.2">
      <c r="B253" s="63"/>
      <c r="C253" s="100"/>
      <c r="D253" s="65"/>
      <c r="E253" s="101"/>
      <c r="F253" s="61"/>
    </row>
    <row r="254" spans="2:6" ht="14.25" x14ac:dyDescent="0.2">
      <c r="B254" s="58">
        <v>68</v>
      </c>
      <c r="C254" s="98" t="s">
        <v>80</v>
      </c>
      <c r="D254" s="59" t="s">
        <v>32</v>
      </c>
      <c r="E254" s="81">
        <v>1</v>
      </c>
      <c r="F254" s="61"/>
    </row>
    <row r="255" spans="2:6" ht="14.25" x14ac:dyDescent="0.2">
      <c r="B255" s="58"/>
      <c r="C255" s="98" t="s">
        <v>81</v>
      </c>
      <c r="D255" s="59" t="s">
        <v>30</v>
      </c>
      <c r="E255" s="81">
        <v>7</v>
      </c>
      <c r="F255" s="61"/>
    </row>
    <row r="256" spans="2:6" ht="14.25" x14ac:dyDescent="0.2">
      <c r="B256" s="63"/>
      <c r="C256" s="100"/>
      <c r="D256" s="65"/>
      <c r="E256" s="101"/>
      <c r="F256" s="61"/>
    </row>
    <row r="257" spans="2:6" ht="99.75" x14ac:dyDescent="0.2">
      <c r="B257" s="58">
        <v>69</v>
      </c>
      <c r="C257" s="98" t="s">
        <v>208</v>
      </c>
      <c r="D257" s="59" t="s">
        <v>16</v>
      </c>
      <c r="E257" s="81">
        <f>(7.5+7.5)*6</f>
        <v>90</v>
      </c>
      <c r="F257" s="61"/>
    </row>
    <row r="258" spans="2:6" ht="14.25" x14ac:dyDescent="0.2">
      <c r="B258" s="58"/>
      <c r="C258" s="98"/>
      <c r="D258" s="59"/>
      <c r="E258" s="81"/>
      <c r="F258" s="61"/>
    </row>
    <row r="259" spans="2:6" ht="57" x14ac:dyDescent="0.2">
      <c r="B259" s="58" t="s">
        <v>157</v>
      </c>
      <c r="C259" s="98" t="s">
        <v>158</v>
      </c>
      <c r="D259" s="59" t="s">
        <v>0</v>
      </c>
      <c r="E259" s="81">
        <v>6</v>
      </c>
      <c r="F259" s="61"/>
    </row>
    <row r="260" spans="2:6" ht="14.25" x14ac:dyDescent="0.2">
      <c r="B260" s="63"/>
      <c r="C260" s="100"/>
      <c r="D260" s="65"/>
      <c r="E260" s="101"/>
      <c r="F260" s="61"/>
    </row>
    <row r="261" spans="2:6" ht="15" x14ac:dyDescent="0.2">
      <c r="B261" s="58"/>
      <c r="C261" s="73" t="s">
        <v>54</v>
      </c>
      <c r="D261" s="59"/>
      <c r="E261" s="59"/>
      <c r="F261" s="61"/>
    </row>
    <row r="262" spans="2:6" ht="15" x14ac:dyDescent="0.2">
      <c r="B262" s="58"/>
      <c r="C262" s="49"/>
      <c r="D262" s="59"/>
      <c r="E262" s="90"/>
      <c r="F262" s="61"/>
    </row>
    <row r="263" spans="2:6" ht="28.5" x14ac:dyDescent="0.2">
      <c r="B263" s="58">
        <v>70</v>
      </c>
      <c r="C263" s="49" t="s">
        <v>210</v>
      </c>
      <c r="D263" s="59" t="s">
        <v>32</v>
      </c>
      <c r="E263" s="60">
        <f>0.7*0.3*(15.5+19)</f>
        <v>7.2450000000000001</v>
      </c>
      <c r="F263" s="61"/>
    </row>
    <row r="264" spans="2:6" ht="15" x14ac:dyDescent="0.2">
      <c r="B264" s="58"/>
      <c r="C264" s="49" t="s">
        <v>209</v>
      </c>
      <c r="D264" s="59"/>
      <c r="E264" s="90"/>
      <c r="F264" s="61"/>
    </row>
    <row r="265" spans="2:6" ht="15" x14ac:dyDescent="0.2">
      <c r="B265" s="58"/>
      <c r="C265" s="49"/>
      <c r="D265" s="59"/>
      <c r="E265" s="90"/>
      <c r="F265" s="61"/>
    </row>
    <row r="266" spans="2:6" ht="14.25" x14ac:dyDescent="0.2">
      <c r="B266" s="58">
        <v>71</v>
      </c>
      <c r="C266" s="49" t="s">
        <v>154</v>
      </c>
      <c r="D266" s="59" t="s">
        <v>30</v>
      </c>
      <c r="E266" s="59">
        <f>(15.5+19)*2*0.35</f>
        <v>24.15</v>
      </c>
      <c r="F266" s="61"/>
    </row>
    <row r="267" spans="2:6" ht="15" x14ac:dyDescent="0.2">
      <c r="B267" s="58"/>
      <c r="C267" s="49" t="s">
        <v>211</v>
      </c>
      <c r="D267" s="59"/>
      <c r="E267" s="90"/>
      <c r="F267" s="61"/>
    </row>
    <row r="268" spans="2:6" ht="15" x14ac:dyDescent="0.2">
      <c r="B268" s="58"/>
      <c r="C268" s="49"/>
      <c r="D268" s="59"/>
      <c r="E268" s="90"/>
      <c r="F268" s="61"/>
    </row>
    <row r="269" spans="2:6" ht="28.5" x14ac:dyDescent="0.2">
      <c r="B269" s="58">
        <v>72</v>
      </c>
      <c r="C269" s="49" t="s">
        <v>155</v>
      </c>
      <c r="D269" s="59" t="s">
        <v>48</v>
      </c>
      <c r="E269" s="81">
        <f>0.6*(15.5+19)*4.44</f>
        <v>91.908000000000001</v>
      </c>
      <c r="F269" s="61"/>
    </row>
    <row r="270" spans="2:6" ht="15" x14ac:dyDescent="0.2">
      <c r="B270" s="58"/>
      <c r="C270" s="49" t="s">
        <v>212</v>
      </c>
      <c r="D270" s="59"/>
      <c r="E270" s="90"/>
      <c r="F270" s="61"/>
    </row>
    <row r="271" spans="2:6" ht="15" x14ac:dyDescent="0.2">
      <c r="B271" s="58"/>
      <c r="C271" s="49"/>
      <c r="D271" s="59"/>
      <c r="E271" s="90"/>
      <c r="F271" s="61"/>
    </row>
    <row r="272" spans="2:6" ht="28.5" x14ac:dyDescent="0.2">
      <c r="B272" s="58">
        <v>73</v>
      </c>
      <c r="C272" s="49" t="s">
        <v>217</v>
      </c>
      <c r="D272" s="59" t="s">
        <v>32</v>
      </c>
      <c r="E272" s="59">
        <v>0.5</v>
      </c>
      <c r="F272" s="61"/>
    </row>
    <row r="273" spans="2:6" ht="14.25" x14ac:dyDescent="0.2">
      <c r="B273" s="58"/>
      <c r="C273" s="49"/>
      <c r="D273" s="59"/>
      <c r="E273" s="59"/>
      <c r="F273" s="61"/>
    </row>
    <row r="274" spans="2:6" ht="14.25" x14ac:dyDescent="0.2">
      <c r="B274" s="58">
        <v>74</v>
      </c>
      <c r="C274" s="49" t="s">
        <v>213</v>
      </c>
      <c r="D274" s="59" t="s">
        <v>30</v>
      </c>
      <c r="E274" s="59">
        <f>5*0.8*1*4+1*0.8*1.2*4</f>
        <v>19.84</v>
      </c>
      <c r="F274" s="61"/>
    </row>
    <row r="275" spans="2:6" ht="14.25" x14ac:dyDescent="0.2">
      <c r="B275" s="58"/>
      <c r="C275" s="49" t="s">
        <v>215</v>
      </c>
      <c r="D275" s="59"/>
      <c r="E275" s="59"/>
      <c r="F275" s="61"/>
    </row>
    <row r="276" spans="2:6" ht="14.25" x14ac:dyDescent="0.2">
      <c r="B276" s="58"/>
      <c r="C276" s="49"/>
      <c r="D276" s="59"/>
      <c r="E276" s="59"/>
      <c r="F276" s="61"/>
    </row>
    <row r="277" spans="2:6" ht="14.25" x14ac:dyDescent="0.2">
      <c r="B277" s="58">
        <v>75</v>
      </c>
      <c r="C277" s="49" t="s">
        <v>214</v>
      </c>
      <c r="D277" s="59" t="s">
        <v>32</v>
      </c>
      <c r="E277" s="59">
        <f>5*0.9*0.9*0.1+1*1.2*1.2*0.1</f>
        <v>0.54900000000000004</v>
      </c>
      <c r="F277" s="61"/>
    </row>
    <row r="278" spans="2:6" ht="14.25" x14ac:dyDescent="0.2">
      <c r="B278" s="58"/>
      <c r="C278" s="49" t="s">
        <v>216</v>
      </c>
      <c r="D278" s="59"/>
      <c r="E278" s="59"/>
      <c r="F278" s="61"/>
    </row>
    <row r="279" spans="2:6" ht="14.25" x14ac:dyDescent="0.2">
      <c r="B279" s="58"/>
      <c r="C279" s="49"/>
      <c r="D279" s="59"/>
      <c r="E279" s="59"/>
      <c r="F279" s="61"/>
    </row>
    <row r="280" spans="2:6" ht="14.25" x14ac:dyDescent="0.2">
      <c r="B280" s="63"/>
      <c r="C280" s="69"/>
      <c r="D280" s="65"/>
      <c r="E280" s="65"/>
      <c r="F280" s="61"/>
    </row>
    <row r="281" spans="2:6" ht="15" x14ac:dyDescent="0.2">
      <c r="B281" s="58"/>
      <c r="C281" s="73" t="s">
        <v>55</v>
      </c>
      <c r="D281" s="59"/>
      <c r="E281" s="59"/>
      <c r="F281" s="61"/>
    </row>
    <row r="282" spans="2:6" ht="85.5" x14ac:dyDescent="0.2">
      <c r="B282" s="58">
        <v>81</v>
      </c>
      <c r="C282" s="49" t="s">
        <v>164</v>
      </c>
      <c r="D282" s="59" t="s">
        <v>0</v>
      </c>
      <c r="E282" s="59">
        <f>126*2</f>
        <v>252</v>
      </c>
      <c r="F282" s="61"/>
    </row>
    <row r="283" spans="2:6" ht="15" x14ac:dyDescent="0.2">
      <c r="B283" s="58"/>
      <c r="C283" s="49" t="s">
        <v>41</v>
      </c>
      <c r="D283" s="59"/>
      <c r="E283" s="90"/>
      <c r="F283" s="61"/>
    </row>
    <row r="284" spans="2:6" ht="14.25" x14ac:dyDescent="0.2">
      <c r="B284" s="63"/>
      <c r="C284" s="69"/>
      <c r="D284" s="65"/>
      <c r="E284" s="65"/>
      <c r="F284" s="61"/>
    </row>
    <row r="285" spans="2:6" ht="57" x14ac:dyDescent="0.2">
      <c r="B285" s="58">
        <v>82</v>
      </c>
      <c r="C285" s="49" t="s">
        <v>170</v>
      </c>
      <c r="D285" s="59" t="s">
        <v>16</v>
      </c>
      <c r="E285" s="59">
        <f>35*2</f>
        <v>70</v>
      </c>
      <c r="F285" s="61"/>
    </row>
    <row r="286" spans="2:6" ht="14.25" x14ac:dyDescent="0.2">
      <c r="B286" s="58"/>
      <c r="C286" s="74" t="s">
        <v>171</v>
      </c>
      <c r="D286" s="59"/>
      <c r="E286" s="59"/>
      <c r="F286" s="61"/>
    </row>
    <row r="287" spans="2:6" ht="14.25" x14ac:dyDescent="0.2">
      <c r="B287" s="58"/>
      <c r="C287" s="74"/>
      <c r="D287" s="59"/>
      <c r="E287" s="59"/>
      <c r="F287" s="61"/>
    </row>
    <row r="288" spans="2:6" ht="14.25" x14ac:dyDescent="0.2">
      <c r="B288" s="58" t="s">
        <v>166</v>
      </c>
      <c r="C288" s="74" t="s">
        <v>169</v>
      </c>
      <c r="D288" s="59" t="s">
        <v>28</v>
      </c>
      <c r="E288" s="59">
        <v>1</v>
      </c>
      <c r="F288" s="61"/>
    </row>
    <row r="289" spans="2:6" ht="14.25" x14ac:dyDescent="0.2">
      <c r="B289" s="58"/>
      <c r="C289" s="74"/>
      <c r="D289" s="59"/>
      <c r="E289" s="59"/>
      <c r="F289" s="61"/>
    </row>
    <row r="290" spans="2:6" ht="28.5" x14ac:dyDescent="0.2">
      <c r="B290" s="58" t="s">
        <v>167</v>
      </c>
      <c r="C290" s="49" t="s">
        <v>168</v>
      </c>
      <c r="D290" s="59" t="s">
        <v>28</v>
      </c>
      <c r="E290" s="59">
        <v>1</v>
      </c>
      <c r="F290" s="61"/>
    </row>
    <row r="291" spans="2:6" ht="14.25" x14ac:dyDescent="0.2">
      <c r="B291" s="63"/>
      <c r="C291" s="100"/>
      <c r="D291" s="65"/>
      <c r="E291" s="101"/>
      <c r="F291" s="61"/>
    </row>
    <row r="292" spans="2:6" ht="57" x14ac:dyDescent="0.2">
      <c r="B292" s="58">
        <v>83</v>
      </c>
      <c r="C292" s="49" t="s">
        <v>165</v>
      </c>
      <c r="D292" s="59" t="s">
        <v>16</v>
      </c>
      <c r="E292" s="59">
        <f>25*2+70</f>
        <v>120</v>
      </c>
      <c r="F292" s="61"/>
    </row>
    <row r="293" spans="2:6" ht="42.75" x14ac:dyDescent="0.2">
      <c r="B293" s="58"/>
      <c r="C293" s="49" t="s">
        <v>163</v>
      </c>
      <c r="D293" s="59"/>
      <c r="E293" s="90"/>
      <c r="F293" s="61"/>
    </row>
    <row r="294" spans="2:6" ht="15" x14ac:dyDescent="0.2">
      <c r="B294" s="63"/>
      <c r="C294" s="100"/>
      <c r="D294" s="65"/>
      <c r="E294" s="102"/>
      <c r="F294" s="61"/>
    </row>
    <row r="295" spans="2:6" ht="85.5" x14ac:dyDescent="0.2">
      <c r="B295" s="58">
        <v>84</v>
      </c>
      <c r="C295" s="49" t="s">
        <v>219</v>
      </c>
      <c r="D295" s="59" t="s">
        <v>29</v>
      </c>
      <c r="E295" s="59">
        <v>1</v>
      </c>
      <c r="F295" s="61"/>
    </row>
    <row r="296" spans="2:6" ht="15" x14ac:dyDescent="0.2">
      <c r="B296" s="63"/>
      <c r="C296" s="100"/>
      <c r="D296" s="65"/>
      <c r="E296" s="102"/>
      <c r="F296" s="103"/>
    </row>
    <row r="297" spans="2:6" ht="28.5" x14ac:dyDescent="0.2">
      <c r="B297" s="58">
        <v>85</v>
      </c>
      <c r="C297" s="98" t="s">
        <v>36</v>
      </c>
      <c r="D297" s="59" t="s">
        <v>28</v>
      </c>
      <c r="E297" s="81">
        <v>1</v>
      </c>
      <c r="F297" s="103"/>
    </row>
    <row r="298" spans="2:6" ht="15" x14ac:dyDescent="0.2">
      <c r="B298" s="58"/>
      <c r="C298" s="98"/>
      <c r="D298" s="59"/>
      <c r="E298" s="99"/>
      <c r="F298" s="103"/>
    </row>
    <row r="299" spans="2:6" ht="15" x14ac:dyDescent="0.25">
      <c r="B299" s="106"/>
      <c r="C299" s="55" t="s">
        <v>56</v>
      </c>
      <c r="D299" s="59"/>
      <c r="E299" s="59"/>
      <c r="F299" s="105"/>
    </row>
    <row r="300" spans="2:6" ht="14.25" x14ac:dyDescent="0.2">
      <c r="B300" s="106">
        <v>100</v>
      </c>
      <c r="C300" s="49" t="s">
        <v>86</v>
      </c>
      <c r="D300" s="59" t="s">
        <v>30</v>
      </c>
      <c r="E300" s="59">
        <f>200+2*115+2*65*2.1+10*4.5</f>
        <v>748</v>
      </c>
      <c r="F300" s="105"/>
    </row>
    <row r="301" spans="2:6" ht="15" x14ac:dyDescent="0.2">
      <c r="B301" s="106"/>
      <c r="C301" s="49" t="s">
        <v>87</v>
      </c>
      <c r="D301" s="59"/>
      <c r="E301" s="90"/>
      <c r="F301" s="105"/>
    </row>
    <row r="302" spans="2:6" ht="15" x14ac:dyDescent="0.2">
      <c r="B302" s="106"/>
      <c r="C302" s="49"/>
      <c r="D302" s="59"/>
      <c r="E302" s="90"/>
      <c r="F302" s="105"/>
    </row>
    <row r="303" spans="2:6" ht="14.25" x14ac:dyDescent="0.2">
      <c r="B303" s="58">
        <v>101</v>
      </c>
      <c r="C303" s="49" t="s">
        <v>243</v>
      </c>
      <c r="D303" s="59" t="s">
        <v>28</v>
      </c>
      <c r="E303" s="59">
        <v>1</v>
      </c>
      <c r="F303" s="107"/>
    </row>
    <row r="304" spans="2:6" ht="15" x14ac:dyDescent="0.2">
      <c r="B304" s="106"/>
      <c r="C304" s="49"/>
      <c r="D304" s="59"/>
      <c r="E304" s="90"/>
      <c r="F304" s="105"/>
    </row>
    <row r="305" spans="2:6" ht="14.25" x14ac:dyDescent="0.2">
      <c r="B305" s="58">
        <v>102</v>
      </c>
      <c r="C305" s="49" t="s">
        <v>220</v>
      </c>
      <c r="D305" s="59" t="s">
        <v>0</v>
      </c>
      <c r="E305" s="59">
        <v>2</v>
      </c>
      <c r="F305" s="108"/>
    </row>
    <row r="306" spans="2:6" ht="14.25" x14ac:dyDescent="0.2">
      <c r="B306" s="106"/>
      <c r="C306" s="78"/>
      <c r="D306" s="59"/>
      <c r="E306" s="68"/>
      <c r="F306" s="105"/>
    </row>
    <row r="307" spans="2:6" ht="28.5" x14ac:dyDescent="0.2">
      <c r="B307" s="106">
        <v>103</v>
      </c>
      <c r="C307" s="49" t="s">
        <v>152</v>
      </c>
      <c r="D307" s="59" t="s">
        <v>28</v>
      </c>
      <c r="E307" s="59">
        <v>1</v>
      </c>
      <c r="F307" s="105"/>
    </row>
    <row r="308" spans="2:6" ht="14.25" x14ac:dyDescent="0.2">
      <c r="B308" s="106"/>
      <c r="C308" s="49" t="s">
        <v>153</v>
      </c>
      <c r="D308" s="59"/>
      <c r="E308" s="59"/>
      <c r="F308" s="105"/>
    </row>
    <row r="309" spans="2:6" ht="14.25" x14ac:dyDescent="0.2">
      <c r="B309" s="104"/>
      <c r="C309" s="109"/>
      <c r="D309" s="65"/>
      <c r="E309" s="65"/>
      <c r="F309" s="105"/>
    </row>
    <row r="310" spans="2:6" ht="42.75" x14ac:dyDescent="0.2">
      <c r="B310" s="106">
        <v>104</v>
      </c>
      <c r="C310" s="49" t="s">
        <v>35</v>
      </c>
      <c r="D310" s="59" t="s">
        <v>28</v>
      </c>
      <c r="E310" s="59">
        <v>1</v>
      </c>
      <c r="F310" s="105"/>
    </row>
    <row r="311" spans="2:6" ht="14.25" x14ac:dyDescent="0.2">
      <c r="B311" s="106"/>
      <c r="C311" s="49"/>
      <c r="D311" s="59"/>
      <c r="E311" s="59"/>
      <c r="F311" s="105"/>
    </row>
    <row r="312" spans="2:6" ht="28.5" x14ac:dyDescent="0.2">
      <c r="B312" s="106">
        <v>105</v>
      </c>
      <c r="C312" s="98" t="s">
        <v>37</v>
      </c>
      <c r="D312" s="59" t="s">
        <v>28</v>
      </c>
      <c r="E312" s="81">
        <v>1</v>
      </c>
      <c r="F312" s="105"/>
    </row>
    <row r="313" spans="2:6" ht="14.25" x14ac:dyDescent="0.2">
      <c r="B313" s="106"/>
      <c r="C313" s="67"/>
      <c r="D313" s="59"/>
      <c r="E313" s="68"/>
      <c r="F313" s="105"/>
    </row>
    <row r="314" spans="2:6" ht="28.5" x14ac:dyDescent="0.2">
      <c r="B314" s="106">
        <v>106</v>
      </c>
      <c r="C314" s="49" t="s">
        <v>218</v>
      </c>
      <c r="D314" s="59" t="s">
        <v>28</v>
      </c>
      <c r="E314" s="68">
        <v>1</v>
      </c>
      <c r="F314" s="105"/>
    </row>
    <row r="315" spans="2:6" ht="15" x14ac:dyDescent="0.25">
      <c r="B315" s="106"/>
      <c r="C315" s="110"/>
      <c r="D315" s="59"/>
      <c r="E315" s="60"/>
      <c r="F315" s="105"/>
    </row>
    <row r="316" spans="2:6" ht="28.5" x14ac:dyDescent="0.2">
      <c r="B316" s="106">
        <v>107</v>
      </c>
      <c r="C316" s="67" t="s">
        <v>156</v>
      </c>
      <c r="D316" s="59" t="s">
        <v>16</v>
      </c>
      <c r="E316" s="68">
        <v>90</v>
      </c>
      <c r="F316" s="105"/>
    </row>
    <row r="317" spans="2:6" ht="15" x14ac:dyDescent="0.2">
      <c r="B317" s="104"/>
      <c r="C317" s="69"/>
      <c r="D317" s="65"/>
      <c r="E317" s="111"/>
      <c r="F317" s="105"/>
    </row>
    <row r="318" spans="2:6" ht="28.5" x14ac:dyDescent="0.2">
      <c r="B318" s="106">
        <v>108</v>
      </c>
      <c r="C318" s="67" t="s">
        <v>69</v>
      </c>
      <c r="D318" s="59" t="s">
        <v>0</v>
      </c>
      <c r="E318" s="68">
        <v>2</v>
      </c>
      <c r="F318" s="105"/>
    </row>
    <row r="319" spans="2:6" ht="14.25" x14ac:dyDescent="0.2">
      <c r="B319" s="106"/>
      <c r="C319" s="67" t="s">
        <v>70</v>
      </c>
      <c r="D319" s="59"/>
      <c r="E319" s="68"/>
      <c r="F319" s="105"/>
    </row>
    <row r="320" spans="2:6" ht="14.25" x14ac:dyDescent="0.2">
      <c r="B320" s="104"/>
      <c r="C320" s="71"/>
      <c r="D320" s="65"/>
      <c r="E320" s="72"/>
      <c r="F320" s="105"/>
    </row>
    <row r="321" spans="2:6" ht="28.5" x14ac:dyDescent="0.2">
      <c r="B321" s="106">
        <v>109</v>
      </c>
      <c r="C321" s="67" t="s">
        <v>183</v>
      </c>
      <c r="D321" s="59" t="s">
        <v>29</v>
      </c>
      <c r="E321" s="68">
        <v>1</v>
      </c>
      <c r="F321" s="105"/>
    </row>
    <row r="322" spans="2:6" ht="14.25" x14ac:dyDescent="0.2">
      <c r="B322" s="104"/>
      <c r="C322" s="67"/>
      <c r="D322" s="59"/>
      <c r="E322" s="68"/>
      <c r="F322" s="105"/>
    </row>
    <row r="323" spans="2:6" ht="28.5" x14ac:dyDescent="0.2">
      <c r="B323" s="58">
        <v>110</v>
      </c>
      <c r="C323" s="67" t="s">
        <v>184</v>
      </c>
      <c r="D323" s="59" t="s">
        <v>0</v>
      </c>
      <c r="E323" s="68">
        <v>5</v>
      </c>
      <c r="F323" s="105"/>
    </row>
    <row r="324" spans="2:6" ht="14.25" x14ac:dyDescent="0.2">
      <c r="B324" s="104"/>
      <c r="C324" s="71"/>
      <c r="D324" s="65"/>
      <c r="E324" s="72"/>
      <c r="F324" s="105"/>
    </row>
    <row r="325" spans="2:6" ht="42.75" x14ac:dyDescent="0.2">
      <c r="B325" s="58">
        <v>111</v>
      </c>
      <c r="C325" s="67" t="s">
        <v>151</v>
      </c>
      <c r="D325" s="59" t="s">
        <v>28</v>
      </c>
      <c r="E325" s="68">
        <v>1</v>
      </c>
      <c r="F325" s="105"/>
    </row>
    <row r="326" spans="2:6" ht="14.25" x14ac:dyDescent="0.2">
      <c r="B326" s="104"/>
      <c r="C326" s="71"/>
      <c r="D326" s="65"/>
      <c r="E326" s="72"/>
      <c r="F326" s="105"/>
    </row>
    <row r="327" spans="2:6" ht="57" x14ac:dyDescent="0.2">
      <c r="B327" s="58">
        <v>112</v>
      </c>
      <c r="C327" s="112" t="s">
        <v>175</v>
      </c>
      <c r="D327" s="59" t="s">
        <v>28</v>
      </c>
      <c r="E327" s="68">
        <v>1</v>
      </c>
      <c r="F327" s="105"/>
    </row>
    <row r="328" spans="2:6" ht="14.25" x14ac:dyDescent="0.2">
      <c r="B328" s="104"/>
      <c r="C328" s="71"/>
      <c r="D328" s="65"/>
      <c r="E328" s="72"/>
      <c r="F328" s="105"/>
    </row>
    <row r="329" spans="2:6" ht="42.75" x14ac:dyDescent="0.2">
      <c r="B329" s="58">
        <v>113</v>
      </c>
      <c r="C329" s="67" t="s">
        <v>244</v>
      </c>
      <c r="D329" s="59" t="s">
        <v>29</v>
      </c>
      <c r="E329" s="68">
        <v>1</v>
      </c>
      <c r="F329" s="105"/>
    </row>
    <row r="330" spans="2:6" ht="14.25" x14ac:dyDescent="0.2">
      <c r="B330" s="127"/>
      <c r="C330" s="138"/>
      <c r="D330" s="129"/>
      <c r="E330" s="139"/>
      <c r="F330" s="140"/>
    </row>
    <row r="331" spans="2:6" ht="28.5" x14ac:dyDescent="0.2">
      <c r="B331" s="127">
        <v>114</v>
      </c>
      <c r="C331" s="138" t="s">
        <v>182</v>
      </c>
      <c r="D331" s="129" t="s">
        <v>16</v>
      </c>
      <c r="E331" s="139">
        <v>1</v>
      </c>
      <c r="F331" s="140"/>
    </row>
    <row r="332" spans="2:6" ht="14.25" x14ac:dyDescent="0.2">
      <c r="B332" s="127"/>
      <c r="C332" s="138"/>
      <c r="D332" s="129"/>
      <c r="E332" s="139"/>
      <c r="F332" s="140"/>
    </row>
    <row r="333" spans="2:6" ht="42.75" x14ac:dyDescent="0.2">
      <c r="B333" s="127">
        <v>115</v>
      </c>
      <c r="C333" s="138" t="s">
        <v>268</v>
      </c>
      <c r="D333" s="129" t="s">
        <v>28</v>
      </c>
      <c r="E333" s="139">
        <v>1</v>
      </c>
      <c r="F333" s="140"/>
    </row>
    <row r="334" spans="2:6" ht="14.25" x14ac:dyDescent="0.2">
      <c r="B334" s="127"/>
      <c r="C334" s="138"/>
      <c r="D334" s="129"/>
      <c r="E334" s="139"/>
      <c r="F334" s="140"/>
    </row>
    <row r="335" spans="2:6" ht="14.25" x14ac:dyDescent="0.2">
      <c r="B335" s="127">
        <v>116</v>
      </c>
      <c r="C335" s="138" t="s">
        <v>277</v>
      </c>
      <c r="D335" s="129" t="s">
        <v>28</v>
      </c>
      <c r="E335" s="139">
        <v>1</v>
      </c>
      <c r="F335" s="140"/>
    </row>
    <row r="336" spans="2:6" ht="14.25" x14ac:dyDescent="0.2">
      <c r="B336" s="127"/>
      <c r="C336" s="138"/>
      <c r="D336" s="129"/>
      <c r="E336" s="139"/>
      <c r="F336" s="140"/>
    </row>
    <row r="337" spans="2:6" ht="15" thickBot="1" x14ac:dyDescent="0.25">
      <c r="B337" s="141"/>
      <c r="C337" s="142"/>
      <c r="D337" s="143"/>
      <c r="E337" s="143"/>
      <c r="F337" s="144"/>
    </row>
    <row r="338" spans="2:6" ht="23.25" x14ac:dyDescent="0.35">
      <c r="C338" s="113"/>
    </row>
  </sheetData>
  <phoneticPr fontId="3" type="noConversion"/>
  <printOptions horizontalCentered="1"/>
  <pageMargins left="0.78740157480314965" right="0.59055118110236227" top="0.39370078740157483" bottom="0.39370078740157483" header="0" footer="0"/>
  <pageSetup paperSize="9" scale="86" fitToHeight="100" orientation="portrait" r:id="rId1"/>
  <headerFooter alignWithMargins="0">
    <oddFooter>&amp;L&amp;F&amp;C&amp;P/&amp;N&amp;R&amp;A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A57FC-4430-4DB3-95FD-97137D866ED0}">
  <dimension ref="B3:Q45"/>
  <sheetViews>
    <sheetView topLeftCell="A2" zoomScaleNormal="100" workbookViewId="0">
      <selection activeCell="I59" sqref="I59"/>
    </sheetView>
  </sheetViews>
  <sheetFormatPr defaultRowHeight="12.75" x14ac:dyDescent="0.2"/>
  <cols>
    <col min="2" max="2" width="9.42578125" customWidth="1"/>
    <col min="3" max="3" width="11" customWidth="1"/>
    <col min="4" max="4" width="12" customWidth="1"/>
    <col min="17" max="17" width="5.28515625" customWidth="1"/>
  </cols>
  <sheetData>
    <row r="3" spans="2:17" ht="20.25" x14ac:dyDescent="0.3">
      <c r="B3" s="1" t="s">
        <v>91</v>
      </c>
      <c r="C3" s="21"/>
      <c r="D3" s="21"/>
    </row>
    <row r="4" spans="2:17" ht="18" x14ac:dyDescent="0.25">
      <c r="B4" s="19" t="s">
        <v>9</v>
      </c>
      <c r="C4" s="2"/>
    </row>
    <row r="5" spans="2:17" ht="20.25" x14ac:dyDescent="0.2">
      <c r="B5" s="2" t="s">
        <v>65</v>
      </c>
      <c r="C5" s="1"/>
    </row>
    <row r="6" spans="2:17" ht="20.25" x14ac:dyDescent="0.2">
      <c r="B6" s="2"/>
      <c r="C6" s="1"/>
    </row>
    <row r="7" spans="2:17" ht="14.25" x14ac:dyDescent="0.2">
      <c r="B7" s="5" t="s">
        <v>7</v>
      </c>
      <c r="C7" s="3"/>
    </row>
    <row r="8" spans="2:17" ht="14.25" x14ac:dyDescent="0.2">
      <c r="B8" s="5" t="s">
        <v>8</v>
      </c>
      <c r="C8" s="3"/>
    </row>
    <row r="9" spans="2:17" x14ac:dyDescent="0.2">
      <c r="B9" s="3" t="s">
        <v>88</v>
      </c>
      <c r="C9" s="3"/>
    </row>
    <row r="10" spans="2:17" x14ac:dyDescent="0.2">
      <c r="B10" s="3"/>
      <c r="C10" s="3"/>
    </row>
    <row r="11" spans="2:17" ht="13.5" thickBot="1" x14ac:dyDescent="0.25">
      <c r="B11" s="37" t="s">
        <v>116</v>
      </c>
      <c r="C11" s="3"/>
      <c r="K11" s="38"/>
      <c r="L11" s="38"/>
      <c r="M11" s="38"/>
    </row>
    <row r="12" spans="2:17" ht="24" customHeight="1" x14ac:dyDescent="0.2">
      <c r="B12" s="26"/>
      <c r="C12" s="27"/>
      <c r="D12" s="27"/>
      <c r="E12" s="119" t="s">
        <v>120</v>
      </c>
      <c r="F12" s="120"/>
      <c r="G12" s="120"/>
      <c r="H12" s="121" t="s">
        <v>99</v>
      </c>
      <c r="I12" s="122"/>
      <c r="J12" s="123"/>
      <c r="K12" s="124" t="s">
        <v>134</v>
      </c>
      <c r="L12" s="125"/>
      <c r="M12" s="126"/>
      <c r="N12" s="121" t="s">
        <v>131</v>
      </c>
      <c r="O12" s="122"/>
      <c r="P12" s="122"/>
      <c r="Q12" s="25"/>
    </row>
    <row r="13" spans="2:17" s="22" customFormat="1" ht="12.75" customHeight="1" x14ac:dyDescent="0.2">
      <c r="B13" s="23" t="s">
        <v>94</v>
      </c>
      <c r="C13" s="23" t="s">
        <v>93</v>
      </c>
      <c r="D13" s="23" t="s">
        <v>95</v>
      </c>
      <c r="E13" s="23" t="s">
        <v>96</v>
      </c>
      <c r="F13" s="23" t="s">
        <v>97</v>
      </c>
      <c r="G13" s="23" t="s">
        <v>98</v>
      </c>
      <c r="H13" s="23" t="s">
        <v>96</v>
      </c>
      <c r="I13" s="23" t="s">
        <v>97</v>
      </c>
      <c r="J13" s="23" t="s">
        <v>98</v>
      </c>
      <c r="K13" s="23" t="s">
        <v>96</v>
      </c>
      <c r="L13" s="23" t="s">
        <v>97</v>
      </c>
      <c r="M13" s="42" t="s">
        <v>98</v>
      </c>
      <c r="N13" s="23" t="s">
        <v>96</v>
      </c>
      <c r="O13" s="23" t="s">
        <v>97</v>
      </c>
      <c r="P13" s="23" t="s">
        <v>98</v>
      </c>
      <c r="Q13" s="24"/>
    </row>
    <row r="14" spans="2:17" s="22" customFormat="1" ht="12.75" customHeight="1" thickBot="1" x14ac:dyDescent="0.25">
      <c r="B14" s="28"/>
      <c r="C14" s="28" t="s">
        <v>92</v>
      </c>
      <c r="D14" s="28" t="s">
        <v>16</v>
      </c>
      <c r="E14" s="28" t="s">
        <v>30</v>
      </c>
      <c r="F14" s="28" t="s">
        <v>30</v>
      </c>
      <c r="G14" s="28" t="s">
        <v>32</v>
      </c>
      <c r="H14" s="28" t="s">
        <v>16</v>
      </c>
      <c r="I14" s="28" t="s">
        <v>16</v>
      </c>
      <c r="J14" s="29" t="s">
        <v>30</v>
      </c>
      <c r="K14" s="28" t="s">
        <v>30</v>
      </c>
      <c r="L14" s="28" t="s">
        <v>30</v>
      </c>
      <c r="M14" s="29" t="s">
        <v>32</v>
      </c>
      <c r="N14" s="28" t="s">
        <v>16</v>
      </c>
      <c r="O14" s="28" t="s">
        <v>16</v>
      </c>
      <c r="P14" s="28" t="s">
        <v>30</v>
      </c>
      <c r="Q14" s="24"/>
    </row>
    <row r="15" spans="2:17" x14ac:dyDescent="0.2">
      <c r="B15" s="23" t="s">
        <v>100</v>
      </c>
      <c r="C15" s="25">
        <v>0</v>
      </c>
      <c r="D15" s="30"/>
      <c r="E15" s="25">
        <v>0.2</v>
      </c>
      <c r="F15" s="25"/>
      <c r="G15" s="25"/>
      <c r="H15" s="25">
        <v>2.8</v>
      </c>
      <c r="I15" s="25"/>
      <c r="J15" s="25"/>
      <c r="K15" s="30">
        <v>0.9</v>
      </c>
      <c r="L15" s="30"/>
      <c r="M15" s="46"/>
      <c r="N15">
        <v>2.6</v>
      </c>
      <c r="O15" s="45"/>
      <c r="P15" s="45"/>
      <c r="Q15" s="25"/>
    </row>
    <row r="16" spans="2:17" x14ac:dyDescent="0.2">
      <c r="B16" s="23"/>
      <c r="C16" s="25"/>
      <c r="D16" s="31">
        <f>(C17-C15)*1000</f>
        <v>100</v>
      </c>
      <c r="E16" s="25"/>
      <c r="F16" s="25">
        <f>(E15+E17)/2</f>
        <v>0.2</v>
      </c>
      <c r="G16" s="25">
        <f>F16*D16</f>
        <v>20</v>
      </c>
      <c r="H16" s="25"/>
      <c r="I16" s="25">
        <f>(H15+H17)/2</f>
        <v>2.5499999999999998</v>
      </c>
      <c r="J16" s="25">
        <f>I16*D16</f>
        <v>254.99999999999997</v>
      </c>
      <c r="K16" s="31"/>
      <c r="L16" s="25">
        <f>(K15+K17)/2</f>
        <v>0.95</v>
      </c>
      <c r="M16" s="31">
        <f>L16*D16</f>
        <v>95</v>
      </c>
      <c r="O16" s="25">
        <f>(N15+N17)/2</f>
        <v>2.8</v>
      </c>
      <c r="P16" s="31">
        <f>O16*D16</f>
        <v>280</v>
      </c>
      <c r="Q16" s="25"/>
    </row>
    <row r="17" spans="2:17" x14ac:dyDescent="0.2">
      <c r="B17" s="23" t="s">
        <v>101</v>
      </c>
      <c r="C17" s="25">
        <v>0.1</v>
      </c>
      <c r="D17" s="31"/>
      <c r="E17" s="25">
        <v>0.2</v>
      </c>
      <c r="F17" s="25"/>
      <c r="G17" s="25"/>
      <c r="H17" s="25">
        <v>2.2999999999999998</v>
      </c>
      <c r="I17" s="25"/>
      <c r="J17" s="25"/>
      <c r="K17" s="31">
        <v>1</v>
      </c>
      <c r="L17" s="31"/>
      <c r="M17" s="47"/>
      <c r="N17">
        <v>3</v>
      </c>
      <c r="O17" s="25"/>
      <c r="P17" s="25"/>
      <c r="Q17" s="25"/>
    </row>
    <row r="18" spans="2:17" x14ac:dyDescent="0.2">
      <c r="B18" s="23"/>
      <c r="C18" s="25"/>
      <c r="D18" s="31">
        <f>(C19-C17)*1000</f>
        <v>100</v>
      </c>
      <c r="E18" s="25"/>
      <c r="F18" s="25">
        <f>(E17+E19)/2</f>
        <v>0.27500000000000002</v>
      </c>
      <c r="G18" s="25">
        <f>F18*D18</f>
        <v>27.500000000000004</v>
      </c>
      <c r="H18" s="25"/>
      <c r="I18" s="25">
        <f>(H17+H19)/2</f>
        <v>2.75</v>
      </c>
      <c r="J18" s="25">
        <f>I18*D18</f>
        <v>275</v>
      </c>
      <c r="K18" s="31"/>
      <c r="L18" s="25">
        <f>(K17+K19)/2</f>
        <v>1</v>
      </c>
      <c r="M18" s="31">
        <f>L18*D18</f>
        <v>100</v>
      </c>
      <c r="O18" s="25">
        <f>(N17+N19)/2</f>
        <v>3</v>
      </c>
      <c r="P18" s="31">
        <f>O18*D18</f>
        <v>300</v>
      </c>
      <c r="Q18" s="25"/>
    </row>
    <row r="19" spans="2:17" x14ac:dyDescent="0.2">
      <c r="B19" s="23" t="s">
        <v>102</v>
      </c>
      <c r="C19" s="25">
        <v>0.2</v>
      </c>
      <c r="D19" s="31"/>
      <c r="E19" s="25">
        <v>0.35</v>
      </c>
      <c r="F19" s="25"/>
      <c r="G19" s="25"/>
      <c r="H19" s="25">
        <v>3.2</v>
      </c>
      <c r="I19" s="25"/>
      <c r="J19" s="25"/>
      <c r="K19" s="31">
        <v>1</v>
      </c>
      <c r="L19" s="31"/>
      <c r="M19" s="47"/>
      <c r="N19">
        <v>3</v>
      </c>
      <c r="O19" s="25"/>
      <c r="P19" s="25"/>
      <c r="Q19" s="25"/>
    </row>
    <row r="20" spans="2:17" x14ac:dyDescent="0.2">
      <c r="B20" s="23"/>
      <c r="C20" s="25"/>
      <c r="D20" s="31">
        <f>(C21-C19)*1000</f>
        <v>99.999999999999972</v>
      </c>
      <c r="E20" s="25"/>
      <c r="F20" s="25">
        <f>(E19+E21)/2</f>
        <v>0.32499999999999996</v>
      </c>
      <c r="G20" s="25">
        <f>F20*D20</f>
        <v>32.499999999999986</v>
      </c>
      <c r="H20" s="25"/>
      <c r="I20" s="25">
        <f>(H19+H21)/2</f>
        <v>2.6</v>
      </c>
      <c r="J20" s="25">
        <f>I20*D20</f>
        <v>259.99999999999994</v>
      </c>
      <c r="K20" s="31"/>
      <c r="L20" s="25">
        <f>(K19+K21)/2</f>
        <v>0.75</v>
      </c>
      <c r="M20" s="31">
        <f>L20*D20</f>
        <v>74.999999999999972</v>
      </c>
      <c r="O20" s="25">
        <f>(N19+N21)/2</f>
        <v>2.5</v>
      </c>
      <c r="P20" s="31">
        <f>O20*D20</f>
        <v>249.99999999999994</v>
      </c>
      <c r="Q20" s="25"/>
    </row>
    <row r="21" spans="2:17" x14ac:dyDescent="0.2">
      <c r="B21" s="23" t="s">
        <v>103</v>
      </c>
      <c r="C21" s="25">
        <v>0.3</v>
      </c>
      <c r="D21" s="31"/>
      <c r="E21" s="25">
        <v>0.3</v>
      </c>
      <c r="F21" s="25"/>
      <c r="G21" s="25"/>
      <c r="H21" s="25">
        <v>2</v>
      </c>
      <c r="I21" s="25"/>
      <c r="J21" s="25"/>
      <c r="K21" s="31">
        <v>0.5</v>
      </c>
      <c r="L21" s="31"/>
      <c r="M21" s="39"/>
      <c r="N21">
        <v>2</v>
      </c>
      <c r="O21" s="25"/>
      <c r="P21" s="25"/>
      <c r="Q21" s="25"/>
    </row>
    <row r="22" spans="2:17" x14ac:dyDescent="0.2">
      <c r="B22" s="23"/>
      <c r="C22" s="25"/>
      <c r="D22" s="31">
        <f>(C23-C21)*1000</f>
        <v>100.00000000000003</v>
      </c>
      <c r="E22" s="25"/>
      <c r="F22" s="25">
        <f>(E21+E23)/2</f>
        <v>0.27500000000000002</v>
      </c>
      <c r="G22" s="25">
        <f>F22*D22</f>
        <v>27.500000000000011</v>
      </c>
      <c r="H22" s="25"/>
      <c r="I22" s="25">
        <f>(H21+H23)/2</f>
        <v>2.15</v>
      </c>
      <c r="J22" s="25">
        <f>I22*D22</f>
        <v>215.00000000000006</v>
      </c>
      <c r="K22" s="31"/>
      <c r="L22" s="25">
        <f>(K21+K23)/2</f>
        <v>0.4</v>
      </c>
      <c r="M22" s="31">
        <f>L22*D22</f>
        <v>40.000000000000014</v>
      </c>
      <c r="O22" s="25">
        <f>(N21+N23)/2</f>
        <v>2</v>
      </c>
      <c r="P22" s="31">
        <f>O22*D22</f>
        <v>200.00000000000006</v>
      </c>
      <c r="Q22" s="25"/>
    </row>
    <row r="23" spans="2:17" x14ac:dyDescent="0.2">
      <c r="B23" s="23" t="s">
        <v>104</v>
      </c>
      <c r="C23" s="25">
        <v>0.4</v>
      </c>
      <c r="D23" s="31"/>
      <c r="E23" s="25">
        <v>0.25</v>
      </c>
      <c r="F23" s="25"/>
      <c r="G23" s="25"/>
      <c r="H23" s="25">
        <v>2.2999999999999998</v>
      </c>
      <c r="I23" s="25"/>
      <c r="J23" s="25"/>
      <c r="K23" s="31">
        <v>0.3</v>
      </c>
      <c r="L23" s="31"/>
      <c r="M23" s="39"/>
      <c r="N23">
        <v>2</v>
      </c>
      <c r="O23" s="25"/>
      <c r="P23" s="25"/>
      <c r="Q23" s="25"/>
    </row>
    <row r="24" spans="2:17" x14ac:dyDescent="0.2">
      <c r="B24" s="23"/>
      <c r="C24" s="25"/>
      <c r="D24" s="31">
        <f>(C25-C23)*1000</f>
        <v>99.999999999999972</v>
      </c>
      <c r="E24" s="25"/>
      <c r="F24" s="25">
        <f>(E23+E25)/2</f>
        <v>0.27500000000000002</v>
      </c>
      <c r="G24" s="25">
        <f>F24*D24</f>
        <v>27.499999999999993</v>
      </c>
      <c r="H24" s="25"/>
      <c r="I24" s="25">
        <f>(H23+H25)/2</f>
        <v>2.2000000000000002</v>
      </c>
      <c r="J24" s="25">
        <f>I24*D24</f>
        <v>219.99999999999994</v>
      </c>
      <c r="K24" s="31"/>
      <c r="L24" s="25">
        <f>(K23+K25)/2</f>
        <v>0.4</v>
      </c>
      <c r="M24" s="31">
        <f>L24*D24</f>
        <v>39.999999999999993</v>
      </c>
      <c r="O24" s="25">
        <f>(N23+N25)/2</f>
        <v>2.0499999999999998</v>
      </c>
      <c r="P24" s="31">
        <f>O24*D24</f>
        <v>204.99999999999991</v>
      </c>
      <c r="Q24" s="25"/>
    </row>
    <row r="25" spans="2:17" ht="13.5" customHeight="1" x14ac:dyDescent="0.2">
      <c r="B25" s="23" t="s">
        <v>105</v>
      </c>
      <c r="C25" s="25">
        <v>0.5</v>
      </c>
      <c r="D25" s="25"/>
      <c r="E25" s="25">
        <v>0.3</v>
      </c>
      <c r="F25" s="25"/>
      <c r="G25" s="25"/>
      <c r="H25" s="25">
        <v>2.1</v>
      </c>
      <c r="I25" s="25"/>
      <c r="J25" s="25"/>
      <c r="K25" s="31">
        <v>0.5</v>
      </c>
      <c r="L25" s="31"/>
      <c r="M25" s="39"/>
      <c r="N25">
        <v>2.1</v>
      </c>
      <c r="O25" s="25"/>
      <c r="P25" s="25"/>
      <c r="Q25" s="25"/>
    </row>
    <row r="26" spans="2:17" x14ac:dyDescent="0.2">
      <c r="B26" s="23"/>
      <c r="C26" s="25"/>
      <c r="D26" s="25"/>
      <c r="E26" s="25"/>
      <c r="F26" s="25"/>
      <c r="G26" s="32">
        <f>SUM(G16:G25)</f>
        <v>135</v>
      </c>
      <c r="H26" s="25"/>
      <c r="I26" s="25"/>
      <c r="J26" s="32">
        <f>SUM(J16:J25)</f>
        <v>1225</v>
      </c>
      <c r="K26" s="31"/>
      <c r="L26" s="31"/>
      <c r="M26" s="41">
        <f>SUM(M15:M25)</f>
        <v>350</v>
      </c>
      <c r="O26" s="25"/>
      <c r="P26" s="32">
        <f>SUM(P15:P25)</f>
        <v>1235</v>
      </c>
      <c r="Q26" s="25"/>
    </row>
    <row r="27" spans="2:17" ht="13.5" thickBot="1" x14ac:dyDescent="0.25">
      <c r="B27" s="33"/>
      <c r="C27" s="34"/>
      <c r="D27" s="34"/>
      <c r="E27" s="34"/>
      <c r="F27" s="34"/>
      <c r="G27" s="34"/>
      <c r="H27" s="34"/>
      <c r="I27" s="34"/>
      <c r="J27" s="35"/>
      <c r="K27" s="35"/>
      <c r="L27" s="35"/>
      <c r="M27" s="40"/>
      <c r="N27" s="34"/>
      <c r="O27" s="34"/>
      <c r="P27" s="34"/>
      <c r="Q27" s="25"/>
    </row>
    <row r="28" spans="2:17" x14ac:dyDescent="0.2">
      <c r="B28" t="s">
        <v>112</v>
      </c>
    </row>
    <row r="29" spans="2:17" x14ac:dyDescent="0.2">
      <c r="B29" t="s">
        <v>114</v>
      </c>
      <c r="J29">
        <f>3*7.5</f>
        <v>22.5</v>
      </c>
    </row>
    <row r="31" spans="2:17" x14ac:dyDescent="0.2">
      <c r="B31" t="s">
        <v>115</v>
      </c>
      <c r="G31" s="36"/>
      <c r="J31" s="36"/>
    </row>
    <row r="32" spans="2:17" x14ac:dyDescent="0.2">
      <c r="B32" t="s">
        <v>113</v>
      </c>
      <c r="G32">
        <f>0.9*7.5</f>
        <v>6.75</v>
      </c>
    </row>
    <row r="34" spans="2:17" x14ac:dyDescent="0.2">
      <c r="B34" t="s">
        <v>118</v>
      </c>
    </row>
    <row r="35" spans="2:17" x14ac:dyDescent="0.2">
      <c r="B35" t="s">
        <v>136</v>
      </c>
      <c r="G35">
        <f>196*0.15</f>
        <v>29.4</v>
      </c>
    </row>
    <row r="37" spans="2:17" x14ac:dyDescent="0.2">
      <c r="B37" t="s">
        <v>126</v>
      </c>
      <c r="G37">
        <f>1*5</f>
        <v>5</v>
      </c>
    </row>
    <row r="38" spans="2:17" x14ac:dyDescent="0.2">
      <c r="B38" t="s">
        <v>127</v>
      </c>
    </row>
    <row r="40" spans="2:17" x14ac:dyDescent="0.2">
      <c r="B40" t="s">
        <v>135</v>
      </c>
      <c r="M40" s="43">
        <f>1.2*7.5</f>
        <v>9</v>
      </c>
    </row>
    <row r="41" spans="2:17" x14ac:dyDescent="0.2">
      <c r="B41" t="s">
        <v>113</v>
      </c>
    </row>
    <row r="43" spans="2:17" x14ac:dyDescent="0.2">
      <c r="B43" t="s">
        <v>146</v>
      </c>
      <c r="P43">
        <f>3.5*7.5</f>
        <v>26.25</v>
      </c>
    </row>
    <row r="44" spans="2:17" x14ac:dyDescent="0.2">
      <c r="B44" t="s">
        <v>114</v>
      </c>
    </row>
    <row r="45" spans="2:17" x14ac:dyDescent="0.2">
      <c r="B45" s="36" t="s">
        <v>117</v>
      </c>
      <c r="G45" s="36">
        <f>G26+G32+G35+G37</f>
        <v>176.15</v>
      </c>
      <c r="H45" s="36" t="s">
        <v>32</v>
      </c>
      <c r="J45" s="36">
        <f>J26+J29</f>
        <v>1247.5</v>
      </c>
      <c r="K45" s="36" t="s">
        <v>30</v>
      </c>
      <c r="M45" s="44">
        <f>M26+M40</f>
        <v>359</v>
      </c>
      <c r="N45" s="36" t="s">
        <v>32</v>
      </c>
      <c r="P45" s="36">
        <f>P26+P43</f>
        <v>1261.25</v>
      </c>
      <c r="Q45" s="36" t="s">
        <v>32</v>
      </c>
    </row>
  </sheetData>
  <mergeCells count="4">
    <mergeCell ref="E12:G12"/>
    <mergeCell ref="H12:J12"/>
    <mergeCell ref="K12:M12"/>
    <mergeCell ref="N12:P12"/>
  </mergeCells>
  <pageMargins left="0.7" right="0.7" top="0.78740157499999996" bottom="0.78740157499999996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SO_03_Vypočet_množství</vt:lpstr>
      <vt:lpstr>KL_1</vt:lpstr>
      <vt:lpstr>SO_03_Vypočet_množství!Názvy_tisku</vt:lpstr>
      <vt:lpstr>KL_1!Oblast_tisku</vt:lpstr>
      <vt:lpstr>SO_03_Vypočet_množství!Oblast_tisku</vt:lpstr>
    </vt:vector>
  </TitlesOfParts>
  <Company>Aquatis a.s.,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Albrechtova</dc:creator>
  <cp:lastModifiedBy>Jendruscak, Michal_x000d_</cp:lastModifiedBy>
  <cp:lastPrinted>2023-06-27T04:14:14Z</cp:lastPrinted>
  <dcterms:created xsi:type="dcterms:W3CDTF">2007-12-06T11:24:59Z</dcterms:created>
  <dcterms:modified xsi:type="dcterms:W3CDTF">2023-06-27T04:14:40Z</dcterms:modified>
</cp:coreProperties>
</file>