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SPOL\_TECHNICKÁ SKUPINA\_DOKUMENTAČNÍ  KOMISE\Dokumentační komise 2025\DK 04_duben 2025\013_ZS, Labe, Roudnice n. L. - Neratovice, ošetření a prořez dřevin, ř.km 810,96-847,43\"/>
    </mc:Choice>
  </mc:AlternateContent>
  <bookViews>
    <workbookView xWindow="0" yWindow="0" windowWidth="22185" windowHeight="9030" tabRatio="694"/>
  </bookViews>
  <sheets>
    <sheet name="Výkaz výměr" sheetId="15" r:id="rId1"/>
  </sheets>
  <definedNames>
    <definedName name="_xlnm._FilterDatabase" localSheetId="0" hidden="1">'Výkaz výměr'!$AA$1:$AA$297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294" i="15" l="1"/>
  <c r="AB296" i="15" l="1"/>
  <c r="Z293" i="15" l="1"/>
  <c r="W293" i="15"/>
  <c r="Z292" i="15"/>
  <c r="W292" i="15"/>
  <c r="Z291" i="15"/>
  <c r="W291" i="15"/>
  <c r="Z290" i="15"/>
  <c r="W290" i="15"/>
  <c r="Z289" i="15"/>
  <c r="W289" i="15"/>
  <c r="Z287" i="15"/>
  <c r="W287" i="15"/>
  <c r="Z285" i="15"/>
  <c r="W285" i="15"/>
  <c r="Z284" i="15"/>
  <c r="W284" i="15"/>
  <c r="Z283" i="15"/>
  <c r="W283" i="15"/>
  <c r="Z282" i="15"/>
  <c r="W282" i="15"/>
  <c r="Z280" i="15"/>
  <c r="W280" i="15"/>
  <c r="Z279" i="15"/>
  <c r="W279" i="15"/>
  <c r="Z277" i="15"/>
  <c r="W277" i="15"/>
  <c r="Z276" i="15"/>
  <c r="W276" i="15"/>
  <c r="Z275" i="15"/>
  <c r="W275" i="15"/>
  <c r="Z274" i="15"/>
  <c r="W274" i="15"/>
  <c r="Z273" i="15"/>
  <c r="W273" i="15"/>
  <c r="Z272" i="15"/>
  <c r="W272" i="15"/>
  <c r="Z271" i="15"/>
  <c r="W271" i="15"/>
  <c r="Z269" i="15"/>
  <c r="W269" i="15"/>
  <c r="Z268" i="15"/>
  <c r="W268" i="15"/>
  <c r="Z267" i="15"/>
  <c r="W267" i="15"/>
  <c r="Z266" i="15"/>
  <c r="W266" i="15"/>
  <c r="Z264" i="15"/>
  <c r="W264" i="15"/>
  <c r="Z262" i="15"/>
  <c r="W262" i="15"/>
  <c r="Z261" i="15"/>
  <c r="W261" i="15"/>
  <c r="Z259" i="15"/>
  <c r="W259" i="15"/>
  <c r="Z257" i="15"/>
  <c r="W257" i="15"/>
  <c r="Z255" i="15"/>
  <c r="W255" i="15"/>
  <c r="Z254" i="15"/>
  <c r="W254" i="15"/>
  <c r="Z253" i="15"/>
  <c r="W253" i="15"/>
  <c r="Z251" i="15"/>
  <c r="W251" i="15"/>
  <c r="Z250" i="15"/>
  <c r="W250" i="15"/>
  <c r="Z249" i="15"/>
  <c r="W249" i="15"/>
  <c r="Z248" i="15"/>
  <c r="W248" i="15"/>
  <c r="Z247" i="15"/>
  <c r="W247" i="15"/>
  <c r="Z246" i="15"/>
  <c r="W246" i="15"/>
  <c r="Z245" i="15"/>
  <c r="W245" i="15"/>
  <c r="Z244" i="15"/>
  <c r="W244" i="15"/>
  <c r="Z243" i="15"/>
  <c r="W243" i="15"/>
  <c r="Z242" i="15"/>
  <c r="W242" i="15"/>
  <c r="Z241" i="15"/>
  <c r="W241" i="15"/>
  <c r="Z240" i="15"/>
  <c r="W240" i="15"/>
  <c r="Z239" i="15"/>
  <c r="W239" i="15"/>
  <c r="Z238" i="15"/>
  <c r="W238" i="15"/>
  <c r="Z237" i="15"/>
  <c r="W237" i="15"/>
  <c r="Z236" i="15"/>
  <c r="W236" i="15"/>
  <c r="Z235" i="15"/>
  <c r="W235" i="15"/>
  <c r="Z234" i="15"/>
  <c r="W234" i="15"/>
  <c r="Z233" i="15"/>
  <c r="W233" i="15"/>
  <c r="Z231" i="15"/>
  <c r="W231" i="15"/>
  <c r="Z229" i="15"/>
  <c r="W229" i="15"/>
  <c r="Z228" i="15"/>
  <c r="W228" i="15"/>
  <c r="Z227" i="15"/>
  <c r="W227" i="15"/>
  <c r="Z226" i="15"/>
  <c r="W226" i="15"/>
  <c r="Z225" i="15"/>
  <c r="W225" i="15"/>
  <c r="Z223" i="15"/>
  <c r="W223" i="15"/>
  <c r="Z222" i="15"/>
  <c r="W222" i="15"/>
  <c r="Z221" i="15"/>
  <c r="W221" i="15"/>
  <c r="Z220" i="15"/>
  <c r="W220" i="15"/>
  <c r="Z219" i="15"/>
  <c r="W219" i="15"/>
  <c r="Z217" i="15"/>
  <c r="W217" i="15"/>
  <c r="Z215" i="15"/>
  <c r="W215" i="15"/>
  <c r="Z213" i="15"/>
  <c r="W213" i="15"/>
  <c r="Z212" i="15"/>
  <c r="W212" i="15"/>
  <c r="Z211" i="15"/>
  <c r="W211" i="15"/>
  <c r="Z210" i="15"/>
  <c r="W210" i="15"/>
  <c r="Z209" i="15"/>
  <c r="W209" i="15"/>
  <c r="Z208" i="15"/>
  <c r="W208" i="15"/>
  <c r="Z207" i="15"/>
  <c r="W207" i="15"/>
  <c r="Z206" i="15"/>
  <c r="W206" i="15"/>
  <c r="Z204" i="15"/>
  <c r="W204" i="15"/>
  <c r="Z203" i="15"/>
  <c r="W203" i="15"/>
  <c r="Z202" i="15"/>
  <c r="W202" i="15"/>
  <c r="Z201" i="15"/>
  <c r="W201" i="15"/>
  <c r="Z200" i="15"/>
  <c r="W200" i="15"/>
  <c r="Z198" i="15"/>
  <c r="W198" i="15"/>
  <c r="Z196" i="15"/>
  <c r="W196" i="15"/>
  <c r="Z195" i="15"/>
  <c r="W195" i="15"/>
  <c r="Z194" i="15"/>
  <c r="W194" i="15"/>
  <c r="Z193" i="15"/>
  <c r="W193" i="15"/>
  <c r="Z191" i="15"/>
  <c r="W191" i="15"/>
  <c r="Z189" i="15"/>
  <c r="W189" i="15"/>
  <c r="Z187" i="15"/>
  <c r="W187" i="15"/>
  <c r="Z185" i="15"/>
  <c r="W185" i="15"/>
  <c r="Z183" i="15"/>
  <c r="W183" i="15"/>
  <c r="Z182" i="15"/>
  <c r="W182" i="15"/>
  <c r="Z180" i="15"/>
  <c r="W180" i="15"/>
  <c r="Z178" i="15"/>
  <c r="W178" i="15"/>
  <c r="Z176" i="15"/>
  <c r="W176" i="15"/>
  <c r="Z174" i="15"/>
  <c r="W174" i="15"/>
  <c r="Z172" i="15"/>
  <c r="W172" i="15"/>
  <c r="Z170" i="15"/>
  <c r="W170" i="15"/>
  <c r="Z169" i="15"/>
  <c r="W169" i="15"/>
  <c r="Z168" i="15"/>
  <c r="W168" i="15"/>
  <c r="Z166" i="15"/>
  <c r="W166" i="15"/>
  <c r="Z164" i="15"/>
  <c r="W164" i="15"/>
  <c r="Z163" i="15"/>
  <c r="W163" i="15"/>
  <c r="Z162" i="15"/>
  <c r="W162" i="15"/>
  <c r="Z161" i="15"/>
  <c r="W161" i="15"/>
  <c r="Z159" i="15"/>
  <c r="W159" i="15"/>
  <c r="Z158" i="15"/>
  <c r="W158" i="15"/>
  <c r="Z157" i="15"/>
  <c r="W157" i="15"/>
  <c r="Z156" i="15"/>
  <c r="W156" i="15"/>
  <c r="Z155" i="15"/>
  <c r="W155" i="15"/>
  <c r="Z154" i="15"/>
  <c r="W154" i="15"/>
  <c r="Z153" i="15"/>
  <c r="W153" i="15"/>
  <c r="Z151" i="15"/>
  <c r="W151" i="15"/>
  <c r="Z150" i="15"/>
  <c r="W150" i="15"/>
  <c r="Z149" i="15"/>
  <c r="W149" i="15"/>
  <c r="Z148" i="15"/>
  <c r="W148" i="15"/>
  <c r="Z146" i="15"/>
  <c r="W146" i="15"/>
  <c r="Z144" i="15"/>
  <c r="W144" i="15"/>
  <c r="Z143" i="15"/>
  <c r="W143" i="15"/>
  <c r="Z142" i="15"/>
  <c r="W142" i="15"/>
  <c r="Z141" i="15"/>
  <c r="W141" i="15"/>
  <c r="Z140" i="15"/>
  <c r="W140" i="15"/>
  <c r="Z139" i="15"/>
  <c r="W139" i="15"/>
  <c r="Z138" i="15"/>
  <c r="W138" i="15"/>
  <c r="Z137" i="15"/>
  <c r="W137" i="15"/>
  <c r="Z136" i="15"/>
  <c r="W136" i="15"/>
  <c r="Z135" i="15"/>
  <c r="W135" i="15"/>
  <c r="Z134" i="15"/>
  <c r="W134" i="15"/>
  <c r="Z133" i="15"/>
  <c r="W133" i="15"/>
  <c r="Z132" i="15"/>
  <c r="W132" i="15"/>
  <c r="Z131" i="15"/>
  <c r="W131" i="15"/>
  <c r="Z130" i="15"/>
  <c r="W130" i="15"/>
  <c r="Z129" i="15"/>
  <c r="W129" i="15"/>
  <c r="Z127" i="15"/>
  <c r="W127" i="15"/>
  <c r="Z126" i="15"/>
  <c r="W126" i="15"/>
  <c r="Z125" i="15"/>
  <c r="W125" i="15"/>
  <c r="Z124" i="15"/>
  <c r="W124" i="15"/>
  <c r="Z122" i="15"/>
  <c r="W122" i="15"/>
  <c r="Z120" i="15"/>
  <c r="W120" i="15"/>
  <c r="Z119" i="15"/>
  <c r="W119" i="15"/>
  <c r="Z118" i="15"/>
  <c r="W118" i="15"/>
  <c r="Z117" i="15"/>
  <c r="W117" i="15"/>
  <c r="Z115" i="15"/>
  <c r="W115" i="15"/>
  <c r="Z114" i="15"/>
  <c r="W114" i="15"/>
  <c r="Z112" i="15"/>
  <c r="W112" i="15"/>
  <c r="Z111" i="15"/>
  <c r="W111" i="15"/>
  <c r="Z110" i="15"/>
  <c r="W110" i="15"/>
  <c r="Z109" i="15"/>
  <c r="W109" i="15"/>
  <c r="Z107" i="15"/>
  <c r="W107" i="15"/>
  <c r="Z106" i="15"/>
  <c r="W106" i="15"/>
  <c r="Z104" i="15"/>
  <c r="W104" i="15"/>
  <c r="Z103" i="15"/>
  <c r="W103" i="15"/>
  <c r="Z101" i="15"/>
  <c r="W101" i="15"/>
  <c r="Z99" i="15"/>
  <c r="W99" i="15"/>
  <c r="Z98" i="15"/>
  <c r="W98" i="15"/>
  <c r="Z97" i="15"/>
  <c r="W97" i="15"/>
  <c r="Z95" i="15"/>
  <c r="W95" i="15"/>
  <c r="Z93" i="15"/>
  <c r="W93" i="15"/>
  <c r="Z92" i="15"/>
  <c r="W92" i="15"/>
  <c r="Z91" i="15"/>
  <c r="W91" i="15"/>
  <c r="Z90" i="15"/>
  <c r="W90" i="15"/>
  <c r="Z88" i="15"/>
  <c r="W88" i="15"/>
  <c r="Z87" i="15"/>
  <c r="W87" i="15"/>
  <c r="Z86" i="15"/>
  <c r="W86" i="15"/>
  <c r="Z85" i="15"/>
  <c r="W85" i="15"/>
  <c r="Z84" i="15"/>
  <c r="W84" i="15"/>
  <c r="Z83" i="15"/>
  <c r="W83" i="15"/>
  <c r="Z82" i="15"/>
  <c r="W82" i="15"/>
  <c r="Z81" i="15"/>
  <c r="W81" i="15"/>
  <c r="Z80" i="15"/>
  <c r="W80" i="15"/>
  <c r="Z79" i="15"/>
  <c r="W79" i="15"/>
  <c r="Z78" i="15"/>
  <c r="W78" i="15"/>
  <c r="Z77" i="15"/>
  <c r="W77" i="15"/>
  <c r="Z75" i="15"/>
  <c r="W75" i="15"/>
  <c r="Z73" i="15"/>
  <c r="W73" i="15"/>
  <c r="Z71" i="15"/>
  <c r="W71" i="15"/>
  <c r="Z69" i="15"/>
  <c r="W69" i="15"/>
  <c r="Z67" i="15"/>
  <c r="W67" i="15"/>
  <c r="Z65" i="15"/>
  <c r="W65" i="15"/>
  <c r="Z63" i="15"/>
  <c r="W63" i="15"/>
  <c r="Z61" i="15"/>
  <c r="W61" i="15"/>
  <c r="Z59" i="15"/>
  <c r="W59" i="15"/>
  <c r="Z57" i="15"/>
  <c r="W57" i="15"/>
  <c r="Z56" i="15"/>
  <c r="W56" i="15"/>
  <c r="Z55" i="15"/>
  <c r="W55" i="15"/>
  <c r="Z54" i="15"/>
  <c r="W54" i="15"/>
  <c r="Z53" i="15"/>
  <c r="W53" i="15"/>
  <c r="Z52" i="15"/>
  <c r="W52" i="15"/>
  <c r="Z51" i="15"/>
  <c r="W51" i="15"/>
  <c r="Z50" i="15"/>
  <c r="W50" i="15"/>
  <c r="Z48" i="15"/>
  <c r="W48" i="15"/>
  <c r="Z46" i="15"/>
  <c r="W46" i="15"/>
  <c r="Z44" i="15"/>
  <c r="W44" i="15"/>
  <c r="Z42" i="15"/>
  <c r="W42" i="15"/>
  <c r="Z41" i="15"/>
  <c r="W41" i="15"/>
  <c r="Z39" i="15"/>
  <c r="W39" i="15"/>
  <c r="Z38" i="15"/>
  <c r="W38" i="15"/>
  <c r="Z37" i="15"/>
  <c r="W37" i="15"/>
  <c r="Z36" i="15"/>
  <c r="W36" i="15"/>
  <c r="Z35" i="15"/>
  <c r="W35" i="15"/>
  <c r="Z34" i="15"/>
  <c r="W34" i="15"/>
  <c r="Z32" i="15"/>
  <c r="W32" i="15"/>
  <c r="Z31" i="15"/>
  <c r="W31" i="15"/>
  <c r="Z30" i="15"/>
  <c r="W30" i="15"/>
  <c r="Z28" i="15"/>
  <c r="W28" i="15"/>
  <c r="Z26" i="15"/>
  <c r="W26" i="15"/>
  <c r="Z25" i="15"/>
  <c r="W25" i="15"/>
  <c r="Z24" i="15"/>
  <c r="W24" i="15"/>
  <c r="Z23" i="15"/>
  <c r="W23" i="15"/>
  <c r="Z22" i="15"/>
  <c r="W22" i="15"/>
  <c r="Z21" i="15"/>
  <c r="W21" i="15"/>
  <c r="Z19" i="15"/>
  <c r="W19" i="15"/>
  <c r="Z18" i="15"/>
  <c r="W18" i="15"/>
  <c r="Z17" i="15"/>
  <c r="W17" i="15"/>
  <c r="Z16" i="15"/>
  <c r="W16" i="15"/>
  <c r="Z14" i="15"/>
  <c r="W14" i="15"/>
  <c r="Z13" i="15"/>
  <c r="W13" i="15"/>
  <c r="Z12" i="15"/>
  <c r="W12" i="15"/>
  <c r="Z11" i="15"/>
  <c r="W11" i="15"/>
  <c r="Z10" i="15"/>
  <c r="W10" i="15"/>
  <c r="Z9" i="15"/>
  <c r="W9" i="15"/>
  <c r="Z8" i="15"/>
  <c r="W8" i="15"/>
  <c r="Z6" i="15"/>
  <c r="W6" i="15"/>
  <c r="Z4" i="15"/>
  <c r="W4" i="15"/>
  <c r="Z2" i="15"/>
  <c r="W2" i="15"/>
</calcChain>
</file>

<file path=xl/sharedStrings.xml><?xml version="1.0" encoding="utf-8"?>
<sst xmlns="http://schemas.openxmlformats.org/spreadsheetml/2006/main" count="4613" uniqueCount="617">
  <si>
    <t>Číslo štítku</t>
  </si>
  <si>
    <t>Taxon lat.</t>
  </si>
  <si>
    <t>Taxon čes.</t>
  </si>
  <si>
    <t>Průměr kmene 1</t>
  </si>
  <si>
    <t>Průměr kmene 2</t>
  </si>
  <si>
    <t>Průměr kmene 3</t>
  </si>
  <si>
    <t>Průměr kmene 4</t>
  </si>
  <si>
    <t>Výška</t>
  </si>
  <si>
    <t>Spodní okraj koruny</t>
  </si>
  <si>
    <t>Průměr koruny</t>
  </si>
  <si>
    <t>Fyziologické stáří</t>
  </si>
  <si>
    <t>Perspektiva</t>
  </si>
  <si>
    <t>Vitalita</t>
  </si>
  <si>
    <t>Stabilita zlom</t>
  </si>
  <si>
    <t>Zdravotní stav</t>
  </si>
  <si>
    <t>Poznámka</t>
  </si>
  <si>
    <t>Katastrální území</t>
  </si>
  <si>
    <t>Parcela</t>
  </si>
  <si>
    <t>Technologie</t>
  </si>
  <si>
    <t>Opakování</t>
  </si>
  <si>
    <t>Naléhavost</t>
  </si>
  <si>
    <t>Poznámka k práci</t>
  </si>
  <si>
    <t>X</t>
  </si>
  <si>
    <t>Y</t>
  </si>
  <si>
    <t>Odkaz na Mapy.cz</t>
  </si>
  <si>
    <t>Fraxinus excelsior</t>
  </si>
  <si>
    <t>jasan ztepilý</t>
  </si>
  <si>
    <t>48</t>
  </si>
  <si>
    <t>37</t>
  </si>
  <si>
    <t>14,0</t>
  </si>
  <si>
    <t>1,0</t>
  </si>
  <si>
    <t>10</t>
  </si>
  <si>
    <t>4</t>
  </si>
  <si>
    <t>a</t>
  </si>
  <si>
    <t>1</t>
  </si>
  <si>
    <t>2</t>
  </si>
  <si>
    <t>Asymetrická koruna.</t>
  </si>
  <si>
    <t>Vědomice</t>
  </si>
  <si>
    <t>334/6</t>
  </si>
  <si>
    <t>Robinia pseudoacacia</t>
  </si>
  <si>
    <t>trnovník bílý</t>
  </si>
  <si>
    <t>49</t>
  </si>
  <si>
    <t>17,0</t>
  </si>
  <si>
    <t>5,0</t>
  </si>
  <si>
    <t>6</t>
  </si>
  <si>
    <t>5</t>
  </si>
  <si>
    <t>c</t>
  </si>
  <si>
    <t>1162010</t>
  </si>
  <si>
    <t>Quercus robur</t>
  </si>
  <si>
    <t>dub letní</t>
  </si>
  <si>
    <t>98</t>
  </si>
  <si>
    <t>25,0</t>
  </si>
  <si>
    <t>10,0</t>
  </si>
  <si>
    <t>18</t>
  </si>
  <si>
    <t>3</t>
  </si>
  <si>
    <t>Odlomená část koruny. Infekce větví. Asymetrická koruna.</t>
  </si>
  <si>
    <t>Řez bezpečnostní</t>
  </si>
  <si>
    <t>Lokální redukce z důvodu stabilizace</t>
  </si>
  <si>
    <t>Odlehčení nestabilních větví. Symetrizovat.</t>
  </si>
  <si>
    <t>42</t>
  </si>
  <si>
    <t>15,0</t>
  </si>
  <si>
    <t>7,0</t>
  </si>
  <si>
    <t>9</t>
  </si>
  <si>
    <t>62</t>
  </si>
  <si>
    <t>24,0</t>
  </si>
  <si>
    <t>12,0</t>
  </si>
  <si>
    <t>14</t>
  </si>
  <si>
    <t>Asymetrická koruna. Silné suché větve v koruně.</t>
  </si>
  <si>
    <t>Populus x canadensis</t>
  </si>
  <si>
    <t>topol kanadský</t>
  </si>
  <si>
    <t>28,0</t>
  </si>
  <si>
    <t>12</t>
  </si>
  <si>
    <t>18,0</t>
  </si>
  <si>
    <t>3,0</t>
  </si>
  <si>
    <t>b</t>
  </si>
  <si>
    <t>Asymetrická koruna. Nakloněný kmen.</t>
  </si>
  <si>
    <t>57</t>
  </si>
  <si>
    <t>9,0</t>
  </si>
  <si>
    <t>11</t>
  </si>
  <si>
    <t>8,0</t>
  </si>
  <si>
    <t>58</t>
  </si>
  <si>
    <t>4,0</t>
  </si>
  <si>
    <t>1162019</t>
  </si>
  <si>
    <t>142</t>
  </si>
  <si>
    <t>Infekce báze kmene. Silné suché větve v koruně.</t>
  </si>
  <si>
    <t>Řez sesazovací</t>
  </si>
  <si>
    <t>30 procent.</t>
  </si>
  <si>
    <t>83</t>
  </si>
  <si>
    <t>16,0</t>
  </si>
  <si>
    <t>2,0</t>
  </si>
  <si>
    <t>Ulmus laevis</t>
  </si>
  <si>
    <t>jilm vaz</t>
  </si>
  <si>
    <t>52</t>
  </si>
  <si>
    <t>Poškození větví.</t>
  </si>
  <si>
    <t>65</t>
  </si>
  <si>
    <t>53</t>
  </si>
  <si>
    <t>68</t>
  </si>
  <si>
    <t>76</t>
  </si>
  <si>
    <t>81</t>
  </si>
  <si>
    <t>27,0</t>
  </si>
  <si>
    <t>96</t>
  </si>
  <si>
    <t>19</t>
  </si>
  <si>
    <t>1162028</t>
  </si>
  <si>
    <t>72</t>
  </si>
  <si>
    <t>Výrazně asymetrická koruna a nakloněný kmen. Silné suché větve v koruně. Podezření na infekci kořenů.</t>
  </si>
  <si>
    <t>Symetrizovat.</t>
  </si>
  <si>
    <t>124</t>
  </si>
  <si>
    <t>1162030</t>
  </si>
  <si>
    <t>78</t>
  </si>
  <si>
    <t>26,0</t>
  </si>
  <si>
    <t>6,0</t>
  </si>
  <si>
    <t>56</t>
  </si>
  <si>
    <t>45</t>
  </si>
  <si>
    <t>8</t>
  </si>
  <si>
    <t>115</t>
  </si>
  <si>
    <t>17</t>
  </si>
  <si>
    <t>55</t>
  </si>
  <si>
    <t>Defektní větvení.</t>
  </si>
  <si>
    <t>87</t>
  </si>
  <si>
    <t>86</t>
  </si>
  <si>
    <t>7</t>
  </si>
  <si>
    <t>1162037</t>
  </si>
  <si>
    <t>30</t>
  </si>
  <si>
    <t>70</t>
  </si>
  <si>
    <t>0,0</t>
  </si>
  <si>
    <t>Nejsilnější kmen je odumřelý.</t>
  </si>
  <si>
    <t>Odstranit suchý kmen.</t>
  </si>
  <si>
    <t>1162038</t>
  </si>
  <si>
    <t>Poškození větví. Odlomená část koruny. Silné suché větve v koruně.</t>
  </si>
  <si>
    <t>13</t>
  </si>
  <si>
    <t>67</t>
  </si>
  <si>
    <t>20,0</t>
  </si>
  <si>
    <t>47</t>
  </si>
  <si>
    <t>15</t>
  </si>
  <si>
    <t>29,0</t>
  </si>
  <si>
    <t>32,0</t>
  </si>
  <si>
    <t>Infekce větví.</t>
  </si>
  <si>
    <t>16</t>
  </si>
  <si>
    <t>85</t>
  </si>
  <si>
    <t>Zavěšená větev v koruně. Silné suché větve v koruně.</t>
  </si>
  <si>
    <t>1162054</t>
  </si>
  <si>
    <t>90</t>
  </si>
  <si>
    <t>Dynamicky prosychá. Silné suché větve v koruně.</t>
  </si>
  <si>
    <t>Quercus rubra</t>
  </si>
  <si>
    <t>dub červený</t>
  </si>
  <si>
    <t>82</t>
  </si>
  <si>
    <t>21,0</t>
  </si>
  <si>
    <t>80</t>
  </si>
  <si>
    <t>22</t>
  </si>
  <si>
    <t>Salix alba</t>
  </si>
  <si>
    <t>vrba bílá</t>
  </si>
  <si>
    <t>Liběchov</t>
  </si>
  <si>
    <t>1343/1</t>
  </si>
  <si>
    <t>34</t>
  </si>
  <si>
    <t>13,0</t>
  </si>
  <si>
    <t>1162112</t>
  </si>
  <si>
    <t>Infekce báze kmene. Podezření na infekci kořenů.</t>
  </si>
  <si>
    <t>1343/7</t>
  </si>
  <si>
    <t>20 procent.</t>
  </si>
  <si>
    <t>1360</t>
  </si>
  <si>
    <t>1162116</t>
  </si>
  <si>
    <t>112</t>
  </si>
  <si>
    <t>Silné suché větve v koruně. Infekce větví.</t>
  </si>
  <si>
    <t>Odstranit mrtvý pahýl.</t>
  </si>
  <si>
    <t>89</t>
  </si>
  <si>
    <t>54</t>
  </si>
  <si>
    <t>22,0</t>
  </si>
  <si>
    <t>23,0</t>
  </si>
  <si>
    <t>1162125</t>
  </si>
  <si>
    <t>122</t>
  </si>
  <si>
    <t>Silné suché větve v koruně. Asymetrická koruna. Infekce větví.</t>
  </si>
  <si>
    <t>1162126</t>
  </si>
  <si>
    <t>152</t>
  </si>
  <si>
    <t>Infekce kmene. Silné suché větve v koruně.</t>
  </si>
  <si>
    <t>25</t>
  </si>
  <si>
    <t>35</t>
  </si>
  <si>
    <t>19,0</t>
  </si>
  <si>
    <t>46</t>
  </si>
  <si>
    <t>63</t>
  </si>
  <si>
    <t>32</t>
  </si>
  <si>
    <t>28</t>
  </si>
  <si>
    <t>31</t>
  </si>
  <si>
    <t>11,0</t>
  </si>
  <si>
    <t>Infekce báze kmene.</t>
  </si>
  <si>
    <t>1343/5</t>
  </si>
  <si>
    <t>105</t>
  </si>
  <si>
    <t>Silné suché větve v koruně.</t>
  </si>
  <si>
    <t>Salix fragilis</t>
  </si>
  <si>
    <t>vrba křehká</t>
  </si>
  <si>
    <t>1162137</t>
  </si>
  <si>
    <t>Asymetrická koruna. Silné suché větve v koruně. Infekce větví. Dutina ve kmeni.</t>
  </si>
  <si>
    <t>1162143</t>
  </si>
  <si>
    <t>75</t>
  </si>
  <si>
    <t>Infikovaná a z větší části odumřelá silná kosterní větve.</t>
  </si>
  <si>
    <t>Sesadit o cca 50% nebo zcela odstranit.</t>
  </si>
  <si>
    <t>113</t>
  </si>
  <si>
    <t>Sekundární koruna.</t>
  </si>
  <si>
    <t>20</t>
  </si>
  <si>
    <t>1162150</t>
  </si>
  <si>
    <t>Částečně vyvrácený, ale stabilní. Zavěšená větev v koruně.</t>
  </si>
  <si>
    <t>Odlehčení nestabilních větví.</t>
  </si>
  <si>
    <t>74</t>
  </si>
  <si>
    <t>23</t>
  </si>
  <si>
    <t>1162168</t>
  </si>
  <si>
    <t>. Infekce báze kmene. Infekce kosterního větvení. Dynamicky prosychá. Suchý vrchol.</t>
  </si>
  <si>
    <t>92</t>
  </si>
  <si>
    <t>1162171</t>
  </si>
  <si>
    <t>Suchý vrchol. Silné suché větve v koruně.</t>
  </si>
  <si>
    <t>102</t>
  </si>
  <si>
    <t>1162175</t>
  </si>
  <si>
    <t>172</t>
  </si>
  <si>
    <t>Odlomená podstatná část koruny. Infekce kmene. Infekce větví. Silné suché větve v koruně.</t>
  </si>
  <si>
    <t>Sesadit o 50 procent, případně zcela odstranit.</t>
  </si>
  <si>
    <t>Dynamicky prosychá.</t>
  </si>
  <si>
    <t>Infekce kmene. Asymetrická koruna.</t>
  </si>
  <si>
    <t>Odlomená část koruny. Infekce větví.</t>
  </si>
  <si>
    <t>Mělník</t>
  </si>
  <si>
    <t>8065/1</t>
  </si>
  <si>
    <t>1162216</t>
  </si>
  <si>
    <t>73</t>
  </si>
  <si>
    <t>Tlaková vidlice od báze. Infekce kmene.</t>
  </si>
  <si>
    <t>2691/1</t>
  </si>
  <si>
    <t>64</t>
  </si>
  <si>
    <t>1162220</t>
  </si>
  <si>
    <t>Odlomená část koruny. Silné suché větve v koruně. Infekce větví.</t>
  </si>
  <si>
    <t>66</t>
  </si>
  <si>
    <t>Tlaková vidlice od báze.</t>
  </si>
  <si>
    <t>1162243</t>
  </si>
  <si>
    <t>Přetížené a infikované větve.</t>
  </si>
  <si>
    <t>1162244</t>
  </si>
  <si>
    <t>1162245</t>
  </si>
  <si>
    <t>Odlomená část koruny. Zavěšená větev v koruně.</t>
  </si>
  <si>
    <t>1162249</t>
  </si>
  <si>
    <t>84</t>
  </si>
  <si>
    <t>1162257</t>
  </si>
  <si>
    <t>Výrazně asymetrická koruna. Silné suché větve v koruně.</t>
  </si>
  <si>
    <t>79</t>
  </si>
  <si>
    <t>77</t>
  </si>
  <si>
    <t>69</t>
  </si>
  <si>
    <t>1162274</t>
  </si>
  <si>
    <t>71</t>
  </si>
  <si>
    <t>21</t>
  </si>
  <si>
    <t>2686/7</t>
  </si>
  <si>
    <t>1162287</t>
  </si>
  <si>
    <t>Redukce ve směru objektu potrubí.</t>
  </si>
  <si>
    <t>2691/2</t>
  </si>
  <si>
    <t>1162294</t>
  </si>
  <si>
    <t>1162295</t>
  </si>
  <si>
    <t>1160386</t>
  </si>
  <si>
    <t>61</t>
  </si>
  <si>
    <t>Brozánky</t>
  </si>
  <si>
    <t>225/1</t>
  </si>
  <si>
    <t>Úprava průjezdného či průchozího profilu</t>
  </si>
  <si>
    <t>1160387</t>
  </si>
  <si>
    <t>Populus nigra</t>
  </si>
  <si>
    <t>topol černý</t>
  </si>
  <si>
    <t>155</t>
  </si>
  <si>
    <t>Odlehčit větve nad komunikací či chodníkem.</t>
  </si>
  <si>
    <t>1160388</t>
  </si>
  <si>
    <t>146</t>
  </si>
  <si>
    <t>Zavěšená větev v koruně. Infekce větví.</t>
  </si>
  <si>
    <t>1160394</t>
  </si>
  <si>
    <t>143</t>
  </si>
  <si>
    <t>Infekce báze kmene s dutinou.</t>
  </si>
  <si>
    <t>1160393</t>
  </si>
  <si>
    <t>Silné suché větve v koruně. Asymetrická koruna.</t>
  </si>
  <si>
    <t>1160389</t>
  </si>
  <si>
    <t>1160391</t>
  </si>
  <si>
    <t>Silné suché větve v koruně. Asymetrická koruna. Nakloněný kmen.</t>
  </si>
  <si>
    <t>Populus alba</t>
  </si>
  <si>
    <t>topol bílý</t>
  </si>
  <si>
    <t>1163610</t>
  </si>
  <si>
    <t>163</t>
  </si>
  <si>
    <t>Asymetrická koruna. Odlomená část koruny. Poškození a infekce kmene. Infekce báze kmene.</t>
  </si>
  <si>
    <t>40 procent.</t>
  </si>
  <si>
    <t>224/5</t>
  </si>
  <si>
    <t>1163613</t>
  </si>
  <si>
    <t>1163617</t>
  </si>
  <si>
    <t>Suché větve v koruně.</t>
  </si>
  <si>
    <t>1163619</t>
  </si>
  <si>
    <t>Quercus robur ‘Fastigiata’</t>
  </si>
  <si>
    <t>dub letní ‘Fastigiata’</t>
  </si>
  <si>
    <t>1163623</t>
  </si>
  <si>
    <t>91</t>
  </si>
  <si>
    <t>Zavěšená větev v koruně.</t>
  </si>
  <si>
    <t>1163626</t>
  </si>
  <si>
    <t>1163631</t>
  </si>
  <si>
    <t>Hořín</t>
  </si>
  <si>
    <t>1114</t>
  </si>
  <si>
    <t>791</t>
  </si>
  <si>
    <t>1163642</t>
  </si>
  <si>
    <t>1163643</t>
  </si>
  <si>
    <t>1163644</t>
  </si>
  <si>
    <t>Asymetrická koruna. Nakloněný kmen. Silné suché větve v koruně.</t>
  </si>
  <si>
    <t>1163646</t>
  </si>
  <si>
    <t>Odlomená část koruny. Infekce větví. Silné suché větve v koruně.</t>
  </si>
  <si>
    <t>1163647</t>
  </si>
  <si>
    <t>1163648</t>
  </si>
  <si>
    <t>1163649</t>
  </si>
  <si>
    <t>1163652</t>
  </si>
  <si>
    <t>140</t>
  </si>
  <si>
    <t>Odlomená část koruny. Zavěšená větev v koruně. Silné suché větve v koruně. Asymetrická koruna.</t>
  </si>
  <si>
    <t>1163651</t>
  </si>
  <si>
    <t>106</t>
  </si>
  <si>
    <t>1163654</t>
  </si>
  <si>
    <t>Výrazně asymetrická koruna. Nakloněný kmen. Silné suché větve v koruně.</t>
  </si>
  <si>
    <t>1163655</t>
  </si>
  <si>
    <t>Odlomená část koruny.</t>
  </si>
  <si>
    <t>8088</t>
  </si>
  <si>
    <t>1162315</t>
  </si>
  <si>
    <t>1162316</t>
  </si>
  <si>
    <t>Dynamicky prosychá. Silné suché větve v koruně. Odlomená část koruny. Infekce větví.</t>
  </si>
  <si>
    <t>1162317</t>
  </si>
  <si>
    <t>1162327</t>
  </si>
  <si>
    <t>1162329</t>
  </si>
  <si>
    <t>Kly</t>
  </si>
  <si>
    <t>908/10</t>
  </si>
  <si>
    <t>Tilia cordata</t>
  </si>
  <si>
    <t>lípa malolistá</t>
  </si>
  <si>
    <t>1162338</t>
  </si>
  <si>
    <t>Potlačit tlakové větvení.</t>
  </si>
  <si>
    <t>1162340</t>
  </si>
  <si>
    <t>1162342</t>
  </si>
  <si>
    <t>Infekce kmene. Infekce kosterního větvení. Infekce větví. Sekundární koruna.</t>
  </si>
  <si>
    <t>Úpor</t>
  </si>
  <si>
    <t>700</t>
  </si>
  <si>
    <t>Stabilizace sekundární koruny</t>
  </si>
  <si>
    <t>1162346</t>
  </si>
  <si>
    <t>95</t>
  </si>
  <si>
    <t>1162348</t>
  </si>
  <si>
    <t>Dynamicky prosychá. Silné suché větve v koruně. Velké řezné rány. Infekce větví.</t>
  </si>
  <si>
    <t>1162355</t>
  </si>
  <si>
    <t>1162362</t>
  </si>
  <si>
    <t>908/21</t>
  </si>
  <si>
    <t>1163692</t>
  </si>
  <si>
    <t>Silné suché větve v koruně. Infekce větví. Zavěšená větev v koruně.</t>
  </si>
  <si>
    <t>908/30</t>
  </si>
  <si>
    <t>1163694</t>
  </si>
  <si>
    <t>Silné suché větve v koruně. Zavěšená větev v koruně.</t>
  </si>
  <si>
    <t>Tilia platyphyllos</t>
  </si>
  <si>
    <t>lípa velkolistá</t>
  </si>
  <si>
    <t>Obříství</t>
  </si>
  <si>
    <t>1938</t>
  </si>
  <si>
    <t>1163707</t>
  </si>
  <si>
    <t>136</t>
  </si>
  <si>
    <t>Odlomená část koruny. Infekce kmene. Infekce větví. Asymetrická koruna.</t>
  </si>
  <si>
    <t>1163708</t>
  </si>
  <si>
    <t>154</t>
  </si>
  <si>
    <t>1163709</t>
  </si>
  <si>
    <t>134</t>
  </si>
  <si>
    <t>1163710</t>
  </si>
  <si>
    <t>Fraxinus bungeana</t>
  </si>
  <si>
    <t>jasan Bungeův</t>
  </si>
  <si>
    <t>1163711</t>
  </si>
  <si>
    <t>1163721</t>
  </si>
  <si>
    <t>Infekce báze kmene.
Silné suché větve v koruně.</t>
  </si>
  <si>
    <t>909/4</t>
  </si>
  <si>
    <t>Odlehčení nestabilních větví. Odlehčit větve nad komunikací či chodníkem.</t>
  </si>
  <si>
    <t>1163719</t>
  </si>
  <si>
    <t>Odlomená část koruny. Infekce větví. Zavěšená větev v koruně.</t>
  </si>
  <si>
    <t>1163720</t>
  </si>
  <si>
    <t>36,0</t>
  </si>
  <si>
    <t>Tlaková vidlice vyvíjející se. Silné suché větve v koruně.</t>
  </si>
  <si>
    <t>Instalace dynamické vazby v horní úrovni</t>
  </si>
  <si>
    <t>10 procent.</t>
  </si>
  <si>
    <t>Dynamicky prosychá. Infekce větví.</t>
  </si>
  <si>
    <t>1163727</t>
  </si>
  <si>
    <t>1608/28</t>
  </si>
  <si>
    <t>1163728</t>
  </si>
  <si>
    <t>1163731</t>
  </si>
  <si>
    <t>1163739</t>
  </si>
  <si>
    <t>Acer pseudoplatanus</t>
  </si>
  <si>
    <t>javor horský</t>
  </si>
  <si>
    <t>1608/29</t>
  </si>
  <si>
    <t>1163740</t>
  </si>
  <si>
    <t>1163742</t>
  </si>
  <si>
    <t>Tlaková vidlice s trhlinou. Infekce kmene. Silné suché větve v koruně. Infekce větví.</t>
  </si>
  <si>
    <t>1608/77</t>
  </si>
  <si>
    <t>1163741</t>
  </si>
  <si>
    <t>1163743</t>
  </si>
  <si>
    <t>Aesculus hippocastanum</t>
  </si>
  <si>
    <t>jírovec maďal</t>
  </si>
  <si>
    <t>Tlaková vidlice v kosterním větvení s trhlinou.</t>
  </si>
  <si>
    <t>Jedno lano.</t>
  </si>
  <si>
    <t>1163745</t>
  </si>
  <si>
    <t>1163747</t>
  </si>
  <si>
    <t>107</t>
  </si>
  <si>
    <t>1163752</t>
  </si>
  <si>
    <t>1163753</t>
  </si>
  <si>
    <t>1163754</t>
  </si>
  <si>
    <t>Silné suché větve v koruně. Infekce větví. Infekce kmene.</t>
  </si>
  <si>
    <t>59</t>
  </si>
  <si>
    <t>Dobříň</t>
  </si>
  <si>
    <t>616/7</t>
  </si>
  <si>
    <t>1162491</t>
  </si>
  <si>
    <t>1162498</t>
  </si>
  <si>
    <t>1162509</t>
  </si>
  <si>
    <t>1162372</t>
  </si>
  <si>
    <t>908/28</t>
  </si>
  <si>
    <t>Výrazně asymetrická koruna. Nakloněný kmen.</t>
  </si>
  <si>
    <t>1162383</t>
  </si>
  <si>
    <t>1162385</t>
  </si>
  <si>
    <t>1162386</t>
  </si>
  <si>
    <t>1162388</t>
  </si>
  <si>
    <t>1162399</t>
  </si>
  <si>
    <t>Poškození báze kmene. Dynamicky prosychá. Silné suché větve v koruně.</t>
  </si>
  <si>
    <t>Infekce báze kmene. Dutina ve kmeni.</t>
  </si>
  <si>
    <t>Tuhaň</t>
  </si>
  <si>
    <t>Asymetrická koruna. Infekce větví.</t>
  </si>
  <si>
    <t>1053/5</t>
  </si>
  <si>
    <t>1162413</t>
  </si>
  <si>
    <t>1162414</t>
  </si>
  <si>
    <t>1162417</t>
  </si>
  <si>
    <t>1162418</t>
  </si>
  <si>
    <t>1162419</t>
  </si>
  <si>
    <t>1162420</t>
  </si>
  <si>
    <t>1162431</t>
  </si>
  <si>
    <t>1162436</t>
  </si>
  <si>
    <t>Infekce báze kmene. Infekce větví. Infekce kosterního větvení. Odlomená část koruny.</t>
  </si>
  <si>
    <t>30 procent. Případně zcela odstranit.</t>
  </si>
  <si>
    <t>1162446</t>
  </si>
  <si>
    <t>1162445</t>
  </si>
  <si>
    <t>1162442</t>
  </si>
  <si>
    <t>1162437</t>
  </si>
  <si>
    <t>1162449</t>
  </si>
  <si>
    <t>Poškození větví. Poškození kmene.</t>
  </si>
  <si>
    <t>Libiš</t>
  </si>
  <si>
    <t>855</t>
  </si>
  <si>
    <t>1162462</t>
  </si>
  <si>
    <t>1162466</t>
  </si>
  <si>
    <t>1162471</t>
  </si>
  <si>
    <t>Asymetrická koruna. Nakloněný kmen. Silné suché větve v koruně. Infekce větví.</t>
  </si>
  <si>
    <t>1162469</t>
  </si>
  <si>
    <t>Poškození kmene. Asymetrická koruna. Silné suché větve v koruně. Poškození větví.</t>
  </si>
  <si>
    <t>1162467</t>
  </si>
  <si>
    <t>1162473</t>
  </si>
  <si>
    <t>1162474</t>
  </si>
  <si>
    <t>Záluží u Roudnice nad Labem</t>
  </si>
  <si>
    <t>394/22</t>
  </si>
  <si>
    <t>1162528</t>
  </si>
  <si>
    <t>Poškození kmene. Zavěšená větev v koruně.</t>
  </si>
  <si>
    <t>Odstranit zavěšenou větev.</t>
  </si>
  <si>
    <t>1162529</t>
  </si>
  <si>
    <t>1162554</t>
  </si>
  <si>
    <t>Asymetrická koruna. Infekce větví. Silné suché větve v koruně.</t>
  </si>
  <si>
    <t>394/17</t>
  </si>
  <si>
    <t>1162547</t>
  </si>
  <si>
    <t>394/2</t>
  </si>
  <si>
    <t>1162560</t>
  </si>
  <si>
    <t>1162564</t>
  </si>
  <si>
    <t>Odlomená část koruny. Infekce větví. Výletové otvory od ptáků.</t>
  </si>
  <si>
    <t>Sesadit o 30 procent případně zcela odstranit.</t>
  </si>
  <si>
    <t>1162577</t>
  </si>
  <si>
    <t>Silné suché větve v koruně. Infekce větví. Asymetrická koruna</t>
  </si>
  <si>
    <t>1162579</t>
  </si>
  <si>
    <t>88</t>
  </si>
  <si>
    <t>Hoštka</t>
  </si>
  <si>
    <t>2311/3</t>
  </si>
  <si>
    <t>1162077</t>
  </si>
  <si>
    <t>1162078</t>
  </si>
  <si>
    <t>101</t>
  </si>
  <si>
    <t>Počeplice</t>
  </si>
  <si>
    <t>1162620</t>
  </si>
  <si>
    <t>Sekundární koruna. Silné suché větve v koruně.</t>
  </si>
  <si>
    <t>Hněvice</t>
  </si>
  <si>
    <t>306/5</t>
  </si>
  <si>
    <t>1162622</t>
  </si>
  <si>
    <t>Silné suché větve v koruně. Infekce větví. Sekundární koruna.</t>
  </si>
  <si>
    <t>307/1</t>
  </si>
  <si>
    <t>1162644</t>
  </si>
  <si>
    <t>1162642</t>
  </si>
  <si>
    <t>1162641</t>
  </si>
  <si>
    <t>Velké řezné rány. Infekce kmene. Silné suché větve v koruně.</t>
  </si>
  <si>
    <t>1162639</t>
  </si>
  <si>
    <t>1162638</t>
  </si>
  <si>
    <t>1162636</t>
  </si>
  <si>
    <t>1162634</t>
  </si>
  <si>
    <t>1162631</t>
  </si>
  <si>
    <t>1162629</t>
  </si>
  <si>
    <t>1162628</t>
  </si>
  <si>
    <t>1162627</t>
  </si>
  <si>
    <t>1162646</t>
  </si>
  <si>
    <t>1162647</t>
  </si>
  <si>
    <t>1162652</t>
  </si>
  <si>
    <t>Silné suché větve v koruně. Odlomená část koruny. Infekce větví.</t>
  </si>
  <si>
    <t>1162651</t>
  </si>
  <si>
    <t>1162650</t>
  </si>
  <si>
    <t>1162682</t>
  </si>
  <si>
    <t>1162679</t>
  </si>
  <si>
    <t>1162676</t>
  </si>
  <si>
    <t>Velké řezné rány. Silné suché větve v koruně.</t>
  </si>
  <si>
    <t>1162674</t>
  </si>
  <si>
    <t>1162673</t>
  </si>
  <si>
    <t>1162671</t>
  </si>
  <si>
    <t>1162670</t>
  </si>
  <si>
    <t>1162664</t>
  </si>
  <si>
    <t>1162663</t>
  </si>
  <si>
    <t>1162660</t>
  </si>
  <si>
    <t>Poškození větví. Silné suché větve v koruně.</t>
  </si>
  <si>
    <t>1162659</t>
  </si>
  <si>
    <t>1162655</t>
  </si>
  <si>
    <t>1162654</t>
  </si>
  <si>
    <t>306/2</t>
  </si>
  <si>
    <t>1162686</t>
  </si>
  <si>
    <t>1162687</t>
  </si>
  <si>
    <t>1162688</t>
  </si>
  <si>
    <t>1162689</t>
  </si>
  <si>
    <t>Silné suché větve v koruně. Potlačený jedinec. Infekce větví.</t>
  </si>
  <si>
    <t>Asymetrická koruna. Nakloněný kmen. Infekce větví.</t>
  </si>
  <si>
    <t>1162696</t>
  </si>
  <si>
    <t>1162703</t>
  </si>
  <si>
    <t>1162704</t>
  </si>
  <si>
    <t>1162705</t>
  </si>
  <si>
    <t>1162709</t>
  </si>
  <si>
    <t>1162713</t>
  </si>
  <si>
    <t>1162715</t>
  </si>
  <si>
    <t>1162716</t>
  </si>
  <si>
    <t>1162717</t>
  </si>
  <si>
    <t>1162719</t>
  </si>
  <si>
    <t>1162720</t>
  </si>
  <si>
    <t>1162721</t>
  </si>
  <si>
    <t>Horní Počaply</t>
  </si>
  <si>
    <t>1156/2</t>
  </si>
  <si>
    <t>1162722</t>
  </si>
  <si>
    <t>1162723</t>
  </si>
  <si>
    <t>1162724</t>
  </si>
  <si>
    <t>1162727</t>
  </si>
  <si>
    <t>Asymetrická koruna. Silné suché větve v koruně. Zavěšená větev v koruně.</t>
  </si>
  <si>
    <t>1162739</t>
  </si>
  <si>
    <t>1157/6</t>
  </si>
  <si>
    <t>1162737</t>
  </si>
  <si>
    <t>1162736</t>
  </si>
  <si>
    <t>1162733</t>
  </si>
  <si>
    <t>1162731</t>
  </si>
  <si>
    <t>1162730</t>
  </si>
  <si>
    <t>1162729</t>
  </si>
  <si>
    <t>Suchý vrchol.</t>
  </si>
  <si>
    <t>1162742</t>
  </si>
  <si>
    <t>1162743</t>
  </si>
  <si>
    <t>1162749</t>
  </si>
  <si>
    <t>1162754</t>
  </si>
  <si>
    <t>1162799</t>
  </si>
  <si>
    <t>1160339</t>
  </si>
  <si>
    <t>Odlomená část koruny. Poškození větví. Infekce větví. Asymetrická koruna.</t>
  </si>
  <si>
    <t>1160345</t>
  </si>
  <si>
    <t>162</t>
  </si>
  <si>
    <t>Infekce kmene. Infekce větví. Silné suché větve v koruně.</t>
  </si>
  <si>
    <t>1160350</t>
  </si>
  <si>
    <t>Silné suché větve v koruně. Defektní větvení. Infekce báze kmene.</t>
  </si>
  <si>
    <t>1160366</t>
  </si>
  <si>
    <t>Odlomená část koruny. Infekce větví. Infekce báze kmene.</t>
  </si>
  <si>
    <t>1160367</t>
  </si>
  <si>
    <t>Odlehčit větve nad čističkou.</t>
  </si>
  <si>
    <t>1160378</t>
  </si>
  <si>
    <t>1160379</t>
  </si>
  <si>
    <t>1160382</t>
  </si>
  <si>
    <t>1157/2</t>
  </si>
  <si>
    <t>1163664</t>
  </si>
  <si>
    <t>1163665</t>
  </si>
  <si>
    <t>1163666</t>
  </si>
  <si>
    <t>1163668</t>
  </si>
  <si>
    <t>1163670</t>
  </si>
  <si>
    <t>1163673</t>
  </si>
  <si>
    <t>1163675</t>
  </si>
  <si>
    <t>1163676</t>
  </si>
  <si>
    <t>1163679</t>
  </si>
  <si>
    <t>1163680</t>
  </si>
  <si>
    <t>1163681</t>
  </si>
  <si>
    <t>1163683</t>
  </si>
  <si>
    <t>1163685</t>
  </si>
  <si>
    <t>1163687</t>
  </si>
  <si>
    <t>1157/3</t>
  </si>
  <si>
    <t>1163689</t>
  </si>
  <si>
    <t>1163690</t>
  </si>
  <si>
    <t>835/14</t>
  </si>
  <si>
    <t>1162093</t>
  </si>
  <si>
    <t>Silné suché větve v koruně. Dynamicky prosychá. Podezření na infekci kořenů.</t>
  </si>
  <si>
    <t>Sesadit o 50 procent případně zcela odstranit.</t>
  </si>
  <si>
    <t>1162095</t>
  </si>
  <si>
    <t>120</t>
  </si>
  <si>
    <t>Suchý vrchol. Silné suché větve v koruně. Odlomená část koruny. Infekce větví.</t>
  </si>
  <si>
    <t>875/4</t>
  </si>
  <si>
    <t>1162100</t>
  </si>
  <si>
    <t>215</t>
  </si>
  <si>
    <t>Velké řezné rány Infekce větví. Sekundární koruna.</t>
  </si>
  <si>
    <t>1162101</t>
  </si>
  <si>
    <t>240</t>
  </si>
  <si>
    <t>1162102</t>
  </si>
  <si>
    <t>855/4</t>
  </si>
  <si>
    <t>URL</t>
  </si>
  <si>
    <t>59/1</t>
  </si>
  <si>
    <t>2687</t>
  </si>
  <si>
    <t>232/334</t>
  </si>
  <si>
    <t>908/12</t>
  </si>
  <si>
    <t>853/2</t>
  </si>
  <si>
    <t xml:space="preserve">Celkem bez DPH </t>
  </si>
  <si>
    <t>Ošetření porostu</t>
  </si>
  <si>
    <t>Ceníkový kod</t>
  </si>
  <si>
    <t>9VC3126</t>
  </si>
  <si>
    <t>9VC3131</t>
  </si>
  <si>
    <t>9VC3230</t>
  </si>
  <si>
    <t>9VC3138</t>
  </si>
  <si>
    <t>9VC3125</t>
  </si>
  <si>
    <t>9VC3130</t>
  </si>
  <si>
    <t>9VC3137</t>
  </si>
  <si>
    <t>9VC3139</t>
  </si>
  <si>
    <t>9VC3133</t>
  </si>
  <si>
    <t>9VC3132</t>
  </si>
  <si>
    <t>Řez zdravotní/výchovný</t>
  </si>
  <si>
    <t>9VC3121</t>
  </si>
  <si>
    <t>9VC3143</t>
  </si>
  <si>
    <r>
      <t>Štěpkování (65 m</t>
    </r>
    <r>
      <rPr>
        <vertAlign val="superscript"/>
        <sz val="11"/>
        <rFont val="Calibri"/>
        <family val="2"/>
        <charset val="238"/>
        <scheme val="minor"/>
      </rPr>
      <t>3</t>
    </r>
    <r>
      <rPr>
        <sz val="11"/>
        <rFont val="Calibri"/>
        <family val="2"/>
        <charset val="238"/>
        <scheme val="minor"/>
      </rPr>
      <t>)</t>
    </r>
  </si>
  <si>
    <t>Řez stromu tvarovací - na hlavu</t>
  </si>
  <si>
    <t>9VC3142</t>
  </si>
  <si>
    <t xml:space="preserve">Cena </t>
  </si>
  <si>
    <t xml:space="preserve">zhotovitel doplní žlutě podbarvená pole </t>
  </si>
  <si>
    <t>Poznámka: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</si>
</sst>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i/>
      <sz val="9"/>
      <name val="Arial"/>
      <family val="2"/>
      <charset val="238"/>
    </font>
    <font>
      <b/>
      <sz val="9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vertAlign val="superscript"/>
      <sz val="11"/>
      <name val="Calibri"/>
      <family val="2"/>
      <charset val="238"/>
      <scheme val="minor"/>
    </font>
    <font>
      <sz val="9"/>
      <color rgb="FFFF0000"/>
      <name val="Arial"/>
      <family val="2"/>
      <charset val="238"/>
    </font>
    <font>
      <i/>
      <sz val="9"/>
      <color rgb="FFFF0000"/>
      <name val="Arial"/>
      <family val="2"/>
      <charset val="238"/>
    </font>
    <font>
      <b/>
      <sz val="9"/>
      <color rgb="FFFF000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i/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0" borderId="2" xfId="0" applyFont="1" applyFill="1" applyBorder="1" applyAlignment="1" applyProtection="1">
      <alignment horizontal="left" vertical="center" wrapText="1"/>
    </xf>
    <xf numFmtId="0" fontId="3" fillId="0" borderId="2" xfId="0" applyFont="1" applyFill="1" applyBorder="1" applyAlignment="1" applyProtection="1">
      <alignment horizontal="left" vertical="center" wrapText="1"/>
    </xf>
    <xf numFmtId="0" fontId="1" fillId="0" borderId="2" xfId="0" applyFont="1" applyFill="1" applyBorder="1" applyAlignment="1" applyProtection="1">
      <alignment horizontal="center" vertical="center" wrapText="1"/>
    </xf>
    <xf numFmtId="0" fontId="1" fillId="0" borderId="2" xfId="0" applyFont="1" applyFill="1" applyBorder="1" applyAlignment="1" applyProtection="1">
      <alignment horizontal="left" vertical="center" wrapText="1"/>
    </xf>
    <xf numFmtId="0" fontId="4" fillId="0" borderId="0" xfId="0" applyFont="1" applyFill="1"/>
    <xf numFmtId="0" fontId="5" fillId="0" borderId="0" xfId="0" applyFont="1" applyFill="1"/>
    <xf numFmtId="0" fontId="4" fillId="0" borderId="0" xfId="0" applyFont="1" applyFill="1" applyAlignment="1">
      <alignment wrapText="1"/>
    </xf>
    <xf numFmtId="0" fontId="1" fillId="0" borderId="2" xfId="0" applyFont="1" applyFill="1" applyBorder="1" applyAlignment="1" applyProtection="1">
      <alignment vertical="center" wrapText="1"/>
    </xf>
    <xf numFmtId="0" fontId="1" fillId="0" borderId="8" xfId="0" applyFont="1" applyFill="1" applyBorder="1" applyAlignment="1" applyProtection="1">
      <alignment vertical="center" wrapText="1"/>
    </xf>
    <xf numFmtId="0" fontId="1" fillId="0" borderId="0" xfId="0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 applyProtection="1">
      <alignment horizontal="left" vertical="center" wrapText="1"/>
    </xf>
    <xf numFmtId="0" fontId="1" fillId="0" borderId="12" xfId="0" applyFont="1" applyFill="1" applyBorder="1" applyAlignment="1" applyProtection="1">
      <alignment horizontal="right" vertical="center" wrapText="1"/>
    </xf>
    <xf numFmtId="0" fontId="3" fillId="0" borderId="13" xfId="0" applyFont="1" applyFill="1" applyBorder="1" applyAlignment="1" applyProtection="1">
      <alignment horizontal="right" textRotation="90"/>
    </xf>
    <xf numFmtId="0" fontId="3" fillId="0" borderId="14" xfId="0" applyFont="1" applyFill="1" applyBorder="1" applyAlignment="1" applyProtection="1">
      <alignment horizontal="left" textRotation="90"/>
    </xf>
    <xf numFmtId="0" fontId="3" fillId="0" borderId="14" xfId="0" applyFont="1" applyFill="1" applyBorder="1" applyAlignment="1" applyProtection="1">
      <alignment horizontal="center" textRotation="90"/>
    </xf>
    <xf numFmtId="0" fontId="3" fillId="0" borderId="14" xfId="0" applyFont="1" applyFill="1" applyBorder="1" applyAlignment="1" applyProtection="1">
      <alignment horizontal="left" textRotation="90" wrapText="1"/>
    </xf>
    <xf numFmtId="0" fontId="3" fillId="0" borderId="15" xfId="0" applyFont="1" applyFill="1" applyBorder="1" applyAlignment="1" applyProtection="1">
      <alignment horizontal="left" textRotation="90"/>
    </xf>
    <xf numFmtId="0" fontId="3" fillId="0" borderId="16" xfId="0" applyFont="1" applyFill="1" applyBorder="1" applyAlignment="1" applyProtection="1">
      <alignment horizontal="left" textRotation="90"/>
    </xf>
    <xf numFmtId="0" fontId="1" fillId="0" borderId="17" xfId="0" applyFont="1" applyFill="1" applyBorder="1" applyAlignment="1" applyProtection="1">
      <alignment horizontal="left" vertical="center" wrapText="1"/>
    </xf>
    <xf numFmtId="0" fontId="1" fillId="0" borderId="18" xfId="0" applyFont="1" applyFill="1" applyBorder="1" applyAlignment="1" applyProtection="1">
      <alignment horizontal="left" vertical="center" wrapText="1"/>
    </xf>
    <xf numFmtId="0" fontId="1" fillId="0" borderId="19" xfId="0" applyFont="1" applyFill="1" applyBorder="1" applyAlignment="1" applyProtection="1">
      <alignment horizontal="left" vertical="center" wrapText="1"/>
    </xf>
    <xf numFmtId="0" fontId="4" fillId="0" borderId="17" xfId="0" applyFont="1" applyFill="1" applyBorder="1" applyAlignment="1" applyProtection="1">
      <alignment horizontal="left" vertical="center" wrapText="1"/>
    </xf>
    <xf numFmtId="3" fontId="4" fillId="0" borderId="0" xfId="0" applyNumberFormat="1" applyFont="1" applyFill="1"/>
    <xf numFmtId="0" fontId="4" fillId="0" borderId="4" xfId="0" applyFont="1" applyFill="1" applyBorder="1"/>
    <xf numFmtId="0" fontId="1" fillId="0" borderId="20" xfId="0" applyFont="1" applyFill="1" applyBorder="1" applyAlignment="1" applyProtection="1">
      <alignment horizontal="left" vertical="center" wrapText="1"/>
    </xf>
    <xf numFmtId="0" fontId="7" fillId="0" borderId="0" xfId="0" applyFont="1" applyFill="1" applyBorder="1" applyAlignment="1" applyProtection="1">
      <alignment horizontal="right" vertical="center" wrapText="1"/>
    </xf>
    <xf numFmtId="0" fontId="8" fillId="0" borderId="0" xfId="0" applyFont="1" applyFill="1" applyBorder="1" applyAlignment="1" applyProtection="1">
      <alignment horizontal="left" vertical="center" wrapText="1"/>
    </xf>
    <xf numFmtId="0" fontId="9" fillId="0" borderId="0" xfId="0" applyFont="1" applyFill="1" applyBorder="1" applyAlignment="1" applyProtection="1">
      <alignment horizontal="left" vertical="center" wrapText="1"/>
    </xf>
    <xf numFmtId="0" fontId="7" fillId="0" borderId="0" xfId="0" applyFont="1" applyFill="1" applyBorder="1" applyAlignment="1" applyProtection="1">
      <alignment horizontal="center" vertical="center" wrapText="1"/>
    </xf>
    <xf numFmtId="0" fontId="7" fillId="0" borderId="0" xfId="0" applyFont="1" applyFill="1" applyBorder="1" applyAlignment="1" applyProtection="1">
      <alignment horizontal="left" vertical="center" wrapText="1"/>
    </xf>
    <xf numFmtId="0" fontId="1" fillId="0" borderId="1" xfId="0" applyFont="1" applyFill="1" applyBorder="1" applyAlignment="1" applyProtection="1">
      <alignment horizontal="left" vertical="center" wrapText="1"/>
    </xf>
    <xf numFmtId="0" fontId="1" fillId="0" borderId="5" xfId="0" applyFont="1" applyFill="1" applyBorder="1" applyAlignment="1" applyProtection="1">
      <alignment horizontal="right" vertical="center" wrapText="1"/>
    </xf>
    <xf numFmtId="0" fontId="2" fillId="0" borderId="1" xfId="0" applyFont="1" applyFill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left" vertical="center" wrapText="1"/>
    </xf>
    <xf numFmtId="0" fontId="1" fillId="0" borderId="1" xfId="0" applyFont="1" applyFill="1" applyBorder="1" applyAlignment="1" applyProtection="1">
      <alignment horizontal="center" vertical="center" wrapText="1"/>
    </xf>
    <xf numFmtId="0" fontId="1" fillId="0" borderId="4" xfId="0" applyFont="1" applyFill="1" applyBorder="1" applyAlignment="1" applyProtection="1">
      <alignment horizontal="center" vertical="center" wrapText="1"/>
    </xf>
    <xf numFmtId="0" fontId="1" fillId="0" borderId="4" xfId="0" applyFont="1" applyFill="1" applyBorder="1" applyAlignment="1" applyProtection="1">
      <alignment horizontal="left" vertical="center" wrapText="1"/>
    </xf>
    <xf numFmtId="0" fontId="1" fillId="0" borderId="3" xfId="0" applyFont="1" applyFill="1" applyBorder="1" applyAlignment="1" applyProtection="1">
      <alignment horizontal="right" vertical="center" wrapText="1"/>
    </xf>
    <xf numFmtId="0" fontId="2" fillId="0" borderId="4" xfId="0" applyFont="1" applyFill="1" applyBorder="1" applyAlignment="1" applyProtection="1">
      <alignment horizontal="left" vertical="center" wrapText="1"/>
    </xf>
    <xf numFmtId="0" fontId="3" fillId="0" borderId="4" xfId="0" applyFont="1" applyFill="1" applyBorder="1" applyAlignment="1" applyProtection="1">
      <alignment horizontal="left" vertical="center" wrapText="1"/>
    </xf>
    <xf numFmtId="0" fontId="1" fillId="0" borderId="6" xfId="0" applyFont="1" applyFill="1" applyBorder="1" applyAlignment="1" applyProtection="1">
      <alignment horizontal="right" vertical="center" wrapText="1"/>
    </xf>
    <xf numFmtId="0" fontId="2" fillId="0" borderId="7" xfId="0" applyFont="1" applyFill="1" applyBorder="1" applyAlignment="1" applyProtection="1">
      <alignment horizontal="left" vertical="center" wrapText="1"/>
    </xf>
    <xf numFmtId="0" fontId="3" fillId="0" borderId="7" xfId="0" applyFont="1" applyFill="1" applyBorder="1" applyAlignment="1" applyProtection="1">
      <alignment horizontal="left" vertical="center" wrapText="1"/>
    </xf>
    <xf numFmtId="0" fontId="1" fillId="0" borderId="7" xfId="0" applyFont="1" applyFill="1" applyBorder="1" applyAlignment="1" applyProtection="1">
      <alignment horizontal="center" vertical="center" wrapText="1"/>
    </xf>
    <xf numFmtId="0" fontId="1" fillId="0" borderId="7" xfId="0" applyFont="1" applyFill="1" applyBorder="1" applyAlignment="1" applyProtection="1">
      <alignment horizontal="left" vertical="center" wrapText="1"/>
    </xf>
    <xf numFmtId="0" fontId="11" fillId="0" borderId="6" xfId="0" applyFont="1" applyFill="1" applyBorder="1" applyAlignment="1" applyProtection="1">
      <alignment horizontal="right" vertical="center" wrapText="1"/>
    </xf>
    <xf numFmtId="0" fontId="12" fillId="0" borderId="7" xfId="0" applyFont="1" applyFill="1" applyBorder="1" applyAlignment="1" applyProtection="1">
      <alignment horizontal="left" vertical="center" wrapText="1"/>
    </xf>
    <xf numFmtId="0" fontId="13" fillId="0" borderId="7" xfId="0" applyFont="1" applyFill="1" applyBorder="1" applyAlignment="1" applyProtection="1">
      <alignment horizontal="left" vertical="center" wrapText="1"/>
    </xf>
    <xf numFmtId="0" fontId="11" fillId="0" borderId="7" xfId="0" applyFont="1" applyFill="1" applyBorder="1" applyAlignment="1" applyProtection="1">
      <alignment horizontal="center" vertical="center" wrapText="1"/>
    </xf>
    <xf numFmtId="0" fontId="11" fillId="0" borderId="7" xfId="0" applyFont="1" applyFill="1" applyBorder="1" applyAlignment="1" applyProtection="1">
      <alignment horizontal="left" vertical="center" wrapText="1"/>
    </xf>
    <xf numFmtId="3" fontId="0" fillId="2" borderId="9" xfId="0" applyNumberFormat="1" applyFont="1" applyFill="1" applyBorder="1"/>
    <xf numFmtId="0" fontId="1" fillId="3" borderId="0" xfId="0" applyFont="1" applyFill="1" applyBorder="1" applyAlignment="1" applyProtection="1">
      <alignment horizontal="right" vertical="center" wrapText="1"/>
    </xf>
    <xf numFmtId="0" fontId="1" fillId="0" borderId="0" xfId="0" applyFont="1" applyFill="1"/>
    <xf numFmtId="0" fontId="11" fillId="0" borderId="2" xfId="0" applyFont="1" applyFill="1" applyBorder="1" applyAlignment="1" applyProtection="1">
      <alignment horizontal="left" vertical="center" wrapText="1"/>
    </xf>
    <xf numFmtId="0" fontId="11" fillId="0" borderId="2" xfId="0" applyFont="1" applyBorder="1"/>
    <xf numFmtId="0" fontId="4" fillId="0" borderId="1" xfId="0" applyFont="1" applyFill="1" applyBorder="1"/>
    <xf numFmtId="3" fontId="10" fillId="0" borderId="11" xfId="0" applyNumberFormat="1" applyFont="1" applyFill="1" applyBorder="1"/>
    <xf numFmtId="3" fontId="4" fillId="3" borderId="9" xfId="0" applyNumberFormat="1" applyFont="1" applyFill="1" applyBorder="1" applyAlignment="1" applyProtection="1">
      <alignment wrapText="1"/>
      <protection locked="0"/>
    </xf>
    <xf numFmtId="3" fontId="4" fillId="3" borderId="10" xfId="0" applyNumberFormat="1" applyFont="1" applyFill="1" applyBorder="1" applyAlignment="1" applyProtection="1">
      <alignment wrapText="1"/>
      <protection locked="0"/>
    </xf>
    <xf numFmtId="3" fontId="4" fillId="3" borderId="21" xfId="0" applyNumberFormat="1" applyFont="1" applyFill="1" applyBorder="1" applyAlignment="1" applyProtection="1">
      <alignment wrapText="1"/>
      <protection locked="0"/>
    </xf>
    <xf numFmtId="3" fontId="4" fillId="3" borderId="11" xfId="0" applyNumberFormat="1" applyFont="1" applyFill="1" applyBorder="1" applyAlignment="1" applyProtection="1">
      <alignment wrapText="1"/>
      <protection locked="0"/>
    </xf>
    <xf numFmtId="0" fontId="11" fillId="3" borderId="10" xfId="0" applyFont="1" applyFill="1" applyBorder="1" applyAlignment="1" applyProtection="1">
      <alignment horizontal="left" vertical="center" wrapText="1"/>
      <protection locked="0"/>
    </xf>
    <xf numFmtId="0" fontId="11" fillId="3" borderId="22" xfId="0" applyFont="1" applyFill="1" applyBorder="1" applyProtection="1">
      <protection locked="0"/>
    </xf>
    <xf numFmtId="0" fontId="1" fillId="0" borderId="1" xfId="0" applyFont="1" applyFill="1" applyBorder="1" applyAlignment="1" applyProtection="1">
      <alignment horizontal="left" vertical="center" wrapText="1"/>
    </xf>
    <xf numFmtId="0" fontId="1" fillId="0" borderId="5" xfId="0" applyFont="1" applyFill="1" applyBorder="1" applyAlignment="1" applyProtection="1">
      <alignment horizontal="right" vertical="center" wrapText="1"/>
    </xf>
    <xf numFmtId="0" fontId="2" fillId="0" borderId="1" xfId="0" applyFont="1" applyFill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left" vertical="center" wrapText="1"/>
    </xf>
    <xf numFmtId="0" fontId="1" fillId="0" borderId="1" xfId="0" applyFont="1" applyFill="1" applyBorder="1" applyAlignment="1" applyProtection="1">
      <alignment horizontal="center" vertical="center" wrapText="1"/>
    </xf>
    <xf numFmtId="0" fontId="1" fillId="0" borderId="4" xfId="0" applyFont="1" applyFill="1" applyBorder="1" applyAlignment="1" applyProtection="1">
      <alignment horizontal="center" vertical="center" wrapText="1"/>
    </xf>
    <xf numFmtId="0" fontId="1" fillId="0" borderId="4" xfId="0" applyFont="1" applyFill="1" applyBorder="1" applyAlignment="1" applyProtection="1">
      <alignment horizontal="left" vertical="center" wrapText="1"/>
    </xf>
    <xf numFmtId="0" fontId="1" fillId="0" borderId="3" xfId="0" applyFont="1" applyFill="1" applyBorder="1" applyAlignment="1" applyProtection="1">
      <alignment horizontal="right" vertical="center" wrapText="1"/>
    </xf>
    <xf numFmtId="0" fontId="2" fillId="0" borderId="4" xfId="0" applyFont="1" applyFill="1" applyBorder="1" applyAlignment="1" applyProtection="1">
      <alignment horizontal="left" vertical="center" wrapText="1"/>
    </xf>
    <xf numFmtId="0" fontId="3" fillId="0" borderId="4" xfId="0" applyFont="1" applyFill="1" applyBorder="1" applyAlignment="1" applyProtection="1">
      <alignment horizontal="left" vertical="center" wrapText="1"/>
    </xf>
    <xf numFmtId="0" fontId="1" fillId="0" borderId="6" xfId="0" applyFont="1" applyFill="1" applyBorder="1" applyAlignment="1" applyProtection="1">
      <alignment horizontal="right" vertical="center" wrapText="1"/>
    </xf>
    <xf numFmtId="0" fontId="2" fillId="0" borderId="7" xfId="0" applyFont="1" applyFill="1" applyBorder="1" applyAlignment="1" applyProtection="1">
      <alignment horizontal="left" vertical="center" wrapText="1"/>
    </xf>
    <xf numFmtId="0" fontId="3" fillId="0" borderId="7" xfId="0" applyFont="1" applyFill="1" applyBorder="1" applyAlignment="1" applyProtection="1">
      <alignment horizontal="left" vertical="center" wrapText="1"/>
    </xf>
    <xf numFmtId="0" fontId="1" fillId="0" borderId="7" xfId="0" applyFont="1" applyFill="1" applyBorder="1" applyAlignment="1" applyProtection="1">
      <alignment horizontal="center" vertical="center" wrapText="1"/>
    </xf>
    <xf numFmtId="0" fontId="1" fillId="0" borderId="7" xfId="0" applyFont="1" applyFill="1" applyBorder="1" applyAlignment="1" applyProtection="1">
      <alignment horizontal="left" vertical="center" wrapText="1"/>
    </xf>
    <xf numFmtId="0" fontId="2" fillId="0" borderId="0" xfId="0" applyFont="1" applyFill="1" applyBorder="1" applyAlignment="1" applyProtection="1">
      <alignment horizontal="left" vertical="center" wrapText="1"/>
    </xf>
    <xf numFmtId="0" fontId="4" fillId="0" borderId="3" xfId="0" applyFont="1" applyFill="1" applyBorder="1" applyAlignment="1">
      <alignment horizontal="left"/>
    </xf>
    <xf numFmtId="0" fontId="4" fillId="0" borderId="4" xfId="0" applyFont="1" applyFill="1" applyBorder="1" applyAlignment="1">
      <alignment horizontal="left"/>
    </xf>
    <xf numFmtId="0" fontId="4" fillId="0" borderId="5" xfId="0" applyFont="1" applyFill="1" applyBorder="1" applyAlignment="1">
      <alignment horizontal="left" wrapText="1"/>
    </xf>
    <xf numFmtId="0" fontId="4" fillId="0" borderId="1" xfId="0" applyFont="1" applyFill="1" applyBorder="1" applyAlignment="1">
      <alignment horizontal="left" wrapText="1"/>
    </xf>
    <xf numFmtId="0" fontId="5" fillId="0" borderId="6" xfId="0" applyFont="1" applyFill="1" applyBorder="1" applyAlignment="1">
      <alignment horizontal="left"/>
    </xf>
    <xf numFmtId="0" fontId="5" fillId="0" borderId="7" xfId="0" applyFont="1" applyFill="1" applyBorder="1" applyAlignment="1">
      <alignment horizontal="left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ED4D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298"/>
  <sheetViews>
    <sheetView tabSelected="1" topLeftCell="A282" workbookViewId="0">
      <selection activeCell="AB298" sqref="AB298"/>
    </sheetView>
  </sheetViews>
  <sheetFormatPr defaultRowHeight="31.5" customHeight="1" x14ac:dyDescent="0.25"/>
  <cols>
    <col min="1" max="1" width="8" style="5" bestFit="1" customWidth="1"/>
    <col min="2" max="2" width="15.28515625" style="5" bestFit="1" customWidth="1"/>
    <col min="3" max="3" width="10.5703125" style="6" bestFit="1" customWidth="1"/>
    <col min="4" max="5" width="4" style="5" bestFit="1" customWidth="1"/>
    <col min="6" max="7" width="3.140625" style="5" bestFit="1" customWidth="1"/>
    <col min="8" max="9" width="4.42578125" style="5" bestFit="1" customWidth="1"/>
    <col min="10" max="15" width="3.140625" style="5" bestFit="1" customWidth="1"/>
    <col min="16" max="16" width="24" style="7" customWidth="1"/>
    <col min="17" max="17" width="15.140625" style="5" bestFit="1" customWidth="1"/>
    <col min="18" max="18" width="7.42578125" style="5" bestFit="1" customWidth="1"/>
    <col min="19" max="19" width="17.28515625" style="5" bestFit="1" customWidth="1"/>
    <col min="20" max="21" width="3.140625" style="5" bestFit="1" customWidth="1"/>
    <col min="22" max="22" width="17.85546875" style="5" customWidth="1"/>
    <col min="23" max="23" width="22.28515625" style="5" customWidth="1"/>
    <col min="24" max="24" width="12.140625" style="5" customWidth="1"/>
    <col min="25" max="25" width="12" style="5" bestFit="1" customWidth="1"/>
    <col min="26" max="26" width="13.28515625" style="5" customWidth="1"/>
    <col min="27" max="27" width="8.5703125" style="5" customWidth="1"/>
    <col min="28" max="28" width="9.85546875" style="5" customWidth="1"/>
    <col min="29" max="16384" width="9.140625" style="5"/>
  </cols>
  <sheetData>
    <row r="1" spans="1:28" ht="132.75" customHeight="1" thickBot="1" x14ac:dyDescent="0.3">
      <c r="A1" s="13" t="s">
        <v>0</v>
      </c>
      <c r="B1" s="14" t="s">
        <v>1</v>
      </c>
      <c r="C1" s="14" t="s">
        <v>2</v>
      </c>
      <c r="D1" s="15" t="s">
        <v>3</v>
      </c>
      <c r="E1" s="15" t="s">
        <v>4</v>
      </c>
      <c r="F1" s="15" t="s">
        <v>5</v>
      </c>
      <c r="G1" s="15" t="s">
        <v>6</v>
      </c>
      <c r="H1" s="15" t="s">
        <v>7</v>
      </c>
      <c r="I1" s="15" t="s">
        <v>8</v>
      </c>
      <c r="J1" s="15" t="s">
        <v>9</v>
      </c>
      <c r="K1" s="15" t="s">
        <v>10</v>
      </c>
      <c r="L1" s="15" t="s">
        <v>11</v>
      </c>
      <c r="M1" s="15" t="s">
        <v>12</v>
      </c>
      <c r="N1" s="15" t="s">
        <v>13</v>
      </c>
      <c r="O1" s="15" t="s">
        <v>14</v>
      </c>
      <c r="P1" s="16" t="s">
        <v>15</v>
      </c>
      <c r="Q1" s="14" t="s">
        <v>16</v>
      </c>
      <c r="R1" s="14" t="s">
        <v>17</v>
      </c>
      <c r="S1" s="14" t="s">
        <v>18</v>
      </c>
      <c r="T1" s="15" t="s">
        <v>19</v>
      </c>
      <c r="U1" s="15" t="s">
        <v>20</v>
      </c>
      <c r="V1" s="15" t="s">
        <v>21</v>
      </c>
      <c r="W1" s="14" t="s">
        <v>589</v>
      </c>
      <c r="X1" s="14" t="s">
        <v>22</v>
      </c>
      <c r="Y1" s="14" t="s">
        <v>23</v>
      </c>
      <c r="Z1" s="14" t="s">
        <v>24</v>
      </c>
      <c r="AA1" s="18" t="s">
        <v>597</v>
      </c>
      <c r="AB1" s="17" t="s">
        <v>614</v>
      </c>
    </row>
    <row r="2" spans="1:28" ht="35.1" customHeight="1" x14ac:dyDescent="0.25">
      <c r="A2" s="71" t="s">
        <v>47</v>
      </c>
      <c r="B2" s="72"/>
      <c r="C2" s="73" t="s">
        <v>49</v>
      </c>
      <c r="D2" s="69" t="s">
        <v>50</v>
      </c>
      <c r="E2" s="69"/>
      <c r="F2" s="69"/>
      <c r="G2" s="69"/>
      <c r="H2" s="69" t="s">
        <v>51</v>
      </c>
      <c r="I2" s="69" t="s">
        <v>52</v>
      </c>
      <c r="J2" s="69" t="s">
        <v>53</v>
      </c>
      <c r="K2" s="69" t="s">
        <v>45</v>
      </c>
      <c r="L2" s="69" t="s">
        <v>33</v>
      </c>
      <c r="M2" s="69" t="s">
        <v>34</v>
      </c>
      <c r="N2" s="69" t="s">
        <v>35</v>
      </c>
      <c r="O2" s="69" t="s">
        <v>54</v>
      </c>
      <c r="P2" s="70" t="s">
        <v>55</v>
      </c>
      <c r="Q2" s="70" t="s">
        <v>37</v>
      </c>
      <c r="R2" s="70" t="s">
        <v>38</v>
      </c>
      <c r="S2" s="37" t="s">
        <v>56</v>
      </c>
      <c r="T2" s="36" t="s">
        <v>45</v>
      </c>
      <c r="U2" s="36" t="s">
        <v>35</v>
      </c>
      <c r="V2" s="36"/>
      <c r="W2" s="70" t="str">
        <f>HYPERLINK("https://www.stromypodkontrolou.cz/map/tree/d41bce85-5010-4276-b929-4760db78c679/dd973757-c2a3-499d-910e-72c798e93e27")</f>
        <v>https://www.stromypodkontrolou.cz/map/tree/d41bce85-5010-4276-b929-4760db78c679/dd973757-c2a3-499d-910e-72c798e93e27</v>
      </c>
      <c r="X2" s="70">
        <v>-746998.116591</v>
      </c>
      <c r="Y2" s="70">
        <v>-1003157.273288</v>
      </c>
      <c r="Z2" s="70" t="str">
        <f>HYPERLINK("https://www.mapy.cz?st=search&amp;fr=50.43724231 14.28636387")</f>
        <v>https://www.mapy.cz?st=search&amp;fr=50.43724231 14.28636387</v>
      </c>
      <c r="AA2" s="22" t="s">
        <v>598</v>
      </c>
      <c r="AB2" s="58"/>
    </row>
    <row r="3" spans="1:28" ht="35.1" customHeight="1" x14ac:dyDescent="0.25">
      <c r="A3" s="65"/>
      <c r="B3" s="66"/>
      <c r="C3" s="67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4"/>
      <c r="Q3" s="64"/>
      <c r="R3" s="64"/>
      <c r="S3" s="31" t="s">
        <v>57</v>
      </c>
      <c r="T3" s="35" t="s">
        <v>45</v>
      </c>
      <c r="U3" s="35" t="s">
        <v>35</v>
      </c>
      <c r="V3" s="35" t="s">
        <v>58</v>
      </c>
      <c r="W3" s="64"/>
      <c r="X3" s="64"/>
      <c r="Y3" s="64"/>
      <c r="Z3" s="64"/>
      <c r="AA3" s="20" t="s">
        <v>599</v>
      </c>
      <c r="AB3" s="59"/>
    </row>
    <row r="4" spans="1:28" ht="35.1" customHeight="1" x14ac:dyDescent="0.25">
      <c r="A4" s="65" t="s">
        <v>82</v>
      </c>
      <c r="B4" s="66" t="s">
        <v>68</v>
      </c>
      <c r="C4" s="67" t="s">
        <v>69</v>
      </c>
      <c r="D4" s="68" t="s">
        <v>83</v>
      </c>
      <c r="E4" s="68"/>
      <c r="F4" s="68"/>
      <c r="G4" s="68"/>
      <c r="H4" s="68" t="s">
        <v>70</v>
      </c>
      <c r="I4" s="68" t="s">
        <v>77</v>
      </c>
      <c r="J4" s="68" t="s">
        <v>66</v>
      </c>
      <c r="K4" s="68" t="s">
        <v>45</v>
      </c>
      <c r="L4" s="68" t="s">
        <v>74</v>
      </c>
      <c r="M4" s="68" t="s">
        <v>54</v>
      </c>
      <c r="N4" s="68" t="s">
        <v>54</v>
      </c>
      <c r="O4" s="68" t="s">
        <v>54</v>
      </c>
      <c r="P4" s="64" t="s">
        <v>84</v>
      </c>
      <c r="Q4" s="64" t="s">
        <v>37</v>
      </c>
      <c r="R4" s="64" t="s">
        <v>38</v>
      </c>
      <c r="S4" s="31" t="s">
        <v>85</v>
      </c>
      <c r="T4" s="35" t="s">
        <v>45</v>
      </c>
      <c r="U4" s="35" t="s">
        <v>35</v>
      </c>
      <c r="V4" s="35" t="s">
        <v>86</v>
      </c>
      <c r="W4" s="64" t="str">
        <f>HYPERLINK("https://www.stromypodkontrolou.cz/map/tree/d41bce85-5010-4276-b929-4760db78c679/b1520fd8-4920-4ed3-bc3c-a51a85398a24")</f>
        <v>https://www.stromypodkontrolou.cz/map/tree/d41bce85-5010-4276-b929-4760db78c679/b1520fd8-4920-4ed3-bc3c-a51a85398a24</v>
      </c>
      <c r="X4" s="64">
        <v>-747072.32819300005</v>
      </c>
      <c r="Y4" s="64">
        <v>-1003388.1935779999</v>
      </c>
      <c r="Z4" s="64" t="str">
        <f>HYPERLINK("https://www.mapy.cz?st=search&amp;fr=50.43509400 14.28577814")</f>
        <v>https://www.mapy.cz?st=search&amp;fr=50.43509400 14.28577814</v>
      </c>
      <c r="AA4" s="20" t="s">
        <v>601</v>
      </c>
      <c r="AB4" s="59"/>
    </row>
    <row r="5" spans="1:28" ht="35.1" customHeight="1" x14ac:dyDescent="0.25">
      <c r="A5" s="65"/>
      <c r="B5" s="66"/>
      <c r="C5" s="67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4"/>
      <c r="Q5" s="64"/>
      <c r="R5" s="64"/>
      <c r="S5" s="31" t="s">
        <v>56</v>
      </c>
      <c r="T5" s="35" t="s">
        <v>45</v>
      </c>
      <c r="U5" s="35" t="s">
        <v>35</v>
      </c>
      <c r="V5" s="35"/>
      <c r="W5" s="64"/>
      <c r="X5" s="64"/>
      <c r="Y5" s="64"/>
      <c r="Z5" s="64"/>
      <c r="AA5" s="20" t="s">
        <v>602</v>
      </c>
      <c r="AB5" s="59"/>
    </row>
    <row r="6" spans="1:28" ht="35.1" customHeight="1" x14ac:dyDescent="0.25">
      <c r="A6" s="65" t="s">
        <v>102</v>
      </c>
      <c r="B6" s="66" t="s">
        <v>48</v>
      </c>
      <c r="C6" s="67" t="s">
        <v>49</v>
      </c>
      <c r="D6" s="68" t="s">
        <v>103</v>
      </c>
      <c r="E6" s="68"/>
      <c r="F6" s="68"/>
      <c r="G6" s="68"/>
      <c r="H6" s="68" t="s">
        <v>60</v>
      </c>
      <c r="I6" s="68" t="s">
        <v>43</v>
      </c>
      <c r="J6" s="68" t="s">
        <v>62</v>
      </c>
      <c r="K6" s="68" t="s">
        <v>45</v>
      </c>
      <c r="L6" s="68" t="s">
        <v>74</v>
      </c>
      <c r="M6" s="68" t="s">
        <v>35</v>
      </c>
      <c r="N6" s="68" t="s">
        <v>54</v>
      </c>
      <c r="O6" s="68" t="s">
        <v>54</v>
      </c>
      <c r="P6" s="64" t="s">
        <v>104</v>
      </c>
      <c r="Q6" s="64" t="s">
        <v>37</v>
      </c>
      <c r="R6" s="64" t="s">
        <v>38</v>
      </c>
      <c r="S6" s="31" t="s">
        <v>56</v>
      </c>
      <c r="T6" s="35" t="s">
        <v>45</v>
      </c>
      <c r="U6" s="35" t="s">
        <v>34</v>
      </c>
      <c r="V6" s="35"/>
      <c r="W6" s="64" t="str">
        <f>HYPERLINK("https://www.stromypodkontrolou.cz/map/tree/d41bce85-5010-4276-b929-4760db78c679/2aa463c6-a819-4de9-923c-5b6450b9b594")</f>
        <v>https://www.stromypodkontrolou.cz/map/tree/d41bce85-5010-4276-b929-4760db78c679/2aa463c6-a819-4de9-923c-5b6450b9b594</v>
      </c>
      <c r="X6" s="64">
        <v>-747142.02590799995</v>
      </c>
      <c r="Y6" s="64">
        <v>-1003512.903589</v>
      </c>
      <c r="Z6" s="64" t="str">
        <f>HYPERLINK("https://www.mapy.cz?st=search&amp;fr=50.43389701 14.28504892")</f>
        <v>https://www.mapy.cz?st=search&amp;fr=50.43389701 14.28504892</v>
      </c>
      <c r="AA6" s="20" t="s">
        <v>602</v>
      </c>
      <c r="AB6" s="59"/>
    </row>
    <row r="7" spans="1:28" ht="35.1" customHeight="1" x14ac:dyDescent="0.25">
      <c r="A7" s="65"/>
      <c r="B7" s="66"/>
      <c r="C7" s="67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4"/>
      <c r="Q7" s="64"/>
      <c r="R7" s="64"/>
      <c r="S7" s="31" t="s">
        <v>57</v>
      </c>
      <c r="T7" s="35" t="s">
        <v>45</v>
      </c>
      <c r="U7" s="35" t="s">
        <v>34</v>
      </c>
      <c r="V7" s="35" t="s">
        <v>105</v>
      </c>
      <c r="W7" s="64"/>
      <c r="X7" s="64"/>
      <c r="Y7" s="64"/>
      <c r="Z7" s="64"/>
      <c r="AA7" s="20" t="s">
        <v>603</v>
      </c>
      <c r="AB7" s="59"/>
    </row>
    <row r="8" spans="1:28" ht="35.1" customHeight="1" x14ac:dyDescent="0.25">
      <c r="A8" s="32" t="s">
        <v>107</v>
      </c>
      <c r="B8" s="33" t="s">
        <v>39</v>
      </c>
      <c r="C8" s="34" t="s">
        <v>40</v>
      </c>
      <c r="D8" s="35" t="s">
        <v>108</v>
      </c>
      <c r="E8" s="35"/>
      <c r="F8" s="35"/>
      <c r="G8" s="35"/>
      <c r="H8" s="35" t="s">
        <v>109</v>
      </c>
      <c r="I8" s="35" t="s">
        <v>110</v>
      </c>
      <c r="J8" s="35" t="s">
        <v>78</v>
      </c>
      <c r="K8" s="35" t="s">
        <v>32</v>
      </c>
      <c r="L8" s="35" t="s">
        <v>33</v>
      </c>
      <c r="M8" s="35" t="s">
        <v>34</v>
      </c>
      <c r="N8" s="35" t="s">
        <v>35</v>
      </c>
      <c r="O8" s="35" t="s">
        <v>35</v>
      </c>
      <c r="P8" s="31" t="s">
        <v>67</v>
      </c>
      <c r="Q8" s="31" t="s">
        <v>37</v>
      </c>
      <c r="R8" s="31" t="s">
        <v>590</v>
      </c>
      <c r="S8" s="31" t="s">
        <v>56</v>
      </c>
      <c r="T8" s="35" t="s">
        <v>45</v>
      </c>
      <c r="U8" s="35" t="s">
        <v>35</v>
      </c>
      <c r="V8" s="35"/>
      <c r="W8" s="31" t="str">
        <f>HYPERLINK("https://www.stromypodkontrolou.cz/map/tree/d41bce85-5010-4276-b929-4760db78c679/1f511c9c-b90d-4419-87f4-6b507960c0fb")</f>
        <v>https://www.stromypodkontrolou.cz/map/tree/d41bce85-5010-4276-b929-4760db78c679/1f511c9c-b90d-4419-87f4-6b507960c0fb</v>
      </c>
      <c r="X8" s="31">
        <v>-747245.90783100005</v>
      </c>
      <c r="Y8" s="31">
        <v>-1003597.3049850001</v>
      </c>
      <c r="Z8" s="31" t="str">
        <f>HYPERLINK("https://www.mapy.cz?st=search&amp;fr=50.43301648 14.28376481")</f>
        <v>https://www.mapy.cz?st=search&amp;fr=50.43301648 14.28376481</v>
      </c>
      <c r="AA8" s="20" t="s">
        <v>602</v>
      </c>
      <c r="AB8" s="59"/>
    </row>
    <row r="9" spans="1:28" ht="35.1" customHeight="1" x14ac:dyDescent="0.25">
      <c r="A9" s="32" t="s">
        <v>121</v>
      </c>
      <c r="B9" s="33" t="s">
        <v>39</v>
      </c>
      <c r="C9" s="34" t="s">
        <v>40</v>
      </c>
      <c r="D9" s="35" t="s">
        <v>27</v>
      </c>
      <c r="E9" s="35" t="s">
        <v>122</v>
      </c>
      <c r="F9" s="35" t="s">
        <v>123</v>
      </c>
      <c r="G9" s="35"/>
      <c r="H9" s="35" t="s">
        <v>72</v>
      </c>
      <c r="I9" s="35" t="s">
        <v>124</v>
      </c>
      <c r="J9" s="35" t="s">
        <v>62</v>
      </c>
      <c r="K9" s="35" t="s">
        <v>32</v>
      </c>
      <c r="L9" s="35" t="s">
        <v>74</v>
      </c>
      <c r="M9" s="35" t="s">
        <v>54</v>
      </c>
      <c r="N9" s="35" t="s">
        <v>35</v>
      </c>
      <c r="O9" s="35" t="s">
        <v>54</v>
      </c>
      <c r="P9" s="31" t="s">
        <v>125</v>
      </c>
      <c r="Q9" s="31" t="s">
        <v>37</v>
      </c>
      <c r="R9" s="31" t="s">
        <v>38</v>
      </c>
      <c r="S9" s="31" t="s">
        <v>57</v>
      </c>
      <c r="T9" s="35"/>
      <c r="U9" s="35" t="s">
        <v>54</v>
      </c>
      <c r="V9" s="35" t="s">
        <v>126</v>
      </c>
      <c r="W9" s="31" t="str">
        <f>HYPERLINK("https://www.stromypodkontrolou.cz/map/tree/d41bce85-5010-4276-b929-4760db78c679/43abfa30-4018-4c70-9a3f-c1fc0718c573")</f>
        <v>https://www.stromypodkontrolou.cz/map/tree/d41bce85-5010-4276-b929-4760db78c679/43abfa30-4018-4c70-9a3f-c1fc0718c573</v>
      </c>
      <c r="X9" s="31">
        <v>-747393.87606799998</v>
      </c>
      <c r="Y9" s="31">
        <v>-1003722.037677</v>
      </c>
      <c r="Z9" s="31" t="str">
        <f>HYPERLINK("https://www.mapy.cz?st=search&amp;fr=50.43172206 14.28194460")</f>
        <v>https://www.mapy.cz?st=search&amp;fr=50.43172206 14.28194460</v>
      </c>
      <c r="AA9" s="20" t="s">
        <v>603</v>
      </c>
      <c r="AB9" s="59"/>
    </row>
    <row r="10" spans="1:28" ht="35.1" customHeight="1" x14ac:dyDescent="0.25">
      <c r="A10" s="32" t="s">
        <v>127</v>
      </c>
      <c r="B10" s="33" t="s">
        <v>48</v>
      </c>
      <c r="C10" s="34" t="s">
        <v>49</v>
      </c>
      <c r="D10" s="35" t="s">
        <v>119</v>
      </c>
      <c r="E10" s="35"/>
      <c r="F10" s="35"/>
      <c r="G10" s="35"/>
      <c r="H10" s="35" t="s">
        <v>88</v>
      </c>
      <c r="I10" s="35" t="s">
        <v>43</v>
      </c>
      <c r="J10" s="35" t="s">
        <v>66</v>
      </c>
      <c r="K10" s="35" t="s">
        <v>32</v>
      </c>
      <c r="L10" s="35" t="s">
        <v>33</v>
      </c>
      <c r="M10" s="35" t="s">
        <v>34</v>
      </c>
      <c r="N10" s="35" t="s">
        <v>35</v>
      </c>
      <c r="O10" s="35" t="s">
        <v>54</v>
      </c>
      <c r="P10" s="31" t="s">
        <v>128</v>
      </c>
      <c r="Q10" s="31" t="s">
        <v>37</v>
      </c>
      <c r="R10" s="31" t="s">
        <v>38</v>
      </c>
      <c r="S10" s="31" t="s">
        <v>56</v>
      </c>
      <c r="T10" s="35" t="s">
        <v>45</v>
      </c>
      <c r="U10" s="35" t="s">
        <v>35</v>
      </c>
      <c r="V10" s="35"/>
      <c r="W10" s="31" t="str">
        <f>HYPERLINK("https://www.stromypodkontrolou.cz/map/tree/d41bce85-5010-4276-b929-4760db78c679/a51135a7-a657-4439-a778-e84644099b9f")</f>
        <v>https://www.stromypodkontrolou.cz/map/tree/d41bce85-5010-4276-b929-4760db78c679/a51135a7-a657-4439-a778-e84644099b9f</v>
      </c>
      <c r="X10" s="31">
        <v>-747403.10058900004</v>
      </c>
      <c r="Y10" s="31">
        <v>-1003727.131005</v>
      </c>
      <c r="Z10" s="31" t="str">
        <f>HYPERLINK("https://www.mapy.cz?st=search&amp;fr=50.43166525 14.28182591")</f>
        <v>https://www.mapy.cz?st=search&amp;fr=50.43166525 14.28182591</v>
      </c>
      <c r="AA10" s="20" t="s">
        <v>602</v>
      </c>
      <c r="AB10" s="59"/>
    </row>
    <row r="11" spans="1:28" ht="35.1" customHeight="1" x14ac:dyDescent="0.25">
      <c r="A11" s="32" t="s">
        <v>140</v>
      </c>
      <c r="B11" s="33" t="s">
        <v>25</v>
      </c>
      <c r="C11" s="34" t="s">
        <v>26</v>
      </c>
      <c r="D11" s="35" t="s">
        <v>141</v>
      </c>
      <c r="E11" s="35"/>
      <c r="F11" s="35"/>
      <c r="G11" s="35"/>
      <c r="H11" s="35" t="s">
        <v>99</v>
      </c>
      <c r="I11" s="35" t="s">
        <v>79</v>
      </c>
      <c r="J11" s="35" t="s">
        <v>137</v>
      </c>
      <c r="K11" s="35" t="s">
        <v>32</v>
      </c>
      <c r="L11" s="35" t="s">
        <v>74</v>
      </c>
      <c r="M11" s="35" t="s">
        <v>54</v>
      </c>
      <c r="N11" s="35" t="s">
        <v>35</v>
      </c>
      <c r="O11" s="35" t="s">
        <v>54</v>
      </c>
      <c r="P11" s="31" t="s">
        <v>142</v>
      </c>
      <c r="Q11" s="31" t="s">
        <v>37</v>
      </c>
      <c r="R11" s="31" t="s">
        <v>38</v>
      </c>
      <c r="S11" s="31" t="s">
        <v>56</v>
      </c>
      <c r="T11" s="35" t="s">
        <v>45</v>
      </c>
      <c r="U11" s="35" t="s">
        <v>34</v>
      </c>
      <c r="V11" s="35"/>
      <c r="W11" s="31" t="str">
        <f>HYPERLINK("https://www.stromypodkontrolou.cz/map/tree/d41bce85-5010-4276-b929-4760db78c679/a755c42c-c757-4793-960a-a7489a438ea1")</f>
        <v>https://www.stromypodkontrolou.cz/map/tree/d41bce85-5010-4276-b929-4760db78c679/a755c42c-c757-4793-960a-a7489a438ea1</v>
      </c>
      <c r="X11" s="31">
        <v>-747774.84231400001</v>
      </c>
      <c r="Y11" s="31">
        <v>-1003886.2439220001</v>
      </c>
      <c r="Z11" s="31" t="str">
        <f>HYPERLINK("https://www.mapy.cz?st=search&amp;fr=50.42978664 14.27695334")</f>
        <v>https://www.mapy.cz?st=search&amp;fr=50.42978664 14.27695334</v>
      </c>
      <c r="AA11" s="20" t="s">
        <v>602</v>
      </c>
      <c r="AB11" s="59"/>
    </row>
    <row r="12" spans="1:28" ht="35.1" customHeight="1" x14ac:dyDescent="0.25">
      <c r="A12" s="32" t="s">
        <v>155</v>
      </c>
      <c r="B12" s="33" t="s">
        <v>149</v>
      </c>
      <c r="C12" s="34" t="s">
        <v>150</v>
      </c>
      <c r="D12" s="35" t="s">
        <v>100</v>
      </c>
      <c r="E12" s="35"/>
      <c r="F12" s="35"/>
      <c r="G12" s="35"/>
      <c r="H12" s="35" t="s">
        <v>88</v>
      </c>
      <c r="I12" s="35" t="s">
        <v>89</v>
      </c>
      <c r="J12" s="35" t="s">
        <v>133</v>
      </c>
      <c r="K12" s="35" t="s">
        <v>32</v>
      </c>
      <c r="L12" s="35" t="s">
        <v>33</v>
      </c>
      <c r="M12" s="35" t="s">
        <v>34</v>
      </c>
      <c r="N12" s="35" t="s">
        <v>54</v>
      </c>
      <c r="O12" s="35" t="s">
        <v>54</v>
      </c>
      <c r="P12" s="31" t="s">
        <v>156</v>
      </c>
      <c r="Q12" s="31" t="s">
        <v>151</v>
      </c>
      <c r="R12" s="31" t="s">
        <v>157</v>
      </c>
      <c r="S12" s="31" t="s">
        <v>85</v>
      </c>
      <c r="T12" s="35" t="s">
        <v>31</v>
      </c>
      <c r="U12" s="35" t="s">
        <v>35</v>
      </c>
      <c r="V12" s="35" t="s">
        <v>158</v>
      </c>
      <c r="W12" s="31" t="str">
        <f>HYPERLINK("https://www.stromypodkontrolou.cz/map/tree/d41bce85-5010-4276-b929-4760db78c679/e8e51457-c21d-4a9b-b5eb-ec587eec1329")</f>
        <v>https://www.stromypodkontrolou.cz/map/tree/d41bce85-5010-4276-b929-4760db78c679/e8e51457-c21d-4a9b-b5eb-ec587eec1329</v>
      </c>
      <c r="X12" s="31">
        <v>-736953.90736299998</v>
      </c>
      <c r="Y12" s="31">
        <v>-1007525.298287</v>
      </c>
      <c r="Z12" s="31" t="str">
        <f>HYPERLINK("https://www.mapy.cz?st=search&amp;fr=50.41072455 14.43480872")</f>
        <v>https://www.mapy.cz?st=search&amp;fr=50.41072455 14.43480872</v>
      </c>
      <c r="AA12" s="20" t="s">
        <v>601</v>
      </c>
      <c r="AB12" s="59"/>
    </row>
    <row r="13" spans="1:28" ht="35.1" customHeight="1" x14ac:dyDescent="0.25">
      <c r="A13" s="32" t="s">
        <v>160</v>
      </c>
      <c r="B13" s="33" t="s">
        <v>68</v>
      </c>
      <c r="C13" s="34" t="s">
        <v>69</v>
      </c>
      <c r="D13" s="35" t="s">
        <v>161</v>
      </c>
      <c r="E13" s="35"/>
      <c r="F13" s="35"/>
      <c r="G13" s="35"/>
      <c r="H13" s="35" t="s">
        <v>64</v>
      </c>
      <c r="I13" s="35" t="s">
        <v>43</v>
      </c>
      <c r="J13" s="35" t="s">
        <v>71</v>
      </c>
      <c r="K13" s="35" t="s">
        <v>45</v>
      </c>
      <c r="L13" s="35" t="s">
        <v>74</v>
      </c>
      <c r="M13" s="35" t="s">
        <v>35</v>
      </c>
      <c r="N13" s="35" t="s">
        <v>54</v>
      </c>
      <c r="O13" s="35" t="s">
        <v>54</v>
      </c>
      <c r="P13" s="31" t="s">
        <v>162</v>
      </c>
      <c r="Q13" s="31" t="s">
        <v>151</v>
      </c>
      <c r="R13" s="31" t="s">
        <v>159</v>
      </c>
      <c r="S13" s="31" t="s">
        <v>57</v>
      </c>
      <c r="T13" s="35"/>
      <c r="U13" s="35" t="s">
        <v>34</v>
      </c>
      <c r="V13" s="35" t="s">
        <v>163</v>
      </c>
      <c r="W13" s="31" t="str">
        <f>HYPERLINK("https://www.stromypodkontrolou.cz/map/tree/d41bce85-5010-4276-b929-4760db78c679/43c4127b-14bb-4d7e-bc46-1a9d2186444c")</f>
        <v>https://www.stromypodkontrolou.cz/map/tree/d41bce85-5010-4276-b929-4760db78c679/43c4127b-14bb-4d7e-bc46-1a9d2186444c</v>
      </c>
      <c r="X13" s="31">
        <v>-736975.64414500003</v>
      </c>
      <c r="Y13" s="31">
        <v>-1007503.527865</v>
      </c>
      <c r="Z13" s="31" t="str">
        <f>HYPERLINK("https://www.mapy.cz?st=search&amp;fr=50.41089185 14.43446405")</f>
        <v>https://www.mapy.cz?st=search&amp;fr=50.41089185 14.43446405</v>
      </c>
      <c r="AA13" s="20" t="s">
        <v>603</v>
      </c>
      <c r="AB13" s="59"/>
    </row>
    <row r="14" spans="1:28" ht="35.1" customHeight="1" x14ac:dyDescent="0.25">
      <c r="A14" s="65" t="s">
        <v>168</v>
      </c>
      <c r="B14" s="66" t="s">
        <v>68</v>
      </c>
      <c r="C14" s="67" t="s">
        <v>69</v>
      </c>
      <c r="D14" s="68" t="s">
        <v>169</v>
      </c>
      <c r="E14" s="68"/>
      <c r="F14" s="68"/>
      <c r="G14" s="68"/>
      <c r="H14" s="68" t="s">
        <v>65</v>
      </c>
      <c r="I14" s="68" t="s">
        <v>43</v>
      </c>
      <c r="J14" s="68" t="s">
        <v>71</v>
      </c>
      <c r="K14" s="68" t="s">
        <v>45</v>
      </c>
      <c r="L14" s="68" t="s">
        <v>74</v>
      </c>
      <c r="M14" s="68" t="s">
        <v>35</v>
      </c>
      <c r="N14" s="68" t="s">
        <v>54</v>
      </c>
      <c r="O14" s="68" t="s">
        <v>54</v>
      </c>
      <c r="P14" s="64" t="s">
        <v>170</v>
      </c>
      <c r="Q14" s="64" t="s">
        <v>151</v>
      </c>
      <c r="R14" s="64" t="s">
        <v>152</v>
      </c>
      <c r="S14" s="31" t="s">
        <v>56</v>
      </c>
      <c r="T14" s="35" t="s">
        <v>45</v>
      </c>
      <c r="U14" s="35" t="s">
        <v>34</v>
      </c>
      <c r="V14" s="35"/>
      <c r="W14" s="64" t="str">
        <f>HYPERLINK("https://www.stromypodkontrolou.cz/map/tree/d41bce85-5010-4276-b929-4760db78c679/d3d57290-cc40-4f35-8df6-fb495742c18c")</f>
        <v>https://www.stromypodkontrolou.cz/map/tree/d41bce85-5010-4276-b929-4760db78c679/d3d57290-cc40-4f35-8df6-fb495742c18c</v>
      </c>
      <c r="X14" s="64">
        <v>-737070.69052499998</v>
      </c>
      <c r="Y14" s="64">
        <v>-1007482.741609</v>
      </c>
      <c r="Z14" s="64" t="str">
        <f>HYPERLINK("https://www.mapy.cz?st=search&amp;fr=50.41096065 14.43309948")</f>
        <v>https://www.mapy.cz?st=search&amp;fr=50.41096065 14.43309948</v>
      </c>
      <c r="AA14" s="20" t="s">
        <v>602</v>
      </c>
      <c r="AB14" s="59"/>
    </row>
    <row r="15" spans="1:28" ht="35.1" customHeight="1" x14ac:dyDescent="0.25">
      <c r="A15" s="65"/>
      <c r="B15" s="66"/>
      <c r="C15" s="67"/>
      <c r="D15" s="68"/>
      <c r="E15" s="68"/>
      <c r="F15" s="68"/>
      <c r="G15" s="68"/>
      <c r="H15" s="68"/>
      <c r="I15" s="68"/>
      <c r="J15" s="68"/>
      <c r="K15" s="68"/>
      <c r="L15" s="68"/>
      <c r="M15" s="68"/>
      <c r="N15" s="68"/>
      <c r="O15" s="68"/>
      <c r="P15" s="64"/>
      <c r="Q15" s="64"/>
      <c r="R15" s="64"/>
      <c r="S15" s="31" t="s">
        <v>57</v>
      </c>
      <c r="T15" s="35" t="s">
        <v>45</v>
      </c>
      <c r="U15" s="35" t="s">
        <v>34</v>
      </c>
      <c r="V15" s="35" t="s">
        <v>58</v>
      </c>
      <c r="W15" s="64"/>
      <c r="X15" s="64"/>
      <c r="Y15" s="64"/>
      <c r="Z15" s="64"/>
      <c r="AA15" s="20" t="s">
        <v>603</v>
      </c>
      <c r="AB15" s="59"/>
    </row>
    <row r="16" spans="1:28" ht="35.1" customHeight="1" x14ac:dyDescent="0.25">
      <c r="A16" s="32" t="s">
        <v>171</v>
      </c>
      <c r="B16" s="33" t="s">
        <v>68</v>
      </c>
      <c r="C16" s="34" t="s">
        <v>69</v>
      </c>
      <c r="D16" s="35" t="s">
        <v>172</v>
      </c>
      <c r="E16" s="35"/>
      <c r="F16" s="35"/>
      <c r="G16" s="35"/>
      <c r="H16" s="35" t="s">
        <v>146</v>
      </c>
      <c r="I16" s="35" t="s">
        <v>43</v>
      </c>
      <c r="J16" s="35" t="s">
        <v>133</v>
      </c>
      <c r="K16" s="35" t="s">
        <v>45</v>
      </c>
      <c r="L16" s="35" t="s">
        <v>74</v>
      </c>
      <c r="M16" s="35" t="s">
        <v>35</v>
      </c>
      <c r="N16" s="35" t="s">
        <v>35</v>
      </c>
      <c r="O16" s="35" t="s">
        <v>54</v>
      </c>
      <c r="P16" s="31" t="s">
        <v>173</v>
      </c>
      <c r="Q16" s="31" t="s">
        <v>151</v>
      </c>
      <c r="R16" s="31" t="s">
        <v>159</v>
      </c>
      <c r="S16" s="31" t="s">
        <v>56</v>
      </c>
      <c r="T16" s="35" t="s">
        <v>45</v>
      </c>
      <c r="U16" s="35" t="s">
        <v>35</v>
      </c>
      <c r="V16" s="35"/>
      <c r="W16" s="31" t="str">
        <f>HYPERLINK("https://www.stromypodkontrolou.cz/map/tree/d41bce85-5010-4276-b929-4760db78c679/30bb576e-fce8-4198-a34d-befe7cb03d6b")</f>
        <v>https://www.stromypodkontrolou.cz/map/tree/d41bce85-5010-4276-b929-4760db78c679/30bb576e-fce8-4198-a34d-befe7cb03d6b</v>
      </c>
      <c r="X16" s="31">
        <v>-737083.01697800006</v>
      </c>
      <c r="Y16" s="31">
        <v>-1007456.388057</v>
      </c>
      <c r="Z16" s="31" t="str">
        <f>HYPERLINK("https://www.mapy.cz?st=search&amp;fr=50.41118028 14.43287719")</f>
        <v>https://www.mapy.cz?st=search&amp;fr=50.41118028 14.43287719</v>
      </c>
      <c r="AA16" s="20" t="s">
        <v>602</v>
      </c>
      <c r="AB16" s="59"/>
    </row>
    <row r="17" spans="1:28" ht="35.1" customHeight="1" x14ac:dyDescent="0.25">
      <c r="A17" s="32" t="s">
        <v>189</v>
      </c>
      <c r="B17" s="33" t="s">
        <v>68</v>
      </c>
      <c r="C17" s="34" t="s">
        <v>69</v>
      </c>
      <c r="D17" s="35" t="s">
        <v>161</v>
      </c>
      <c r="E17" s="35"/>
      <c r="F17" s="35"/>
      <c r="G17" s="35"/>
      <c r="H17" s="35" t="s">
        <v>109</v>
      </c>
      <c r="I17" s="35" t="s">
        <v>89</v>
      </c>
      <c r="J17" s="35" t="s">
        <v>53</v>
      </c>
      <c r="K17" s="35" t="s">
        <v>45</v>
      </c>
      <c r="L17" s="35" t="s">
        <v>74</v>
      </c>
      <c r="M17" s="35" t="s">
        <v>35</v>
      </c>
      <c r="N17" s="35" t="s">
        <v>54</v>
      </c>
      <c r="O17" s="35" t="s">
        <v>54</v>
      </c>
      <c r="P17" s="31" t="s">
        <v>190</v>
      </c>
      <c r="Q17" s="31" t="s">
        <v>151</v>
      </c>
      <c r="R17" s="31" t="s">
        <v>184</v>
      </c>
      <c r="S17" s="31" t="s">
        <v>85</v>
      </c>
      <c r="T17" s="35" t="s">
        <v>31</v>
      </c>
      <c r="U17" s="35" t="s">
        <v>35</v>
      </c>
      <c r="V17" s="35" t="s">
        <v>86</v>
      </c>
      <c r="W17" s="31" t="str">
        <f>HYPERLINK("https://www.stromypodkontrolou.cz/map/tree/d41bce85-5010-4276-b929-4760db78c679/2d847592-1e4f-4ee2-8ad1-3ecacb943cab")</f>
        <v>https://www.stromypodkontrolou.cz/map/tree/d41bce85-5010-4276-b929-4760db78c679/2d847592-1e4f-4ee2-8ad1-3ecacb943cab</v>
      </c>
      <c r="X17" s="31">
        <v>-737138.83590900002</v>
      </c>
      <c r="Y17" s="31">
        <v>-1007326.971688</v>
      </c>
      <c r="Z17" s="31" t="str">
        <f>HYPERLINK("https://www.mapy.cz?st=search&amp;fr=50.41226462 14.43185125")</f>
        <v>https://www.mapy.cz?st=search&amp;fr=50.41226462 14.43185125</v>
      </c>
      <c r="AA17" s="20" t="s">
        <v>605</v>
      </c>
      <c r="AB17" s="59"/>
    </row>
    <row r="18" spans="1:28" ht="35.1" customHeight="1" x14ac:dyDescent="0.25">
      <c r="A18" s="32" t="s">
        <v>191</v>
      </c>
      <c r="B18" s="33" t="s">
        <v>187</v>
      </c>
      <c r="C18" s="34" t="s">
        <v>188</v>
      </c>
      <c r="D18" s="35" t="s">
        <v>92</v>
      </c>
      <c r="E18" s="35" t="s">
        <v>103</v>
      </c>
      <c r="F18" s="35" t="s">
        <v>179</v>
      </c>
      <c r="G18" s="35" t="s">
        <v>192</v>
      </c>
      <c r="H18" s="35" t="s">
        <v>52</v>
      </c>
      <c r="I18" s="35" t="s">
        <v>124</v>
      </c>
      <c r="J18" s="35" t="s">
        <v>137</v>
      </c>
      <c r="K18" s="35" t="s">
        <v>32</v>
      </c>
      <c r="L18" s="35" t="s">
        <v>74</v>
      </c>
      <c r="M18" s="35" t="s">
        <v>35</v>
      </c>
      <c r="N18" s="35" t="s">
        <v>54</v>
      </c>
      <c r="O18" s="35" t="s">
        <v>32</v>
      </c>
      <c r="P18" s="31" t="s">
        <v>193</v>
      </c>
      <c r="Q18" s="31" t="s">
        <v>151</v>
      </c>
      <c r="R18" s="31" t="s">
        <v>184</v>
      </c>
      <c r="S18" s="31" t="s">
        <v>85</v>
      </c>
      <c r="T18" s="35" t="s">
        <v>31</v>
      </c>
      <c r="U18" s="35" t="s">
        <v>34</v>
      </c>
      <c r="V18" s="35" t="s">
        <v>194</v>
      </c>
      <c r="W18" s="31" t="str">
        <f>HYPERLINK("https://www.stromypodkontrolou.cz/map/tree/d41bce85-5010-4276-b929-4760db78c679/bddb197f-ba46-43f0-acc1-88c6193b2392")</f>
        <v>https://www.stromypodkontrolou.cz/map/tree/d41bce85-5010-4276-b929-4760db78c679/bddb197f-ba46-43f0-acc1-88c6193b2392</v>
      </c>
      <c r="X18" s="31">
        <v>-737161.29818100005</v>
      </c>
      <c r="Y18" s="31">
        <v>-1007319.590222</v>
      </c>
      <c r="Z18" s="31" t="str">
        <f>HYPERLINK("https://www.mapy.cz?st=search&amp;fr=50.41230286 14.43152402")</f>
        <v>https://www.mapy.cz?st=search&amp;fr=50.41230286 14.43152402</v>
      </c>
      <c r="AA18" s="20" t="s">
        <v>601</v>
      </c>
      <c r="AB18" s="59"/>
    </row>
    <row r="19" spans="1:28" ht="35.1" customHeight="1" x14ac:dyDescent="0.25">
      <c r="A19" s="65" t="s">
        <v>198</v>
      </c>
      <c r="B19" s="66" t="s">
        <v>187</v>
      </c>
      <c r="C19" s="67" t="s">
        <v>188</v>
      </c>
      <c r="D19" s="68" t="s">
        <v>92</v>
      </c>
      <c r="E19" s="68" t="s">
        <v>95</v>
      </c>
      <c r="F19" s="68" t="s">
        <v>27</v>
      </c>
      <c r="G19" s="68" t="s">
        <v>179</v>
      </c>
      <c r="H19" s="68" t="s">
        <v>52</v>
      </c>
      <c r="I19" s="68" t="s">
        <v>124</v>
      </c>
      <c r="J19" s="68" t="s">
        <v>137</v>
      </c>
      <c r="K19" s="68" t="s">
        <v>45</v>
      </c>
      <c r="L19" s="68" t="s">
        <v>74</v>
      </c>
      <c r="M19" s="68" t="s">
        <v>35</v>
      </c>
      <c r="N19" s="68" t="s">
        <v>35</v>
      </c>
      <c r="O19" s="68" t="s">
        <v>54</v>
      </c>
      <c r="P19" s="64" t="s">
        <v>199</v>
      </c>
      <c r="Q19" s="64" t="s">
        <v>151</v>
      </c>
      <c r="R19" s="64" t="s">
        <v>184</v>
      </c>
      <c r="S19" s="31" t="s">
        <v>57</v>
      </c>
      <c r="T19" s="35" t="s">
        <v>45</v>
      </c>
      <c r="U19" s="35" t="s">
        <v>35</v>
      </c>
      <c r="V19" s="35" t="s">
        <v>200</v>
      </c>
      <c r="W19" s="64" t="str">
        <f>HYPERLINK("https://www.stromypodkontrolou.cz/map/tree/d41bce85-5010-4276-b929-4760db78c679/4959e92d-eab6-48b1-a132-b62f724a6b46")</f>
        <v>https://www.stromypodkontrolou.cz/map/tree/d41bce85-5010-4276-b929-4760db78c679/4959e92d-eab6-48b1-a132-b62f724a6b46</v>
      </c>
      <c r="X19" s="64">
        <v>-737211.90516199998</v>
      </c>
      <c r="Y19" s="64">
        <v>-1007252.374829</v>
      </c>
      <c r="Z19" s="64" t="str">
        <f>HYPERLINK("https://www.mapy.cz?st=search&amp;fr=50.41283957 14.43068985")</f>
        <v>https://www.mapy.cz?st=search&amp;fr=50.41283957 14.43068985</v>
      </c>
      <c r="AA19" s="20" t="s">
        <v>599</v>
      </c>
      <c r="AB19" s="59"/>
    </row>
    <row r="20" spans="1:28" ht="35.1" customHeight="1" x14ac:dyDescent="0.25">
      <c r="A20" s="65"/>
      <c r="B20" s="66"/>
      <c r="C20" s="67"/>
      <c r="D20" s="68"/>
      <c r="E20" s="68"/>
      <c r="F20" s="68"/>
      <c r="G20" s="68"/>
      <c r="H20" s="68"/>
      <c r="I20" s="68"/>
      <c r="J20" s="68"/>
      <c r="K20" s="68"/>
      <c r="L20" s="68"/>
      <c r="M20" s="68"/>
      <c r="N20" s="68"/>
      <c r="O20" s="68"/>
      <c r="P20" s="64"/>
      <c r="Q20" s="64"/>
      <c r="R20" s="64"/>
      <c r="S20" s="31" t="s">
        <v>56</v>
      </c>
      <c r="T20" s="35" t="s">
        <v>45</v>
      </c>
      <c r="U20" s="35" t="s">
        <v>35</v>
      </c>
      <c r="V20" s="35"/>
      <c r="W20" s="64"/>
      <c r="X20" s="64"/>
      <c r="Y20" s="64"/>
      <c r="Z20" s="64"/>
      <c r="AA20" s="20" t="s">
        <v>602</v>
      </c>
      <c r="AB20" s="59"/>
    </row>
    <row r="21" spans="1:28" ht="35.1" customHeight="1" x14ac:dyDescent="0.25">
      <c r="A21" s="32" t="s">
        <v>203</v>
      </c>
      <c r="B21" s="33" t="s">
        <v>149</v>
      </c>
      <c r="C21" s="34" t="s">
        <v>150</v>
      </c>
      <c r="D21" s="35" t="s">
        <v>185</v>
      </c>
      <c r="E21" s="35" t="s">
        <v>96</v>
      </c>
      <c r="F21" s="35"/>
      <c r="G21" s="35"/>
      <c r="H21" s="35" t="s">
        <v>42</v>
      </c>
      <c r="I21" s="35" t="s">
        <v>30</v>
      </c>
      <c r="J21" s="35" t="s">
        <v>53</v>
      </c>
      <c r="K21" s="35" t="s">
        <v>32</v>
      </c>
      <c r="L21" s="35" t="s">
        <v>74</v>
      </c>
      <c r="M21" s="35" t="s">
        <v>54</v>
      </c>
      <c r="N21" s="35" t="s">
        <v>54</v>
      </c>
      <c r="O21" s="35" t="s">
        <v>54</v>
      </c>
      <c r="P21" s="31" t="s">
        <v>204</v>
      </c>
      <c r="Q21" s="31" t="s">
        <v>151</v>
      </c>
      <c r="R21" s="31" t="s">
        <v>159</v>
      </c>
      <c r="S21" s="31" t="s">
        <v>85</v>
      </c>
      <c r="T21" s="35" t="s">
        <v>31</v>
      </c>
      <c r="U21" s="35" t="s">
        <v>34</v>
      </c>
      <c r="V21" s="35" t="s">
        <v>86</v>
      </c>
      <c r="W21" s="31" t="str">
        <f>HYPERLINK("https://www.stromypodkontrolou.cz/map/tree/d41bce85-5010-4276-b929-4760db78c679/b6bf1e8d-8fa2-46e3-b98a-97ae0024b9a5")</f>
        <v>https://www.stromypodkontrolou.cz/map/tree/d41bce85-5010-4276-b929-4760db78c679/b6bf1e8d-8fa2-46e3-b98a-97ae0024b9a5</v>
      </c>
      <c r="X21" s="31">
        <v>-737317.91716399998</v>
      </c>
      <c r="Y21" s="31">
        <v>-1007146.04719</v>
      </c>
      <c r="Z21" s="31" t="str">
        <f>HYPERLINK("https://www.mapy.cz?st=search&amp;fr=50.41365678 14.42900844")</f>
        <v>https://www.mapy.cz?st=search&amp;fr=50.41365678 14.42900844</v>
      </c>
      <c r="AA21" s="20" t="s">
        <v>605</v>
      </c>
      <c r="AB21" s="59"/>
    </row>
    <row r="22" spans="1:28" ht="35.1" customHeight="1" x14ac:dyDescent="0.25">
      <c r="A22" s="32" t="s">
        <v>206</v>
      </c>
      <c r="B22" s="33" t="s">
        <v>68</v>
      </c>
      <c r="C22" s="34" t="s">
        <v>69</v>
      </c>
      <c r="D22" s="35" t="s">
        <v>114</v>
      </c>
      <c r="E22" s="35"/>
      <c r="F22" s="35"/>
      <c r="G22" s="35"/>
      <c r="H22" s="35" t="s">
        <v>29</v>
      </c>
      <c r="I22" s="35" t="s">
        <v>30</v>
      </c>
      <c r="J22" s="35" t="s">
        <v>62</v>
      </c>
      <c r="K22" s="35" t="s">
        <v>45</v>
      </c>
      <c r="L22" s="35" t="s">
        <v>74</v>
      </c>
      <c r="M22" s="35" t="s">
        <v>54</v>
      </c>
      <c r="N22" s="35" t="s">
        <v>54</v>
      </c>
      <c r="O22" s="35" t="s">
        <v>54</v>
      </c>
      <c r="P22" s="31" t="s">
        <v>207</v>
      </c>
      <c r="Q22" s="31" t="s">
        <v>151</v>
      </c>
      <c r="R22" s="31" t="s">
        <v>159</v>
      </c>
      <c r="S22" s="31" t="s">
        <v>85</v>
      </c>
      <c r="T22" s="35" t="s">
        <v>31</v>
      </c>
      <c r="U22" s="35" t="s">
        <v>34</v>
      </c>
      <c r="V22" s="35" t="s">
        <v>86</v>
      </c>
      <c r="W22" s="31" t="str">
        <f>HYPERLINK("https://www.stromypodkontrolou.cz/map/tree/d41bce85-5010-4276-b929-4760db78c679/256460c0-6bf4-4ec8-adf8-4dc1e746719e")</f>
        <v>https://www.stromypodkontrolou.cz/map/tree/d41bce85-5010-4276-b929-4760db78c679/256460c0-6bf4-4ec8-adf8-4dc1e746719e</v>
      </c>
      <c r="X22" s="31">
        <v>-737339.03928999999</v>
      </c>
      <c r="Y22" s="31">
        <v>-1007118.603428</v>
      </c>
      <c r="Z22" s="31" t="str">
        <f>HYPERLINK("https://www.mapy.cz?st=search&amp;fr=50.41387534 14.42866143")</f>
        <v>https://www.mapy.cz?st=search&amp;fr=50.41387534 14.42866143</v>
      </c>
      <c r="AA22" s="20" t="s">
        <v>601</v>
      </c>
      <c r="AB22" s="59"/>
    </row>
    <row r="23" spans="1:28" ht="35.1" customHeight="1" x14ac:dyDescent="0.25">
      <c r="A23" s="32" t="s">
        <v>209</v>
      </c>
      <c r="B23" s="33" t="s">
        <v>149</v>
      </c>
      <c r="C23" s="34" t="s">
        <v>150</v>
      </c>
      <c r="D23" s="35" t="s">
        <v>210</v>
      </c>
      <c r="E23" s="35"/>
      <c r="F23" s="35"/>
      <c r="G23" s="35"/>
      <c r="H23" s="35" t="s">
        <v>72</v>
      </c>
      <c r="I23" s="35" t="s">
        <v>73</v>
      </c>
      <c r="J23" s="35" t="s">
        <v>78</v>
      </c>
      <c r="K23" s="35" t="s">
        <v>32</v>
      </c>
      <c r="L23" s="35" t="s">
        <v>46</v>
      </c>
      <c r="M23" s="35" t="s">
        <v>35</v>
      </c>
      <c r="N23" s="35" t="s">
        <v>54</v>
      </c>
      <c r="O23" s="35" t="s">
        <v>32</v>
      </c>
      <c r="P23" s="31" t="s">
        <v>211</v>
      </c>
      <c r="Q23" s="31" t="s">
        <v>151</v>
      </c>
      <c r="R23" s="31" t="s">
        <v>184</v>
      </c>
      <c r="S23" s="31" t="s">
        <v>85</v>
      </c>
      <c r="T23" s="35" t="s">
        <v>31</v>
      </c>
      <c r="U23" s="35" t="s">
        <v>34</v>
      </c>
      <c r="V23" s="35" t="s">
        <v>212</v>
      </c>
      <c r="W23" s="31" t="str">
        <f>HYPERLINK("https://www.stromypodkontrolou.cz/map/tree/d41bce85-5010-4276-b929-4760db78c679/8743c845-324f-423a-9223-8efb1d11f883")</f>
        <v>https://www.stromypodkontrolou.cz/map/tree/d41bce85-5010-4276-b929-4760db78c679/8743c845-324f-423a-9223-8efb1d11f883</v>
      </c>
      <c r="X23" s="31">
        <v>-737349.73073900002</v>
      </c>
      <c r="Y23" s="31">
        <v>-1007080.5520190001</v>
      </c>
      <c r="Z23" s="31" t="str">
        <f>HYPERLINK("https://www.mapy.cz?st=search&amp;fr=50.41420116 14.42843948")</f>
        <v>https://www.mapy.cz?st=search&amp;fr=50.41420116 14.42843948</v>
      </c>
      <c r="AA23" s="20" t="s">
        <v>601</v>
      </c>
      <c r="AB23" s="59"/>
    </row>
    <row r="24" spans="1:28" ht="35.1" customHeight="1" x14ac:dyDescent="0.25">
      <c r="A24" s="32" t="s">
        <v>218</v>
      </c>
      <c r="B24" s="33" t="s">
        <v>68</v>
      </c>
      <c r="C24" s="34" t="s">
        <v>69</v>
      </c>
      <c r="D24" s="35" t="s">
        <v>119</v>
      </c>
      <c r="E24" s="35" t="s">
        <v>63</v>
      </c>
      <c r="F24" s="35" t="s">
        <v>219</v>
      </c>
      <c r="G24" s="35"/>
      <c r="H24" s="35" t="s">
        <v>51</v>
      </c>
      <c r="I24" s="35" t="s">
        <v>89</v>
      </c>
      <c r="J24" s="35" t="s">
        <v>66</v>
      </c>
      <c r="K24" s="35" t="s">
        <v>32</v>
      </c>
      <c r="L24" s="35" t="s">
        <v>74</v>
      </c>
      <c r="M24" s="35" t="s">
        <v>34</v>
      </c>
      <c r="N24" s="35" t="s">
        <v>54</v>
      </c>
      <c r="O24" s="35" t="s">
        <v>54</v>
      </c>
      <c r="P24" s="31" t="s">
        <v>220</v>
      </c>
      <c r="Q24" s="31" t="s">
        <v>216</v>
      </c>
      <c r="R24" s="31" t="s">
        <v>217</v>
      </c>
      <c r="S24" s="31" t="s">
        <v>85</v>
      </c>
      <c r="T24" s="35" t="s">
        <v>31</v>
      </c>
      <c r="U24" s="35" t="s">
        <v>35</v>
      </c>
      <c r="V24" s="35" t="s">
        <v>86</v>
      </c>
      <c r="W24" s="31" t="str">
        <f>HYPERLINK("https://www.stromypodkontrolou.cz/map/tree/d41bce85-5010-4276-b929-4760db78c679/9b7f1a58-69a1-42d0-9995-b261bbd71aaf")</f>
        <v>https://www.stromypodkontrolou.cz/map/tree/d41bce85-5010-4276-b929-4760db78c679/9b7f1a58-69a1-42d0-9995-b261bbd71aaf</v>
      </c>
      <c r="X24" s="31">
        <v>-736173.30781999999</v>
      </c>
      <c r="Y24" s="31">
        <v>-1011139.3061939999</v>
      </c>
      <c r="Z24" s="31" t="str">
        <f>HYPERLINK("https://www.mapy.cz?st=search&amp;fr=50.37948950 14.45259880")</f>
        <v>https://www.mapy.cz?st=search&amp;fr=50.37948950 14.45259880</v>
      </c>
      <c r="AA24" s="20" t="s">
        <v>601</v>
      </c>
      <c r="AB24" s="59"/>
    </row>
    <row r="25" spans="1:28" ht="35.1" customHeight="1" x14ac:dyDescent="0.25">
      <c r="A25" s="32" t="s">
        <v>223</v>
      </c>
      <c r="B25" s="33" t="s">
        <v>149</v>
      </c>
      <c r="C25" s="34" t="s">
        <v>150</v>
      </c>
      <c r="D25" s="35" t="s">
        <v>222</v>
      </c>
      <c r="E25" s="35" t="s">
        <v>41</v>
      </c>
      <c r="F25" s="35" t="s">
        <v>92</v>
      </c>
      <c r="G25" s="35" t="s">
        <v>95</v>
      </c>
      <c r="H25" s="35" t="s">
        <v>60</v>
      </c>
      <c r="I25" s="35" t="s">
        <v>73</v>
      </c>
      <c r="J25" s="35" t="s">
        <v>113</v>
      </c>
      <c r="K25" s="35" t="s">
        <v>45</v>
      </c>
      <c r="L25" s="35" t="s">
        <v>74</v>
      </c>
      <c r="M25" s="35" t="s">
        <v>35</v>
      </c>
      <c r="N25" s="35" t="s">
        <v>35</v>
      </c>
      <c r="O25" s="35" t="s">
        <v>54</v>
      </c>
      <c r="P25" s="31" t="s">
        <v>224</v>
      </c>
      <c r="Q25" s="31" t="s">
        <v>216</v>
      </c>
      <c r="R25" s="31" t="s">
        <v>221</v>
      </c>
      <c r="S25" s="31" t="s">
        <v>85</v>
      </c>
      <c r="T25" s="35" t="s">
        <v>31</v>
      </c>
      <c r="U25" s="35" t="s">
        <v>35</v>
      </c>
      <c r="V25" s="35" t="s">
        <v>86</v>
      </c>
      <c r="W25" s="31" t="str">
        <f>HYPERLINK("https://www.stromypodkontrolou.cz/map/tree/d41bce85-5010-4276-b929-4760db78c679/0fc50d1a-4a7b-46f0-b9e7-169aee9a1dae")</f>
        <v>https://www.stromypodkontrolou.cz/map/tree/d41bce85-5010-4276-b929-4760db78c679/0fc50d1a-4a7b-46f0-b9e7-169aee9a1dae</v>
      </c>
      <c r="X25" s="31">
        <v>-736207.56729299994</v>
      </c>
      <c r="Y25" s="31">
        <v>-1011289.217472</v>
      </c>
      <c r="Z25" s="31" t="str">
        <f>HYPERLINK("https://www.mapy.cz?st=search&amp;fr=50.37811237 14.45240803")</f>
        <v>https://www.mapy.cz?st=search&amp;fr=50.37811237 14.45240803</v>
      </c>
      <c r="AA25" s="20" t="s">
        <v>601</v>
      </c>
      <c r="AB25" s="59"/>
    </row>
    <row r="26" spans="1:28" ht="35.1" customHeight="1" x14ac:dyDescent="0.25">
      <c r="A26" s="65" t="s">
        <v>227</v>
      </c>
      <c r="B26" s="66" t="s">
        <v>68</v>
      </c>
      <c r="C26" s="67" t="s">
        <v>69</v>
      </c>
      <c r="D26" s="68" t="s">
        <v>87</v>
      </c>
      <c r="E26" s="68"/>
      <c r="F26" s="68"/>
      <c r="G26" s="68"/>
      <c r="H26" s="68" t="s">
        <v>166</v>
      </c>
      <c r="I26" s="68" t="s">
        <v>43</v>
      </c>
      <c r="J26" s="68" t="s">
        <v>137</v>
      </c>
      <c r="K26" s="68" t="s">
        <v>32</v>
      </c>
      <c r="L26" s="68" t="s">
        <v>74</v>
      </c>
      <c r="M26" s="68" t="s">
        <v>35</v>
      </c>
      <c r="N26" s="68" t="s">
        <v>54</v>
      </c>
      <c r="O26" s="68" t="s">
        <v>54</v>
      </c>
      <c r="P26" s="64" t="s">
        <v>228</v>
      </c>
      <c r="Q26" s="64" t="s">
        <v>216</v>
      </c>
      <c r="R26" s="64" t="s">
        <v>221</v>
      </c>
      <c r="S26" s="31" t="s">
        <v>56</v>
      </c>
      <c r="T26" s="35" t="s">
        <v>45</v>
      </c>
      <c r="U26" s="35" t="s">
        <v>35</v>
      </c>
      <c r="V26" s="35"/>
      <c r="W26" s="64" t="str">
        <f>HYPERLINK("https://www.stromypodkontrolou.cz/map/tree/d41bce85-5010-4276-b929-4760db78c679/82f789d8-db9c-423a-a0a8-12e31db6d5f8")</f>
        <v>https://www.stromypodkontrolou.cz/map/tree/d41bce85-5010-4276-b929-4760db78c679/82f789d8-db9c-423a-a0a8-12e31db6d5f8</v>
      </c>
      <c r="X26" s="64">
        <v>-736055.56841399998</v>
      </c>
      <c r="Y26" s="64">
        <v>-1010998.278451</v>
      </c>
      <c r="Z26" s="64" t="str">
        <f>HYPERLINK("https://www.mapy.cz?st=search&amp;fr=50.38088949 14.45396941")</f>
        <v>https://www.mapy.cz?st=search&amp;fr=50.38088949 14.45396941</v>
      </c>
      <c r="AA26" s="20" t="s">
        <v>602</v>
      </c>
      <c r="AB26" s="59"/>
    </row>
    <row r="27" spans="1:28" ht="35.1" customHeight="1" x14ac:dyDescent="0.25">
      <c r="A27" s="65"/>
      <c r="B27" s="66"/>
      <c r="C27" s="67"/>
      <c r="D27" s="68"/>
      <c r="E27" s="68"/>
      <c r="F27" s="68"/>
      <c r="G27" s="68"/>
      <c r="H27" s="68"/>
      <c r="I27" s="68"/>
      <c r="J27" s="68"/>
      <c r="K27" s="68"/>
      <c r="L27" s="68"/>
      <c r="M27" s="68"/>
      <c r="N27" s="68"/>
      <c r="O27" s="68"/>
      <c r="P27" s="64"/>
      <c r="Q27" s="64"/>
      <c r="R27" s="64"/>
      <c r="S27" s="31" t="s">
        <v>57</v>
      </c>
      <c r="T27" s="35" t="s">
        <v>45</v>
      </c>
      <c r="U27" s="35" t="s">
        <v>35</v>
      </c>
      <c r="V27" s="35" t="s">
        <v>200</v>
      </c>
      <c r="W27" s="64"/>
      <c r="X27" s="64"/>
      <c r="Y27" s="64"/>
      <c r="Z27" s="64"/>
      <c r="AA27" s="20" t="s">
        <v>599</v>
      </c>
      <c r="AB27" s="59"/>
    </row>
    <row r="28" spans="1:28" ht="35.1" customHeight="1" x14ac:dyDescent="0.25">
      <c r="A28" s="65" t="s">
        <v>229</v>
      </c>
      <c r="B28" s="66" t="s">
        <v>68</v>
      </c>
      <c r="C28" s="67" t="s">
        <v>69</v>
      </c>
      <c r="D28" s="68" t="s">
        <v>201</v>
      </c>
      <c r="E28" s="68"/>
      <c r="F28" s="68"/>
      <c r="G28" s="68"/>
      <c r="H28" s="68" t="s">
        <v>166</v>
      </c>
      <c r="I28" s="68" t="s">
        <v>43</v>
      </c>
      <c r="J28" s="68" t="s">
        <v>137</v>
      </c>
      <c r="K28" s="68" t="s">
        <v>32</v>
      </c>
      <c r="L28" s="68" t="s">
        <v>74</v>
      </c>
      <c r="M28" s="68" t="s">
        <v>35</v>
      </c>
      <c r="N28" s="68" t="s">
        <v>54</v>
      </c>
      <c r="O28" s="68" t="s">
        <v>54</v>
      </c>
      <c r="P28" s="64" t="s">
        <v>228</v>
      </c>
      <c r="Q28" s="64" t="s">
        <v>216</v>
      </c>
      <c r="R28" s="64" t="s">
        <v>221</v>
      </c>
      <c r="S28" s="31" t="s">
        <v>57</v>
      </c>
      <c r="T28" s="35" t="s">
        <v>45</v>
      </c>
      <c r="U28" s="35" t="s">
        <v>35</v>
      </c>
      <c r="V28" s="35" t="s">
        <v>200</v>
      </c>
      <c r="W28" s="64" t="str">
        <f>HYPERLINK("https://www.stromypodkontrolou.cz/map/tree/d41bce85-5010-4276-b929-4760db78c679/4588b22b-de29-407d-b9c2-2cee3a7f6e5b")</f>
        <v>https://www.stromypodkontrolou.cz/map/tree/d41bce85-5010-4276-b929-4760db78c679/4588b22b-de29-407d-b9c2-2cee3a7f6e5b</v>
      </c>
      <c r="X28" s="64">
        <v>-736053.28681099997</v>
      </c>
      <c r="Y28" s="64">
        <v>-1010994.102772</v>
      </c>
      <c r="Z28" s="64" t="str">
        <f>HYPERLINK("https://www.mapy.cz?st=search&amp;fr=50.38092947 14.45399322")</f>
        <v>https://www.mapy.cz?st=search&amp;fr=50.38092947 14.45399322</v>
      </c>
      <c r="AA28" s="20" t="s">
        <v>599</v>
      </c>
      <c r="AB28" s="59"/>
    </row>
    <row r="29" spans="1:28" ht="35.1" customHeight="1" x14ac:dyDescent="0.25">
      <c r="A29" s="65"/>
      <c r="B29" s="66"/>
      <c r="C29" s="67"/>
      <c r="D29" s="68"/>
      <c r="E29" s="68"/>
      <c r="F29" s="68"/>
      <c r="G29" s="68"/>
      <c r="H29" s="68"/>
      <c r="I29" s="68"/>
      <c r="J29" s="68"/>
      <c r="K29" s="68"/>
      <c r="L29" s="68"/>
      <c r="M29" s="68"/>
      <c r="N29" s="68"/>
      <c r="O29" s="68"/>
      <c r="P29" s="64"/>
      <c r="Q29" s="64"/>
      <c r="R29" s="64"/>
      <c r="S29" s="31" t="s">
        <v>56</v>
      </c>
      <c r="T29" s="35" t="s">
        <v>45</v>
      </c>
      <c r="U29" s="35" t="s">
        <v>35</v>
      </c>
      <c r="V29" s="35"/>
      <c r="W29" s="64"/>
      <c r="X29" s="64"/>
      <c r="Y29" s="64"/>
      <c r="Z29" s="64"/>
      <c r="AA29" s="20" t="s">
        <v>602</v>
      </c>
      <c r="AB29" s="59"/>
    </row>
    <row r="30" spans="1:28" ht="35.1" customHeight="1" x14ac:dyDescent="0.25">
      <c r="A30" s="32" t="s">
        <v>230</v>
      </c>
      <c r="B30" s="33" t="s">
        <v>68</v>
      </c>
      <c r="C30" s="34" t="s">
        <v>69</v>
      </c>
      <c r="D30" s="35" t="s">
        <v>108</v>
      </c>
      <c r="E30" s="35"/>
      <c r="F30" s="35"/>
      <c r="G30" s="35"/>
      <c r="H30" s="35" t="s">
        <v>166</v>
      </c>
      <c r="I30" s="35" t="s">
        <v>43</v>
      </c>
      <c r="J30" s="35" t="s">
        <v>137</v>
      </c>
      <c r="K30" s="35" t="s">
        <v>32</v>
      </c>
      <c r="L30" s="35" t="s">
        <v>74</v>
      </c>
      <c r="M30" s="35" t="s">
        <v>35</v>
      </c>
      <c r="N30" s="35" t="s">
        <v>54</v>
      </c>
      <c r="O30" s="35" t="s">
        <v>54</v>
      </c>
      <c r="P30" s="31" t="s">
        <v>231</v>
      </c>
      <c r="Q30" s="31" t="s">
        <v>216</v>
      </c>
      <c r="R30" s="31" t="s">
        <v>221</v>
      </c>
      <c r="S30" s="31" t="s">
        <v>56</v>
      </c>
      <c r="T30" s="35" t="s">
        <v>45</v>
      </c>
      <c r="U30" s="35" t="s">
        <v>34</v>
      </c>
      <c r="V30" s="35"/>
      <c r="W30" s="31" t="str">
        <f>HYPERLINK("https://www.stromypodkontrolou.cz/map/tree/d41bce85-5010-4276-b929-4760db78c679/4a55d21a-6467-4e19-a5f8-78c8a9066694")</f>
        <v>https://www.stromypodkontrolou.cz/map/tree/d41bce85-5010-4276-b929-4760db78c679/4a55d21a-6467-4e19-a5f8-78c8a9066694</v>
      </c>
      <c r="X30" s="31">
        <v>-736051.00521199999</v>
      </c>
      <c r="Y30" s="31">
        <v>-1010989.9270960001</v>
      </c>
      <c r="Z30" s="31" t="str">
        <f>HYPERLINK("https://www.mapy.cz?st=search&amp;fr=50.38096945 14.45401702")</f>
        <v>https://www.mapy.cz?st=search&amp;fr=50.38096945 14.45401702</v>
      </c>
      <c r="AA30" s="20" t="s">
        <v>602</v>
      </c>
      <c r="AB30" s="59"/>
    </row>
    <row r="31" spans="1:28" ht="35.1" customHeight="1" x14ac:dyDescent="0.25">
      <c r="A31" s="32" t="s">
        <v>232</v>
      </c>
      <c r="B31" s="33" t="s">
        <v>68</v>
      </c>
      <c r="C31" s="34" t="s">
        <v>69</v>
      </c>
      <c r="D31" s="35" t="s">
        <v>80</v>
      </c>
      <c r="E31" s="35"/>
      <c r="F31" s="35"/>
      <c r="G31" s="35"/>
      <c r="H31" s="35" t="s">
        <v>176</v>
      </c>
      <c r="I31" s="35" t="s">
        <v>43</v>
      </c>
      <c r="J31" s="35" t="s">
        <v>137</v>
      </c>
      <c r="K31" s="35" t="s">
        <v>32</v>
      </c>
      <c r="L31" s="35" t="s">
        <v>74</v>
      </c>
      <c r="M31" s="35" t="s">
        <v>35</v>
      </c>
      <c r="N31" s="35" t="s">
        <v>54</v>
      </c>
      <c r="O31" s="35" t="s">
        <v>54</v>
      </c>
      <c r="P31" s="31" t="s">
        <v>186</v>
      </c>
      <c r="Q31" s="31" t="s">
        <v>216</v>
      </c>
      <c r="R31" s="31" t="s">
        <v>221</v>
      </c>
      <c r="S31" s="31" t="s">
        <v>56</v>
      </c>
      <c r="T31" s="35" t="s">
        <v>45</v>
      </c>
      <c r="U31" s="35" t="s">
        <v>34</v>
      </c>
      <c r="V31" s="35"/>
      <c r="W31" s="31" t="str">
        <f>HYPERLINK("https://www.stromypodkontrolou.cz/map/tree/d41bce85-5010-4276-b929-4760db78c679/9963235f-5e6d-4b55-b1c5-64c70025df19")</f>
        <v>https://www.stromypodkontrolou.cz/map/tree/d41bce85-5010-4276-b929-4760db78c679/9963235f-5e6d-4b55-b1c5-64c70025df19</v>
      </c>
      <c r="X31" s="31">
        <v>-736014.85188700003</v>
      </c>
      <c r="Y31" s="31">
        <v>-1010927.436921</v>
      </c>
      <c r="Z31" s="31" t="str">
        <f>HYPERLINK("https://www.mapy.cz?st=search&amp;fr=50.38157022 14.45440125")</f>
        <v>https://www.mapy.cz?st=search&amp;fr=50.38157022 14.45440125</v>
      </c>
      <c r="AA31" s="20" t="s">
        <v>602</v>
      </c>
      <c r="AB31" s="59"/>
    </row>
    <row r="32" spans="1:28" ht="35.1" customHeight="1" x14ac:dyDescent="0.25">
      <c r="A32" s="65" t="s">
        <v>234</v>
      </c>
      <c r="B32" s="66" t="s">
        <v>68</v>
      </c>
      <c r="C32" s="67" t="s">
        <v>69</v>
      </c>
      <c r="D32" s="68" t="s">
        <v>63</v>
      </c>
      <c r="E32" s="68" t="s">
        <v>80</v>
      </c>
      <c r="F32" s="68" t="s">
        <v>92</v>
      </c>
      <c r="G32" s="68"/>
      <c r="H32" s="68" t="s">
        <v>176</v>
      </c>
      <c r="I32" s="68" t="s">
        <v>110</v>
      </c>
      <c r="J32" s="68" t="s">
        <v>129</v>
      </c>
      <c r="K32" s="68" t="s">
        <v>32</v>
      </c>
      <c r="L32" s="68" t="s">
        <v>74</v>
      </c>
      <c r="M32" s="68" t="s">
        <v>35</v>
      </c>
      <c r="N32" s="68" t="s">
        <v>54</v>
      </c>
      <c r="O32" s="68" t="s">
        <v>54</v>
      </c>
      <c r="P32" s="64" t="s">
        <v>235</v>
      </c>
      <c r="Q32" s="64" t="s">
        <v>216</v>
      </c>
      <c r="R32" s="64" t="s">
        <v>591</v>
      </c>
      <c r="S32" s="31" t="s">
        <v>85</v>
      </c>
      <c r="T32" s="35" t="s">
        <v>31</v>
      </c>
      <c r="U32" s="35" t="s">
        <v>35</v>
      </c>
      <c r="V32" s="35" t="s">
        <v>86</v>
      </c>
      <c r="W32" s="64" t="str">
        <f>HYPERLINK("https://www.stromypodkontrolou.cz/map/tree/d41bce85-5010-4276-b929-4760db78c679/656839ab-dc04-40e5-8c24-a8441b080f71")</f>
        <v>https://www.stromypodkontrolou.cz/map/tree/d41bce85-5010-4276-b929-4760db78c679/656839ab-dc04-40e5-8c24-a8441b080f71</v>
      </c>
      <c r="X32" s="64">
        <v>-735906.903299</v>
      </c>
      <c r="Y32" s="64">
        <v>-1010787.016468</v>
      </c>
      <c r="Z32" s="64" t="str">
        <f>HYPERLINK("https://www.mapy.cz?st=search&amp;fr=50.38295282 14.45563674")</f>
        <v>https://www.mapy.cz?st=search&amp;fr=50.38295282 14.45563674</v>
      </c>
      <c r="AA32" s="20" t="s">
        <v>601</v>
      </c>
      <c r="AB32" s="59"/>
    </row>
    <row r="33" spans="1:28" ht="35.1" customHeight="1" x14ac:dyDescent="0.25">
      <c r="A33" s="65"/>
      <c r="B33" s="66"/>
      <c r="C33" s="67"/>
      <c r="D33" s="68"/>
      <c r="E33" s="68"/>
      <c r="F33" s="68"/>
      <c r="G33" s="68"/>
      <c r="H33" s="68"/>
      <c r="I33" s="68"/>
      <c r="J33" s="68"/>
      <c r="K33" s="68"/>
      <c r="L33" s="68"/>
      <c r="M33" s="68"/>
      <c r="N33" s="68"/>
      <c r="O33" s="68"/>
      <c r="P33" s="64"/>
      <c r="Q33" s="64"/>
      <c r="R33" s="64"/>
      <c r="S33" s="31" t="s">
        <v>56</v>
      </c>
      <c r="T33" s="35" t="s">
        <v>45</v>
      </c>
      <c r="U33" s="35" t="s">
        <v>35</v>
      </c>
      <c r="V33" s="35"/>
      <c r="W33" s="64"/>
      <c r="X33" s="64"/>
      <c r="Y33" s="64"/>
      <c r="Z33" s="64"/>
      <c r="AA33" s="20" t="s">
        <v>602</v>
      </c>
      <c r="AB33" s="59"/>
    </row>
    <row r="34" spans="1:28" ht="35.1" customHeight="1" x14ac:dyDescent="0.25">
      <c r="A34" s="32" t="s">
        <v>239</v>
      </c>
      <c r="B34" s="33" t="s">
        <v>68</v>
      </c>
      <c r="C34" s="34" t="s">
        <v>69</v>
      </c>
      <c r="D34" s="35" t="s">
        <v>240</v>
      </c>
      <c r="E34" s="35"/>
      <c r="F34" s="35"/>
      <c r="G34" s="35"/>
      <c r="H34" s="35" t="s">
        <v>146</v>
      </c>
      <c r="I34" s="35" t="s">
        <v>43</v>
      </c>
      <c r="J34" s="35" t="s">
        <v>120</v>
      </c>
      <c r="K34" s="35" t="s">
        <v>32</v>
      </c>
      <c r="L34" s="35" t="s">
        <v>74</v>
      </c>
      <c r="M34" s="35" t="s">
        <v>35</v>
      </c>
      <c r="N34" s="35" t="s">
        <v>35</v>
      </c>
      <c r="O34" s="35" t="s">
        <v>54</v>
      </c>
      <c r="P34" s="31" t="s">
        <v>186</v>
      </c>
      <c r="Q34" s="31" t="s">
        <v>216</v>
      </c>
      <c r="R34" s="31" t="s">
        <v>221</v>
      </c>
      <c r="S34" s="31" t="s">
        <v>56</v>
      </c>
      <c r="T34" s="35" t="s">
        <v>45</v>
      </c>
      <c r="U34" s="35" t="s">
        <v>35</v>
      </c>
      <c r="V34" s="35"/>
      <c r="W34" s="31" t="str">
        <f>HYPERLINK("https://www.stromypodkontrolou.cz/map/tree/d41bce85-5010-4276-b929-4760db78c679/40b78f01-7884-4af6-a007-198125ad0b08")</f>
        <v>https://www.stromypodkontrolou.cz/map/tree/d41bce85-5010-4276-b929-4760db78c679/40b78f01-7884-4af6-a007-198125ad0b08</v>
      </c>
      <c r="X34" s="31">
        <v>-735774.52687499998</v>
      </c>
      <c r="Y34" s="31">
        <v>-1010592.32127</v>
      </c>
      <c r="Z34" s="31" t="str">
        <f>HYPERLINK("https://www.mapy.cz?st=search&amp;fr=50.38484867 14.45710894")</f>
        <v>https://www.mapy.cz?st=search&amp;fr=50.38484867 14.45710894</v>
      </c>
      <c r="AA34" s="20" t="s">
        <v>602</v>
      </c>
      <c r="AB34" s="59"/>
    </row>
    <row r="35" spans="1:28" ht="35.1" customHeight="1" x14ac:dyDescent="0.25">
      <c r="A35" s="32" t="s">
        <v>243</v>
      </c>
      <c r="B35" s="33" t="s">
        <v>68</v>
      </c>
      <c r="C35" s="34" t="s">
        <v>69</v>
      </c>
      <c r="D35" s="35" t="s">
        <v>219</v>
      </c>
      <c r="E35" s="35"/>
      <c r="F35" s="35"/>
      <c r="G35" s="35"/>
      <c r="H35" s="35" t="s">
        <v>146</v>
      </c>
      <c r="I35" s="35" t="s">
        <v>43</v>
      </c>
      <c r="J35" s="35" t="s">
        <v>78</v>
      </c>
      <c r="K35" s="35" t="s">
        <v>32</v>
      </c>
      <c r="L35" s="35" t="s">
        <v>74</v>
      </c>
      <c r="M35" s="35" t="s">
        <v>35</v>
      </c>
      <c r="N35" s="35" t="s">
        <v>35</v>
      </c>
      <c r="O35" s="35" t="s">
        <v>35</v>
      </c>
      <c r="P35" s="31"/>
      <c r="Q35" s="31" t="s">
        <v>216</v>
      </c>
      <c r="R35" s="31" t="s">
        <v>242</v>
      </c>
      <c r="S35" s="31" t="s">
        <v>57</v>
      </c>
      <c r="T35" s="35" t="s">
        <v>45</v>
      </c>
      <c r="U35" s="35" t="s">
        <v>35</v>
      </c>
      <c r="V35" s="35" t="s">
        <v>244</v>
      </c>
      <c r="W35" s="31" t="str">
        <f>HYPERLINK("https://www.stromypodkontrolou.cz/map/tree/d41bce85-5010-4276-b929-4760db78c679/cf5acf48-11ce-461e-9783-25ca22b98c7a")</f>
        <v>https://www.stromypodkontrolou.cz/map/tree/d41bce85-5010-4276-b929-4760db78c679/cf5acf48-11ce-461e-9783-25ca22b98c7a</v>
      </c>
      <c r="X35" s="31">
        <v>-735760.34863699996</v>
      </c>
      <c r="Y35" s="31">
        <v>-1010537.358841</v>
      </c>
      <c r="Z35" s="31" t="str">
        <f>HYPERLINK("https://www.mapy.cz?st=search&amp;fr=50.38535555 14.45720148")</f>
        <v>https://www.mapy.cz?st=search&amp;fr=50.38535555 14.45720148</v>
      </c>
      <c r="AA35" s="20" t="s">
        <v>603</v>
      </c>
      <c r="AB35" s="59"/>
    </row>
    <row r="36" spans="1:28" ht="35.1" customHeight="1" x14ac:dyDescent="0.25">
      <c r="A36" s="32" t="s">
        <v>246</v>
      </c>
      <c r="B36" s="33" t="s">
        <v>68</v>
      </c>
      <c r="C36" s="34" t="s">
        <v>69</v>
      </c>
      <c r="D36" s="35" t="s">
        <v>118</v>
      </c>
      <c r="E36" s="35"/>
      <c r="F36" s="35"/>
      <c r="G36" s="35"/>
      <c r="H36" s="35" t="s">
        <v>146</v>
      </c>
      <c r="I36" s="35" t="s">
        <v>43</v>
      </c>
      <c r="J36" s="35" t="s">
        <v>71</v>
      </c>
      <c r="K36" s="35" t="s">
        <v>32</v>
      </c>
      <c r="L36" s="35" t="s">
        <v>33</v>
      </c>
      <c r="M36" s="35" t="s">
        <v>35</v>
      </c>
      <c r="N36" s="35" t="s">
        <v>35</v>
      </c>
      <c r="O36" s="35" t="s">
        <v>35</v>
      </c>
      <c r="P36" s="31" t="s">
        <v>186</v>
      </c>
      <c r="Q36" s="31" t="s">
        <v>216</v>
      </c>
      <c r="R36" s="31" t="s">
        <v>245</v>
      </c>
      <c r="S36" s="31" t="s">
        <v>56</v>
      </c>
      <c r="T36" s="35" t="s">
        <v>45</v>
      </c>
      <c r="U36" s="35" t="s">
        <v>35</v>
      </c>
      <c r="V36" s="35"/>
      <c r="W36" s="31" t="str">
        <f>HYPERLINK("https://www.stromypodkontrolou.cz/map/tree/d41bce85-5010-4276-b929-4760db78c679/f5f8f014-da80-497a-b9ac-839bd03e4321")</f>
        <v>https://www.stromypodkontrolou.cz/map/tree/d41bce85-5010-4276-b929-4760db78c679/f5f8f014-da80-497a-b9ac-839bd03e4321</v>
      </c>
      <c r="X36" s="31">
        <v>-735678.07979300001</v>
      </c>
      <c r="Y36" s="31">
        <v>-1010419.850954</v>
      </c>
      <c r="Z36" s="31" t="str">
        <f>HYPERLINK("https://www.mapy.cz?st=search&amp;fr=50.38650267 14.45812315")</f>
        <v>https://www.mapy.cz?st=search&amp;fr=50.38650267 14.45812315</v>
      </c>
      <c r="AA36" s="20" t="s">
        <v>602</v>
      </c>
      <c r="AB36" s="59"/>
    </row>
    <row r="37" spans="1:28" ht="35.1" customHeight="1" x14ac:dyDescent="0.25">
      <c r="A37" s="32" t="s">
        <v>247</v>
      </c>
      <c r="B37" s="33" t="s">
        <v>68</v>
      </c>
      <c r="C37" s="34" t="s">
        <v>69</v>
      </c>
      <c r="D37" s="35" t="s">
        <v>50</v>
      </c>
      <c r="E37" s="35"/>
      <c r="F37" s="35"/>
      <c r="G37" s="35"/>
      <c r="H37" s="35" t="s">
        <v>64</v>
      </c>
      <c r="I37" s="35" t="s">
        <v>43</v>
      </c>
      <c r="J37" s="35" t="s">
        <v>137</v>
      </c>
      <c r="K37" s="35" t="s">
        <v>32</v>
      </c>
      <c r="L37" s="35" t="s">
        <v>33</v>
      </c>
      <c r="M37" s="35" t="s">
        <v>35</v>
      </c>
      <c r="N37" s="35" t="s">
        <v>35</v>
      </c>
      <c r="O37" s="35" t="s">
        <v>35</v>
      </c>
      <c r="P37" s="31" t="s">
        <v>186</v>
      </c>
      <c r="Q37" s="31" t="s">
        <v>216</v>
      </c>
      <c r="R37" s="31" t="s">
        <v>245</v>
      </c>
      <c r="S37" s="31" t="s">
        <v>56</v>
      </c>
      <c r="T37" s="35" t="s">
        <v>45</v>
      </c>
      <c r="U37" s="35" t="s">
        <v>35</v>
      </c>
      <c r="V37" s="35"/>
      <c r="W37" s="31" t="str">
        <f>HYPERLINK("https://www.stromypodkontrolou.cz/map/tree/d41bce85-5010-4276-b929-4760db78c679/464eb728-0d0a-41fe-b52a-6ce822725ca2")</f>
        <v>https://www.stromypodkontrolou.cz/map/tree/d41bce85-5010-4276-b929-4760db78c679/464eb728-0d0a-41fe-b52a-6ce822725ca2</v>
      </c>
      <c r="X37" s="31">
        <v>-735670.65083599999</v>
      </c>
      <c r="Y37" s="31">
        <v>-1010406.0372810001</v>
      </c>
      <c r="Z37" s="31" t="str">
        <f>HYPERLINK("https://www.mapy.cz?st=search&amp;fr=50.38663478 14.45820026")</f>
        <v>https://www.mapy.cz?st=search&amp;fr=50.38663478 14.45820026</v>
      </c>
      <c r="AA37" s="20" t="s">
        <v>602</v>
      </c>
      <c r="AB37" s="59"/>
    </row>
    <row r="38" spans="1:28" ht="35.1" customHeight="1" x14ac:dyDescent="0.25">
      <c r="A38" s="32" t="s">
        <v>248</v>
      </c>
      <c r="B38" s="33" t="s">
        <v>48</v>
      </c>
      <c r="C38" s="34" t="s">
        <v>49</v>
      </c>
      <c r="D38" s="35" t="s">
        <v>249</v>
      </c>
      <c r="E38" s="35"/>
      <c r="F38" s="35"/>
      <c r="G38" s="35"/>
      <c r="H38" s="35" t="s">
        <v>60</v>
      </c>
      <c r="I38" s="35" t="s">
        <v>89</v>
      </c>
      <c r="J38" s="35" t="s">
        <v>133</v>
      </c>
      <c r="K38" s="35" t="s">
        <v>32</v>
      </c>
      <c r="L38" s="35" t="s">
        <v>33</v>
      </c>
      <c r="M38" s="35" t="s">
        <v>34</v>
      </c>
      <c r="N38" s="35" t="s">
        <v>34</v>
      </c>
      <c r="O38" s="35" t="s">
        <v>35</v>
      </c>
      <c r="P38" s="31"/>
      <c r="Q38" s="31" t="s">
        <v>250</v>
      </c>
      <c r="R38" s="31" t="s">
        <v>251</v>
      </c>
      <c r="S38" s="31" t="s">
        <v>252</v>
      </c>
      <c r="T38" s="35" t="s">
        <v>54</v>
      </c>
      <c r="U38" s="35" t="s">
        <v>34</v>
      </c>
      <c r="V38" s="35"/>
      <c r="W38" s="31" t="str">
        <f>HYPERLINK("https://www.stromypodkontrolou.cz/map/tree/d41bce85-5010-4276-b929-4760db78c679/98374e5a-962e-4279-936c-79cb3a3655ea")</f>
        <v>https://www.stromypodkontrolou.cz/map/tree/d41bce85-5010-4276-b929-4760db78c679/98374e5a-962e-4279-936c-79cb3a3655ea</v>
      </c>
      <c r="X38" s="31">
        <v>-735591.41171200003</v>
      </c>
      <c r="Y38" s="31">
        <v>-1014319.220004</v>
      </c>
      <c r="Z38" s="31" t="str">
        <f>HYPERLINK("https://www.mapy.cz?st=search&amp;fr=50.35187577 14.46677193")</f>
        <v>https://www.mapy.cz?st=search&amp;fr=50.35187577 14.46677193</v>
      </c>
      <c r="AA38" s="20" t="s">
        <v>606</v>
      </c>
      <c r="AB38" s="59"/>
    </row>
    <row r="39" spans="1:28" ht="35.1" customHeight="1" x14ac:dyDescent="0.25">
      <c r="A39" s="65" t="s">
        <v>253</v>
      </c>
      <c r="B39" s="66" t="s">
        <v>254</v>
      </c>
      <c r="C39" s="67" t="s">
        <v>255</v>
      </c>
      <c r="D39" s="68" t="s">
        <v>256</v>
      </c>
      <c r="E39" s="68"/>
      <c r="F39" s="68"/>
      <c r="G39" s="68"/>
      <c r="H39" s="68" t="s">
        <v>109</v>
      </c>
      <c r="I39" s="68" t="s">
        <v>43</v>
      </c>
      <c r="J39" s="68" t="s">
        <v>53</v>
      </c>
      <c r="K39" s="68" t="s">
        <v>32</v>
      </c>
      <c r="L39" s="68" t="s">
        <v>33</v>
      </c>
      <c r="M39" s="68" t="s">
        <v>34</v>
      </c>
      <c r="N39" s="68" t="s">
        <v>35</v>
      </c>
      <c r="O39" s="68" t="s">
        <v>54</v>
      </c>
      <c r="P39" s="64" t="s">
        <v>162</v>
      </c>
      <c r="Q39" s="64" t="s">
        <v>250</v>
      </c>
      <c r="R39" s="64" t="s">
        <v>251</v>
      </c>
      <c r="S39" s="31" t="s">
        <v>57</v>
      </c>
      <c r="T39" s="35" t="s">
        <v>45</v>
      </c>
      <c r="U39" s="35" t="s">
        <v>34</v>
      </c>
      <c r="V39" s="35" t="s">
        <v>257</v>
      </c>
      <c r="W39" s="64" t="str">
        <f>HYPERLINK("https://www.stromypodkontrolou.cz/map/tree/d41bce85-5010-4276-b929-4760db78c679/2595b440-3868-43c6-9b2a-6a621e6d40d1")</f>
        <v>https://www.stromypodkontrolou.cz/map/tree/d41bce85-5010-4276-b929-4760db78c679/2595b440-3868-43c6-9b2a-6a621e6d40d1</v>
      </c>
      <c r="X39" s="64">
        <v>-735614.35348199995</v>
      </c>
      <c r="Y39" s="64">
        <v>-1014287.85727</v>
      </c>
      <c r="Z39" s="64" t="str">
        <f>HYPERLINK("https://www.mapy.cz?st=search&amp;fr=50.35212714 14.46639274")</f>
        <v>https://www.mapy.cz?st=search&amp;fr=50.35212714 14.46639274</v>
      </c>
      <c r="AA39" s="20" t="s">
        <v>599</v>
      </c>
      <c r="AB39" s="59"/>
    </row>
    <row r="40" spans="1:28" ht="35.1" customHeight="1" x14ac:dyDescent="0.25">
      <c r="A40" s="65"/>
      <c r="B40" s="66"/>
      <c r="C40" s="67"/>
      <c r="D40" s="68"/>
      <c r="E40" s="68"/>
      <c r="F40" s="68"/>
      <c r="G40" s="68"/>
      <c r="H40" s="68"/>
      <c r="I40" s="68"/>
      <c r="J40" s="68"/>
      <c r="K40" s="68"/>
      <c r="L40" s="68"/>
      <c r="M40" s="68"/>
      <c r="N40" s="68"/>
      <c r="O40" s="68"/>
      <c r="P40" s="64"/>
      <c r="Q40" s="64"/>
      <c r="R40" s="64"/>
      <c r="S40" s="31" t="s">
        <v>56</v>
      </c>
      <c r="T40" s="35" t="s">
        <v>45</v>
      </c>
      <c r="U40" s="35" t="s">
        <v>34</v>
      </c>
      <c r="V40" s="35"/>
      <c r="W40" s="64"/>
      <c r="X40" s="64"/>
      <c r="Y40" s="64"/>
      <c r="Z40" s="64"/>
      <c r="AA40" s="20" t="s">
        <v>602</v>
      </c>
      <c r="AB40" s="59"/>
    </row>
    <row r="41" spans="1:28" ht="35.1" customHeight="1" x14ac:dyDescent="0.25">
      <c r="A41" s="32" t="s">
        <v>258</v>
      </c>
      <c r="B41" s="33" t="s">
        <v>254</v>
      </c>
      <c r="C41" s="34" t="s">
        <v>255</v>
      </c>
      <c r="D41" s="35" t="s">
        <v>259</v>
      </c>
      <c r="E41" s="35"/>
      <c r="F41" s="35"/>
      <c r="G41" s="35"/>
      <c r="H41" s="35" t="s">
        <v>109</v>
      </c>
      <c r="I41" s="35" t="s">
        <v>43</v>
      </c>
      <c r="J41" s="35" t="s">
        <v>53</v>
      </c>
      <c r="K41" s="35" t="s">
        <v>32</v>
      </c>
      <c r="L41" s="35" t="s">
        <v>74</v>
      </c>
      <c r="M41" s="35" t="s">
        <v>34</v>
      </c>
      <c r="N41" s="35" t="s">
        <v>35</v>
      </c>
      <c r="O41" s="35" t="s">
        <v>54</v>
      </c>
      <c r="P41" s="31" t="s">
        <v>260</v>
      </c>
      <c r="Q41" s="31" t="s">
        <v>250</v>
      </c>
      <c r="R41" s="31" t="s">
        <v>251</v>
      </c>
      <c r="S41" s="31" t="s">
        <v>56</v>
      </c>
      <c r="T41" s="35" t="s">
        <v>45</v>
      </c>
      <c r="U41" s="35" t="s">
        <v>34</v>
      </c>
      <c r="V41" s="35"/>
      <c r="W41" s="31" t="str">
        <f>HYPERLINK("https://www.stromypodkontrolou.cz/map/tree/d41bce85-5010-4276-b929-4760db78c679/47cd4cc4-56fd-4c10-9726-fbf50b796fe5")</f>
        <v>https://www.stromypodkontrolou.cz/map/tree/d41bce85-5010-4276-b929-4760db78c679/47cd4cc4-56fd-4c10-9726-fbf50b796fe5</v>
      </c>
      <c r="X41" s="31">
        <v>-735609.02270800003</v>
      </c>
      <c r="Y41" s="31">
        <v>-1014297.113567</v>
      </c>
      <c r="Z41" s="31" t="str">
        <f>HYPERLINK("https://www.mapy.cz?st=search&amp;fr=50.35205119 14.46648460")</f>
        <v>https://www.mapy.cz?st=search&amp;fr=50.35205119 14.46648460</v>
      </c>
      <c r="AA41" s="20" t="s">
        <v>598</v>
      </c>
      <c r="AB41" s="59"/>
    </row>
    <row r="42" spans="1:28" ht="35.1" customHeight="1" x14ac:dyDescent="0.25">
      <c r="A42" s="65" t="s">
        <v>261</v>
      </c>
      <c r="B42" s="66" t="s">
        <v>68</v>
      </c>
      <c r="C42" s="67" t="s">
        <v>69</v>
      </c>
      <c r="D42" s="68" t="s">
        <v>262</v>
      </c>
      <c r="E42" s="68"/>
      <c r="F42" s="68"/>
      <c r="G42" s="68"/>
      <c r="H42" s="68" t="s">
        <v>51</v>
      </c>
      <c r="I42" s="68" t="s">
        <v>79</v>
      </c>
      <c r="J42" s="68" t="s">
        <v>66</v>
      </c>
      <c r="K42" s="68" t="s">
        <v>32</v>
      </c>
      <c r="L42" s="68" t="s">
        <v>74</v>
      </c>
      <c r="M42" s="68" t="s">
        <v>35</v>
      </c>
      <c r="N42" s="68" t="s">
        <v>54</v>
      </c>
      <c r="O42" s="68" t="s">
        <v>54</v>
      </c>
      <c r="P42" s="64" t="s">
        <v>263</v>
      </c>
      <c r="Q42" s="64" t="s">
        <v>250</v>
      </c>
      <c r="R42" s="64" t="s">
        <v>251</v>
      </c>
      <c r="S42" s="31" t="s">
        <v>56</v>
      </c>
      <c r="T42" s="35" t="s">
        <v>45</v>
      </c>
      <c r="U42" s="35" t="s">
        <v>34</v>
      </c>
      <c r="V42" s="35"/>
      <c r="W42" s="64" t="str">
        <f>HYPERLINK("https://www.stromypodkontrolou.cz/map/tree/d41bce85-5010-4276-b929-4760db78c679/6e7fc8c8-a01a-45ed-960e-03ab84680864")</f>
        <v>https://www.stromypodkontrolou.cz/map/tree/d41bce85-5010-4276-b929-4760db78c679/6e7fc8c8-a01a-45ed-960e-03ab84680864</v>
      </c>
      <c r="X42" s="64">
        <v>-735636.17584799998</v>
      </c>
      <c r="Y42" s="64">
        <v>-1014232.679017</v>
      </c>
      <c r="Z42" s="64" t="str">
        <f>HYPERLINK("https://www.mapy.cz?st=search&amp;fr=50.35259200 14.46598370")</f>
        <v>https://www.mapy.cz?st=search&amp;fr=50.35259200 14.46598370</v>
      </c>
      <c r="AA42" s="20" t="s">
        <v>602</v>
      </c>
      <c r="AB42" s="59"/>
    </row>
    <row r="43" spans="1:28" ht="35.1" customHeight="1" x14ac:dyDescent="0.25">
      <c r="A43" s="65"/>
      <c r="B43" s="66"/>
      <c r="C43" s="67"/>
      <c r="D43" s="68"/>
      <c r="E43" s="68"/>
      <c r="F43" s="68"/>
      <c r="G43" s="68"/>
      <c r="H43" s="68"/>
      <c r="I43" s="68"/>
      <c r="J43" s="68"/>
      <c r="K43" s="68"/>
      <c r="L43" s="68"/>
      <c r="M43" s="68"/>
      <c r="N43" s="68"/>
      <c r="O43" s="68"/>
      <c r="P43" s="64"/>
      <c r="Q43" s="64"/>
      <c r="R43" s="64"/>
      <c r="S43" s="31" t="s">
        <v>85</v>
      </c>
      <c r="T43" s="35" t="s">
        <v>45</v>
      </c>
      <c r="U43" s="35" t="s">
        <v>34</v>
      </c>
      <c r="V43" s="35" t="s">
        <v>86</v>
      </c>
      <c r="W43" s="64"/>
      <c r="X43" s="64"/>
      <c r="Y43" s="64"/>
      <c r="Z43" s="64"/>
      <c r="AA43" s="20" t="s">
        <v>601</v>
      </c>
      <c r="AB43" s="59"/>
    </row>
    <row r="44" spans="1:28" ht="35.1" customHeight="1" x14ac:dyDescent="0.25">
      <c r="A44" s="65" t="s">
        <v>264</v>
      </c>
      <c r="B44" s="66" t="s">
        <v>68</v>
      </c>
      <c r="C44" s="67" t="s">
        <v>69</v>
      </c>
      <c r="D44" s="68" t="s">
        <v>185</v>
      </c>
      <c r="E44" s="68" t="s">
        <v>222</v>
      </c>
      <c r="F44" s="68"/>
      <c r="G44" s="68"/>
      <c r="H44" s="68" t="s">
        <v>51</v>
      </c>
      <c r="I44" s="68" t="s">
        <v>79</v>
      </c>
      <c r="J44" s="68" t="s">
        <v>66</v>
      </c>
      <c r="K44" s="68" t="s">
        <v>32</v>
      </c>
      <c r="L44" s="68" t="s">
        <v>33</v>
      </c>
      <c r="M44" s="68" t="s">
        <v>35</v>
      </c>
      <c r="N44" s="68" t="s">
        <v>54</v>
      </c>
      <c r="O44" s="68" t="s">
        <v>54</v>
      </c>
      <c r="P44" s="64" t="s">
        <v>265</v>
      </c>
      <c r="Q44" s="64" t="s">
        <v>250</v>
      </c>
      <c r="R44" s="64" t="s">
        <v>251</v>
      </c>
      <c r="S44" s="31" t="s">
        <v>56</v>
      </c>
      <c r="T44" s="35" t="s">
        <v>45</v>
      </c>
      <c r="U44" s="35" t="s">
        <v>34</v>
      </c>
      <c r="V44" s="35"/>
      <c r="W44" s="64" t="str">
        <f>HYPERLINK("https://www.stromypodkontrolou.cz/map/tree/d41bce85-5010-4276-b929-4760db78c679/83768bc6-d629-45b1-813f-b36c2e2592e4")</f>
        <v>https://www.stromypodkontrolou.cz/map/tree/d41bce85-5010-4276-b929-4760db78c679/83768bc6-d629-45b1-813f-b36c2e2592e4</v>
      </c>
      <c r="X44" s="64">
        <v>-735628.443279</v>
      </c>
      <c r="Y44" s="64">
        <v>-1014240.751222</v>
      </c>
      <c r="Z44" s="64" t="str">
        <f>HYPERLINK("https://www.mapy.cz?st=search&amp;fr=50.35252953 14.46610675")</f>
        <v>https://www.mapy.cz?st=search&amp;fr=50.35252953 14.46610675</v>
      </c>
      <c r="AA44" s="20" t="s">
        <v>602</v>
      </c>
      <c r="AB44" s="59"/>
    </row>
    <row r="45" spans="1:28" ht="35.1" customHeight="1" x14ac:dyDescent="0.25">
      <c r="A45" s="65"/>
      <c r="B45" s="66"/>
      <c r="C45" s="67"/>
      <c r="D45" s="68"/>
      <c r="E45" s="68"/>
      <c r="F45" s="68"/>
      <c r="G45" s="68"/>
      <c r="H45" s="68"/>
      <c r="I45" s="68"/>
      <c r="J45" s="68"/>
      <c r="K45" s="68"/>
      <c r="L45" s="68"/>
      <c r="M45" s="68"/>
      <c r="N45" s="68"/>
      <c r="O45" s="68"/>
      <c r="P45" s="64"/>
      <c r="Q45" s="64"/>
      <c r="R45" s="64"/>
      <c r="S45" s="31" t="s">
        <v>57</v>
      </c>
      <c r="T45" s="35" t="s">
        <v>45</v>
      </c>
      <c r="U45" s="35" t="s">
        <v>34</v>
      </c>
      <c r="V45" s="35" t="s">
        <v>200</v>
      </c>
      <c r="W45" s="64"/>
      <c r="X45" s="64"/>
      <c r="Y45" s="64"/>
      <c r="Z45" s="64"/>
      <c r="AA45" s="20" t="s">
        <v>599</v>
      </c>
      <c r="AB45" s="59"/>
    </row>
    <row r="46" spans="1:28" ht="35.1" customHeight="1" x14ac:dyDescent="0.25">
      <c r="A46" s="65" t="s">
        <v>266</v>
      </c>
      <c r="B46" s="66" t="s">
        <v>68</v>
      </c>
      <c r="C46" s="67" t="s">
        <v>69</v>
      </c>
      <c r="D46" s="68" t="s">
        <v>169</v>
      </c>
      <c r="E46" s="68"/>
      <c r="F46" s="68"/>
      <c r="G46" s="68"/>
      <c r="H46" s="68" t="s">
        <v>51</v>
      </c>
      <c r="I46" s="68" t="s">
        <v>79</v>
      </c>
      <c r="J46" s="68" t="s">
        <v>137</v>
      </c>
      <c r="K46" s="68" t="s">
        <v>32</v>
      </c>
      <c r="L46" s="68" t="s">
        <v>33</v>
      </c>
      <c r="M46" s="68" t="s">
        <v>35</v>
      </c>
      <c r="N46" s="68" t="s">
        <v>35</v>
      </c>
      <c r="O46" s="68" t="s">
        <v>54</v>
      </c>
      <c r="P46" s="64"/>
      <c r="Q46" s="64" t="s">
        <v>250</v>
      </c>
      <c r="R46" s="64" t="s">
        <v>251</v>
      </c>
      <c r="S46" s="31" t="s">
        <v>56</v>
      </c>
      <c r="T46" s="35" t="s">
        <v>45</v>
      </c>
      <c r="U46" s="35" t="s">
        <v>34</v>
      </c>
      <c r="V46" s="35"/>
      <c r="W46" s="64" t="str">
        <f>HYPERLINK("https://www.stromypodkontrolou.cz/map/tree/d41bce85-5010-4276-b929-4760db78c679/85d96c33-e9fe-4e55-933c-80a09d02d6d7")</f>
        <v>https://www.stromypodkontrolou.cz/map/tree/d41bce85-5010-4276-b929-4760db78c679/85d96c33-e9fe-4e55-933c-80a09d02d6d7</v>
      </c>
      <c r="X46" s="64">
        <v>-735620.661983</v>
      </c>
      <c r="Y46" s="64">
        <v>-1014264.993501</v>
      </c>
      <c r="Z46" s="64" t="str">
        <f>HYPERLINK("https://www.mapy.cz?st=search&amp;fr=50.35232309 14.46626131")</f>
        <v>https://www.mapy.cz?st=search&amp;fr=50.35232309 14.46626131</v>
      </c>
      <c r="AA46" s="20" t="s">
        <v>602</v>
      </c>
      <c r="AB46" s="59"/>
    </row>
    <row r="47" spans="1:28" ht="35.1" customHeight="1" x14ac:dyDescent="0.25">
      <c r="A47" s="65"/>
      <c r="B47" s="66"/>
      <c r="C47" s="67"/>
      <c r="D47" s="68"/>
      <c r="E47" s="68"/>
      <c r="F47" s="68"/>
      <c r="G47" s="68"/>
      <c r="H47" s="68"/>
      <c r="I47" s="68"/>
      <c r="J47" s="68"/>
      <c r="K47" s="68"/>
      <c r="L47" s="68"/>
      <c r="M47" s="68"/>
      <c r="N47" s="68"/>
      <c r="O47" s="68"/>
      <c r="P47" s="64"/>
      <c r="Q47" s="64"/>
      <c r="R47" s="64"/>
      <c r="S47" s="31" t="s">
        <v>57</v>
      </c>
      <c r="T47" s="35" t="s">
        <v>45</v>
      </c>
      <c r="U47" s="35" t="s">
        <v>34</v>
      </c>
      <c r="V47" s="35" t="s">
        <v>257</v>
      </c>
      <c r="W47" s="64"/>
      <c r="X47" s="64"/>
      <c r="Y47" s="64"/>
      <c r="Z47" s="64"/>
      <c r="AA47" s="20" t="s">
        <v>599</v>
      </c>
      <c r="AB47" s="59"/>
    </row>
    <row r="48" spans="1:28" ht="35.1" customHeight="1" x14ac:dyDescent="0.25">
      <c r="A48" s="65" t="s">
        <v>267</v>
      </c>
      <c r="B48" s="66" t="s">
        <v>68</v>
      </c>
      <c r="C48" s="67" t="s">
        <v>69</v>
      </c>
      <c r="D48" s="68" t="s">
        <v>205</v>
      </c>
      <c r="E48" s="68"/>
      <c r="F48" s="68"/>
      <c r="G48" s="68"/>
      <c r="H48" s="68" t="s">
        <v>51</v>
      </c>
      <c r="I48" s="68" t="s">
        <v>79</v>
      </c>
      <c r="J48" s="68" t="s">
        <v>137</v>
      </c>
      <c r="K48" s="68" t="s">
        <v>32</v>
      </c>
      <c r="L48" s="68" t="s">
        <v>74</v>
      </c>
      <c r="M48" s="68" t="s">
        <v>35</v>
      </c>
      <c r="N48" s="68" t="s">
        <v>35</v>
      </c>
      <c r="O48" s="68" t="s">
        <v>54</v>
      </c>
      <c r="P48" s="64" t="s">
        <v>268</v>
      </c>
      <c r="Q48" s="64" t="s">
        <v>250</v>
      </c>
      <c r="R48" s="64" t="s">
        <v>251</v>
      </c>
      <c r="S48" s="31" t="s">
        <v>85</v>
      </c>
      <c r="T48" s="35" t="s">
        <v>45</v>
      </c>
      <c r="U48" s="35" t="s">
        <v>35</v>
      </c>
      <c r="V48" s="35" t="s">
        <v>158</v>
      </c>
      <c r="W48" s="64" t="str">
        <f>HYPERLINK("https://www.stromypodkontrolou.cz/map/tree/d41bce85-5010-4276-b929-4760db78c679/59089a67-97d3-4411-9e24-b0e2c013571c")</f>
        <v>https://www.stromypodkontrolou.cz/map/tree/d41bce85-5010-4276-b929-4760db78c679/59089a67-97d3-4411-9e24-b0e2c013571c</v>
      </c>
      <c r="X48" s="64">
        <v>-735617.18688399997</v>
      </c>
      <c r="Y48" s="64">
        <v>-1014260.546063</v>
      </c>
      <c r="Z48" s="64" t="str">
        <f>HYPERLINK("https://www.mapy.cz?st=search&amp;fr=50.35236695 14.46630121")</f>
        <v>https://www.mapy.cz?st=search&amp;fr=50.35236695 14.46630121</v>
      </c>
      <c r="AA48" s="20" t="s">
        <v>601</v>
      </c>
      <c r="AB48" s="59"/>
    </row>
    <row r="49" spans="1:28" ht="35.1" customHeight="1" x14ac:dyDescent="0.25">
      <c r="A49" s="65"/>
      <c r="B49" s="66"/>
      <c r="C49" s="67"/>
      <c r="D49" s="68"/>
      <c r="E49" s="68"/>
      <c r="F49" s="68"/>
      <c r="G49" s="68"/>
      <c r="H49" s="68"/>
      <c r="I49" s="68"/>
      <c r="J49" s="68"/>
      <c r="K49" s="68"/>
      <c r="L49" s="68"/>
      <c r="M49" s="68"/>
      <c r="N49" s="68"/>
      <c r="O49" s="68"/>
      <c r="P49" s="64"/>
      <c r="Q49" s="64"/>
      <c r="R49" s="64"/>
      <c r="S49" s="31" t="s">
        <v>56</v>
      </c>
      <c r="T49" s="35" t="s">
        <v>45</v>
      </c>
      <c r="U49" s="35" t="s">
        <v>35</v>
      </c>
      <c r="V49" s="35"/>
      <c r="W49" s="64"/>
      <c r="X49" s="64"/>
      <c r="Y49" s="64"/>
      <c r="Z49" s="64"/>
      <c r="AA49" s="20" t="s">
        <v>602</v>
      </c>
      <c r="AB49" s="59"/>
    </row>
    <row r="50" spans="1:28" ht="35.1" customHeight="1" x14ac:dyDescent="0.25">
      <c r="A50" s="32" t="s">
        <v>271</v>
      </c>
      <c r="B50" s="33" t="s">
        <v>68</v>
      </c>
      <c r="C50" s="34" t="s">
        <v>69</v>
      </c>
      <c r="D50" s="35" t="s">
        <v>272</v>
      </c>
      <c r="E50" s="35"/>
      <c r="F50" s="35"/>
      <c r="G50" s="35"/>
      <c r="H50" s="35" t="s">
        <v>134</v>
      </c>
      <c r="I50" s="35" t="s">
        <v>81</v>
      </c>
      <c r="J50" s="35" t="s">
        <v>101</v>
      </c>
      <c r="K50" s="35" t="s">
        <v>45</v>
      </c>
      <c r="L50" s="35" t="s">
        <v>74</v>
      </c>
      <c r="M50" s="35" t="s">
        <v>35</v>
      </c>
      <c r="N50" s="35" t="s">
        <v>54</v>
      </c>
      <c r="O50" s="35" t="s">
        <v>54</v>
      </c>
      <c r="P50" s="31" t="s">
        <v>273</v>
      </c>
      <c r="Q50" s="31" t="s">
        <v>250</v>
      </c>
      <c r="R50" s="31" t="s">
        <v>251</v>
      </c>
      <c r="S50" s="31" t="s">
        <v>85</v>
      </c>
      <c r="T50" s="35" t="s">
        <v>45</v>
      </c>
      <c r="U50" s="35" t="s">
        <v>34</v>
      </c>
      <c r="V50" s="35" t="s">
        <v>274</v>
      </c>
      <c r="W50" s="31" t="str">
        <f>HYPERLINK("https://www.stromypodkontrolou.cz/map/tree/d41bce85-5010-4276-b929-4760db78c679/feff776d-db02-4e56-b5e1-292f9b891667")</f>
        <v>https://www.stromypodkontrolou.cz/map/tree/d41bce85-5010-4276-b929-4760db78c679/feff776d-db02-4e56-b5e1-292f9b891667</v>
      </c>
      <c r="X50" s="31">
        <v>-735673.025639</v>
      </c>
      <c r="Y50" s="31">
        <v>-1014137.952527</v>
      </c>
      <c r="Z50" s="31" t="str">
        <f>HYPERLINK("https://www.mapy.cz?st=search&amp;fr=50.35339080 14.46529001")</f>
        <v>https://www.mapy.cz?st=search&amp;fr=50.35339080 14.46529001</v>
      </c>
      <c r="AA50" s="20" t="s">
        <v>605</v>
      </c>
      <c r="AB50" s="59"/>
    </row>
    <row r="51" spans="1:28" ht="35.1" customHeight="1" x14ac:dyDescent="0.25">
      <c r="A51" s="32" t="s">
        <v>276</v>
      </c>
      <c r="B51" s="33" t="s">
        <v>25</v>
      </c>
      <c r="C51" s="34" t="s">
        <v>26</v>
      </c>
      <c r="D51" s="35" t="s">
        <v>208</v>
      </c>
      <c r="E51" s="35"/>
      <c r="F51" s="35"/>
      <c r="G51" s="35"/>
      <c r="H51" s="35" t="s">
        <v>176</v>
      </c>
      <c r="I51" s="35" t="s">
        <v>30</v>
      </c>
      <c r="J51" s="35" t="s">
        <v>71</v>
      </c>
      <c r="K51" s="35" t="s">
        <v>45</v>
      </c>
      <c r="L51" s="35" t="s">
        <v>33</v>
      </c>
      <c r="M51" s="35" t="s">
        <v>35</v>
      </c>
      <c r="N51" s="35" t="s">
        <v>35</v>
      </c>
      <c r="O51" s="35" t="s">
        <v>54</v>
      </c>
      <c r="P51" s="31" t="s">
        <v>136</v>
      </c>
      <c r="Q51" s="31" t="s">
        <v>250</v>
      </c>
      <c r="R51" s="31" t="s">
        <v>275</v>
      </c>
      <c r="S51" s="31" t="s">
        <v>56</v>
      </c>
      <c r="T51" s="35" t="s">
        <v>45</v>
      </c>
      <c r="U51" s="35" t="s">
        <v>35</v>
      </c>
      <c r="V51" s="35"/>
      <c r="W51" s="31" t="str">
        <f>HYPERLINK("https://www.stromypodkontrolou.cz/map/tree/d41bce85-5010-4276-b929-4760db78c679/49d8a04d-c251-41a9-8145-c3c95d882ed6")</f>
        <v>https://www.stromypodkontrolou.cz/map/tree/d41bce85-5010-4276-b929-4760db78c679/49d8a04d-c251-41a9-8145-c3c95d882ed6</v>
      </c>
      <c r="X51" s="31">
        <v>-735687.916509</v>
      </c>
      <c r="Y51" s="31">
        <v>-1014105.31553</v>
      </c>
      <c r="Z51" s="31" t="str">
        <f>HYPERLINK("https://www.mapy.cz?st=search&amp;fr=50.35366333 14.46502045")</f>
        <v>https://www.mapy.cz?st=search&amp;fr=50.35366333 14.46502045</v>
      </c>
      <c r="AA51" s="20" t="s">
        <v>602</v>
      </c>
      <c r="AB51" s="59"/>
    </row>
    <row r="52" spans="1:28" ht="35.1" customHeight="1" x14ac:dyDescent="0.25">
      <c r="A52" s="32" t="s">
        <v>277</v>
      </c>
      <c r="B52" s="33" t="s">
        <v>39</v>
      </c>
      <c r="C52" s="34" t="s">
        <v>40</v>
      </c>
      <c r="D52" s="35" t="s">
        <v>180</v>
      </c>
      <c r="E52" s="35" t="s">
        <v>137</v>
      </c>
      <c r="F52" s="35"/>
      <c r="G52" s="35"/>
      <c r="H52" s="35" t="s">
        <v>52</v>
      </c>
      <c r="I52" s="35" t="s">
        <v>43</v>
      </c>
      <c r="J52" s="35" t="s">
        <v>120</v>
      </c>
      <c r="K52" s="35" t="s">
        <v>54</v>
      </c>
      <c r="L52" s="35" t="s">
        <v>33</v>
      </c>
      <c r="M52" s="35" t="s">
        <v>35</v>
      </c>
      <c r="N52" s="35" t="s">
        <v>35</v>
      </c>
      <c r="O52" s="35" t="s">
        <v>54</v>
      </c>
      <c r="P52" s="31" t="s">
        <v>278</v>
      </c>
      <c r="Q52" s="31" t="s">
        <v>250</v>
      </c>
      <c r="R52" s="31" t="s">
        <v>251</v>
      </c>
      <c r="S52" s="31" t="s">
        <v>56</v>
      </c>
      <c r="T52" s="35" t="s">
        <v>45</v>
      </c>
      <c r="U52" s="35" t="s">
        <v>35</v>
      </c>
      <c r="V52" s="35"/>
      <c r="W52" s="31" t="str">
        <f>HYPERLINK("https://www.stromypodkontrolou.cz/map/tree/d41bce85-5010-4276-b929-4760db78c679/f5ba91cd-3cbb-4c2f-8c41-0e1205eaa594")</f>
        <v>https://www.stromypodkontrolou.cz/map/tree/d41bce85-5010-4276-b929-4760db78c679/f5ba91cd-3cbb-4c2f-8c41-0e1205eaa594</v>
      </c>
      <c r="X52" s="31">
        <v>-735694.59265699994</v>
      </c>
      <c r="Y52" s="31">
        <v>-1014089.53476</v>
      </c>
      <c r="Z52" s="31" t="str">
        <f>HYPERLINK("https://www.mapy.cz?st=search&amp;fr=50.35379575 14.46489740")</f>
        <v>https://www.mapy.cz?st=search&amp;fr=50.35379575 14.46489740</v>
      </c>
      <c r="AA52" s="20" t="s">
        <v>602</v>
      </c>
      <c r="AB52" s="59"/>
    </row>
    <row r="53" spans="1:28" ht="35.1" customHeight="1" x14ac:dyDescent="0.25">
      <c r="A53" s="32" t="s">
        <v>279</v>
      </c>
      <c r="B53" s="33" t="s">
        <v>280</v>
      </c>
      <c r="C53" s="34" t="s">
        <v>281</v>
      </c>
      <c r="D53" s="35" t="s">
        <v>63</v>
      </c>
      <c r="E53" s="35"/>
      <c r="F53" s="35"/>
      <c r="G53" s="35"/>
      <c r="H53" s="35" t="s">
        <v>52</v>
      </c>
      <c r="I53" s="35" t="s">
        <v>43</v>
      </c>
      <c r="J53" s="35" t="s">
        <v>45</v>
      </c>
      <c r="K53" s="35" t="s">
        <v>32</v>
      </c>
      <c r="L53" s="35" t="s">
        <v>33</v>
      </c>
      <c r="M53" s="35" t="s">
        <v>35</v>
      </c>
      <c r="N53" s="35" t="s">
        <v>35</v>
      </c>
      <c r="O53" s="35" t="s">
        <v>35</v>
      </c>
      <c r="P53" s="31" t="s">
        <v>186</v>
      </c>
      <c r="Q53" s="31" t="s">
        <v>250</v>
      </c>
      <c r="R53" s="31" t="s">
        <v>251</v>
      </c>
      <c r="S53" s="31" t="s">
        <v>56</v>
      </c>
      <c r="T53" s="35" t="s">
        <v>45</v>
      </c>
      <c r="U53" s="35" t="s">
        <v>34</v>
      </c>
      <c r="V53" s="35"/>
      <c r="W53" s="31" t="str">
        <f>HYPERLINK("https://www.stromypodkontrolou.cz/map/tree/d41bce85-5010-4276-b929-4760db78c679/ad58fd6c-1845-4dd4-a976-6efbea8cda58")</f>
        <v>https://www.stromypodkontrolou.cz/map/tree/d41bce85-5010-4276-b929-4760db78c679/ad58fd6c-1845-4dd4-a976-6efbea8cda58</v>
      </c>
      <c r="X53" s="31">
        <v>-735697.68804899999</v>
      </c>
      <c r="Y53" s="31">
        <v>-1014084.355449</v>
      </c>
      <c r="Z53" s="31" t="str">
        <f>HYPERLINK("https://www.mapy.cz?st=search&amp;fr=50.35383811 14.46484443")</f>
        <v>https://www.mapy.cz?st=search&amp;fr=50.35383811 14.46484443</v>
      </c>
      <c r="AA53" s="20" t="s">
        <v>602</v>
      </c>
      <c r="AB53" s="59"/>
    </row>
    <row r="54" spans="1:28" ht="35.1" customHeight="1" x14ac:dyDescent="0.25">
      <c r="A54" s="32" t="s">
        <v>282</v>
      </c>
      <c r="B54" s="33" t="s">
        <v>269</v>
      </c>
      <c r="C54" s="34" t="s">
        <v>270</v>
      </c>
      <c r="D54" s="35" t="s">
        <v>283</v>
      </c>
      <c r="E54" s="35"/>
      <c r="F54" s="35"/>
      <c r="G54" s="35"/>
      <c r="H54" s="35" t="s">
        <v>99</v>
      </c>
      <c r="I54" s="35" t="s">
        <v>79</v>
      </c>
      <c r="J54" s="35" t="s">
        <v>101</v>
      </c>
      <c r="K54" s="35" t="s">
        <v>32</v>
      </c>
      <c r="L54" s="35" t="s">
        <v>33</v>
      </c>
      <c r="M54" s="35" t="s">
        <v>34</v>
      </c>
      <c r="N54" s="35" t="s">
        <v>35</v>
      </c>
      <c r="O54" s="35" t="s">
        <v>35</v>
      </c>
      <c r="P54" s="31" t="s">
        <v>93</v>
      </c>
      <c r="Q54" s="31" t="s">
        <v>250</v>
      </c>
      <c r="R54" s="31" t="s">
        <v>251</v>
      </c>
      <c r="S54" s="31" t="s">
        <v>56</v>
      </c>
      <c r="T54" s="35" t="s">
        <v>45</v>
      </c>
      <c r="U54" s="35" t="s">
        <v>35</v>
      </c>
      <c r="V54" s="35"/>
      <c r="W54" s="31" t="str">
        <f>HYPERLINK("https://www.stromypodkontrolou.cz/map/tree/d41bce85-5010-4276-b929-4760db78c679/038c115e-eab7-4cde-bb59-74a789ef3807")</f>
        <v>https://www.stromypodkontrolou.cz/map/tree/d41bce85-5010-4276-b929-4760db78c679/038c115e-eab7-4cde-bb59-74a789ef3807</v>
      </c>
      <c r="X54" s="31">
        <v>-735719.83193500002</v>
      </c>
      <c r="Y54" s="31">
        <v>-1014045.249204</v>
      </c>
      <c r="Z54" s="31" t="str">
        <f>HYPERLINK("https://www.mapy.cz?st=search&amp;fr=50.35415942 14.46446155")</f>
        <v>https://www.mapy.cz?st=search&amp;fr=50.35415942 14.46446155</v>
      </c>
      <c r="AA54" s="20" t="s">
        <v>598</v>
      </c>
      <c r="AB54" s="59"/>
    </row>
    <row r="55" spans="1:28" ht="35.1" customHeight="1" x14ac:dyDescent="0.25">
      <c r="A55" s="32" t="s">
        <v>285</v>
      </c>
      <c r="B55" s="33" t="s">
        <v>39</v>
      </c>
      <c r="C55" s="34" t="s">
        <v>40</v>
      </c>
      <c r="D55" s="35" t="s">
        <v>181</v>
      </c>
      <c r="E55" s="35"/>
      <c r="F55" s="35"/>
      <c r="G55" s="35"/>
      <c r="H55" s="35" t="s">
        <v>65</v>
      </c>
      <c r="I55" s="35" t="s">
        <v>43</v>
      </c>
      <c r="J55" s="35" t="s">
        <v>62</v>
      </c>
      <c r="K55" s="35" t="s">
        <v>54</v>
      </c>
      <c r="L55" s="35" t="s">
        <v>33</v>
      </c>
      <c r="M55" s="35" t="s">
        <v>34</v>
      </c>
      <c r="N55" s="35" t="s">
        <v>34</v>
      </c>
      <c r="O55" s="35" t="s">
        <v>34</v>
      </c>
      <c r="P55" s="31"/>
      <c r="Q55" s="31" t="s">
        <v>250</v>
      </c>
      <c r="R55" s="31" t="s">
        <v>251</v>
      </c>
      <c r="S55" s="31" t="s">
        <v>252</v>
      </c>
      <c r="T55" s="35" t="s">
        <v>54</v>
      </c>
      <c r="U55" s="35" t="s">
        <v>34</v>
      </c>
      <c r="V55" s="35"/>
      <c r="W55" s="31" t="str">
        <f>HYPERLINK("https://www.stromypodkontrolou.cz/map/tree/d41bce85-5010-4276-b929-4760db78c679/6886bdc0-ea63-4929-b17c-599c656eb7ab")</f>
        <v>https://www.stromypodkontrolou.cz/map/tree/d41bce85-5010-4276-b929-4760db78c679/6886bdc0-ea63-4929-b17c-599c656eb7ab</v>
      </c>
      <c r="X55" s="31">
        <v>-735736.61265899998</v>
      </c>
      <c r="Y55" s="31">
        <v>-1014014.106714</v>
      </c>
      <c r="Z55" s="31" t="str">
        <f>HYPERLINK("https://www.mapy.cz?st=search&amp;fr=50.35441633 14.46416851")</f>
        <v>https://www.mapy.cz?st=search&amp;fr=50.35441633 14.46416851</v>
      </c>
      <c r="AA55" s="20" t="s">
        <v>607</v>
      </c>
      <c r="AB55" s="59"/>
    </row>
    <row r="56" spans="1:28" ht="35.1" customHeight="1" x14ac:dyDescent="0.25">
      <c r="A56" s="32" t="s">
        <v>286</v>
      </c>
      <c r="B56" s="33" t="s">
        <v>25</v>
      </c>
      <c r="C56" s="34" t="s">
        <v>26</v>
      </c>
      <c r="D56" s="35" t="s">
        <v>145</v>
      </c>
      <c r="E56" s="35"/>
      <c r="F56" s="35"/>
      <c r="G56" s="35"/>
      <c r="H56" s="35" t="s">
        <v>167</v>
      </c>
      <c r="I56" s="35" t="s">
        <v>73</v>
      </c>
      <c r="J56" s="35" t="s">
        <v>66</v>
      </c>
      <c r="K56" s="35" t="s">
        <v>32</v>
      </c>
      <c r="L56" s="35" t="s">
        <v>74</v>
      </c>
      <c r="M56" s="35" t="s">
        <v>35</v>
      </c>
      <c r="N56" s="35" t="s">
        <v>35</v>
      </c>
      <c r="O56" s="35" t="s">
        <v>54</v>
      </c>
      <c r="P56" s="31" t="s">
        <v>142</v>
      </c>
      <c r="Q56" s="31" t="s">
        <v>250</v>
      </c>
      <c r="R56" s="31" t="s">
        <v>251</v>
      </c>
      <c r="S56" s="31" t="s">
        <v>56</v>
      </c>
      <c r="T56" s="35" t="s">
        <v>45</v>
      </c>
      <c r="U56" s="35" t="s">
        <v>34</v>
      </c>
      <c r="V56" s="35"/>
      <c r="W56" s="31" t="str">
        <f>HYPERLINK("https://www.stromypodkontrolou.cz/map/tree/d41bce85-5010-4276-b929-4760db78c679/262f08ff-d081-471b-8a4c-fb031bc358a3")</f>
        <v>https://www.stromypodkontrolou.cz/map/tree/d41bce85-5010-4276-b929-4760db78c679/262f08ff-d081-471b-8a4c-fb031bc358a3</v>
      </c>
      <c r="X56" s="31">
        <v>-735765.55602300004</v>
      </c>
      <c r="Y56" s="31">
        <v>-1013965.927608</v>
      </c>
      <c r="Z56" s="31" t="str">
        <f>HYPERLINK("https://www.mapy.cz?st=search&amp;fr=50.35481016 14.46367365")</f>
        <v>https://www.mapy.cz?st=search&amp;fr=50.35481016 14.46367365</v>
      </c>
      <c r="AA56" s="20" t="s">
        <v>602</v>
      </c>
      <c r="AB56" s="59"/>
    </row>
    <row r="57" spans="1:28" ht="35.1" customHeight="1" x14ac:dyDescent="0.25">
      <c r="A57" s="65" t="s">
        <v>290</v>
      </c>
      <c r="B57" s="66" t="s">
        <v>68</v>
      </c>
      <c r="C57" s="67" t="s">
        <v>69</v>
      </c>
      <c r="D57" s="68" t="s">
        <v>114</v>
      </c>
      <c r="E57" s="68"/>
      <c r="F57" s="68"/>
      <c r="G57" s="68"/>
      <c r="H57" s="68" t="s">
        <v>99</v>
      </c>
      <c r="I57" s="68" t="s">
        <v>79</v>
      </c>
      <c r="J57" s="68" t="s">
        <v>197</v>
      </c>
      <c r="K57" s="68" t="s">
        <v>32</v>
      </c>
      <c r="L57" s="68" t="s">
        <v>33</v>
      </c>
      <c r="M57" s="68" t="s">
        <v>34</v>
      </c>
      <c r="N57" s="68" t="s">
        <v>54</v>
      </c>
      <c r="O57" s="68" t="s">
        <v>54</v>
      </c>
      <c r="P57" s="64" t="s">
        <v>215</v>
      </c>
      <c r="Q57" s="64" t="s">
        <v>287</v>
      </c>
      <c r="R57" s="64" t="s">
        <v>289</v>
      </c>
      <c r="S57" s="31" t="s">
        <v>56</v>
      </c>
      <c r="T57" s="35" t="s">
        <v>45</v>
      </c>
      <c r="U57" s="35" t="s">
        <v>34</v>
      </c>
      <c r="V57" s="35"/>
      <c r="W57" s="64" t="str">
        <f>HYPERLINK("https://www.stromypodkontrolou.cz/map/tree/d41bce85-5010-4276-b929-4760db78c679/b7fcfe0c-6c9c-4f2d-9299-f91fd8842a32")</f>
        <v>https://www.stromypodkontrolou.cz/map/tree/d41bce85-5010-4276-b929-4760db78c679/b7fcfe0c-6c9c-4f2d-9299-f91fd8842a32</v>
      </c>
      <c r="X57" s="64">
        <v>-735533.44709799998</v>
      </c>
      <c r="Y57" s="64">
        <v>-1014391.862213</v>
      </c>
      <c r="Z57" s="64" t="str">
        <f>HYPERLINK("https://www.mapy.cz?st=search&amp;fr=50.35129944 14.46771741")</f>
        <v>https://www.mapy.cz?st=search&amp;fr=50.35129944 14.46771741</v>
      </c>
      <c r="AA57" s="20" t="s">
        <v>598</v>
      </c>
      <c r="AB57" s="59"/>
    </row>
    <row r="58" spans="1:28" ht="35.1" customHeight="1" x14ac:dyDescent="0.25">
      <c r="A58" s="65"/>
      <c r="B58" s="66"/>
      <c r="C58" s="67"/>
      <c r="D58" s="68"/>
      <c r="E58" s="68"/>
      <c r="F58" s="68"/>
      <c r="G58" s="68"/>
      <c r="H58" s="68"/>
      <c r="I58" s="68"/>
      <c r="J58" s="68"/>
      <c r="K58" s="68"/>
      <c r="L58" s="68"/>
      <c r="M58" s="68"/>
      <c r="N58" s="68"/>
      <c r="O58" s="68"/>
      <c r="P58" s="64"/>
      <c r="Q58" s="64"/>
      <c r="R58" s="64"/>
      <c r="S58" s="31" t="s">
        <v>57</v>
      </c>
      <c r="T58" s="35" t="s">
        <v>45</v>
      </c>
      <c r="U58" s="35" t="s">
        <v>34</v>
      </c>
      <c r="V58" s="35" t="s">
        <v>257</v>
      </c>
      <c r="W58" s="64"/>
      <c r="X58" s="64"/>
      <c r="Y58" s="64"/>
      <c r="Z58" s="64"/>
      <c r="AA58" s="20" t="s">
        <v>599</v>
      </c>
      <c r="AB58" s="59"/>
    </row>
    <row r="59" spans="1:28" ht="35.1" customHeight="1" x14ac:dyDescent="0.25">
      <c r="A59" s="65" t="s">
        <v>291</v>
      </c>
      <c r="B59" s="66" t="s">
        <v>68</v>
      </c>
      <c r="C59" s="67" t="s">
        <v>69</v>
      </c>
      <c r="D59" s="68" t="s">
        <v>195</v>
      </c>
      <c r="E59" s="68"/>
      <c r="F59" s="68"/>
      <c r="G59" s="68"/>
      <c r="H59" s="68" t="s">
        <v>99</v>
      </c>
      <c r="I59" s="68" t="s">
        <v>79</v>
      </c>
      <c r="J59" s="68" t="s">
        <v>197</v>
      </c>
      <c r="K59" s="68" t="s">
        <v>32</v>
      </c>
      <c r="L59" s="68" t="s">
        <v>74</v>
      </c>
      <c r="M59" s="68" t="s">
        <v>34</v>
      </c>
      <c r="N59" s="68" t="s">
        <v>35</v>
      </c>
      <c r="O59" s="68" t="s">
        <v>54</v>
      </c>
      <c r="P59" s="64" t="s">
        <v>186</v>
      </c>
      <c r="Q59" s="64" t="s">
        <v>287</v>
      </c>
      <c r="R59" s="64" t="s">
        <v>289</v>
      </c>
      <c r="S59" s="31" t="s">
        <v>57</v>
      </c>
      <c r="T59" s="35" t="s">
        <v>45</v>
      </c>
      <c r="U59" s="35" t="s">
        <v>34</v>
      </c>
      <c r="V59" s="35" t="s">
        <v>257</v>
      </c>
      <c r="W59" s="64" t="str">
        <f>HYPERLINK("https://www.stromypodkontrolou.cz/map/tree/d41bce85-5010-4276-b929-4760db78c679/fe5bc55c-aa98-4220-af8d-6790a21d17fe")</f>
        <v>https://www.stromypodkontrolou.cz/map/tree/d41bce85-5010-4276-b929-4760db78c679/fe5bc55c-aa98-4220-af8d-6790a21d17fe</v>
      </c>
      <c r="X59" s="64">
        <v>-735529.58701699995</v>
      </c>
      <c r="Y59" s="64">
        <v>-1014395.681302</v>
      </c>
      <c r="Z59" s="64" t="str">
        <f>HYPERLINK("https://www.mapy.cz?st=search&amp;fr=50.35127013 14.46777843")</f>
        <v>https://www.mapy.cz?st=search&amp;fr=50.35127013 14.46777843</v>
      </c>
      <c r="AA59" s="20" t="s">
        <v>599</v>
      </c>
      <c r="AB59" s="59"/>
    </row>
    <row r="60" spans="1:28" ht="35.1" customHeight="1" x14ac:dyDescent="0.25">
      <c r="A60" s="65"/>
      <c r="B60" s="66"/>
      <c r="C60" s="67"/>
      <c r="D60" s="68"/>
      <c r="E60" s="68"/>
      <c r="F60" s="68"/>
      <c r="G60" s="68"/>
      <c r="H60" s="68"/>
      <c r="I60" s="68"/>
      <c r="J60" s="68"/>
      <c r="K60" s="68"/>
      <c r="L60" s="68"/>
      <c r="M60" s="68"/>
      <c r="N60" s="68"/>
      <c r="O60" s="68"/>
      <c r="P60" s="64"/>
      <c r="Q60" s="64"/>
      <c r="R60" s="64"/>
      <c r="S60" s="31" t="s">
        <v>56</v>
      </c>
      <c r="T60" s="35" t="s">
        <v>45</v>
      </c>
      <c r="U60" s="35" t="s">
        <v>34</v>
      </c>
      <c r="V60" s="35"/>
      <c r="W60" s="64"/>
      <c r="X60" s="64"/>
      <c r="Y60" s="64"/>
      <c r="Z60" s="64"/>
      <c r="AA60" s="20" t="s">
        <v>598</v>
      </c>
      <c r="AB60" s="59"/>
    </row>
    <row r="61" spans="1:28" ht="35.1" customHeight="1" x14ac:dyDescent="0.25">
      <c r="A61" s="65" t="s">
        <v>292</v>
      </c>
      <c r="B61" s="66" t="s">
        <v>68</v>
      </c>
      <c r="C61" s="67" t="s">
        <v>69</v>
      </c>
      <c r="D61" s="68" t="s">
        <v>164</v>
      </c>
      <c r="E61" s="68"/>
      <c r="F61" s="68"/>
      <c r="G61" s="68"/>
      <c r="H61" s="68" t="s">
        <v>51</v>
      </c>
      <c r="I61" s="68" t="s">
        <v>79</v>
      </c>
      <c r="J61" s="68" t="s">
        <v>53</v>
      </c>
      <c r="K61" s="68" t="s">
        <v>32</v>
      </c>
      <c r="L61" s="68" t="s">
        <v>33</v>
      </c>
      <c r="M61" s="68" t="s">
        <v>34</v>
      </c>
      <c r="N61" s="68" t="s">
        <v>54</v>
      </c>
      <c r="O61" s="68" t="s">
        <v>54</v>
      </c>
      <c r="P61" s="64" t="s">
        <v>293</v>
      </c>
      <c r="Q61" s="64" t="s">
        <v>287</v>
      </c>
      <c r="R61" s="64" t="s">
        <v>289</v>
      </c>
      <c r="S61" s="31" t="s">
        <v>56</v>
      </c>
      <c r="T61" s="35" t="s">
        <v>45</v>
      </c>
      <c r="U61" s="35" t="s">
        <v>34</v>
      </c>
      <c r="V61" s="35"/>
      <c r="W61" s="64" t="str">
        <f>HYPERLINK("https://www.stromypodkontrolou.cz/map/tree/d41bce85-5010-4276-b929-4760db78c679/ba7757d5-0d47-4d77-a092-03935456cfa4")</f>
        <v>https://www.stromypodkontrolou.cz/map/tree/d41bce85-5010-4276-b929-4760db78c679/ba7757d5-0d47-4d77-a092-03935456cfa4</v>
      </c>
      <c r="X61" s="64">
        <v>-735526.83258399996</v>
      </c>
      <c r="Y61" s="64">
        <v>-1014399.132797</v>
      </c>
      <c r="Z61" s="64" t="str">
        <f>HYPERLINK("https://www.mapy.cz?st=search&amp;fr=50.35124275 14.46782336")</f>
        <v>https://www.mapy.cz?st=search&amp;fr=50.35124275 14.46782336</v>
      </c>
      <c r="AA61" s="20" t="s">
        <v>598</v>
      </c>
      <c r="AB61" s="59"/>
    </row>
    <row r="62" spans="1:28" ht="35.1" customHeight="1" x14ac:dyDescent="0.25">
      <c r="A62" s="65"/>
      <c r="B62" s="66"/>
      <c r="C62" s="67"/>
      <c r="D62" s="68"/>
      <c r="E62" s="68"/>
      <c r="F62" s="68"/>
      <c r="G62" s="68"/>
      <c r="H62" s="68"/>
      <c r="I62" s="68"/>
      <c r="J62" s="68"/>
      <c r="K62" s="68"/>
      <c r="L62" s="68"/>
      <c r="M62" s="68"/>
      <c r="N62" s="68"/>
      <c r="O62" s="68"/>
      <c r="P62" s="64"/>
      <c r="Q62" s="64"/>
      <c r="R62" s="64"/>
      <c r="S62" s="31" t="s">
        <v>57</v>
      </c>
      <c r="T62" s="35" t="s">
        <v>45</v>
      </c>
      <c r="U62" s="35" t="s">
        <v>34</v>
      </c>
      <c r="V62" s="35" t="s">
        <v>257</v>
      </c>
      <c r="W62" s="64"/>
      <c r="X62" s="64"/>
      <c r="Y62" s="64"/>
      <c r="Z62" s="64"/>
      <c r="AA62" s="20" t="s">
        <v>599</v>
      </c>
      <c r="AB62" s="59"/>
    </row>
    <row r="63" spans="1:28" ht="35.1" customHeight="1" x14ac:dyDescent="0.25">
      <c r="A63" s="65" t="s">
        <v>294</v>
      </c>
      <c r="B63" s="66" t="s">
        <v>68</v>
      </c>
      <c r="C63" s="67" t="s">
        <v>69</v>
      </c>
      <c r="D63" s="68" t="s">
        <v>236</v>
      </c>
      <c r="E63" s="68"/>
      <c r="F63" s="68"/>
      <c r="G63" s="68"/>
      <c r="H63" s="68" t="s">
        <v>51</v>
      </c>
      <c r="I63" s="68" t="s">
        <v>79</v>
      </c>
      <c r="J63" s="68" t="s">
        <v>53</v>
      </c>
      <c r="K63" s="68" t="s">
        <v>32</v>
      </c>
      <c r="L63" s="68" t="s">
        <v>74</v>
      </c>
      <c r="M63" s="68" t="s">
        <v>35</v>
      </c>
      <c r="N63" s="68" t="s">
        <v>54</v>
      </c>
      <c r="O63" s="68" t="s">
        <v>54</v>
      </c>
      <c r="P63" s="64" t="s">
        <v>295</v>
      </c>
      <c r="Q63" s="64" t="s">
        <v>287</v>
      </c>
      <c r="R63" s="64" t="s">
        <v>289</v>
      </c>
      <c r="S63" s="31" t="s">
        <v>56</v>
      </c>
      <c r="T63" s="35" t="s">
        <v>45</v>
      </c>
      <c r="U63" s="35" t="s">
        <v>34</v>
      </c>
      <c r="V63" s="35"/>
      <c r="W63" s="64" t="str">
        <f>HYPERLINK("https://www.stromypodkontrolou.cz/map/tree/d41bce85-5010-4276-b929-4760db78c679/327577b9-da3d-4799-aa43-050e2601fbd5")</f>
        <v>https://www.stromypodkontrolou.cz/map/tree/d41bce85-5010-4276-b929-4760db78c679/327577b9-da3d-4799-aa43-050e2601fbd5</v>
      </c>
      <c r="X63" s="64">
        <v>-735520.00875599997</v>
      </c>
      <c r="Y63" s="64">
        <v>-1014407.5128340001</v>
      </c>
      <c r="Z63" s="64" t="str">
        <f>HYPERLINK("https://www.mapy.cz?st=search&amp;fr=50.35117643 14.46793434")</f>
        <v>https://www.mapy.cz?st=search&amp;fr=50.35117643 14.46793434</v>
      </c>
      <c r="AA63" s="20" t="s">
        <v>598</v>
      </c>
      <c r="AB63" s="59"/>
    </row>
    <row r="64" spans="1:28" ht="35.1" customHeight="1" x14ac:dyDescent="0.25">
      <c r="A64" s="65"/>
      <c r="B64" s="66"/>
      <c r="C64" s="67"/>
      <c r="D64" s="68"/>
      <c r="E64" s="68"/>
      <c r="F64" s="68"/>
      <c r="G64" s="68"/>
      <c r="H64" s="68"/>
      <c r="I64" s="68"/>
      <c r="J64" s="68"/>
      <c r="K64" s="68"/>
      <c r="L64" s="68"/>
      <c r="M64" s="68"/>
      <c r="N64" s="68"/>
      <c r="O64" s="68"/>
      <c r="P64" s="64"/>
      <c r="Q64" s="64"/>
      <c r="R64" s="64"/>
      <c r="S64" s="31" t="s">
        <v>85</v>
      </c>
      <c r="T64" s="35" t="s">
        <v>45</v>
      </c>
      <c r="U64" s="35" t="s">
        <v>34</v>
      </c>
      <c r="V64" s="35" t="s">
        <v>158</v>
      </c>
      <c r="W64" s="64"/>
      <c r="X64" s="64"/>
      <c r="Y64" s="64"/>
      <c r="Z64" s="64"/>
      <c r="AA64" s="20" t="s">
        <v>605</v>
      </c>
      <c r="AB64" s="59"/>
    </row>
    <row r="65" spans="1:28" ht="35.1" customHeight="1" x14ac:dyDescent="0.25">
      <c r="A65" s="65" t="s">
        <v>296</v>
      </c>
      <c r="B65" s="66" t="s">
        <v>68</v>
      </c>
      <c r="C65" s="67" t="s">
        <v>69</v>
      </c>
      <c r="D65" s="68" t="s">
        <v>145</v>
      </c>
      <c r="E65" s="68"/>
      <c r="F65" s="68"/>
      <c r="G65" s="68"/>
      <c r="H65" s="68" t="s">
        <v>51</v>
      </c>
      <c r="I65" s="68" t="s">
        <v>79</v>
      </c>
      <c r="J65" s="68" t="s">
        <v>53</v>
      </c>
      <c r="K65" s="68" t="s">
        <v>32</v>
      </c>
      <c r="L65" s="68" t="s">
        <v>74</v>
      </c>
      <c r="M65" s="68" t="s">
        <v>35</v>
      </c>
      <c r="N65" s="68" t="s">
        <v>35</v>
      </c>
      <c r="O65" s="68" t="s">
        <v>35</v>
      </c>
      <c r="P65" s="64" t="s">
        <v>186</v>
      </c>
      <c r="Q65" s="64" t="s">
        <v>287</v>
      </c>
      <c r="R65" s="64" t="s">
        <v>289</v>
      </c>
      <c r="S65" s="31" t="s">
        <v>57</v>
      </c>
      <c r="T65" s="35" t="s">
        <v>45</v>
      </c>
      <c r="U65" s="35" t="s">
        <v>34</v>
      </c>
      <c r="V65" s="35" t="s">
        <v>257</v>
      </c>
      <c r="W65" s="64" t="str">
        <f>HYPERLINK("https://www.stromypodkontrolou.cz/map/tree/d41bce85-5010-4276-b929-4760db78c679/2ac8d277-391d-40ad-ac2e-3b0357224d04")</f>
        <v>https://www.stromypodkontrolou.cz/map/tree/d41bce85-5010-4276-b929-4760db78c679/2ac8d277-391d-40ad-ac2e-3b0357224d04</v>
      </c>
      <c r="X65" s="64">
        <v>-735516.72569999995</v>
      </c>
      <c r="Y65" s="64">
        <v>-1014411.32494</v>
      </c>
      <c r="Z65" s="64" t="str">
        <f>HYPERLINK("https://www.mapy.cz?st=search&amp;fr=50.35114648 14.46798731")</f>
        <v>https://www.mapy.cz?st=search&amp;fr=50.35114648 14.46798731</v>
      </c>
      <c r="AA65" s="20" t="s">
        <v>599</v>
      </c>
      <c r="AB65" s="59"/>
    </row>
    <row r="66" spans="1:28" ht="35.1" customHeight="1" x14ac:dyDescent="0.25">
      <c r="A66" s="65"/>
      <c r="B66" s="66"/>
      <c r="C66" s="67"/>
      <c r="D66" s="68"/>
      <c r="E66" s="68"/>
      <c r="F66" s="68"/>
      <c r="G66" s="68"/>
      <c r="H66" s="68"/>
      <c r="I66" s="68"/>
      <c r="J66" s="68"/>
      <c r="K66" s="68"/>
      <c r="L66" s="68"/>
      <c r="M66" s="68"/>
      <c r="N66" s="68"/>
      <c r="O66" s="68"/>
      <c r="P66" s="64"/>
      <c r="Q66" s="64"/>
      <c r="R66" s="64"/>
      <c r="S66" s="31" t="s">
        <v>56</v>
      </c>
      <c r="T66" s="35" t="s">
        <v>45</v>
      </c>
      <c r="U66" s="35" t="s">
        <v>34</v>
      </c>
      <c r="V66" s="35"/>
      <c r="W66" s="64"/>
      <c r="X66" s="64"/>
      <c r="Y66" s="64"/>
      <c r="Z66" s="64"/>
      <c r="AA66" s="20" t="s">
        <v>598</v>
      </c>
      <c r="AB66" s="59"/>
    </row>
    <row r="67" spans="1:28" ht="35.1" customHeight="1" x14ac:dyDescent="0.25">
      <c r="A67" s="65" t="s">
        <v>297</v>
      </c>
      <c r="B67" s="66" t="s">
        <v>68</v>
      </c>
      <c r="C67" s="67" t="s">
        <v>69</v>
      </c>
      <c r="D67" s="68" t="s">
        <v>87</v>
      </c>
      <c r="E67" s="68"/>
      <c r="F67" s="68"/>
      <c r="G67" s="68"/>
      <c r="H67" s="68" t="s">
        <v>51</v>
      </c>
      <c r="I67" s="68" t="s">
        <v>79</v>
      </c>
      <c r="J67" s="68" t="s">
        <v>53</v>
      </c>
      <c r="K67" s="68" t="s">
        <v>32</v>
      </c>
      <c r="L67" s="68" t="s">
        <v>33</v>
      </c>
      <c r="M67" s="68" t="s">
        <v>34</v>
      </c>
      <c r="N67" s="68" t="s">
        <v>35</v>
      </c>
      <c r="O67" s="68" t="s">
        <v>35</v>
      </c>
      <c r="P67" s="64" t="s">
        <v>186</v>
      </c>
      <c r="Q67" s="64" t="s">
        <v>287</v>
      </c>
      <c r="R67" s="64" t="s">
        <v>289</v>
      </c>
      <c r="S67" s="31" t="s">
        <v>56</v>
      </c>
      <c r="T67" s="35" t="s">
        <v>45</v>
      </c>
      <c r="U67" s="35" t="s">
        <v>34</v>
      </c>
      <c r="V67" s="35"/>
      <c r="W67" s="64" t="str">
        <f>HYPERLINK("https://www.stromypodkontrolou.cz/map/tree/d41bce85-5010-4276-b929-4760db78c679/83ca8cf0-a2fb-4bc6-97d3-05db19c74623")</f>
        <v>https://www.stromypodkontrolou.cz/map/tree/d41bce85-5010-4276-b929-4760db78c679/83ca8cf0-a2fb-4bc6-97d3-05db19c74623</v>
      </c>
      <c r="X67" s="64">
        <v>-735512.959348</v>
      </c>
      <c r="Y67" s="64">
        <v>-1014416.3560800001</v>
      </c>
      <c r="Z67" s="64" t="str">
        <f>HYPERLINK("https://www.mapy.cz?st=search&amp;fr=50.35110626 14.46804934")</f>
        <v>https://www.mapy.cz?st=search&amp;fr=50.35110626 14.46804934</v>
      </c>
      <c r="AA67" s="20" t="s">
        <v>598</v>
      </c>
      <c r="AB67" s="59"/>
    </row>
    <row r="68" spans="1:28" ht="35.1" customHeight="1" x14ac:dyDescent="0.25">
      <c r="A68" s="65"/>
      <c r="B68" s="66"/>
      <c r="C68" s="67"/>
      <c r="D68" s="68"/>
      <c r="E68" s="68"/>
      <c r="F68" s="68"/>
      <c r="G68" s="68"/>
      <c r="H68" s="68"/>
      <c r="I68" s="68"/>
      <c r="J68" s="68"/>
      <c r="K68" s="68"/>
      <c r="L68" s="68"/>
      <c r="M68" s="68"/>
      <c r="N68" s="68"/>
      <c r="O68" s="68"/>
      <c r="P68" s="64"/>
      <c r="Q68" s="64"/>
      <c r="R68" s="64"/>
      <c r="S68" s="31" t="s">
        <v>57</v>
      </c>
      <c r="T68" s="35" t="s">
        <v>45</v>
      </c>
      <c r="U68" s="35" t="s">
        <v>34</v>
      </c>
      <c r="V68" s="35" t="s">
        <v>200</v>
      </c>
      <c r="W68" s="64"/>
      <c r="X68" s="64"/>
      <c r="Y68" s="64"/>
      <c r="Z68" s="64"/>
      <c r="AA68" s="20" t="s">
        <v>599</v>
      </c>
      <c r="AB68" s="59"/>
    </row>
    <row r="69" spans="1:28" ht="35.1" customHeight="1" x14ac:dyDescent="0.25">
      <c r="A69" s="65" t="s">
        <v>298</v>
      </c>
      <c r="B69" s="66" t="s">
        <v>68</v>
      </c>
      <c r="C69" s="67" t="s">
        <v>69</v>
      </c>
      <c r="D69" s="68" t="s">
        <v>50</v>
      </c>
      <c r="E69" s="68"/>
      <c r="F69" s="68"/>
      <c r="G69" s="68"/>
      <c r="H69" s="68" t="s">
        <v>51</v>
      </c>
      <c r="I69" s="68" t="s">
        <v>79</v>
      </c>
      <c r="J69" s="68" t="s">
        <v>53</v>
      </c>
      <c r="K69" s="68" t="s">
        <v>32</v>
      </c>
      <c r="L69" s="68" t="s">
        <v>33</v>
      </c>
      <c r="M69" s="68" t="s">
        <v>35</v>
      </c>
      <c r="N69" s="68" t="s">
        <v>54</v>
      </c>
      <c r="O69" s="68" t="s">
        <v>54</v>
      </c>
      <c r="P69" s="64" t="s">
        <v>295</v>
      </c>
      <c r="Q69" s="64" t="s">
        <v>287</v>
      </c>
      <c r="R69" s="64" t="s">
        <v>289</v>
      </c>
      <c r="S69" s="31" t="s">
        <v>56</v>
      </c>
      <c r="T69" s="35" t="s">
        <v>45</v>
      </c>
      <c r="U69" s="35" t="s">
        <v>34</v>
      </c>
      <c r="V69" s="35"/>
      <c r="W69" s="64" t="str">
        <f>HYPERLINK("https://www.stromypodkontrolou.cz/map/tree/d41bce85-5010-4276-b929-4760db78c679/553e6993-db6c-4893-8627-8e4918ba89f9")</f>
        <v>https://www.stromypodkontrolou.cz/map/tree/d41bce85-5010-4276-b929-4760db78c679/553e6993-db6c-4893-8627-8e4918ba89f9</v>
      </c>
      <c r="X69" s="64">
        <v>-735507.230063</v>
      </c>
      <c r="Y69" s="64">
        <v>-1014422.880959</v>
      </c>
      <c r="Z69" s="64" t="str">
        <f>HYPERLINK("https://www.mapy.cz?st=search&amp;fr=50.35105513 14.46814154")</f>
        <v>https://www.mapy.cz?st=search&amp;fr=50.35105513 14.46814154</v>
      </c>
      <c r="AA69" s="20" t="s">
        <v>598</v>
      </c>
      <c r="AB69" s="59"/>
    </row>
    <row r="70" spans="1:28" ht="35.1" customHeight="1" x14ac:dyDescent="0.25">
      <c r="A70" s="65"/>
      <c r="B70" s="66"/>
      <c r="C70" s="67"/>
      <c r="D70" s="68"/>
      <c r="E70" s="68"/>
      <c r="F70" s="68"/>
      <c r="G70" s="68"/>
      <c r="H70" s="68"/>
      <c r="I70" s="68"/>
      <c r="J70" s="68"/>
      <c r="K70" s="68"/>
      <c r="L70" s="68"/>
      <c r="M70" s="68"/>
      <c r="N70" s="68"/>
      <c r="O70" s="68"/>
      <c r="P70" s="64"/>
      <c r="Q70" s="64"/>
      <c r="R70" s="64"/>
      <c r="S70" s="31" t="s">
        <v>85</v>
      </c>
      <c r="T70" s="35" t="s">
        <v>45</v>
      </c>
      <c r="U70" s="35" t="s">
        <v>34</v>
      </c>
      <c r="V70" s="35" t="s">
        <v>86</v>
      </c>
      <c r="W70" s="64"/>
      <c r="X70" s="64"/>
      <c r="Y70" s="64"/>
      <c r="Z70" s="64"/>
      <c r="AA70" s="20" t="s">
        <v>605</v>
      </c>
      <c r="AB70" s="59"/>
    </row>
    <row r="71" spans="1:28" ht="35.1" customHeight="1" x14ac:dyDescent="0.25">
      <c r="A71" s="65" t="s">
        <v>299</v>
      </c>
      <c r="B71" s="66" t="s">
        <v>68</v>
      </c>
      <c r="C71" s="67" t="s">
        <v>69</v>
      </c>
      <c r="D71" s="68" t="s">
        <v>300</v>
      </c>
      <c r="E71" s="68"/>
      <c r="F71" s="68"/>
      <c r="G71" s="68"/>
      <c r="H71" s="68" t="s">
        <v>99</v>
      </c>
      <c r="I71" s="68" t="s">
        <v>79</v>
      </c>
      <c r="J71" s="68" t="s">
        <v>53</v>
      </c>
      <c r="K71" s="68" t="s">
        <v>32</v>
      </c>
      <c r="L71" s="68" t="s">
        <v>74</v>
      </c>
      <c r="M71" s="68" t="s">
        <v>35</v>
      </c>
      <c r="N71" s="68" t="s">
        <v>32</v>
      </c>
      <c r="O71" s="68" t="s">
        <v>32</v>
      </c>
      <c r="P71" s="64" t="s">
        <v>301</v>
      </c>
      <c r="Q71" s="64" t="s">
        <v>287</v>
      </c>
      <c r="R71" s="64" t="s">
        <v>289</v>
      </c>
      <c r="S71" s="31" t="s">
        <v>56</v>
      </c>
      <c r="T71" s="35" t="s">
        <v>45</v>
      </c>
      <c r="U71" s="35" t="s">
        <v>34</v>
      </c>
      <c r="V71" s="35"/>
      <c r="W71" s="64" t="str">
        <f>HYPERLINK("https://www.stromypodkontrolou.cz/map/tree/d41bce85-5010-4276-b929-4760db78c679/71e9eb8d-a987-4213-b420-a4eef8b5cc30")</f>
        <v>https://www.stromypodkontrolou.cz/map/tree/d41bce85-5010-4276-b929-4760db78c679/71e9eb8d-a987-4213-b420-a4eef8b5cc30</v>
      </c>
      <c r="X71" s="64">
        <v>-735495.91811299999</v>
      </c>
      <c r="Y71" s="64">
        <v>-1014448.255677</v>
      </c>
      <c r="Z71" s="64" t="str">
        <f>HYPERLINK("https://www.mapy.cz?st=search&amp;fr=50.35084290 14.46834740")</f>
        <v>https://www.mapy.cz?st=search&amp;fr=50.35084290 14.46834740</v>
      </c>
      <c r="AA71" s="20" t="s">
        <v>598</v>
      </c>
      <c r="AB71" s="59"/>
    </row>
    <row r="72" spans="1:28" ht="35.1" customHeight="1" x14ac:dyDescent="0.25">
      <c r="A72" s="65"/>
      <c r="B72" s="66"/>
      <c r="C72" s="67"/>
      <c r="D72" s="68"/>
      <c r="E72" s="68"/>
      <c r="F72" s="68"/>
      <c r="G72" s="68"/>
      <c r="H72" s="68"/>
      <c r="I72" s="68"/>
      <c r="J72" s="68"/>
      <c r="K72" s="68"/>
      <c r="L72" s="68"/>
      <c r="M72" s="68"/>
      <c r="N72" s="68"/>
      <c r="O72" s="68"/>
      <c r="P72" s="64"/>
      <c r="Q72" s="64"/>
      <c r="R72" s="64"/>
      <c r="S72" s="31" t="s">
        <v>85</v>
      </c>
      <c r="T72" s="35" t="s">
        <v>45</v>
      </c>
      <c r="U72" s="35" t="s">
        <v>34</v>
      </c>
      <c r="V72" s="35" t="s">
        <v>86</v>
      </c>
      <c r="W72" s="64"/>
      <c r="X72" s="64"/>
      <c r="Y72" s="64"/>
      <c r="Z72" s="64"/>
      <c r="AA72" s="20" t="s">
        <v>605</v>
      </c>
      <c r="AB72" s="59"/>
    </row>
    <row r="73" spans="1:28" ht="35.1" customHeight="1" x14ac:dyDescent="0.25">
      <c r="A73" s="65" t="s">
        <v>302</v>
      </c>
      <c r="B73" s="66" t="s">
        <v>68</v>
      </c>
      <c r="C73" s="67" t="s">
        <v>69</v>
      </c>
      <c r="D73" s="68" t="s">
        <v>303</v>
      </c>
      <c r="E73" s="68"/>
      <c r="F73" s="68"/>
      <c r="G73" s="68"/>
      <c r="H73" s="68" t="s">
        <v>99</v>
      </c>
      <c r="I73" s="68" t="s">
        <v>79</v>
      </c>
      <c r="J73" s="68" t="s">
        <v>53</v>
      </c>
      <c r="K73" s="68" t="s">
        <v>32</v>
      </c>
      <c r="L73" s="68" t="s">
        <v>33</v>
      </c>
      <c r="M73" s="68" t="s">
        <v>35</v>
      </c>
      <c r="N73" s="68" t="s">
        <v>35</v>
      </c>
      <c r="O73" s="68" t="s">
        <v>35</v>
      </c>
      <c r="P73" s="64" t="s">
        <v>186</v>
      </c>
      <c r="Q73" s="64" t="s">
        <v>287</v>
      </c>
      <c r="R73" s="64" t="s">
        <v>289</v>
      </c>
      <c r="S73" s="31" t="s">
        <v>57</v>
      </c>
      <c r="T73" s="35" t="s">
        <v>45</v>
      </c>
      <c r="U73" s="35" t="s">
        <v>34</v>
      </c>
      <c r="V73" s="35" t="s">
        <v>257</v>
      </c>
      <c r="W73" s="64" t="str">
        <f>HYPERLINK("https://www.stromypodkontrolou.cz/map/tree/d41bce85-5010-4276-b929-4760db78c679/c6064db0-e8cc-4ac9-97ea-90e5fbf1f5e7")</f>
        <v>https://www.stromypodkontrolou.cz/map/tree/d41bce85-5010-4276-b929-4760db78c679/c6064db0-e8cc-4ac9-97ea-90e5fbf1f5e7</v>
      </c>
      <c r="X73" s="64">
        <v>-735496.80479700002</v>
      </c>
      <c r="Y73" s="64">
        <v>-1014444.003208</v>
      </c>
      <c r="Z73" s="64" t="str">
        <f>HYPERLINK("https://www.mapy.cz?st=search&amp;fr=50.35087970 14.46832694")</f>
        <v>https://www.mapy.cz?st=search&amp;fr=50.35087970 14.46832694</v>
      </c>
      <c r="AA73" s="20" t="s">
        <v>599</v>
      </c>
      <c r="AB73" s="59"/>
    </row>
    <row r="74" spans="1:28" ht="35.1" customHeight="1" x14ac:dyDescent="0.25">
      <c r="A74" s="65"/>
      <c r="B74" s="66"/>
      <c r="C74" s="67"/>
      <c r="D74" s="68"/>
      <c r="E74" s="68"/>
      <c r="F74" s="68"/>
      <c r="G74" s="68"/>
      <c r="H74" s="68"/>
      <c r="I74" s="68"/>
      <c r="J74" s="68"/>
      <c r="K74" s="68"/>
      <c r="L74" s="68"/>
      <c r="M74" s="68"/>
      <c r="N74" s="68"/>
      <c r="O74" s="68"/>
      <c r="P74" s="64"/>
      <c r="Q74" s="64"/>
      <c r="R74" s="64"/>
      <c r="S74" s="31" t="s">
        <v>56</v>
      </c>
      <c r="T74" s="35" t="s">
        <v>45</v>
      </c>
      <c r="U74" s="35" t="s">
        <v>34</v>
      </c>
      <c r="V74" s="35"/>
      <c r="W74" s="64"/>
      <c r="X74" s="64"/>
      <c r="Y74" s="64"/>
      <c r="Z74" s="64"/>
      <c r="AA74" s="20" t="s">
        <v>598</v>
      </c>
      <c r="AB74" s="59"/>
    </row>
    <row r="75" spans="1:28" ht="35.1" customHeight="1" x14ac:dyDescent="0.25">
      <c r="A75" s="65" t="s">
        <v>304</v>
      </c>
      <c r="B75" s="66" t="s">
        <v>68</v>
      </c>
      <c r="C75" s="67" t="s">
        <v>69</v>
      </c>
      <c r="D75" s="68" t="s">
        <v>138</v>
      </c>
      <c r="E75" s="68"/>
      <c r="F75" s="68"/>
      <c r="G75" s="68"/>
      <c r="H75" s="68" t="s">
        <v>42</v>
      </c>
      <c r="I75" s="68" t="s">
        <v>43</v>
      </c>
      <c r="J75" s="68" t="s">
        <v>137</v>
      </c>
      <c r="K75" s="68" t="s">
        <v>32</v>
      </c>
      <c r="L75" s="68" t="s">
        <v>33</v>
      </c>
      <c r="M75" s="68" t="s">
        <v>35</v>
      </c>
      <c r="N75" s="68" t="s">
        <v>54</v>
      </c>
      <c r="O75" s="68" t="s">
        <v>54</v>
      </c>
      <c r="P75" s="64" t="s">
        <v>305</v>
      </c>
      <c r="Q75" s="64" t="s">
        <v>287</v>
      </c>
      <c r="R75" s="64" t="s">
        <v>288</v>
      </c>
      <c r="S75" s="31" t="s">
        <v>57</v>
      </c>
      <c r="T75" s="35" t="s">
        <v>45</v>
      </c>
      <c r="U75" s="35" t="s">
        <v>34</v>
      </c>
      <c r="V75" s="35" t="s">
        <v>257</v>
      </c>
      <c r="W75" s="64" t="str">
        <f>HYPERLINK("https://www.stromypodkontrolou.cz/map/tree/d41bce85-5010-4276-b929-4760db78c679/7556bedf-1506-4a58-badb-4feb744dde78")</f>
        <v>https://www.stromypodkontrolou.cz/map/tree/d41bce85-5010-4276-b929-4760db78c679/7556bedf-1506-4a58-badb-4feb744dde78</v>
      </c>
      <c r="X75" s="64">
        <v>-735364.57007999998</v>
      </c>
      <c r="Y75" s="64">
        <v>-1014653.006813</v>
      </c>
      <c r="Z75" s="64" t="str">
        <f>HYPERLINK("https://www.mapy.cz?st=search&amp;fr=50.34917932 14.47056625")</f>
        <v>https://www.mapy.cz?st=search&amp;fr=50.34917932 14.47056625</v>
      </c>
      <c r="AA75" s="20" t="s">
        <v>599</v>
      </c>
      <c r="AB75" s="59"/>
    </row>
    <row r="76" spans="1:28" ht="35.1" customHeight="1" x14ac:dyDescent="0.25">
      <c r="A76" s="65"/>
      <c r="B76" s="66"/>
      <c r="C76" s="67"/>
      <c r="D76" s="68"/>
      <c r="E76" s="68"/>
      <c r="F76" s="68"/>
      <c r="G76" s="68"/>
      <c r="H76" s="68"/>
      <c r="I76" s="68"/>
      <c r="J76" s="68"/>
      <c r="K76" s="68"/>
      <c r="L76" s="68"/>
      <c r="M76" s="68"/>
      <c r="N76" s="68"/>
      <c r="O76" s="68"/>
      <c r="P76" s="64"/>
      <c r="Q76" s="64"/>
      <c r="R76" s="64"/>
      <c r="S76" s="31" t="s">
        <v>56</v>
      </c>
      <c r="T76" s="35" t="s">
        <v>45</v>
      </c>
      <c r="U76" s="35" t="s">
        <v>34</v>
      </c>
      <c r="V76" s="35"/>
      <c r="W76" s="64"/>
      <c r="X76" s="64"/>
      <c r="Y76" s="64"/>
      <c r="Z76" s="64"/>
      <c r="AA76" s="20" t="s">
        <v>602</v>
      </c>
      <c r="AB76" s="59"/>
    </row>
    <row r="77" spans="1:28" ht="35.1" customHeight="1" thickBot="1" x14ac:dyDescent="0.3">
      <c r="A77" s="12" t="s">
        <v>306</v>
      </c>
      <c r="B77" s="1" t="s">
        <v>68</v>
      </c>
      <c r="C77" s="2" t="s">
        <v>69</v>
      </c>
      <c r="D77" s="3" t="s">
        <v>236</v>
      </c>
      <c r="E77" s="3"/>
      <c r="F77" s="3"/>
      <c r="G77" s="3"/>
      <c r="H77" s="3" t="s">
        <v>42</v>
      </c>
      <c r="I77" s="3" t="s">
        <v>43</v>
      </c>
      <c r="J77" s="3" t="s">
        <v>137</v>
      </c>
      <c r="K77" s="3" t="s">
        <v>32</v>
      </c>
      <c r="L77" s="3" t="s">
        <v>74</v>
      </c>
      <c r="M77" s="3" t="s">
        <v>35</v>
      </c>
      <c r="N77" s="3" t="s">
        <v>54</v>
      </c>
      <c r="O77" s="3" t="s">
        <v>54</v>
      </c>
      <c r="P77" s="4" t="s">
        <v>307</v>
      </c>
      <c r="Q77" s="4" t="s">
        <v>287</v>
      </c>
      <c r="R77" s="4" t="s">
        <v>289</v>
      </c>
      <c r="S77" s="4" t="s">
        <v>85</v>
      </c>
      <c r="T77" s="3" t="s">
        <v>45</v>
      </c>
      <c r="U77" s="3" t="s">
        <v>34</v>
      </c>
      <c r="V77" s="3" t="s">
        <v>158</v>
      </c>
      <c r="W77" s="4" t="str">
        <f>HYPERLINK("https://www.stromypodkontrolou.cz/map/tree/d41bce85-5010-4276-b929-4760db78c679/1114ddfa-6c83-41a6-9187-64468150db2f")</f>
        <v>https://www.stromypodkontrolou.cz/map/tree/d41bce85-5010-4276-b929-4760db78c679/1114ddfa-6c83-41a6-9187-64468150db2f</v>
      </c>
      <c r="X77" s="4">
        <v>-735358.24185200001</v>
      </c>
      <c r="Y77" s="4">
        <v>-1014665.714384</v>
      </c>
      <c r="Z77" s="4" t="str">
        <f>HYPERLINK("https://www.mapy.cz?st=search&amp;fr=50.34907385 14.47067857")</f>
        <v>https://www.mapy.cz?st=search&amp;fr=50.34907385 14.47067857</v>
      </c>
      <c r="AA77" s="20" t="s">
        <v>601</v>
      </c>
      <c r="AB77" s="59"/>
    </row>
    <row r="78" spans="1:28" ht="35.1" customHeight="1" x14ac:dyDescent="0.25">
      <c r="A78" s="38" t="s">
        <v>309</v>
      </c>
      <c r="B78" s="39" t="s">
        <v>90</v>
      </c>
      <c r="C78" s="40" t="s">
        <v>91</v>
      </c>
      <c r="D78" s="36" t="s">
        <v>148</v>
      </c>
      <c r="E78" s="36"/>
      <c r="F78" s="36"/>
      <c r="G78" s="36"/>
      <c r="H78" s="36" t="s">
        <v>182</v>
      </c>
      <c r="I78" s="36" t="s">
        <v>89</v>
      </c>
      <c r="J78" s="36" t="s">
        <v>120</v>
      </c>
      <c r="K78" s="36" t="s">
        <v>54</v>
      </c>
      <c r="L78" s="36" t="s">
        <v>33</v>
      </c>
      <c r="M78" s="36" t="s">
        <v>35</v>
      </c>
      <c r="N78" s="36" t="s">
        <v>35</v>
      </c>
      <c r="O78" s="36" t="s">
        <v>35</v>
      </c>
      <c r="P78" s="37"/>
      <c r="Q78" s="37" t="s">
        <v>216</v>
      </c>
      <c r="R78" s="37" t="s">
        <v>308</v>
      </c>
      <c r="S78" s="37" t="s">
        <v>252</v>
      </c>
      <c r="T78" s="36" t="s">
        <v>54</v>
      </c>
      <c r="U78" s="36" t="s">
        <v>35</v>
      </c>
      <c r="V78" s="36"/>
      <c r="W78" s="37" t="str">
        <f>HYPERLINK("https://www.stromypodkontrolou.cz/map/tree/d41bce85-5010-4276-b929-4760db78c679/c00ee4f9-3a67-4c38-89e0-1d55e28f4eee")</f>
        <v>https://www.stromypodkontrolou.cz/map/tree/d41bce85-5010-4276-b929-4760db78c679/c00ee4f9-3a67-4c38-89e0-1d55e28f4eee</v>
      </c>
      <c r="X78" s="37">
        <v>-734027.29437100003</v>
      </c>
      <c r="Y78" s="37">
        <v>-1016833.58235</v>
      </c>
      <c r="Z78" s="37" t="str">
        <f>HYPERLINK("https://www.mapy.cz?st=search&amp;fr=50.33138477 14.49333050")</f>
        <v>https://www.mapy.cz?st=search&amp;fr=50.33138477 14.49333050</v>
      </c>
      <c r="AA78" s="19" t="s">
        <v>607</v>
      </c>
      <c r="AB78" s="58"/>
    </row>
    <row r="79" spans="1:28" ht="35.1" customHeight="1" x14ac:dyDescent="0.25">
      <c r="A79" s="32" t="s">
        <v>310</v>
      </c>
      <c r="B79" s="33" t="s">
        <v>25</v>
      </c>
      <c r="C79" s="34" t="s">
        <v>26</v>
      </c>
      <c r="D79" s="35" t="s">
        <v>27</v>
      </c>
      <c r="E79" s="35"/>
      <c r="F79" s="35"/>
      <c r="G79" s="35"/>
      <c r="H79" s="35" t="s">
        <v>60</v>
      </c>
      <c r="I79" s="35" t="s">
        <v>61</v>
      </c>
      <c r="J79" s="35" t="s">
        <v>71</v>
      </c>
      <c r="K79" s="35" t="s">
        <v>32</v>
      </c>
      <c r="L79" s="35" t="s">
        <v>74</v>
      </c>
      <c r="M79" s="35" t="s">
        <v>35</v>
      </c>
      <c r="N79" s="35" t="s">
        <v>35</v>
      </c>
      <c r="O79" s="35" t="s">
        <v>54</v>
      </c>
      <c r="P79" s="31" t="s">
        <v>311</v>
      </c>
      <c r="Q79" s="31" t="s">
        <v>216</v>
      </c>
      <c r="R79" s="31" t="s">
        <v>308</v>
      </c>
      <c r="S79" s="31" t="s">
        <v>56</v>
      </c>
      <c r="T79" s="35" t="s">
        <v>45</v>
      </c>
      <c r="U79" s="35" t="s">
        <v>34</v>
      </c>
      <c r="V79" s="35"/>
      <c r="W79" s="31" t="str">
        <f>HYPERLINK("https://www.stromypodkontrolou.cz/map/tree/d41bce85-5010-4276-b929-4760db78c679/feca2056-6fdc-4330-af03-f5d032851102")</f>
        <v>https://www.stromypodkontrolou.cz/map/tree/d41bce85-5010-4276-b929-4760db78c679/feca2056-6fdc-4330-af03-f5d032851102</v>
      </c>
      <c r="X79" s="31">
        <v>-734027.72444699996</v>
      </c>
      <c r="Y79" s="31">
        <v>-1016842.197083</v>
      </c>
      <c r="Z79" s="31" t="str">
        <f>HYPERLINK("https://www.mapy.cz?st=search&amp;fr=50.33130751 14.49334089")</f>
        <v>https://www.mapy.cz?st=search&amp;fr=50.33130751 14.49334089</v>
      </c>
      <c r="AA79" s="20" t="s">
        <v>602</v>
      </c>
      <c r="AB79" s="59"/>
    </row>
    <row r="80" spans="1:28" ht="35.1" customHeight="1" x14ac:dyDescent="0.25">
      <c r="A80" s="32" t="s">
        <v>312</v>
      </c>
      <c r="B80" s="33" t="s">
        <v>90</v>
      </c>
      <c r="C80" s="34" t="s">
        <v>91</v>
      </c>
      <c r="D80" s="35" t="s">
        <v>66</v>
      </c>
      <c r="E80" s="35"/>
      <c r="F80" s="35"/>
      <c r="G80" s="35"/>
      <c r="H80" s="35" t="s">
        <v>182</v>
      </c>
      <c r="I80" s="35" t="s">
        <v>89</v>
      </c>
      <c r="J80" s="35" t="s">
        <v>120</v>
      </c>
      <c r="K80" s="35" t="s">
        <v>54</v>
      </c>
      <c r="L80" s="35" t="s">
        <v>33</v>
      </c>
      <c r="M80" s="35" t="s">
        <v>35</v>
      </c>
      <c r="N80" s="35" t="s">
        <v>35</v>
      </c>
      <c r="O80" s="35" t="s">
        <v>35</v>
      </c>
      <c r="P80" s="31"/>
      <c r="Q80" s="31" t="s">
        <v>216</v>
      </c>
      <c r="R80" s="31" t="s">
        <v>308</v>
      </c>
      <c r="S80" s="31" t="s">
        <v>252</v>
      </c>
      <c r="T80" s="35" t="s">
        <v>54</v>
      </c>
      <c r="U80" s="35" t="s">
        <v>35</v>
      </c>
      <c r="V80" s="35"/>
      <c r="W80" s="31" t="str">
        <f>HYPERLINK("https://www.stromypodkontrolou.cz/map/tree/d41bce85-5010-4276-b929-4760db78c679/4d2ca004-3454-402b-bfc6-37f1001d81af")</f>
        <v>https://www.stromypodkontrolou.cz/map/tree/d41bce85-5010-4276-b929-4760db78c679/4d2ca004-3454-402b-bfc6-37f1001d81af</v>
      </c>
      <c r="X80" s="31">
        <v>-734031.36313299998</v>
      </c>
      <c r="Y80" s="31">
        <v>-1016853.665082</v>
      </c>
      <c r="Z80" s="31" t="str">
        <f>HYPERLINK("https://www.mapy.cz?st=search&amp;fr=50.33120093 14.49331206")</f>
        <v>https://www.mapy.cz?st=search&amp;fr=50.33120093 14.49331206</v>
      </c>
      <c r="AA80" s="25" t="s">
        <v>607</v>
      </c>
      <c r="AB80" s="60"/>
    </row>
    <row r="81" spans="1:28" ht="35.1" customHeight="1" thickBot="1" x14ac:dyDescent="0.3">
      <c r="A81" s="41" t="s">
        <v>313</v>
      </c>
      <c r="B81" s="42" t="s">
        <v>68</v>
      </c>
      <c r="C81" s="43" t="s">
        <v>69</v>
      </c>
      <c r="D81" s="44" t="s">
        <v>132</v>
      </c>
      <c r="E81" s="44"/>
      <c r="F81" s="44"/>
      <c r="G81" s="44"/>
      <c r="H81" s="44" t="s">
        <v>146</v>
      </c>
      <c r="I81" s="44" t="s">
        <v>61</v>
      </c>
      <c r="J81" s="44" t="s">
        <v>113</v>
      </c>
      <c r="K81" s="44" t="s">
        <v>32</v>
      </c>
      <c r="L81" s="44" t="s">
        <v>33</v>
      </c>
      <c r="M81" s="44" t="s">
        <v>35</v>
      </c>
      <c r="N81" s="44" t="s">
        <v>35</v>
      </c>
      <c r="O81" s="44" t="s">
        <v>54</v>
      </c>
      <c r="P81" s="45" t="s">
        <v>293</v>
      </c>
      <c r="Q81" s="45" t="s">
        <v>216</v>
      </c>
      <c r="R81" s="45" t="s">
        <v>308</v>
      </c>
      <c r="S81" s="45" t="s">
        <v>56</v>
      </c>
      <c r="T81" s="44" t="s">
        <v>45</v>
      </c>
      <c r="U81" s="44" t="s">
        <v>35</v>
      </c>
      <c r="V81" s="44"/>
      <c r="W81" s="45" t="str">
        <f>HYPERLINK("https://www.stromypodkontrolou.cz/map/tree/d41bce85-5010-4276-b929-4760db78c679/be29c5f6-5578-4b31-8909-dba7a360079e")</f>
        <v>https://www.stromypodkontrolou.cz/map/tree/d41bce85-5010-4276-b929-4760db78c679/be29c5f6-5578-4b31-8909-dba7a360079e</v>
      </c>
      <c r="X81" s="45">
        <v>-734041.35790399997</v>
      </c>
      <c r="Y81" s="45">
        <v>-1016897.9018230001</v>
      </c>
      <c r="Z81" s="45" t="str">
        <f>HYPERLINK("https://www.mapy.cz?st=search&amp;fr=50.33079471 14.49325707")</f>
        <v>https://www.mapy.cz?st=search&amp;fr=50.33079471 14.49325707</v>
      </c>
      <c r="AA81" s="21" t="s">
        <v>602</v>
      </c>
      <c r="AB81" s="61"/>
    </row>
    <row r="82" spans="1:28" ht="35.1" customHeight="1" x14ac:dyDescent="0.25">
      <c r="A82" s="38" t="s">
        <v>314</v>
      </c>
      <c r="B82" s="39" t="s">
        <v>25</v>
      </c>
      <c r="C82" s="40" t="s">
        <v>26</v>
      </c>
      <c r="D82" s="36" t="s">
        <v>145</v>
      </c>
      <c r="E82" s="36"/>
      <c r="F82" s="36"/>
      <c r="G82" s="36"/>
      <c r="H82" s="36" t="s">
        <v>146</v>
      </c>
      <c r="I82" s="36" t="s">
        <v>43</v>
      </c>
      <c r="J82" s="36" t="s">
        <v>53</v>
      </c>
      <c r="K82" s="36" t="s">
        <v>32</v>
      </c>
      <c r="L82" s="36" t="s">
        <v>33</v>
      </c>
      <c r="M82" s="36" t="s">
        <v>35</v>
      </c>
      <c r="N82" s="36" t="s">
        <v>35</v>
      </c>
      <c r="O82" s="36" t="s">
        <v>54</v>
      </c>
      <c r="P82" s="37" t="s">
        <v>186</v>
      </c>
      <c r="Q82" s="37" t="s">
        <v>315</v>
      </c>
      <c r="R82" s="37" t="s">
        <v>316</v>
      </c>
      <c r="S82" s="37" t="s">
        <v>56</v>
      </c>
      <c r="T82" s="36" t="s">
        <v>45</v>
      </c>
      <c r="U82" s="36" t="s">
        <v>34</v>
      </c>
      <c r="V82" s="36"/>
      <c r="W82" s="37" t="str">
        <f>HYPERLINK("https://www.stromypodkontrolou.cz/map/tree/d41bce85-5010-4276-b929-4760db78c679/ddea9351-88f0-4b54-b4b2-3b09dcbba03a")</f>
        <v>https://www.stromypodkontrolou.cz/map/tree/d41bce85-5010-4276-b929-4760db78c679/ddea9351-88f0-4b54-b4b2-3b09dcbba03a</v>
      </c>
      <c r="X82" s="37">
        <v>-734074.14361300005</v>
      </c>
      <c r="Y82" s="37">
        <v>-1016981.456642</v>
      </c>
      <c r="Z82" s="37" t="str">
        <f>HYPERLINK("https://www.mapy.cz?st=search&amp;fr=50.33001052 14.49295968")</f>
        <v>https://www.mapy.cz?st=search&amp;fr=50.33001052 14.49295968</v>
      </c>
      <c r="AA82" s="25" t="s">
        <v>598</v>
      </c>
      <c r="AB82" s="60"/>
    </row>
    <row r="83" spans="1:28" ht="35.1" customHeight="1" x14ac:dyDescent="0.25">
      <c r="A83" s="32" t="s">
        <v>319</v>
      </c>
      <c r="B83" s="33" t="s">
        <v>317</v>
      </c>
      <c r="C83" s="34" t="s">
        <v>318</v>
      </c>
      <c r="D83" s="35" t="s">
        <v>101</v>
      </c>
      <c r="E83" s="35"/>
      <c r="F83" s="35"/>
      <c r="G83" s="35"/>
      <c r="H83" s="35" t="s">
        <v>79</v>
      </c>
      <c r="I83" s="35" t="s">
        <v>30</v>
      </c>
      <c r="J83" s="35" t="s">
        <v>32</v>
      </c>
      <c r="K83" s="35" t="s">
        <v>54</v>
      </c>
      <c r="L83" s="35" t="s">
        <v>74</v>
      </c>
      <c r="M83" s="35" t="s">
        <v>34</v>
      </c>
      <c r="N83" s="35" t="s">
        <v>35</v>
      </c>
      <c r="O83" s="35" t="s">
        <v>54</v>
      </c>
      <c r="P83" s="31" t="s">
        <v>117</v>
      </c>
      <c r="Q83" s="31" t="s">
        <v>315</v>
      </c>
      <c r="R83" s="31" t="s">
        <v>316</v>
      </c>
      <c r="S83" s="31" t="s">
        <v>608</v>
      </c>
      <c r="T83" s="35" t="s">
        <v>54</v>
      </c>
      <c r="U83" s="35" t="s">
        <v>34</v>
      </c>
      <c r="V83" s="35" t="s">
        <v>320</v>
      </c>
      <c r="W83" s="31" t="str">
        <f>HYPERLINK("https://www.stromypodkontrolou.cz/map/tree/d41bce85-5010-4276-b929-4760db78c679/b279facc-942c-4248-bc22-ea8fa8451961")</f>
        <v>https://www.stromypodkontrolou.cz/map/tree/d41bce85-5010-4276-b929-4760db78c679/b279facc-942c-4248-bc22-ea8fa8451961</v>
      </c>
      <c r="X83" s="31">
        <v>-734382.15653299994</v>
      </c>
      <c r="Y83" s="31">
        <v>-1017326.84103</v>
      </c>
      <c r="Z83" s="31" t="str">
        <f>HYPERLINK("https://www.mapy.cz?st=search&amp;fr=50.32655897 14.48933032")</f>
        <v>https://www.mapy.cz?st=search&amp;fr=50.32655897 14.48933032</v>
      </c>
      <c r="AA83" s="20" t="s">
        <v>609</v>
      </c>
      <c r="AB83" s="59"/>
    </row>
    <row r="84" spans="1:28" ht="35.1" customHeight="1" x14ac:dyDescent="0.25">
      <c r="A84" s="32" t="s">
        <v>321</v>
      </c>
      <c r="B84" s="33" t="s">
        <v>68</v>
      </c>
      <c r="C84" s="34" t="s">
        <v>69</v>
      </c>
      <c r="D84" s="35" t="s">
        <v>103</v>
      </c>
      <c r="E84" s="35"/>
      <c r="F84" s="35"/>
      <c r="G84" s="35"/>
      <c r="H84" s="35" t="s">
        <v>42</v>
      </c>
      <c r="I84" s="35" t="s">
        <v>30</v>
      </c>
      <c r="J84" s="35" t="s">
        <v>78</v>
      </c>
      <c r="K84" s="35" t="s">
        <v>32</v>
      </c>
      <c r="L84" s="35" t="s">
        <v>33</v>
      </c>
      <c r="M84" s="35" t="s">
        <v>34</v>
      </c>
      <c r="N84" s="35" t="s">
        <v>34</v>
      </c>
      <c r="O84" s="35" t="s">
        <v>35</v>
      </c>
      <c r="P84" s="31"/>
      <c r="Q84" s="31" t="s">
        <v>315</v>
      </c>
      <c r="R84" s="31" t="s">
        <v>592</v>
      </c>
      <c r="S84" s="31" t="s">
        <v>252</v>
      </c>
      <c r="T84" s="35" t="s">
        <v>54</v>
      </c>
      <c r="U84" s="35" t="s">
        <v>35</v>
      </c>
      <c r="V84" s="35"/>
      <c r="W84" s="31" t="str">
        <f>HYPERLINK("https://www.stromypodkontrolou.cz/map/tree/d41bce85-5010-4276-b929-4760db78c679/108ecc85-6d60-4b03-a19d-509711d3f123")</f>
        <v>https://www.stromypodkontrolou.cz/map/tree/d41bce85-5010-4276-b929-4760db78c679/108ecc85-6d60-4b03-a19d-509711d3f123</v>
      </c>
      <c r="X84" s="31">
        <v>-734311.52735600004</v>
      </c>
      <c r="Y84" s="31">
        <v>-1017209.190574</v>
      </c>
      <c r="Z84" s="31" t="str">
        <f>HYPERLINK("https://www.mapy.cz?st=search&amp;fr=50.32769296 14.49008938")</f>
        <v>https://www.mapy.cz?st=search&amp;fr=50.32769296 14.49008938</v>
      </c>
      <c r="AA84" s="25" t="s">
        <v>607</v>
      </c>
      <c r="AB84" s="60"/>
    </row>
    <row r="85" spans="1:28" ht="35.1" customHeight="1" x14ac:dyDescent="0.25">
      <c r="A85" s="32" t="s">
        <v>322</v>
      </c>
      <c r="B85" s="33" t="s">
        <v>25</v>
      </c>
      <c r="C85" s="34" t="s">
        <v>26</v>
      </c>
      <c r="D85" s="35" t="s">
        <v>63</v>
      </c>
      <c r="E85" s="35"/>
      <c r="F85" s="35"/>
      <c r="G85" s="35"/>
      <c r="H85" s="35" t="s">
        <v>88</v>
      </c>
      <c r="I85" s="35" t="s">
        <v>81</v>
      </c>
      <c r="J85" s="35" t="s">
        <v>78</v>
      </c>
      <c r="K85" s="35" t="s">
        <v>32</v>
      </c>
      <c r="L85" s="35" t="s">
        <v>33</v>
      </c>
      <c r="M85" s="35" t="s">
        <v>35</v>
      </c>
      <c r="N85" s="35" t="s">
        <v>35</v>
      </c>
      <c r="O85" s="35" t="s">
        <v>54</v>
      </c>
      <c r="P85" s="31" t="s">
        <v>323</v>
      </c>
      <c r="Q85" s="31" t="s">
        <v>324</v>
      </c>
      <c r="R85" s="31" t="s">
        <v>325</v>
      </c>
      <c r="S85" s="31" t="s">
        <v>326</v>
      </c>
      <c r="T85" s="35" t="s">
        <v>45</v>
      </c>
      <c r="U85" s="35" t="s">
        <v>35</v>
      </c>
      <c r="V85" s="35"/>
      <c r="W85" s="31" t="str">
        <f>HYPERLINK("https://www.stromypodkontrolou.cz/map/tree/d41bce85-5010-4276-b929-4760db78c679/96a9e1e2-a465-4db0-911c-59e81391e0c6")</f>
        <v>https://www.stromypodkontrolou.cz/map/tree/d41bce85-5010-4276-b929-4760db78c679/96a9e1e2-a465-4db0-911c-59e81391e0c6</v>
      </c>
      <c r="X85" s="31">
        <v>-734474.27946899994</v>
      </c>
      <c r="Y85" s="31">
        <v>-1018023.796564</v>
      </c>
      <c r="Z85" s="31" t="str">
        <f>HYPERLINK("https://www.mapy.cz?st=search&amp;fr=50.32023847 14.48937390")</f>
        <v>https://www.mapy.cz?st=search&amp;fr=50.32023847 14.48937390</v>
      </c>
      <c r="AA85" s="20" t="s">
        <v>604</v>
      </c>
      <c r="AB85" s="59"/>
    </row>
    <row r="86" spans="1:28" ht="35.1" customHeight="1" x14ac:dyDescent="0.25">
      <c r="A86" s="32" t="s">
        <v>327</v>
      </c>
      <c r="B86" s="33" t="s">
        <v>25</v>
      </c>
      <c r="C86" s="34" t="s">
        <v>26</v>
      </c>
      <c r="D86" s="35" t="s">
        <v>328</v>
      </c>
      <c r="E86" s="35"/>
      <c r="F86" s="35"/>
      <c r="G86" s="35"/>
      <c r="H86" s="35" t="s">
        <v>176</v>
      </c>
      <c r="I86" s="35" t="s">
        <v>89</v>
      </c>
      <c r="J86" s="35" t="s">
        <v>133</v>
      </c>
      <c r="K86" s="35" t="s">
        <v>32</v>
      </c>
      <c r="L86" s="35" t="s">
        <v>33</v>
      </c>
      <c r="M86" s="35" t="s">
        <v>35</v>
      </c>
      <c r="N86" s="35" t="s">
        <v>35</v>
      </c>
      <c r="O86" s="35" t="s">
        <v>35</v>
      </c>
      <c r="P86" s="31" t="s">
        <v>186</v>
      </c>
      <c r="Q86" s="31" t="s">
        <v>324</v>
      </c>
      <c r="R86" s="31" t="s">
        <v>325</v>
      </c>
      <c r="S86" s="31" t="s">
        <v>56</v>
      </c>
      <c r="T86" s="35" t="s">
        <v>45</v>
      </c>
      <c r="U86" s="35" t="s">
        <v>34</v>
      </c>
      <c r="V86" s="35"/>
      <c r="W86" s="31" t="str">
        <f>HYPERLINK("https://www.stromypodkontrolou.cz/map/tree/d41bce85-5010-4276-b929-4760db78c679/4031b8b3-fd6a-4d99-9b87-e3ae5c97975a")</f>
        <v>https://www.stromypodkontrolou.cz/map/tree/d41bce85-5010-4276-b929-4760db78c679/4031b8b3-fd6a-4d99-9b87-e3ae5c97975a</v>
      </c>
      <c r="X86" s="31">
        <v>-734504.07933600002</v>
      </c>
      <c r="Y86" s="31">
        <v>-1017792.769923</v>
      </c>
      <c r="Z86" s="31" t="str">
        <f>HYPERLINK("https://www.mapy.cz?st=search&amp;fr=50.32226013 14.48851995")</f>
        <v>https://www.mapy.cz?st=search&amp;fr=50.32226013 14.48851995</v>
      </c>
      <c r="AA86" s="20" t="s">
        <v>602</v>
      </c>
      <c r="AB86" s="59"/>
    </row>
    <row r="87" spans="1:28" ht="35.1" customHeight="1" x14ac:dyDescent="0.25">
      <c r="A87" s="32" t="s">
        <v>329</v>
      </c>
      <c r="B87" s="33" t="s">
        <v>25</v>
      </c>
      <c r="C87" s="34" t="s">
        <v>26</v>
      </c>
      <c r="D87" s="35" t="s">
        <v>205</v>
      </c>
      <c r="E87" s="35"/>
      <c r="F87" s="35"/>
      <c r="G87" s="35"/>
      <c r="H87" s="35" t="s">
        <v>176</v>
      </c>
      <c r="I87" s="35" t="s">
        <v>89</v>
      </c>
      <c r="J87" s="35" t="s">
        <v>133</v>
      </c>
      <c r="K87" s="35" t="s">
        <v>32</v>
      </c>
      <c r="L87" s="35" t="s">
        <v>74</v>
      </c>
      <c r="M87" s="35" t="s">
        <v>54</v>
      </c>
      <c r="N87" s="35" t="s">
        <v>35</v>
      </c>
      <c r="O87" s="35" t="s">
        <v>54</v>
      </c>
      <c r="P87" s="31" t="s">
        <v>330</v>
      </c>
      <c r="Q87" s="31" t="s">
        <v>324</v>
      </c>
      <c r="R87" s="31" t="s">
        <v>325</v>
      </c>
      <c r="S87" s="31" t="s">
        <v>56</v>
      </c>
      <c r="T87" s="35" t="s">
        <v>45</v>
      </c>
      <c r="U87" s="35" t="s">
        <v>35</v>
      </c>
      <c r="V87" s="35"/>
      <c r="W87" s="31" t="str">
        <f>HYPERLINK("https://www.stromypodkontrolou.cz/map/tree/d41bce85-5010-4276-b929-4760db78c679/8d2fb8a0-27ce-4e70-ab57-55b998ec0cb3")</f>
        <v>https://www.stromypodkontrolou.cz/map/tree/d41bce85-5010-4276-b929-4760db78c679/8d2fb8a0-27ce-4e70-ab57-55b998ec0cb3</v>
      </c>
      <c r="X87" s="31">
        <v>-734501.98670400004</v>
      </c>
      <c r="Y87" s="31">
        <v>-1017776.931159</v>
      </c>
      <c r="Z87" s="31" t="str">
        <f>HYPERLINK("https://www.mapy.cz?st=search&amp;fr=50.32240377 14.48851895")</f>
        <v>https://www.mapy.cz?st=search&amp;fr=50.32240377 14.48851895</v>
      </c>
      <c r="AA87" s="20" t="s">
        <v>602</v>
      </c>
      <c r="AB87" s="59"/>
    </row>
    <row r="88" spans="1:28" ht="35.1" customHeight="1" x14ac:dyDescent="0.25">
      <c r="A88" s="65" t="s">
        <v>331</v>
      </c>
      <c r="B88" s="66" t="s">
        <v>68</v>
      </c>
      <c r="C88" s="67" t="s">
        <v>69</v>
      </c>
      <c r="D88" s="68" t="s">
        <v>164</v>
      </c>
      <c r="E88" s="68"/>
      <c r="F88" s="68"/>
      <c r="G88" s="68"/>
      <c r="H88" s="68" t="s">
        <v>134</v>
      </c>
      <c r="I88" s="68" t="s">
        <v>43</v>
      </c>
      <c r="J88" s="68" t="s">
        <v>62</v>
      </c>
      <c r="K88" s="68" t="s">
        <v>32</v>
      </c>
      <c r="L88" s="68" t="s">
        <v>33</v>
      </c>
      <c r="M88" s="68" t="s">
        <v>34</v>
      </c>
      <c r="N88" s="68" t="s">
        <v>35</v>
      </c>
      <c r="O88" s="68" t="s">
        <v>35</v>
      </c>
      <c r="P88" s="64" t="s">
        <v>284</v>
      </c>
      <c r="Q88" s="64" t="s">
        <v>315</v>
      </c>
      <c r="R88" s="64" t="s">
        <v>593</v>
      </c>
      <c r="S88" s="31" t="s">
        <v>57</v>
      </c>
      <c r="T88" s="35" t="s">
        <v>45</v>
      </c>
      <c r="U88" s="35" t="s">
        <v>34</v>
      </c>
      <c r="V88" s="35" t="s">
        <v>257</v>
      </c>
      <c r="W88" s="64" t="str">
        <f>HYPERLINK("https://www.stromypodkontrolou.cz/map/tree/d41bce85-5010-4276-b929-4760db78c679/ab146ccb-5417-4149-bd36-521e0978e3a9")</f>
        <v>https://www.stromypodkontrolou.cz/map/tree/d41bce85-5010-4276-b929-4760db78c679/ab146ccb-5417-4149-bd36-521e0978e3a9</v>
      </c>
      <c r="X88" s="64">
        <v>-734443.65994799999</v>
      </c>
      <c r="Y88" s="64">
        <v>-1018102.50503</v>
      </c>
      <c r="Z88" s="64" t="str">
        <f>HYPERLINK("https://www.mapy.cz?st=search&amp;fr=50.31957463 14.48994957")</f>
        <v>https://www.mapy.cz?st=search&amp;fr=50.31957463 14.48994957</v>
      </c>
      <c r="AA88" s="20" t="s">
        <v>603</v>
      </c>
      <c r="AB88" s="59"/>
    </row>
    <row r="89" spans="1:28" ht="35.1" customHeight="1" x14ac:dyDescent="0.25">
      <c r="A89" s="65"/>
      <c r="B89" s="66"/>
      <c r="C89" s="67"/>
      <c r="D89" s="68"/>
      <c r="E89" s="68"/>
      <c r="F89" s="68"/>
      <c r="G89" s="68"/>
      <c r="H89" s="68"/>
      <c r="I89" s="68"/>
      <c r="J89" s="68"/>
      <c r="K89" s="68"/>
      <c r="L89" s="68"/>
      <c r="M89" s="68"/>
      <c r="N89" s="68"/>
      <c r="O89" s="68"/>
      <c r="P89" s="64"/>
      <c r="Q89" s="64"/>
      <c r="R89" s="64"/>
      <c r="S89" s="31" t="s">
        <v>56</v>
      </c>
      <c r="T89" s="35" t="s">
        <v>45</v>
      </c>
      <c r="U89" s="35" t="s">
        <v>34</v>
      </c>
      <c r="V89" s="35"/>
      <c r="W89" s="64"/>
      <c r="X89" s="64"/>
      <c r="Y89" s="64"/>
      <c r="Z89" s="64"/>
      <c r="AA89" s="20" t="s">
        <v>602</v>
      </c>
      <c r="AB89" s="59"/>
    </row>
    <row r="90" spans="1:28" ht="35.1" customHeight="1" thickBot="1" x14ac:dyDescent="0.3">
      <c r="A90" s="32" t="s">
        <v>332</v>
      </c>
      <c r="B90" s="33" t="s">
        <v>48</v>
      </c>
      <c r="C90" s="34" t="s">
        <v>49</v>
      </c>
      <c r="D90" s="35" t="s">
        <v>177</v>
      </c>
      <c r="E90" s="35"/>
      <c r="F90" s="35"/>
      <c r="G90" s="35"/>
      <c r="H90" s="35" t="s">
        <v>154</v>
      </c>
      <c r="I90" s="35" t="s">
        <v>89</v>
      </c>
      <c r="J90" s="35" t="s">
        <v>31</v>
      </c>
      <c r="K90" s="35" t="s">
        <v>32</v>
      </c>
      <c r="L90" s="35" t="s">
        <v>33</v>
      </c>
      <c r="M90" s="35" t="s">
        <v>34</v>
      </c>
      <c r="N90" s="35" t="s">
        <v>34</v>
      </c>
      <c r="O90" s="35" t="s">
        <v>34</v>
      </c>
      <c r="P90" s="31"/>
      <c r="Q90" s="31" t="s">
        <v>315</v>
      </c>
      <c r="R90" s="31" t="s">
        <v>333</v>
      </c>
      <c r="S90" s="31" t="s">
        <v>252</v>
      </c>
      <c r="T90" s="35" t="s">
        <v>45</v>
      </c>
      <c r="U90" s="35" t="s">
        <v>35</v>
      </c>
      <c r="V90" s="35"/>
      <c r="W90" s="31" t="str">
        <f>HYPERLINK("https://www.stromypodkontrolou.cz/map/tree/d41bce85-5010-4276-b929-4760db78c679/c73e677f-11ab-4b08-a554-61d07b69c6e3")</f>
        <v>https://www.stromypodkontrolou.cz/map/tree/d41bce85-5010-4276-b929-4760db78c679/c73e677f-11ab-4b08-a554-61d07b69c6e3</v>
      </c>
      <c r="X90" s="31">
        <v>-734178.01335300005</v>
      </c>
      <c r="Y90" s="31">
        <v>-1018646.817912</v>
      </c>
      <c r="Z90" s="31" t="str">
        <f>HYPERLINK("https://www.mapy.cz?st=search&amp;fr=50.31504929 14.49467998")</f>
        <v>https://www.mapy.cz?st=search&amp;fr=50.31504929 14.49467998</v>
      </c>
      <c r="AA90" s="21" t="s">
        <v>607</v>
      </c>
      <c r="AB90" s="61"/>
    </row>
    <row r="91" spans="1:28" ht="35.1" customHeight="1" x14ac:dyDescent="0.25">
      <c r="A91" s="38" t="s">
        <v>334</v>
      </c>
      <c r="B91" s="39" t="s">
        <v>25</v>
      </c>
      <c r="C91" s="40" t="s">
        <v>26</v>
      </c>
      <c r="D91" s="36" t="s">
        <v>92</v>
      </c>
      <c r="E91" s="36" t="s">
        <v>165</v>
      </c>
      <c r="F91" s="36"/>
      <c r="G91" s="36"/>
      <c r="H91" s="36" t="s">
        <v>42</v>
      </c>
      <c r="I91" s="36" t="s">
        <v>81</v>
      </c>
      <c r="J91" s="36" t="s">
        <v>71</v>
      </c>
      <c r="K91" s="36" t="s">
        <v>32</v>
      </c>
      <c r="L91" s="36" t="s">
        <v>33</v>
      </c>
      <c r="M91" s="36" t="s">
        <v>35</v>
      </c>
      <c r="N91" s="36" t="s">
        <v>35</v>
      </c>
      <c r="O91" s="36" t="s">
        <v>54</v>
      </c>
      <c r="P91" s="37" t="s">
        <v>335</v>
      </c>
      <c r="Q91" s="37" t="s">
        <v>315</v>
      </c>
      <c r="R91" s="37" t="s">
        <v>336</v>
      </c>
      <c r="S91" s="37" t="s">
        <v>56</v>
      </c>
      <c r="T91" s="36" t="s">
        <v>45</v>
      </c>
      <c r="U91" s="36" t="s">
        <v>35</v>
      </c>
      <c r="V91" s="36"/>
      <c r="W91" s="37" t="str">
        <f>HYPERLINK("https://www.stromypodkontrolou.cz/map/tree/d41bce85-5010-4276-b929-4760db78c679/2c55b371-b859-480f-802c-b249ce24d561")</f>
        <v>https://www.stromypodkontrolou.cz/map/tree/d41bce85-5010-4276-b929-4760db78c679/2c55b371-b859-480f-802c-b249ce24d561</v>
      </c>
      <c r="X91" s="37">
        <v>-734318.12565199996</v>
      </c>
      <c r="Y91" s="37">
        <v>-1019294.3842879999</v>
      </c>
      <c r="Z91" s="37" t="str">
        <f>HYPERLINK("https://www.mapy.cz?st=search&amp;fr=50.30911033 14.49396149")</f>
        <v>https://www.mapy.cz?st=search&amp;fr=50.30911033 14.49396149</v>
      </c>
      <c r="AA91" s="25" t="s">
        <v>602</v>
      </c>
      <c r="AB91" s="60"/>
    </row>
    <row r="92" spans="1:28" ht="35.1" customHeight="1" thickBot="1" x14ac:dyDescent="0.3">
      <c r="A92" s="41" t="s">
        <v>337</v>
      </c>
      <c r="B92" s="42" t="s">
        <v>25</v>
      </c>
      <c r="C92" s="43" t="s">
        <v>26</v>
      </c>
      <c r="D92" s="44" t="s">
        <v>178</v>
      </c>
      <c r="E92" s="44"/>
      <c r="F92" s="44"/>
      <c r="G92" s="44"/>
      <c r="H92" s="44" t="s">
        <v>42</v>
      </c>
      <c r="I92" s="44" t="s">
        <v>81</v>
      </c>
      <c r="J92" s="44" t="s">
        <v>71</v>
      </c>
      <c r="K92" s="44" t="s">
        <v>32</v>
      </c>
      <c r="L92" s="44" t="s">
        <v>33</v>
      </c>
      <c r="M92" s="44" t="s">
        <v>35</v>
      </c>
      <c r="N92" s="44" t="s">
        <v>35</v>
      </c>
      <c r="O92" s="44" t="s">
        <v>54</v>
      </c>
      <c r="P92" s="45" t="s">
        <v>338</v>
      </c>
      <c r="Q92" s="45" t="s">
        <v>315</v>
      </c>
      <c r="R92" s="45" t="s">
        <v>336</v>
      </c>
      <c r="S92" s="45" t="s">
        <v>56</v>
      </c>
      <c r="T92" s="44" t="s">
        <v>45</v>
      </c>
      <c r="U92" s="44" t="s">
        <v>35</v>
      </c>
      <c r="V92" s="44"/>
      <c r="W92" s="45" t="str">
        <f>HYPERLINK("https://www.stromypodkontrolou.cz/map/tree/d41bce85-5010-4276-b929-4760db78c679/7db6ae6d-0672-4980-9ed4-2d6ce06e7333")</f>
        <v>https://www.stromypodkontrolou.cz/map/tree/d41bce85-5010-4276-b929-4760db78c679/7db6ae6d-0672-4980-9ed4-2d6ce06e7333</v>
      </c>
      <c r="X92" s="45">
        <v>-734343.282382</v>
      </c>
      <c r="Y92" s="45">
        <v>-1019329.793346</v>
      </c>
      <c r="Z92" s="45" t="str">
        <f>HYPERLINK("https://www.mapy.cz?st=search&amp;fr=50.30876429 14.49367885")</f>
        <v>https://www.mapy.cz?st=search&amp;fr=50.30876429 14.49367885</v>
      </c>
      <c r="AA92" s="21" t="s">
        <v>602</v>
      </c>
      <c r="AB92" s="61"/>
    </row>
    <row r="93" spans="1:28" ht="35.1" customHeight="1" x14ac:dyDescent="0.25">
      <c r="A93" s="71" t="s">
        <v>343</v>
      </c>
      <c r="B93" s="72" t="s">
        <v>68</v>
      </c>
      <c r="C93" s="73" t="s">
        <v>69</v>
      </c>
      <c r="D93" s="69" t="s">
        <v>344</v>
      </c>
      <c r="E93" s="69"/>
      <c r="F93" s="69"/>
      <c r="G93" s="69"/>
      <c r="H93" s="69" t="s">
        <v>167</v>
      </c>
      <c r="I93" s="69" t="s">
        <v>73</v>
      </c>
      <c r="J93" s="69" t="s">
        <v>133</v>
      </c>
      <c r="K93" s="69" t="s">
        <v>45</v>
      </c>
      <c r="L93" s="69" t="s">
        <v>74</v>
      </c>
      <c r="M93" s="69" t="s">
        <v>35</v>
      </c>
      <c r="N93" s="69" t="s">
        <v>54</v>
      </c>
      <c r="O93" s="69" t="s">
        <v>54</v>
      </c>
      <c r="P93" s="70" t="s">
        <v>345</v>
      </c>
      <c r="Q93" s="70" t="s">
        <v>341</v>
      </c>
      <c r="R93" s="70" t="s">
        <v>342</v>
      </c>
      <c r="S93" s="37" t="s">
        <v>56</v>
      </c>
      <c r="T93" s="36" t="s">
        <v>45</v>
      </c>
      <c r="U93" s="36" t="s">
        <v>35</v>
      </c>
      <c r="V93" s="36"/>
      <c r="W93" s="70" t="str">
        <f>HYPERLINK("https://www.stromypodkontrolou.cz/map/tree/d41bce85-5010-4276-b929-4760db78c679/09dbbc1e-8f04-4988-b2fc-206b289c17d7")</f>
        <v>https://www.stromypodkontrolou.cz/map/tree/d41bce85-5010-4276-b929-4760db78c679/09dbbc1e-8f04-4988-b2fc-206b289c17d7</v>
      </c>
      <c r="X93" s="70">
        <v>-734470.80500699999</v>
      </c>
      <c r="Y93" s="70">
        <v>-1019467.847711</v>
      </c>
      <c r="Z93" s="70" t="str">
        <f>HYPERLINK("https://www.mapy.cz?st=search&amp;fr=50.30737932 14.49216742")</f>
        <v>https://www.mapy.cz?st=search&amp;fr=50.30737932 14.49216742</v>
      </c>
      <c r="AA93" s="25" t="s">
        <v>602</v>
      </c>
      <c r="AB93" s="60"/>
    </row>
    <row r="94" spans="1:28" ht="35.1" customHeight="1" x14ac:dyDescent="0.25">
      <c r="A94" s="65"/>
      <c r="B94" s="66"/>
      <c r="C94" s="67"/>
      <c r="D94" s="68"/>
      <c r="E94" s="68"/>
      <c r="F94" s="68"/>
      <c r="G94" s="68"/>
      <c r="H94" s="68"/>
      <c r="I94" s="68"/>
      <c r="J94" s="68"/>
      <c r="K94" s="68"/>
      <c r="L94" s="68"/>
      <c r="M94" s="68"/>
      <c r="N94" s="68"/>
      <c r="O94" s="68"/>
      <c r="P94" s="64"/>
      <c r="Q94" s="64"/>
      <c r="R94" s="64"/>
      <c r="S94" s="31" t="s">
        <v>85</v>
      </c>
      <c r="T94" s="35" t="s">
        <v>45</v>
      </c>
      <c r="U94" s="35" t="s">
        <v>35</v>
      </c>
      <c r="V94" s="35" t="s">
        <v>86</v>
      </c>
      <c r="W94" s="64"/>
      <c r="X94" s="64"/>
      <c r="Y94" s="64"/>
      <c r="Z94" s="64"/>
      <c r="AA94" s="20" t="s">
        <v>601</v>
      </c>
      <c r="AB94" s="59"/>
    </row>
    <row r="95" spans="1:28" ht="35.1" customHeight="1" x14ac:dyDescent="0.25">
      <c r="A95" s="65" t="s">
        <v>346</v>
      </c>
      <c r="B95" s="66" t="s">
        <v>68</v>
      </c>
      <c r="C95" s="67" t="s">
        <v>69</v>
      </c>
      <c r="D95" s="68" t="s">
        <v>347</v>
      </c>
      <c r="E95" s="68"/>
      <c r="F95" s="68"/>
      <c r="G95" s="68"/>
      <c r="H95" s="68" t="s">
        <v>51</v>
      </c>
      <c r="I95" s="68" t="s">
        <v>73</v>
      </c>
      <c r="J95" s="68" t="s">
        <v>53</v>
      </c>
      <c r="K95" s="68" t="s">
        <v>45</v>
      </c>
      <c r="L95" s="68" t="s">
        <v>33</v>
      </c>
      <c r="M95" s="68" t="s">
        <v>35</v>
      </c>
      <c r="N95" s="68" t="s">
        <v>35</v>
      </c>
      <c r="O95" s="68" t="s">
        <v>35</v>
      </c>
      <c r="P95" s="64" t="s">
        <v>186</v>
      </c>
      <c r="Q95" s="64" t="s">
        <v>341</v>
      </c>
      <c r="R95" s="64" t="s">
        <v>342</v>
      </c>
      <c r="S95" s="31" t="s">
        <v>57</v>
      </c>
      <c r="T95" s="35" t="s">
        <v>45</v>
      </c>
      <c r="U95" s="35" t="s">
        <v>54</v>
      </c>
      <c r="V95" s="35" t="s">
        <v>200</v>
      </c>
      <c r="W95" s="64" t="str">
        <f>HYPERLINK("https://www.stromypodkontrolou.cz/map/tree/d41bce85-5010-4276-b929-4760db78c679/54eb5d01-b46b-4766-aaab-8ae5ee404c4b")</f>
        <v>https://www.stromypodkontrolou.cz/map/tree/d41bce85-5010-4276-b929-4760db78c679/54eb5d01-b46b-4766-aaab-8ae5ee404c4b</v>
      </c>
      <c r="X95" s="64">
        <v>-734492.04558300006</v>
      </c>
      <c r="Y95" s="64">
        <v>-1019485.5222670001</v>
      </c>
      <c r="Z95" s="64" t="str">
        <f>HYPERLINK("https://www.mapy.cz?st=search&amp;fr=50.30719602 14.49190557")</f>
        <v>https://www.mapy.cz?st=search&amp;fr=50.30719602 14.49190557</v>
      </c>
      <c r="AA95" s="20" t="s">
        <v>599</v>
      </c>
      <c r="AB95" s="59"/>
    </row>
    <row r="96" spans="1:28" ht="35.1" customHeight="1" x14ac:dyDescent="0.25">
      <c r="A96" s="65"/>
      <c r="B96" s="66"/>
      <c r="C96" s="67"/>
      <c r="D96" s="68"/>
      <c r="E96" s="68"/>
      <c r="F96" s="68"/>
      <c r="G96" s="68"/>
      <c r="H96" s="68"/>
      <c r="I96" s="68"/>
      <c r="J96" s="68"/>
      <c r="K96" s="68"/>
      <c r="L96" s="68"/>
      <c r="M96" s="68"/>
      <c r="N96" s="68"/>
      <c r="O96" s="68"/>
      <c r="P96" s="64"/>
      <c r="Q96" s="64"/>
      <c r="R96" s="64"/>
      <c r="S96" s="31" t="s">
        <v>56</v>
      </c>
      <c r="T96" s="35" t="s">
        <v>45</v>
      </c>
      <c r="U96" s="35" t="s">
        <v>54</v>
      </c>
      <c r="V96" s="35"/>
      <c r="W96" s="64"/>
      <c r="X96" s="64"/>
      <c r="Y96" s="64"/>
      <c r="Z96" s="64"/>
      <c r="AA96" s="20" t="s">
        <v>598</v>
      </c>
      <c r="AB96" s="59"/>
    </row>
    <row r="97" spans="1:28" ht="35.1" customHeight="1" x14ac:dyDescent="0.25">
      <c r="A97" s="32" t="s">
        <v>348</v>
      </c>
      <c r="B97" s="33" t="s">
        <v>68</v>
      </c>
      <c r="C97" s="34" t="s">
        <v>69</v>
      </c>
      <c r="D97" s="35" t="s">
        <v>349</v>
      </c>
      <c r="E97" s="35"/>
      <c r="F97" s="35"/>
      <c r="G97" s="35"/>
      <c r="H97" s="35" t="s">
        <v>167</v>
      </c>
      <c r="I97" s="35" t="s">
        <v>73</v>
      </c>
      <c r="J97" s="35" t="s">
        <v>137</v>
      </c>
      <c r="K97" s="35" t="s">
        <v>45</v>
      </c>
      <c r="L97" s="35" t="s">
        <v>33</v>
      </c>
      <c r="M97" s="35" t="s">
        <v>34</v>
      </c>
      <c r="N97" s="35" t="s">
        <v>35</v>
      </c>
      <c r="O97" s="35" t="s">
        <v>35</v>
      </c>
      <c r="P97" s="31" t="s">
        <v>186</v>
      </c>
      <c r="Q97" s="31" t="s">
        <v>341</v>
      </c>
      <c r="R97" s="31" t="s">
        <v>342</v>
      </c>
      <c r="S97" s="31" t="s">
        <v>56</v>
      </c>
      <c r="T97" s="35" t="s">
        <v>45</v>
      </c>
      <c r="U97" s="35" t="s">
        <v>54</v>
      </c>
      <c r="V97" s="35"/>
      <c r="W97" s="31" t="str">
        <f>HYPERLINK("https://www.stromypodkontrolou.cz/map/tree/d41bce85-5010-4276-b929-4760db78c679/b000118f-e2e5-412e-bb70-9674cac292bb")</f>
        <v>https://www.stromypodkontrolou.cz/map/tree/d41bce85-5010-4276-b929-4760db78c679/b000118f-e2e5-412e-bb70-9674cac292bb</v>
      </c>
      <c r="X97" s="31">
        <v>-734511.30200400006</v>
      </c>
      <c r="Y97" s="31">
        <v>-1019501.905454</v>
      </c>
      <c r="Z97" s="31" t="str">
        <f>HYPERLINK("https://www.mapy.cz?st=search&amp;fr=50.30702664 14.49166887")</f>
        <v>https://www.mapy.cz?st=search&amp;fr=50.30702664 14.49166887</v>
      </c>
      <c r="AA97" s="25" t="s">
        <v>602</v>
      </c>
      <c r="AB97" s="60"/>
    </row>
    <row r="98" spans="1:28" ht="35.1" customHeight="1" x14ac:dyDescent="0.25">
      <c r="A98" s="32" t="s">
        <v>350</v>
      </c>
      <c r="B98" s="33" t="s">
        <v>351</v>
      </c>
      <c r="C98" s="34" t="s">
        <v>352</v>
      </c>
      <c r="D98" s="35" t="s">
        <v>108</v>
      </c>
      <c r="E98" s="35"/>
      <c r="F98" s="35"/>
      <c r="G98" s="35"/>
      <c r="H98" s="35" t="s">
        <v>42</v>
      </c>
      <c r="I98" s="35" t="s">
        <v>81</v>
      </c>
      <c r="J98" s="35" t="s">
        <v>71</v>
      </c>
      <c r="K98" s="35" t="s">
        <v>32</v>
      </c>
      <c r="L98" s="35" t="s">
        <v>33</v>
      </c>
      <c r="M98" s="35" t="s">
        <v>35</v>
      </c>
      <c r="N98" s="35" t="s">
        <v>35</v>
      </c>
      <c r="O98" s="35" t="s">
        <v>54</v>
      </c>
      <c r="P98" s="31" t="s">
        <v>213</v>
      </c>
      <c r="Q98" s="31" t="s">
        <v>341</v>
      </c>
      <c r="R98" s="31" t="s">
        <v>342</v>
      </c>
      <c r="S98" s="31" t="s">
        <v>56</v>
      </c>
      <c r="T98" s="35" t="s">
        <v>45</v>
      </c>
      <c r="U98" s="35" t="s">
        <v>35</v>
      </c>
      <c r="V98" s="35"/>
      <c r="W98" s="31" t="str">
        <f>HYPERLINK("https://www.stromypodkontrolou.cz/map/tree/d41bce85-5010-4276-b929-4760db78c679/03e28b7b-0f3b-4ad9-8195-c6df36bbf486")</f>
        <v>https://www.stromypodkontrolou.cz/map/tree/d41bce85-5010-4276-b929-4760db78c679/03e28b7b-0f3b-4ad9-8195-c6df36bbf486</v>
      </c>
      <c r="X98" s="31">
        <v>-734580.44048899994</v>
      </c>
      <c r="Y98" s="31">
        <v>-1019552.04826</v>
      </c>
      <c r="Z98" s="31" t="str">
        <f>HYPERLINK("https://www.mapy.cz?st=search&amp;fr=50.30649582 14.49080251")</f>
        <v>https://www.mapy.cz?st=search&amp;fr=50.30649582 14.49080251</v>
      </c>
      <c r="AA98" s="25" t="s">
        <v>602</v>
      </c>
      <c r="AB98" s="60"/>
    </row>
    <row r="99" spans="1:28" ht="35.1" customHeight="1" x14ac:dyDescent="0.25">
      <c r="A99" s="65" t="s">
        <v>353</v>
      </c>
      <c r="B99" s="66" t="s">
        <v>68</v>
      </c>
      <c r="C99" s="67" t="s">
        <v>69</v>
      </c>
      <c r="D99" s="68" t="s">
        <v>347</v>
      </c>
      <c r="E99" s="68"/>
      <c r="F99" s="68"/>
      <c r="G99" s="68"/>
      <c r="H99" s="68" t="s">
        <v>146</v>
      </c>
      <c r="I99" s="68" t="s">
        <v>61</v>
      </c>
      <c r="J99" s="68" t="s">
        <v>71</v>
      </c>
      <c r="K99" s="68" t="s">
        <v>45</v>
      </c>
      <c r="L99" s="68" t="s">
        <v>33</v>
      </c>
      <c r="M99" s="68" t="s">
        <v>34</v>
      </c>
      <c r="N99" s="68" t="s">
        <v>35</v>
      </c>
      <c r="O99" s="68" t="s">
        <v>35</v>
      </c>
      <c r="P99" s="64" t="s">
        <v>136</v>
      </c>
      <c r="Q99" s="64" t="s">
        <v>341</v>
      </c>
      <c r="R99" s="64" t="s">
        <v>342</v>
      </c>
      <c r="S99" s="31" t="s">
        <v>56</v>
      </c>
      <c r="T99" s="35" t="s">
        <v>45</v>
      </c>
      <c r="U99" s="35" t="s">
        <v>35</v>
      </c>
      <c r="V99" s="35"/>
      <c r="W99" s="8" t="str">
        <f>HYPERLINK("https://www.stromypodkontrolou.cz/map/tree/d41bce85-5010-4276-b929-4760db78c679/e7f2928a-fdac-492c-ab10-048a017f0ecb")</f>
        <v>https://www.stromypodkontrolou.cz/map/tree/d41bce85-5010-4276-b929-4760db78c679/e7f2928a-fdac-492c-ab10-048a017f0ecb</v>
      </c>
      <c r="X99" s="64">
        <v>-734623.61427100003</v>
      </c>
      <c r="Y99" s="64">
        <v>-1019580.283408</v>
      </c>
      <c r="Z99" s="64" t="str">
        <f>HYPERLINK("https://www.mapy.cz?st=search&amp;fr=50.30619174 14.49025568")</f>
        <v>https://www.mapy.cz?st=search&amp;fr=50.30619174 14.49025568</v>
      </c>
      <c r="AA99" s="25" t="s">
        <v>602</v>
      </c>
      <c r="AB99" s="60"/>
    </row>
    <row r="100" spans="1:28" ht="35.1" customHeight="1" thickBot="1" x14ac:dyDescent="0.3">
      <c r="A100" s="74"/>
      <c r="B100" s="75"/>
      <c r="C100" s="76"/>
      <c r="D100" s="77"/>
      <c r="E100" s="77"/>
      <c r="F100" s="77"/>
      <c r="G100" s="77"/>
      <c r="H100" s="77"/>
      <c r="I100" s="77"/>
      <c r="J100" s="77"/>
      <c r="K100" s="77"/>
      <c r="L100" s="77"/>
      <c r="M100" s="77"/>
      <c r="N100" s="77"/>
      <c r="O100" s="77"/>
      <c r="P100" s="78"/>
      <c r="Q100" s="78"/>
      <c r="R100" s="78"/>
      <c r="S100" s="45" t="s">
        <v>57</v>
      </c>
      <c r="T100" s="44" t="s">
        <v>45</v>
      </c>
      <c r="U100" s="44" t="s">
        <v>35</v>
      </c>
      <c r="V100" s="44" t="s">
        <v>200</v>
      </c>
      <c r="W100" s="9"/>
      <c r="X100" s="78"/>
      <c r="Y100" s="78"/>
      <c r="Z100" s="78"/>
      <c r="AA100" s="21" t="s">
        <v>603</v>
      </c>
      <c r="AB100" s="61"/>
    </row>
    <row r="101" spans="1:28" ht="35.1" customHeight="1" x14ac:dyDescent="0.25">
      <c r="A101" s="71" t="s">
        <v>354</v>
      </c>
      <c r="B101" s="72" t="s">
        <v>68</v>
      </c>
      <c r="C101" s="73" t="s">
        <v>69</v>
      </c>
      <c r="D101" s="69" t="s">
        <v>344</v>
      </c>
      <c r="E101" s="69"/>
      <c r="F101" s="69"/>
      <c r="G101" s="69"/>
      <c r="H101" s="69" t="s">
        <v>109</v>
      </c>
      <c r="I101" s="69" t="s">
        <v>61</v>
      </c>
      <c r="J101" s="69" t="s">
        <v>202</v>
      </c>
      <c r="K101" s="69" t="s">
        <v>32</v>
      </c>
      <c r="L101" s="69" t="s">
        <v>33</v>
      </c>
      <c r="M101" s="69" t="s">
        <v>34</v>
      </c>
      <c r="N101" s="69" t="s">
        <v>35</v>
      </c>
      <c r="O101" s="69" t="s">
        <v>35</v>
      </c>
      <c r="P101" s="70" t="s">
        <v>355</v>
      </c>
      <c r="Q101" s="70" t="s">
        <v>315</v>
      </c>
      <c r="R101" s="70" t="s">
        <v>356</v>
      </c>
      <c r="S101" s="37" t="s">
        <v>56</v>
      </c>
      <c r="T101" s="36" t="s">
        <v>45</v>
      </c>
      <c r="U101" s="36" t="s">
        <v>34</v>
      </c>
      <c r="V101" s="36"/>
      <c r="W101" s="70" t="str">
        <f>HYPERLINK("https://www.stromypodkontrolou.cz/map/tree/d41bce85-5010-4276-b929-4760db78c679/0a08e1d7-dd3c-46aa-86bf-f3e0c1d377f1")</f>
        <v>https://www.stromypodkontrolou.cz/map/tree/d41bce85-5010-4276-b929-4760db78c679/0a08e1d7-dd3c-46aa-86bf-f3e0c1d377f1</v>
      </c>
      <c r="X101" s="70">
        <v>-735403.70935100003</v>
      </c>
      <c r="Y101" s="70">
        <v>-1020302.389346</v>
      </c>
      <c r="Z101" s="70" t="str">
        <f>HYPERLINK("https://www.mapy.cz?st=search&amp;fr=50.29880927 14.48077943")</f>
        <v>https://www.mapy.cz?st=search&amp;fr=50.29880927 14.48077943</v>
      </c>
      <c r="AA101" s="25" t="s">
        <v>598</v>
      </c>
      <c r="AB101" s="60"/>
    </row>
    <row r="102" spans="1:28" ht="35.1" customHeight="1" x14ac:dyDescent="0.25">
      <c r="A102" s="65"/>
      <c r="B102" s="66"/>
      <c r="C102" s="67"/>
      <c r="D102" s="68"/>
      <c r="E102" s="68"/>
      <c r="F102" s="68"/>
      <c r="G102" s="68"/>
      <c r="H102" s="68"/>
      <c r="I102" s="68"/>
      <c r="J102" s="68"/>
      <c r="K102" s="68"/>
      <c r="L102" s="68"/>
      <c r="M102" s="68"/>
      <c r="N102" s="68"/>
      <c r="O102" s="68"/>
      <c r="P102" s="64"/>
      <c r="Q102" s="64"/>
      <c r="R102" s="64"/>
      <c r="S102" s="31" t="s">
        <v>57</v>
      </c>
      <c r="T102" s="35" t="s">
        <v>45</v>
      </c>
      <c r="U102" s="35" t="s">
        <v>34</v>
      </c>
      <c r="V102" s="35" t="s">
        <v>357</v>
      </c>
      <c r="W102" s="64"/>
      <c r="X102" s="64"/>
      <c r="Y102" s="64"/>
      <c r="Z102" s="64"/>
      <c r="AA102" s="20" t="s">
        <v>599</v>
      </c>
      <c r="AB102" s="59"/>
    </row>
    <row r="103" spans="1:28" ht="35.1" customHeight="1" x14ac:dyDescent="0.25">
      <c r="A103" s="32" t="s">
        <v>358</v>
      </c>
      <c r="B103" s="33" t="s">
        <v>149</v>
      </c>
      <c r="C103" s="34" t="s">
        <v>150</v>
      </c>
      <c r="D103" s="35" t="s">
        <v>119</v>
      </c>
      <c r="E103" s="35"/>
      <c r="F103" s="35"/>
      <c r="G103" s="35"/>
      <c r="H103" s="35" t="s">
        <v>167</v>
      </c>
      <c r="I103" s="35" t="s">
        <v>52</v>
      </c>
      <c r="J103" s="35" t="s">
        <v>129</v>
      </c>
      <c r="K103" s="35" t="s">
        <v>32</v>
      </c>
      <c r="L103" s="35" t="s">
        <v>33</v>
      </c>
      <c r="M103" s="35" t="s">
        <v>34</v>
      </c>
      <c r="N103" s="35" t="s">
        <v>35</v>
      </c>
      <c r="O103" s="35" t="s">
        <v>54</v>
      </c>
      <c r="P103" s="31" t="s">
        <v>359</v>
      </c>
      <c r="Q103" s="31" t="s">
        <v>315</v>
      </c>
      <c r="R103" s="31" t="s">
        <v>356</v>
      </c>
      <c r="S103" s="31" t="s">
        <v>56</v>
      </c>
      <c r="T103" s="35" t="s">
        <v>45</v>
      </c>
      <c r="U103" s="35" t="s">
        <v>34</v>
      </c>
      <c r="V103" s="35"/>
      <c r="W103" s="31" t="str">
        <f>HYPERLINK("https://www.stromypodkontrolou.cz/map/tree/d41bce85-5010-4276-b929-4760db78c679/5510e104-ea16-44bd-b5ef-54f2c1996d5c")</f>
        <v>https://www.stromypodkontrolou.cz/map/tree/d41bce85-5010-4276-b929-4760db78c679/5510e104-ea16-44bd-b5ef-54f2c1996d5c</v>
      </c>
      <c r="X103" s="31">
        <v>-735415.94127099996</v>
      </c>
      <c r="Y103" s="31">
        <v>-1020329.064253</v>
      </c>
      <c r="Z103" s="31" t="str">
        <f>HYPERLINK("https://www.mapy.cz?st=search&amp;fr=50.29855675 14.48066007")</f>
        <v>https://www.mapy.cz?st=search&amp;fr=50.29855675 14.48066007</v>
      </c>
      <c r="AA103" s="25" t="s">
        <v>602</v>
      </c>
      <c r="AB103" s="60"/>
    </row>
    <row r="104" spans="1:28" ht="35.1" customHeight="1" x14ac:dyDescent="0.25">
      <c r="A104" s="65" t="s">
        <v>360</v>
      </c>
      <c r="B104" s="66" t="s">
        <v>269</v>
      </c>
      <c r="C104" s="67" t="s">
        <v>270</v>
      </c>
      <c r="D104" s="68"/>
      <c r="E104" s="68" t="s">
        <v>303</v>
      </c>
      <c r="F104" s="68"/>
      <c r="G104" s="68"/>
      <c r="H104" s="68" t="s">
        <v>361</v>
      </c>
      <c r="I104" s="68" t="s">
        <v>52</v>
      </c>
      <c r="J104" s="68" t="s">
        <v>53</v>
      </c>
      <c r="K104" s="68" t="s">
        <v>32</v>
      </c>
      <c r="L104" s="68" t="s">
        <v>33</v>
      </c>
      <c r="M104" s="68" t="s">
        <v>34</v>
      </c>
      <c r="N104" s="68" t="s">
        <v>35</v>
      </c>
      <c r="O104" s="68" t="s">
        <v>35</v>
      </c>
      <c r="P104" s="64" t="s">
        <v>307</v>
      </c>
      <c r="Q104" s="64" t="s">
        <v>315</v>
      </c>
      <c r="R104" s="64" t="s">
        <v>356</v>
      </c>
      <c r="S104" s="31" t="s">
        <v>56</v>
      </c>
      <c r="T104" s="35" t="s">
        <v>45</v>
      </c>
      <c r="U104" s="35" t="s">
        <v>35</v>
      </c>
      <c r="V104" s="35"/>
      <c r="W104" s="64" t="str">
        <f>HYPERLINK("https://www.stromypodkontrolou.cz/map/tree/d41bce85-5010-4276-b929-4760db78c679/fd8466bf-626a-415e-8ac5-52eebbc1161f")</f>
        <v>https://www.stromypodkontrolou.cz/map/tree/d41bce85-5010-4276-b929-4760db78c679/fd8466bf-626a-415e-8ac5-52eebbc1161f</v>
      </c>
      <c r="X104" s="64">
        <v>-735421.26749200001</v>
      </c>
      <c r="Y104" s="64">
        <v>-1020331.87001</v>
      </c>
      <c r="Z104" s="64" t="str">
        <f>HYPERLINK("https://www.mapy.cz?st=search&amp;fr=50.29852527 14.48059134")</f>
        <v>https://www.mapy.cz?st=search&amp;fr=50.29852527 14.48059134</v>
      </c>
      <c r="AA104" s="20" t="s">
        <v>598</v>
      </c>
      <c r="AB104" s="59"/>
    </row>
    <row r="105" spans="1:28" ht="35.1" customHeight="1" thickBot="1" x14ac:dyDescent="0.3">
      <c r="A105" s="65"/>
      <c r="B105" s="66"/>
      <c r="C105" s="67"/>
      <c r="D105" s="68"/>
      <c r="E105" s="68"/>
      <c r="F105" s="68"/>
      <c r="G105" s="68"/>
      <c r="H105" s="68"/>
      <c r="I105" s="68"/>
      <c r="J105" s="68"/>
      <c r="K105" s="68"/>
      <c r="L105" s="68"/>
      <c r="M105" s="68"/>
      <c r="N105" s="68"/>
      <c r="O105" s="68"/>
      <c r="P105" s="64"/>
      <c r="Q105" s="64"/>
      <c r="R105" s="64"/>
      <c r="S105" s="31" t="s">
        <v>57</v>
      </c>
      <c r="T105" s="35" t="s">
        <v>45</v>
      </c>
      <c r="U105" s="35" t="s">
        <v>35</v>
      </c>
      <c r="V105" s="35" t="s">
        <v>200</v>
      </c>
      <c r="W105" s="64"/>
      <c r="X105" s="64"/>
      <c r="Y105" s="64"/>
      <c r="Z105" s="64"/>
      <c r="AA105" s="21" t="s">
        <v>599</v>
      </c>
      <c r="AB105" s="61"/>
    </row>
    <row r="106" spans="1:28" ht="35.1" customHeight="1" x14ac:dyDescent="0.25">
      <c r="A106" s="38" t="s">
        <v>366</v>
      </c>
      <c r="B106" s="39" t="s">
        <v>25</v>
      </c>
      <c r="C106" s="40" t="s">
        <v>26</v>
      </c>
      <c r="D106" s="36" t="s">
        <v>87</v>
      </c>
      <c r="E106" s="36"/>
      <c r="F106" s="36"/>
      <c r="G106" s="36"/>
      <c r="H106" s="36" t="s">
        <v>88</v>
      </c>
      <c r="I106" s="36" t="s">
        <v>61</v>
      </c>
      <c r="J106" s="36" t="s">
        <v>129</v>
      </c>
      <c r="K106" s="36" t="s">
        <v>32</v>
      </c>
      <c r="L106" s="36" t="s">
        <v>33</v>
      </c>
      <c r="M106" s="36" t="s">
        <v>35</v>
      </c>
      <c r="N106" s="36" t="s">
        <v>35</v>
      </c>
      <c r="O106" s="36" t="s">
        <v>54</v>
      </c>
      <c r="P106" s="37" t="s">
        <v>365</v>
      </c>
      <c r="Q106" s="37" t="s">
        <v>341</v>
      </c>
      <c r="R106" s="37" t="s">
        <v>367</v>
      </c>
      <c r="S106" s="37" t="s">
        <v>56</v>
      </c>
      <c r="T106" s="36" t="s">
        <v>45</v>
      </c>
      <c r="U106" s="36" t="s">
        <v>35</v>
      </c>
      <c r="V106" s="36"/>
      <c r="W106" s="37" t="str">
        <f>HYPERLINK("https://www.stromypodkontrolou.cz/map/tree/d41bce85-5010-4276-b929-4760db78c679/43266a68-f5a5-4f80-a3d7-c515a227300e")</f>
        <v>https://www.stromypodkontrolou.cz/map/tree/d41bce85-5010-4276-b929-4760db78c679/43266a68-f5a5-4f80-a3d7-c515a227300e</v>
      </c>
      <c r="X106" s="37">
        <v>-735310.49861799995</v>
      </c>
      <c r="Y106" s="37">
        <v>-1020676.422343</v>
      </c>
      <c r="Z106" s="37" t="str">
        <f>HYPERLINK("https://www.mapy.cz?st=search&amp;fr=50.29559105 14.48278707")</f>
        <v>https://www.mapy.cz?st=search&amp;fr=50.29559105 14.48278707</v>
      </c>
      <c r="AA106" s="25" t="s">
        <v>602</v>
      </c>
      <c r="AB106" s="60"/>
    </row>
    <row r="107" spans="1:28" ht="35.1" customHeight="1" x14ac:dyDescent="0.25">
      <c r="A107" s="65" t="s">
        <v>368</v>
      </c>
      <c r="B107" s="66" t="s">
        <v>25</v>
      </c>
      <c r="C107" s="67" t="s">
        <v>26</v>
      </c>
      <c r="D107" s="68" t="s">
        <v>145</v>
      </c>
      <c r="E107" s="68"/>
      <c r="F107" s="68"/>
      <c r="G107" s="68"/>
      <c r="H107" s="68" t="s">
        <v>88</v>
      </c>
      <c r="I107" s="68" t="s">
        <v>61</v>
      </c>
      <c r="J107" s="68" t="s">
        <v>129</v>
      </c>
      <c r="K107" s="68" t="s">
        <v>32</v>
      </c>
      <c r="L107" s="68" t="s">
        <v>33</v>
      </c>
      <c r="M107" s="68" t="s">
        <v>35</v>
      </c>
      <c r="N107" s="68" t="s">
        <v>35</v>
      </c>
      <c r="O107" s="68" t="s">
        <v>54</v>
      </c>
      <c r="P107" s="64" t="s">
        <v>136</v>
      </c>
      <c r="Q107" s="64" t="s">
        <v>341</v>
      </c>
      <c r="R107" s="64" t="s">
        <v>367</v>
      </c>
      <c r="S107" s="31" t="s">
        <v>57</v>
      </c>
      <c r="T107" s="35" t="s">
        <v>45</v>
      </c>
      <c r="U107" s="35" t="s">
        <v>34</v>
      </c>
      <c r="V107" s="35" t="s">
        <v>200</v>
      </c>
      <c r="W107" s="64" t="str">
        <f>HYPERLINK("https://www.stromypodkontrolou.cz/map/tree/d41bce85-5010-4276-b929-4760db78c679/69a5e66a-74fe-44b6-9e34-d7b1942ee87f")</f>
        <v>https://www.stromypodkontrolou.cz/map/tree/d41bce85-5010-4276-b929-4760db78c679/69a5e66a-74fe-44b6-9e34-d7b1942ee87f</v>
      </c>
      <c r="X107" s="64">
        <v>-735287.59502999997</v>
      </c>
      <c r="Y107" s="64">
        <v>-1020708.696789</v>
      </c>
      <c r="Z107" s="64" t="str">
        <f>HYPERLINK("https://www.mapy.cz?st=search&amp;fr=50.29533146 14.48316693")</f>
        <v>https://www.mapy.cz?st=search&amp;fr=50.29533146 14.48316693</v>
      </c>
      <c r="AA107" s="20" t="s">
        <v>603</v>
      </c>
      <c r="AB107" s="59"/>
    </row>
    <row r="108" spans="1:28" ht="35.1" customHeight="1" x14ac:dyDescent="0.25">
      <c r="A108" s="65"/>
      <c r="B108" s="66"/>
      <c r="C108" s="67"/>
      <c r="D108" s="68"/>
      <c r="E108" s="68"/>
      <c r="F108" s="68"/>
      <c r="G108" s="68"/>
      <c r="H108" s="68"/>
      <c r="I108" s="68"/>
      <c r="J108" s="68"/>
      <c r="K108" s="68"/>
      <c r="L108" s="68"/>
      <c r="M108" s="68"/>
      <c r="N108" s="68"/>
      <c r="O108" s="68"/>
      <c r="P108" s="64"/>
      <c r="Q108" s="64"/>
      <c r="R108" s="64"/>
      <c r="S108" s="31" t="s">
        <v>56</v>
      </c>
      <c r="T108" s="35" t="s">
        <v>45</v>
      </c>
      <c r="U108" s="35" t="s">
        <v>34</v>
      </c>
      <c r="V108" s="35"/>
      <c r="W108" s="64"/>
      <c r="X108" s="64"/>
      <c r="Y108" s="64"/>
      <c r="Z108" s="64"/>
      <c r="AA108" s="25" t="s">
        <v>602</v>
      </c>
      <c r="AB108" s="60"/>
    </row>
    <row r="109" spans="1:28" ht="35.1" customHeight="1" x14ac:dyDescent="0.25">
      <c r="A109" s="32" t="s">
        <v>369</v>
      </c>
      <c r="B109" s="33" t="s">
        <v>25</v>
      </c>
      <c r="C109" s="34" t="s">
        <v>26</v>
      </c>
      <c r="D109" s="35" t="s">
        <v>201</v>
      </c>
      <c r="E109" s="35"/>
      <c r="F109" s="35"/>
      <c r="G109" s="35"/>
      <c r="H109" s="35" t="s">
        <v>60</v>
      </c>
      <c r="I109" s="35" t="s">
        <v>81</v>
      </c>
      <c r="J109" s="35" t="s">
        <v>78</v>
      </c>
      <c r="K109" s="35" t="s">
        <v>32</v>
      </c>
      <c r="L109" s="35" t="s">
        <v>74</v>
      </c>
      <c r="M109" s="35" t="s">
        <v>35</v>
      </c>
      <c r="N109" s="35" t="s">
        <v>35</v>
      </c>
      <c r="O109" s="35" t="s">
        <v>54</v>
      </c>
      <c r="P109" s="31" t="s">
        <v>293</v>
      </c>
      <c r="Q109" s="31" t="s">
        <v>341</v>
      </c>
      <c r="R109" s="31" t="s">
        <v>367</v>
      </c>
      <c r="S109" s="31" t="s">
        <v>56</v>
      </c>
      <c r="T109" s="35" t="s">
        <v>45</v>
      </c>
      <c r="U109" s="35" t="s">
        <v>34</v>
      </c>
      <c r="V109" s="35"/>
      <c r="W109" s="31" t="str">
        <f>HYPERLINK("https://www.stromypodkontrolou.cz/map/tree/d41bce85-5010-4276-b929-4760db78c679/7cf24a74-af26-40fa-a59a-2d52bef29c01")</f>
        <v>https://www.stromypodkontrolou.cz/map/tree/d41bce85-5010-4276-b929-4760db78c679/7cf24a74-af26-40fa-a59a-2d52bef29c01</v>
      </c>
      <c r="X109" s="31">
        <v>-735203.40541300003</v>
      </c>
      <c r="Y109" s="31">
        <v>-1020802.010323</v>
      </c>
      <c r="Z109" s="31" t="str">
        <f>HYPERLINK("https://www.mapy.cz?st=search&amp;fr=50.29460280 14.48451508")</f>
        <v>https://www.mapy.cz?st=search&amp;fr=50.29460280 14.48451508</v>
      </c>
      <c r="AA109" s="25" t="s">
        <v>602</v>
      </c>
      <c r="AB109" s="60"/>
    </row>
    <row r="110" spans="1:28" ht="35.1" customHeight="1" x14ac:dyDescent="0.25">
      <c r="A110" s="32" t="s">
        <v>370</v>
      </c>
      <c r="B110" s="33" t="s">
        <v>371</v>
      </c>
      <c r="C110" s="34" t="s">
        <v>372</v>
      </c>
      <c r="D110" s="35" t="s">
        <v>80</v>
      </c>
      <c r="E110" s="35"/>
      <c r="F110" s="35"/>
      <c r="G110" s="35"/>
      <c r="H110" s="35" t="s">
        <v>42</v>
      </c>
      <c r="I110" s="35" t="s">
        <v>43</v>
      </c>
      <c r="J110" s="35" t="s">
        <v>71</v>
      </c>
      <c r="K110" s="35" t="s">
        <v>32</v>
      </c>
      <c r="L110" s="35" t="s">
        <v>33</v>
      </c>
      <c r="M110" s="35" t="s">
        <v>35</v>
      </c>
      <c r="N110" s="35" t="s">
        <v>54</v>
      </c>
      <c r="O110" s="35" t="s">
        <v>54</v>
      </c>
      <c r="P110" s="31" t="s">
        <v>136</v>
      </c>
      <c r="Q110" s="31" t="s">
        <v>341</v>
      </c>
      <c r="R110" s="31" t="s">
        <v>373</v>
      </c>
      <c r="S110" s="31" t="s">
        <v>56</v>
      </c>
      <c r="T110" s="35" t="s">
        <v>45</v>
      </c>
      <c r="U110" s="35" t="s">
        <v>34</v>
      </c>
      <c r="V110" s="35"/>
      <c r="W110" s="31" t="str">
        <f>HYPERLINK("https://www.stromypodkontrolou.cz/map/tree/d41bce85-5010-4276-b929-4760db78c679/7ef66938-ae47-4fa2-84ca-9ee4adc94a79")</f>
        <v>https://www.stromypodkontrolou.cz/map/tree/d41bce85-5010-4276-b929-4760db78c679/7ef66938-ae47-4fa2-84ca-9ee4adc94a79</v>
      </c>
      <c r="X110" s="31">
        <v>-734948.24345900002</v>
      </c>
      <c r="Y110" s="31">
        <v>-1021006.484802</v>
      </c>
      <c r="Z110" s="31" t="str">
        <f>HYPERLINK("https://www.mapy.cz?st=search&amp;fr=50.29309212 14.48845189")</f>
        <v>https://www.mapy.cz?st=search&amp;fr=50.29309212 14.48845189</v>
      </c>
      <c r="AA110" s="25" t="s">
        <v>602</v>
      </c>
      <c r="AB110" s="60"/>
    </row>
    <row r="111" spans="1:28" ht="35.1" customHeight="1" x14ac:dyDescent="0.25">
      <c r="A111" s="32" t="s">
        <v>374</v>
      </c>
      <c r="B111" s="33" t="s">
        <v>25</v>
      </c>
      <c r="C111" s="34" t="s">
        <v>26</v>
      </c>
      <c r="D111" s="35" t="s">
        <v>92</v>
      </c>
      <c r="E111" s="35"/>
      <c r="F111" s="35"/>
      <c r="G111" s="35"/>
      <c r="H111" s="35" t="s">
        <v>42</v>
      </c>
      <c r="I111" s="35" t="s">
        <v>43</v>
      </c>
      <c r="J111" s="35" t="s">
        <v>71</v>
      </c>
      <c r="K111" s="35" t="s">
        <v>32</v>
      </c>
      <c r="L111" s="35" t="s">
        <v>33</v>
      </c>
      <c r="M111" s="35" t="s">
        <v>35</v>
      </c>
      <c r="N111" s="35" t="s">
        <v>35</v>
      </c>
      <c r="O111" s="35" t="s">
        <v>54</v>
      </c>
      <c r="P111" s="31" t="s">
        <v>293</v>
      </c>
      <c r="Q111" s="31" t="s">
        <v>341</v>
      </c>
      <c r="R111" s="31" t="s">
        <v>373</v>
      </c>
      <c r="S111" s="31" t="s">
        <v>56</v>
      </c>
      <c r="T111" s="35" t="s">
        <v>45</v>
      </c>
      <c r="U111" s="35" t="s">
        <v>34</v>
      </c>
      <c r="V111" s="35"/>
      <c r="W111" s="31" t="str">
        <f>HYPERLINK("https://www.stromypodkontrolou.cz/map/tree/d41bce85-5010-4276-b929-4760db78c679/2af271ef-9444-49a4-b503-f20d2d0d1486")</f>
        <v>https://www.stromypodkontrolou.cz/map/tree/d41bce85-5010-4276-b929-4760db78c679/2af271ef-9444-49a4-b503-f20d2d0d1486</v>
      </c>
      <c r="X111" s="31">
        <v>-734871.53983300005</v>
      </c>
      <c r="Y111" s="31">
        <v>-1021055.850445</v>
      </c>
      <c r="Z111" s="31" t="str">
        <f>HYPERLINK("https://www.mapy.cz?st=search&amp;fr=50.29274576 14.48961228")</f>
        <v>https://www.mapy.cz?st=search&amp;fr=50.29274576 14.48961228</v>
      </c>
      <c r="AA111" s="25" t="s">
        <v>602</v>
      </c>
      <c r="AB111" s="60"/>
    </row>
    <row r="112" spans="1:28" ht="35.1" customHeight="1" x14ac:dyDescent="0.25">
      <c r="A112" s="65" t="s">
        <v>375</v>
      </c>
      <c r="B112" s="66" t="s">
        <v>143</v>
      </c>
      <c r="C112" s="67" t="s">
        <v>144</v>
      </c>
      <c r="D112" s="68" t="s">
        <v>83</v>
      </c>
      <c r="E112" s="68"/>
      <c r="F112" s="68"/>
      <c r="G112" s="68"/>
      <c r="H112" s="68" t="s">
        <v>131</v>
      </c>
      <c r="I112" s="68" t="s">
        <v>61</v>
      </c>
      <c r="J112" s="68" t="s">
        <v>241</v>
      </c>
      <c r="K112" s="68" t="s">
        <v>32</v>
      </c>
      <c r="L112" s="68" t="s">
        <v>74</v>
      </c>
      <c r="M112" s="68" t="s">
        <v>35</v>
      </c>
      <c r="N112" s="68" t="s">
        <v>54</v>
      </c>
      <c r="O112" s="68" t="s">
        <v>54</v>
      </c>
      <c r="P112" s="64" t="s">
        <v>376</v>
      </c>
      <c r="Q112" s="64" t="s">
        <v>341</v>
      </c>
      <c r="R112" s="64" t="s">
        <v>377</v>
      </c>
      <c r="S112" s="31" t="s">
        <v>57</v>
      </c>
      <c r="T112" s="35" t="s">
        <v>45</v>
      </c>
      <c r="U112" s="35" t="s">
        <v>34</v>
      </c>
      <c r="V112" s="35" t="s">
        <v>200</v>
      </c>
      <c r="W112" s="64" t="str">
        <f>HYPERLINK("https://www.stromypodkontrolou.cz/map/tree/d41bce85-5010-4276-b929-4760db78c679/34ed9c8e-213b-4cb2-ada9-977724dd9d55")</f>
        <v>https://www.stromypodkontrolou.cz/map/tree/d41bce85-5010-4276-b929-4760db78c679/34ed9c8e-213b-4cb2-ada9-977724dd9d55</v>
      </c>
      <c r="X112" s="64">
        <v>-734879.84987499996</v>
      </c>
      <c r="Y112" s="64">
        <v>-1021057.552085</v>
      </c>
      <c r="Z112" s="64" t="str">
        <f>HYPERLINK("https://www.mapy.cz?st=search&amp;fr=50.29272049 14.48949997")</f>
        <v>https://www.mapy.cz?st=search&amp;fr=50.29272049 14.48949997</v>
      </c>
      <c r="AA112" s="20" t="s">
        <v>599</v>
      </c>
      <c r="AB112" s="59"/>
    </row>
    <row r="113" spans="1:28" ht="35.1" customHeight="1" x14ac:dyDescent="0.25">
      <c r="A113" s="65"/>
      <c r="B113" s="66"/>
      <c r="C113" s="67"/>
      <c r="D113" s="68"/>
      <c r="E113" s="68"/>
      <c r="F113" s="68"/>
      <c r="G113" s="68"/>
      <c r="H113" s="68"/>
      <c r="I113" s="68"/>
      <c r="J113" s="68"/>
      <c r="K113" s="68"/>
      <c r="L113" s="68"/>
      <c r="M113" s="68"/>
      <c r="N113" s="68"/>
      <c r="O113" s="68"/>
      <c r="P113" s="64"/>
      <c r="Q113" s="64"/>
      <c r="R113" s="64"/>
      <c r="S113" s="31" t="s">
        <v>56</v>
      </c>
      <c r="T113" s="35" t="s">
        <v>45</v>
      </c>
      <c r="U113" s="35" t="s">
        <v>34</v>
      </c>
      <c r="V113" s="35"/>
      <c r="W113" s="64"/>
      <c r="X113" s="64"/>
      <c r="Y113" s="64"/>
      <c r="Z113" s="64"/>
      <c r="AA113" s="20" t="s">
        <v>598</v>
      </c>
      <c r="AB113" s="59"/>
    </row>
    <row r="114" spans="1:28" ht="35.1" customHeight="1" x14ac:dyDescent="0.25">
      <c r="A114" s="32" t="s">
        <v>378</v>
      </c>
      <c r="B114" s="33" t="s">
        <v>48</v>
      </c>
      <c r="C114" s="34" t="s">
        <v>49</v>
      </c>
      <c r="D114" s="35" t="s">
        <v>50</v>
      </c>
      <c r="E114" s="35"/>
      <c r="F114" s="35"/>
      <c r="G114" s="35"/>
      <c r="H114" s="35" t="s">
        <v>176</v>
      </c>
      <c r="I114" s="35" t="s">
        <v>81</v>
      </c>
      <c r="J114" s="35" t="s">
        <v>133</v>
      </c>
      <c r="K114" s="35" t="s">
        <v>32</v>
      </c>
      <c r="L114" s="35" t="s">
        <v>33</v>
      </c>
      <c r="M114" s="35" t="s">
        <v>34</v>
      </c>
      <c r="N114" s="35" t="s">
        <v>35</v>
      </c>
      <c r="O114" s="35" t="s">
        <v>35</v>
      </c>
      <c r="P114" s="31" t="s">
        <v>186</v>
      </c>
      <c r="Q114" s="31" t="s">
        <v>341</v>
      </c>
      <c r="R114" s="31" t="s">
        <v>373</v>
      </c>
      <c r="S114" s="31" t="s">
        <v>56</v>
      </c>
      <c r="T114" s="35" t="s">
        <v>45</v>
      </c>
      <c r="U114" s="35" t="s">
        <v>34</v>
      </c>
      <c r="V114" s="35"/>
      <c r="W114" s="31" t="str">
        <f>HYPERLINK("https://www.stromypodkontrolou.cz/map/tree/d41bce85-5010-4276-b929-4760db78c679/219f1f44-227c-45d8-b3fd-a01d1f32aee5")</f>
        <v>https://www.stromypodkontrolou.cz/map/tree/d41bce85-5010-4276-b929-4760db78c679/219f1f44-227c-45d8-b3fd-a01d1f32aee5</v>
      </c>
      <c r="X114" s="31">
        <v>-734865.42746699997</v>
      </c>
      <c r="Y114" s="31">
        <v>-1021059.643452</v>
      </c>
      <c r="Z114" s="31" t="str">
        <f>HYPERLINK("https://www.mapy.cz?st=search&amp;fr=50.29271942 14.48970449")</f>
        <v>https://www.mapy.cz?st=search&amp;fr=50.29271942 14.48970449</v>
      </c>
      <c r="AA114" s="25" t="s">
        <v>602</v>
      </c>
      <c r="AB114" s="60"/>
    </row>
    <row r="115" spans="1:28" ht="35.1" customHeight="1" x14ac:dyDescent="0.25">
      <c r="A115" s="65" t="s">
        <v>379</v>
      </c>
      <c r="B115" s="66" t="s">
        <v>380</v>
      </c>
      <c r="C115" s="67" t="s">
        <v>381</v>
      </c>
      <c r="D115" s="68" t="s">
        <v>145</v>
      </c>
      <c r="E115" s="68"/>
      <c r="F115" s="68"/>
      <c r="G115" s="68"/>
      <c r="H115" s="68" t="s">
        <v>176</v>
      </c>
      <c r="I115" s="68" t="s">
        <v>89</v>
      </c>
      <c r="J115" s="68" t="s">
        <v>66</v>
      </c>
      <c r="K115" s="68" t="s">
        <v>32</v>
      </c>
      <c r="L115" s="68" t="s">
        <v>33</v>
      </c>
      <c r="M115" s="68" t="s">
        <v>35</v>
      </c>
      <c r="N115" s="68" t="s">
        <v>54</v>
      </c>
      <c r="O115" s="68" t="s">
        <v>54</v>
      </c>
      <c r="P115" s="64" t="s">
        <v>382</v>
      </c>
      <c r="Q115" s="64" t="s">
        <v>341</v>
      </c>
      <c r="R115" s="64" t="s">
        <v>373</v>
      </c>
      <c r="S115" s="31" t="s">
        <v>363</v>
      </c>
      <c r="T115" s="35" t="s">
        <v>31</v>
      </c>
      <c r="U115" s="35" t="s">
        <v>34</v>
      </c>
      <c r="V115" s="35" t="s">
        <v>383</v>
      </c>
      <c r="W115" s="64" t="str">
        <f>HYPERLINK("https://www.stromypodkontrolou.cz/map/tree/d41bce85-5010-4276-b929-4760db78c679/6fac0e67-e622-44de-bf5e-90a9f9890a0d")</f>
        <v>https://www.stromypodkontrolou.cz/map/tree/d41bce85-5010-4276-b929-4760db78c679/6fac0e67-e622-44de-bf5e-90a9f9890a0d</v>
      </c>
      <c r="X115" s="64">
        <v>-734774.52738400002</v>
      </c>
      <c r="Y115" s="64">
        <v>-1021108.352338</v>
      </c>
      <c r="Z115" s="64" t="str">
        <f>HYPERLINK("https://www.mapy.cz?st=search&amp;fr=50.29239618 14.49106101")</f>
        <v>https://www.mapy.cz?st=search&amp;fr=50.29239618 14.49106101</v>
      </c>
      <c r="AA115" s="20" t="s">
        <v>610</v>
      </c>
      <c r="AB115" s="59"/>
    </row>
    <row r="116" spans="1:28" ht="35.1" customHeight="1" x14ac:dyDescent="0.25">
      <c r="A116" s="65"/>
      <c r="B116" s="66"/>
      <c r="C116" s="67"/>
      <c r="D116" s="68"/>
      <c r="E116" s="68"/>
      <c r="F116" s="68"/>
      <c r="G116" s="68"/>
      <c r="H116" s="68"/>
      <c r="I116" s="68"/>
      <c r="J116" s="68"/>
      <c r="K116" s="68"/>
      <c r="L116" s="68"/>
      <c r="M116" s="68"/>
      <c r="N116" s="68"/>
      <c r="O116" s="68"/>
      <c r="P116" s="64"/>
      <c r="Q116" s="64"/>
      <c r="R116" s="64"/>
      <c r="S116" s="31" t="s">
        <v>56</v>
      </c>
      <c r="T116" s="35" t="s">
        <v>45</v>
      </c>
      <c r="U116" s="35" t="s">
        <v>34</v>
      </c>
      <c r="V116" s="35"/>
      <c r="W116" s="64"/>
      <c r="X116" s="64"/>
      <c r="Y116" s="64"/>
      <c r="Z116" s="64"/>
      <c r="AA116" s="25" t="s">
        <v>602</v>
      </c>
      <c r="AB116" s="60"/>
    </row>
    <row r="117" spans="1:28" ht="35.1" customHeight="1" x14ac:dyDescent="0.25">
      <c r="A117" s="32" t="s">
        <v>384</v>
      </c>
      <c r="B117" s="33" t="s">
        <v>25</v>
      </c>
      <c r="C117" s="34" t="s">
        <v>26</v>
      </c>
      <c r="D117" s="35" t="s">
        <v>108</v>
      </c>
      <c r="E117" s="35"/>
      <c r="F117" s="35"/>
      <c r="G117" s="35"/>
      <c r="H117" s="35" t="s">
        <v>42</v>
      </c>
      <c r="I117" s="35" t="s">
        <v>43</v>
      </c>
      <c r="J117" s="35" t="s">
        <v>71</v>
      </c>
      <c r="K117" s="35" t="s">
        <v>32</v>
      </c>
      <c r="L117" s="35" t="s">
        <v>33</v>
      </c>
      <c r="M117" s="35" t="s">
        <v>35</v>
      </c>
      <c r="N117" s="35" t="s">
        <v>35</v>
      </c>
      <c r="O117" s="35" t="s">
        <v>54</v>
      </c>
      <c r="P117" s="31" t="s">
        <v>142</v>
      </c>
      <c r="Q117" s="31" t="s">
        <v>341</v>
      </c>
      <c r="R117" s="31" t="s">
        <v>373</v>
      </c>
      <c r="S117" s="31" t="s">
        <v>56</v>
      </c>
      <c r="T117" s="35" t="s">
        <v>45</v>
      </c>
      <c r="U117" s="35" t="s">
        <v>34</v>
      </c>
      <c r="V117" s="35"/>
      <c r="W117" s="31" t="str">
        <f>HYPERLINK("https://www.stromypodkontrolou.cz/map/tree/d41bce85-5010-4276-b929-4760db78c679/16bea21d-e620-4e45-b180-05f958b11e52")</f>
        <v>https://www.stromypodkontrolou.cz/map/tree/d41bce85-5010-4276-b929-4760db78c679/16bea21d-e620-4e45-b180-05f958b11e52</v>
      </c>
      <c r="X117" s="31">
        <v>-734619.83516000002</v>
      </c>
      <c r="Y117" s="31">
        <v>-1021193.6661799999</v>
      </c>
      <c r="Z117" s="31" t="str">
        <f>HYPERLINK("https://www.mapy.cz?st=search&amp;fr=50.29182449 14.49337408")</f>
        <v>https://www.mapy.cz?st=search&amp;fr=50.29182449 14.49337408</v>
      </c>
      <c r="AA117" s="25" t="s">
        <v>602</v>
      </c>
      <c r="AB117" s="60"/>
    </row>
    <row r="118" spans="1:28" ht="35.1" customHeight="1" thickBot="1" x14ac:dyDescent="0.3">
      <c r="A118" s="41" t="s">
        <v>385</v>
      </c>
      <c r="B118" s="42" t="s">
        <v>25</v>
      </c>
      <c r="C118" s="43" t="s">
        <v>26</v>
      </c>
      <c r="D118" s="44" t="s">
        <v>386</v>
      </c>
      <c r="E118" s="44"/>
      <c r="F118" s="44"/>
      <c r="G118" s="44"/>
      <c r="H118" s="44" t="s">
        <v>42</v>
      </c>
      <c r="I118" s="44" t="s">
        <v>43</v>
      </c>
      <c r="J118" s="44" t="s">
        <v>71</v>
      </c>
      <c r="K118" s="44" t="s">
        <v>32</v>
      </c>
      <c r="L118" s="44" t="s">
        <v>33</v>
      </c>
      <c r="M118" s="44" t="s">
        <v>35</v>
      </c>
      <c r="N118" s="44" t="s">
        <v>35</v>
      </c>
      <c r="O118" s="44" t="s">
        <v>54</v>
      </c>
      <c r="P118" s="45" t="s">
        <v>362</v>
      </c>
      <c r="Q118" s="45" t="s">
        <v>341</v>
      </c>
      <c r="R118" s="45" t="s">
        <v>373</v>
      </c>
      <c r="S118" s="45" t="s">
        <v>56</v>
      </c>
      <c r="T118" s="44" t="s">
        <v>45</v>
      </c>
      <c r="U118" s="44" t="s">
        <v>35</v>
      </c>
      <c r="V118" s="44"/>
      <c r="W118" s="45" t="str">
        <f>HYPERLINK("https://www.stromypodkontrolou.cz/map/tree/d41bce85-5010-4276-b929-4760db78c679/126810de-8280-43ba-9a23-b1d1b45e4ab2")</f>
        <v>https://www.stromypodkontrolou.cz/map/tree/d41bce85-5010-4276-b929-4760db78c679/126810de-8280-43ba-9a23-b1d1b45e4ab2</v>
      </c>
      <c r="X118" s="45">
        <v>-734590.52346499998</v>
      </c>
      <c r="Y118" s="45">
        <v>-1021208.731846</v>
      </c>
      <c r="Z118" s="45" t="str">
        <f>HYPERLINK("https://www.mapy.cz?st=search&amp;fr=50.29172596 14.49381028")</f>
        <v>https://www.mapy.cz?st=search&amp;fr=50.29172596 14.49381028</v>
      </c>
      <c r="AA118" s="21" t="s">
        <v>602</v>
      </c>
      <c r="AB118" s="61"/>
    </row>
    <row r="119" spans="1:28" ht="35.1" customHeight="1" x14ac:dyDescent="0.25">
      <c r="A119" s="38" t="s">
        <v>387</v>
      </c>
      <c r="B119" s="39" t="s">
        <v>68</v>
      </c>
      <c r="C119" s="40" t="s">
        <v>69</v>
      </c>
      <c r="D119" s="36" t="s">
        <v>50</v>
      </c>
      <c r="E119" s="36"/>
      <c r="F119" s="36"/>
      <c r="G119" s="36"/>
      <c r="H119" s="36" t="s">
        <v>176</v>
      </c>
      <c r="I119" s="36" t="s">
        <v>61</v>
      </c>
      <c r="J119" s="36" t="s">
        <v>66</v>
      </c>
      <c r="K119" s="36" t="s">
        <v>32</v>
      </c>
      <c r="L119" s="36" t="s">
        <v>33</v>
      </c>
      <c r="M119" s="36" t="s">
        <v>35</v>
      </c>
      <c r="N119" s="36" t="s">
        <v>35</v>
      </c>
      <c r="O119" s="36" t="s">
        <v>54</v>
      </c>
      <c r="P119" s="37"/>
      <c r="Q119" s="37" t="s">
        <v>315</v>
      </c>
      <c r="R119" s="37" t="s">
        <v>594</v>
      </c>
      <c r="S119" s="37" t="s">
        <v>56</v>
      </c>
      <c r="T119" s="36" t="s">
        <v>45</v>
      </c>
      <c r="U119" s="36" t="s">
        <v>35</v>
      </c>
      <c r="V119" s="36"/>
      <c r="W119" s="37" t="str">
        <f>HYPERLINK("https://www.stromypodkontrolou.cz/map/tree/d41bce85-5010-4276-b929-4760db78c679/6320c02e-976d-4afc-988d-4676abf66d7d")</f>
        <v>https://www.stromypodkontrolou.cz/map/tree/d41bce85-5010-4276-b929-4760db78c679/6320c02e-976d-4afc-988d-4676abf66d7d</v>
      </c>
      <c r="X119" s="37">
        <v>-734041.70468199998</v>
      </c>
      <c r="Y119" s="37">
        <v>-1021524.670838</v>
      </c>
      <c r="Z119" s="37" t="str">
        <f>HYPERLINK("https://www.mapy.cz?st=search&amp;fr=50.28957919 14.50204131")</f>
        <v>https://www.mapy.cz?st=search&amp;fr=50.28957919 14.50204131</v>
      </c>
      <c r="AA119" s="25" t="s">
        <v>602</v>
      </c>
      <c r="AB119" s="60"/>
    </row>
    <row r="120" spans="1:28" ht="35.1" customHeight="1" x14ac:dyDescent="0.25">
      <c r="A120" s="65" t="s">
        <v>388</v>
      </c>
      <c r="B120" s="66" t="s">
        <v>68</v>
      </c>
      <c r="C120" s="67" t="s">
        <v>69</v>
      </c>
      <c r="D120" s="68" t="s">
        <v>386</v>
      </c>
      <c r="E120" s="68"/>
      <c r="F120" s="68"/>
      <c r="G120" s="68"/>
      <c r="H120" s="68" t="s">
        <v>176</v>
      </c>
      <c r="I120" s="68" t="s">
        <v>61</v>
      </c>
      <c r="J120" s="68" t="s">
        <v>66</v>
      </c>
      <c r="K120" s="68" t="s">
        <v>32</v>
      </c>
      <c r="L120" s="68" t="s">
        <v>33</v>
      </c>
      <c r="M120" s="68" t="s">
        <v>35</v>
      </c>
      <c r="N120" s="68" t="s">
        <v>54</v>
      </c>
      <c r="O120" s="68" t="s">
        <v>54</v>
      </c>
      <c r="P120" s="64" t="s">
        <v>162</v>
      </c>
      <c r="Q120" s="64" t="s">
        <v>315</v>
      </c>
      <c r="R120" s="64" t="s">
        <v>594</v>
      </c>
      <c r="S120" s="31" t="s">
        <v>85</v>
      </c>
      <c r="T120" s="35" t="s">
        <v>45</v>
      </c>
      <c r="U120" s="35" t="s">
        <v>34</v>
      </c>
      <c r="V120" s="35" t="s">
        <v>86</v>
      </c>
      <c r="W120" s="64" t="str">
        <f>HYPERLINK("https://www.stromypodkontrolou.cz/map/tree/d41bce85-5010-4276-b929-4760db78c679/3eb4aed8-26c9-41bf-ad59-784a819c2a73")</f>
        <v>https://www.stromypodkontrolou.cz/map/tree/d41bce85-5010-4276-b929-4760db78c679/3eb4aed8-26c9-41bf-ad59-784a819c2a73</v>
      </c>
      <c r="X120" s="64">
        <v>-734015.91822700005</v>
      </c>
      <c r="Y120" s="64">
        <v>-1021533.961917</v>
      </c>
      <c r="Z120" s="64" t="str">
        <f>HYPERLINK("https://www.mapy.cz?st=search&amp;fr=50.28952778 14.50241749")</f>
        <v>https://www.mapy.cz?st=search&amp;fr=50.28952778 14.50241749</v>
      </c>
      <c r="AA120" s="20" t="s">
        <v>601</v>
      </c>
      <c r="AB120" s="59"/>
    </row>
    <row r="121" spans="1:28" ht="35.1" customHeight="1" x14ac:dyDescent="0.25">
      <c r="A121" s="65"/>
      <c r="B121" s="66"/>
      <c r="C121" s="67"/>
      <c r="D121" s="68"/>
      <c r="E121" s="68"/>
      <c r="F121" s="68"/>
      <c r="G121" s="68"/>
      <c r="H121" s="68"/>
      <c r="I121" s="68"/>
      <c r="J121" s="68"/>
      <c r="K121" s="68"/>
      <c r="L121" s="68"/>
      <c r="M121" s="68"/>
      <c r="N121" s="68"/>
      <c r="O121" s="68"/>
      <c r="P121" s="64"/>
      <c r="Q121" s="64"/>
      <c r="R121" s="64"/>
      <c r="S121" s="31" t="s">
        <v>56</v>
      </c>
      <c r="T121" s="35" t="s">
        <v>45</v>
      </c>
      <c r="U121" s="35" t="s">
        <v>34</v>
      </c>
      <c r="V121" s="35"/>
      <c r="W121" s="64"/>
      <c r="X121" s="64"/>
      <c r="Y121" s="64"/>
      <c r="Z121" s="64"/>
      <c r="AA121" s="25" t="s">
        <v>602</v>
      </c>
      <c r="AB121" s="60"/>
    </row>
    <row r="122" spans="1:28" ht="35.1" customHeight="1" x14ac:dyDescent="0.25">
      <c r="A122" s="65" t="s">
        <v>389</v>
      </c>
      <c r="B122" s="66" t="s">
        <v>68</v>
      </c>
      <c r="C122" s="67" t="s">
        <v>69</v>
      </c>
      <c r="D122" s="68" t="s">
        <v>233</v>
      </c>
      <c r="E122" s="68"/>
      <c r="F122" s="68"/>
      <c r="G122" s="68"/>
      <c r="H122" s="68" t="s">
        <v>176</v>
      </c>
      <c r="I122" s="68" t="s">
        <v>61</v>
      </c>
      <c r="J122" s="68" t="s">
        <v>66</v>
      </c>
      <c r="K122" s="68" t="s">
        <v>32</v>
      </c>
      <c r="L122" s="68" t="s">
        <v>33</v>
      </c>
      <c r="M122" s="68" t="s">
        <v>35</v>
      </c>
      <c r="N122" s="68" t="s">
        <v>54</v>
      </c>
      <c r="O122" s="68" t="s">
        <v>54</v>
      </c>
      <c r="P122" s="64" t="s">
        <v>390</v>
      </c>
      <c r="Q122" s="64" t="s">
        <v>315</v>
      </c>
      <c r="R122" s="64" t="s">
        <v>594</v>
      </c>
      <c r="S122" s="31" t="s">
        <v>56</v>
      </c>
      <c r="T122" s="35" t="s">
        <v>45</v>
      </c>
      <c r="U122" s="35" t="s">
        <v>34</v>
      </c>
      <c r="V122" s="35" t="s">
        <v>86</v>
      </c>
      <c r="W122" s="64" t="str">
        <f>HYPERLINK("https://www.stromypodkontrolou.cz/map/tree/d41bce85-5010-4276-b929-4760db78c679/6b7d549d-7541-4821-a7f7-03b74c496ea2")</f>
        <v>https://www.stromypodkontrolou.cz/map/tree/d41bce85-5010-4276-b929-4760db78c679/6b7d549d-7541-4821-a7f7-03b74c496ea2</v>
      </c>
      <c r="X122" s="64">
        <v>-734004.56735100003</v>
      </c>
      <c r="Y122" s="64">
        <v>-1021540.897749</v>
      </c>
      <c r="Z122" s="64" t="str">
        <f>HYPERLINK("https://www.mapy.cz?st=search&amp;fr=50.28947980 14.50258848")</f>
        <v>https://www.mapy.cz?st=search&amp;fr=50.28947980 14.50258848</v>
      </c>
      <c r="AA122" s="25" t="s">
        <v>602</v>
      </c>
      <c r="AB122" s="60"/>
    </row>
    <row r="123" spans="1:28" ht="35.1" customHeight="1" thickBot="1" x14ac:dyDescent="0.3">
      <c r="A123" s="74"/>
      <c r="B123" s="75"/>
      <c r="C123" s="76"/>
      <c r="D123" s="77"/>
      <c r="E123" s="77"/>
      <c r="F123" s="77"/>
      <c r="G123" s="77"/>
      <c r="H123" s="77"/>
      <c r="I123" s="77"/>
      <c r="J123" s="77"/>
      <c r="K123" s="77"/>
      <c r="L123" s="77"/>
      <c r="M123" s="77"/>
      <c r="N123" s="77"/>
      <c r="O123" s="77"/>
      <c r="P123" s="78"/>
      <c r="Q123" s="78"/>
      <c r="R123" s="78"/>
      <c r="S123" s="45" t="s">
        <v>56</v>
      </c>
      <c r="T123" s="44" t="s">
        <v>45</v>
      </c>
      <c r="U123" s="44" t="s">
        <v>34</v>
      </c>
      <c r="V123" s="44"/>
      <c r="W123" s="78"/>
      <c r="X123" s="78"/>
      <c r="Y123" s="78"/>
      <c r="Z123" s="78"/>
      <c r="AA123" s="21" t="s">
        <v>602</v>
      </c>
      <c r="AB123" s="61"/>
    </row>
    <row r="124" spans="1:28" ht="35.1" customHeight="1" x14ac:dyDescent="0.25">
      <c r="A124" s="38" t="s">
        <v>394</v>
      </c>
      <c r="B124" s="39" t="s">
        <v>25</v>
      </c>
      <c r="C124" s="40" t="s">
        <v>26</v>
      </c>
      <c r="D124" s="36" t="s">
        <v>208</v>
      </c>
      <c r="E124" s="36"/>
      <c r="F124" s="36"/>
      <c r="G124" s="36"/>
      <c r="H124" s="36" t="s">
        <v>167</v>
      </c>
      <c r="I124" s="36" t="s">
        <v>182</v>
      </c>
      <c r="J124" s="36" t="s">
        <v>137</v>
      </c>
      <c r="K124" s="36" t="s">
        <v>32</v>
      </c>
      <c r="L124" s="36" t="s">
        <v>74</v>
      </c>
      <c r="M124" s="36" t="s">
        <v>35</v>
      </c>
      <c r="N124" s="36" t="s">
        <v>35</v>
      </c>
      <c r="O124" s="36" t="s">
        <v>54</v>
      </c>
      <c r="P124" s="37" t="s">
        <v>142</v>
      </c>
      <c r="Q124" s="37" t="s">
        <v>392</v>
      </c>
      <c r="R124" s="37" t="s">
        <v>393</v>
      </c>
      <c r="S124" s="37" t="s">
        <v>56</v>
      </c>
      <c r="T124" s="36" t="s">
        <v>45</v>
      </c>
      <c r="U124" s="36" t="s">
        <v>35</v>
      </c>
      <c r="V124" s="36"/>
      <c r="W124" s="37" t="str">
        <f>HYPERLINK("https://www.stromypodkontrolou.cz/map/tree/d41bce85-5010-4276-b929-4760db78c679/caccf44f-6f7a-47ff-ad18-71e98f163df5")</f>
        <v>https://www.stromypodkontrolou.cz/map/tree/d41bce85-5010-4276-b929-4760db78c679/caccf44f-6f7a-47ff-ad18-71e98f163df5</v>
      </c>
      <c r="X124" s="37">
        <v>-746724.89188999997</v>
      </c>
      <c r="Y124" s="37">
        <v>-1002830.3897009999</v>
      </c>
      <c r="Z124" s="37" t="str">
        <f>HYPERLINK("https://www.mapy.cz?st=search&amp;fr=50.44049214 14.28953793")</f>
        <v>https://www.mapy.cz?st=search&amp;fr=50.44049214 14.28953793</v>
      </c>
      <c r="AA124" s="25" t="s">
        <v>602</v>
      </c>
      <c r="AB124" s="60"/>
    </row>
    <row r="125" spans="1:28" ht="35.1" customHeight="1" x14ac:dyDescent="0.25">
      <c r="A125" s="32" t="s">
        <v>395</v>
      </c>
      <c r="B125" s="33" t="s">
        <v>48</v>
      </c>
      <c r="C125" s="34" t="s">
        <v>49</v>
      </c>
      <c r="D125" s="35" t="s">
        <v>237</v>
      </c>
      <c r="E125" s="35"/>
      <c r="F125" s="35"/>
      <c r="G125" s="35"/>
      <c r="H125" s="35" t="s">
        <v>51</v>
      </c>
      <c r="I125" s="35" t="s">
        <v>79</v>
      </c>
      <c r="J125" s="35" t="s">
        <v>66</v>
      </c>
      <c r="K125" s="35" t="s">
        <v>32</v>
      </c>
      <c r="L125" s="35" t="s">
        <v>33</v>
      </c>
      <c r="M125" s="35" t="s">
        <v>35</v>
      </c>
      <c r="N125" s="35" t="s">
        <v>35</v>
      </c>
      <c r="O125" s="35" t="s">
        <v>35</v>
      </c>
      <c r="P125" s="31" t="s">
        <v>186</v>
      </c>
      <c r="Q125" s="31" t="s">
        <v>392</v>
      </c>
      <c r="R125" s="31" t="s">
        <v>393</v>
      </c>
      <c r="S125" s="31" t="s">
        <v>56</v>
      </c>
      <c r="T125" s="35" t="s">
        <v>45</v>
      </c>
      <c r="U125" s="35" t="s">
        <v>35</v>
      </c>
      <c r="V125" s="35"/>
      <c r="W125" s="31" t="str">
        <f>HYPERLINK("https://www.stromypodkontrolou.cz/map/tree/d41bce85-5010-4276-b929-4760db78c679/f8e39125-1433-43d3-a0f4-3464e6a88661")</f>
        <v>https://www.stromypodkontrolou.cz/map/tree/d41bce85-5010-4276-b929-4760db78c679/f8e39125-1433-43d3-a0f4-3464e6a88661</v>
      </c>
      <c r="X125" s="31">
        <v>-746720.75276900001</v>
      </c>
      <c r="Y125" s="31">
        <v>-1002794.829328</v>
      </c>
      <c r="Z125" s="31" t="str">
        <f>HYPERLINK("https://www.mapy.cz?st=search&amp;fr=50.44081392 14.28952653")</f>
        <v>https://www.mapy.cz?st=search&amp;fr=50.44081392 14.28952653</v>
      </c>
      <c r="AA125" s="25" t="s">
        <v>602</v>
      </c>
      <c r="AB125" s="60"/>
    </row>
    <row r="126" spans="1:28" ht="35.1" customHeight="1" thickBot="1" x14ac:dyDescent="0.3">
      <c r="A126" s="41" t="s">
        <v>396</v>
      </c>
      <c r="B126" s="42" t="s">
        <v>48</v>
      </c>
      <c r="C126" s="43" t="s">
        <v>49</v>
      </c>
      <c r="D126" s="44" t="s">
        <v>347</v>
      </c>
      <c r="E126" s="44"/>
      <c r="F126" s="44"/>
      <c r="G126" s="44"/>
      <c r="H126" s="44" t="s">
        <v>51</v>
      </c>
      <c r="I126" s="44" t="s">
        <v>79</v>
      </c>
      <c r="J126" s="44" t="s">
        <v>66</v>
      </c>
      <c r="K126" s="44" t="s">
        <v>45</v>
      </c>
      <c r="L126" s="44" t="s">
        <v>33</v>
      </c>
      <c r="M126" s="44" t="s">
        <v>34</v>
      </c>
      <c r="N126" s="44" t="s">
        <v>35</v>
      </c>
      <c r="O126" s="44" t="s">
        <v>35</v>
      </c>
      <c r="P126" s="45" t="s">
        <v>295</v>
      </c>
      <c r="Q126" s="45" t="s">
        <v>392</v>
      </c>
      <c r="R126" s="45" t="s">
        <v>393</v>
      </c>
      <c r="S126" s="45" t="s">
        <v>56</v>
      </c>
      <c r="T126" s="44" t="s">
        <v>45</v>
      </c>
      <c r="U126" s="44" t="s">
        <v>34</v>
      </c>
      <c r="V126" s="44"/>
      <c r="W126" s="45" t="str">
        <f>HYPERLINK("https://www.stromypodkontrolou.cz/map/tree/d41bce85-5010-4276-b929-4760db78c679/a06aad1e-8813-4131-8898-e4b3bec8ebec")</f>
        <v>https://www.stromypodkontrolou.cz/map/tree/d41bce85-5010-4276-b929-4760db78c679/a06aad1e-8813-4131-8898-e4b3bec8ebec</v>
      </c>
      <c r="X126" s="45">
        <v>-746693.22822299995</v>
      </c>
      <c r="Y126" s="45">
        <v>-1002661.8819189999</v>
      </c>
      <c r="Z126" s="45" t="str">
        <f>HYPERLINK("https://www.mapy.cz?st=search&amp;fr=50.44203189 14.28965192")</f>
        <v>https://www.mapy.cz?st=search&amp;fr=50.44203189 14.28965192</v>
      </c>
      <c r="AA126" s="21" t="s">
        <v>602</v>
      </c>
      <c r="AB126" s="61"/>
    </row>
    <row r="127" spans="1:28" ht="35.1" customHeight="1" x14ac:dyDescent="0.25">
      <c r="A127" s="71" t="s">
        <v>397</v>
      </c>
      <c r="B127" s="72" t="s">
        <v>68</v>
      </c>
      <c r="C127" s="73" t="s">
        <v>69</v>
      </c>
      <c r="D127" s="69" t="s">
        <v>169</v>
      </c>
      <c r="E127" s="69"/>
      <c r="F127" s="69"/>
      <c r="G127" s="69"/>
      <c r="H127" s="69" t="s">
        <v>135</v>
      </c>
      <c r="I127" s="69" t="s">
        <v>77</v>
      </c>
      <c r="J127" s="69" t="s">
        <v>137</v>
      </c>
      <c r="K127" s="69" t="s">
        <v>32</v>
      </c>
      <c r="L127" s="69" t="s">
        <v>74</v>
      </c>
      <c r="M127" s="69" t="s">
        <v>35</v>
      </c>
      <c r="N127" s="69" t="s">
        <v>35</v>
      </c>
      <c r="O127" s="69" t="s">
        <v>35</v>
      </c>
      <c r="P127" s="70"/>
      <c r="Q127" s="70" t="s">
        <v>315</v>
      </c>
      <c r="R127" s="70" t="s">
        <v>398</v>
      </c>
      <c r="S127" s="37" t="s">
        <v>57</v>
      </c>
      <c r="T127" s="36" t="s">
        <v>45</v>
      </c>
      <c r="U127" s="36" t="s">
        <v>35</v>
      </c>
      <c r="V127" s="36" t="s">
        <v>257</v>
      </c>
      <c r="W127" s="70" t="str">
        <f>HYPERLINK("https://www.stromypodkontrolou.cz/map/tree/d41bce85-5010-4276-b929-4760db78c679/cdbeb08e-4581-4c4b-8c9f-04952d418322")</f>
        <v>https://www.stromypodkontrolou.cz/map/tree/d41bce85-5010-4276-b929-4760db78c679/cdbeb08e-4581-4c4b-8c9f-04952d418322</v>
      </c>
      <c r="X127" s="70">
        <v>-733634.67873199994</v>
      </c>
      <c r="Y127" s="70">
        <v>-1021520.220626</v>
      </c>
      <c r="Z127" s="70" t="str">
        <f>HYPERLINK("https://www.mapy.cz?st=search&amp;fr=50.29011363 14.50769238")</f>
        <v>https://www.mapy.cz?st=search&amp;fr=50.29011363 14.50769238</v>
      </c>
      <c r="AA127" s="25" t="s">
        <v>599</v>
      </c>
      <c r="AB127" s="60"/>
    </row>
    <row r="128" spans="1:28" ht="35.1" customHeight="1" x14ac:dyDescent="0.25">
      <c r="A128" s="65"/>
      <c r="B128" s="66"/>
      <c r="C128" s="67"/>
      <c r="D128" s="68"/>
      <c r="E128" s="68"/>
      <c r="F128" s="68"/>
      <c r="G128" s="68"/>
      <c r="H128" s="68"/>
      <c r="I128" s="68"/>
      <c r="J128" s="68"/>
      <c r="K128" s="68"/>
      <c r="L128" s="68"/>
      <c r="M128" s="68"/>
      <c r="N128" s="68"/>
      <c r="O128" s="68"/>
      <c r="P128" s="64"/>
      <c r="Q128" s="64"/>
      <c r="R128" s="64"/>
      <c r="S128" s="31" t="s">
        <v>56</v>
      </c>
      <c r="T128" s="35" t="s">
        <v>45</v>
      </c>
      <c r="U128" s="35" t="s">
        <v>35</v>
      </c>
      <c r="V128" s="35"/>
      <c r="W128" s="64"/>
      <c r="X128" s="64"/>
      <c r="Y128" s="64"/>
      <c r="Z128" s="64"/>
      <c r="AA128" s="25" t="s">
        <v>602</v>
      </c>
      <c r="AB128" s="60"/>
    </row>
    <row r="129" spans="1:28" ht="35.1" customHeight="1" x14ac:dyDescent="0.25">
      <c r="A129" s="32" t="s">
        <v>400</v>
      </c>
      <c r="B129" s="33" t="s">
        <v>48</v>
      </c>
      <c r="C129" s="34" t="s">
        <v>49</v>
      </c>
      <c r="D129" s="35" t="s">
        <v>27</v>
      </c>
      <c r="E129" s="35"/>
      <c r="F129" s="35"/>
      <c r="G129" s="35"/>
      <c r="H129" s="35" t="s">
        <v>88</v>
      </c>
      <c r="I129" s="35" t="s">
        <v>89</v>
      </c>
      <c r="J129" s="35" t="s">
        <v>31</v>
      </c>
      <c r="K129" s="35" t="s">
        <v>32</v>
      </c>
      <c r="L129" s="35" t="s">
        <v>33</v>
      </c>
      <c r="M129" s="35" t="s">
        <v>34</v>
      </c>
      <c r="N129" s="35" t="s">
        <v>54</v>
      </c>
      <c r="O129" s="35" t="s">
        <v>54</v>
      </c>
      <c r="P129" s="31" t="s">
        <v>399</v>
      </c>
      <c r="Q129" s="31" t="s">
        <v>315</v>
      </c>
      <c r="R129" s="31" t="s">
        <v>398</v>
      </c>
      <c r="S129" s="31" t="s">
        <v>57</v>
      </c>
      <c r="T129" s="35" t="s">
        <v>45</v>
      </c>
      <c r="U129" s="35" t="s">
        <v>35</v>
      </c>
      <c r="V129" s="35" t="s">
        <v>105</v>
      </c>
      <c r="W129" s="31" t="str">
        <f>HYPERLINK("https://www.stromypodkontrolou.cz/map/tree/d41bce85-5010-4276-b929-4760db78c679/18e5ddbd-2ddb-4b44-aac2-d8919d8697fb")</f>
        <v>https://www.stromypodkontrolou.cz/map/tree/d41bce85-5010-4276-b929-4760db78c679/18e5ddbd-2ddb-4b44-aac2-d8919d8697fb</v>
      </c>
      <c r="X129" s="31">
        <v>-733864.03173299995</v>
      </c>
      <c r="Y129" s="31">
        <v>-1021473.0059080001</v>
      </c>
      <c r="Z129" s="31" t="str">
        <f>HYPERLINK("https://www.mapy.cz?st=search&amp;fr=50.29025545 14.50441372")</f>
        <v>https://www.mapy.cz?st=search&amp;fr=50.29025545 14.50441372</v>
      </c>
      <c r="AA129" s="20" t="s">
        <v>603</v>
      </c>
      <c r="AB129" s="59"/>
    </row>
    <row r="130" spans="1:28" ht="35.1" customHeight="1" x14ac:dyDescent="0.25">
      <c r="A130" s="32" t="s">
        <v>401</v>
      </c>
      <c r="B130" s="33" t="s">
        <v>48</v>
      </c>
      <c r="C130" s="34" t="s">
        <v>49</v>
      </c>
      <c r="D130" s="35" t="s">
        <v>76</v>
      </c>
      <c r="E130" s="35"/>
      <c r="F130" s="35"/>
      <c r="G130" s="35"/>
      <c r="H130" s="35" t="s">
        <v>88</v>
      </c>
      <c r="I130" s="35" t="s">
        <v>89</v>
      </c>
      <c r="J130" s="35" t="s">
        <v>31</v>
      </c>
      <c r="K130" s="35" t="s">
        <v>32</v>
      </c>
      <c r="L130" s="35" t="s">
        <v>33</v>
      </c>
      <c r="M130" s="35" t="s">
        <v>34</v>
      </c>
      <c r="N130" s="35" t="s">
        <v>54</v>
      </c>
      <c r="O130" s="35" t="s">
        <v>54</v>
      </c>
      <c r="P130" s="31" t="s">
        <v>399</v>
      </c>
      <c r="Q130" s="31" t="s">
        <v>315</v>
      </c>
      <c r="R130" s="31" t="s">
        <v>398</v>
      </c>
      <c r="S130" s="31" t="s">
        <v>57</v>
      </c>
      <c r="T130" s="35" t="s">
        <v>45</v>
      </c>
      <c r="U130" s="35" t="s">
        <v>35</v>
      </c>
      <c r="V130" s="35" t="s">
        <v>105</v>
      </c>
      <c r="W130" s="31" t="str">
        <f>HYPERLINK("https://www.stromypodkontrolou.cz/map/tree/d41bce85-5010-4276-b929-4760db78c679/36d57149-8fbd-4c7c-91ee-218d171988e5")</f>
        <v>https://www.stromypodkontrolou.cz/map/tree/d41bce85-5010-4276-b929-4760db78c679/36d57149-8fbd-4c7c-91ee-218d171988e5</v>
      </c>
      <c r="X130" s="31">
        <v>-733881.54688699997</v>
      </c>
      <c r="Y130" s="31">
        <v>-1021469.365168</v>
      </c>
      <c r="Z130" s="31" t="str">
        <f>HYPERLINK("https://www.mapy.cz?st=search&amp;fr=50.29026659 14.50416327")</f>
        <v>https://www.mapy.cz?st=search&amp;fr=50.29026659 14.50416327</v>
      </c>
      <c r="AA130" s="20" t="s">
        <v>603</v>
      </c>
      <c r="AB130" s="59"/>
    </row>
    <row r="131" spans="1:28" ht="35.1" customHeight="1" x14ac:dyDescent="0.25">
      <c r="A131" s="32" t="s">
        <v>402</v>
      </c>
      <c r="B131" s="33" t="s">
        <v>48</v>
      </c>
      <c r="C131" s="34" t="s">
        <v>49</v>
      </c>
      <c r="D131" s="35" t="s">
        <v>391</v>
      </c>
      <c r="E131" s="35"/>
      <c r="F131" s="35"/>
      <c r="G131" s="35"/>
      <c r="H131" s="35" t="s">
        <v>88</v>
      </c>
      <c r="I131" s="35" t="s">
        <v>89</v>
      </c>
      <c r="J131" s="35" t="s">
        <v>31</v>
      </c>
      <c r="K131" s="35" t="s">
        <v>32</v>
      </c>
      <c r="L131" s="35" t="s">
        <v>33</v>
      </c>
      <c r="M131" s="35" t="s">
        <v>34</v>
      </c>
      <c r="N131" s="35" t="s">
        <v>35</v>
      </c>
      <c r="O131" s="35" t="s">
        <v>35</v>
      </c>
      <c r="P131" s="31" t="s">
        <v>186</v>
      </c>
      <c r="Q131" s="31" t="s">
        <v>315</v>
      </c>
      <c r="R131" s="31" t="s">
        <v>398</v>
      </c>
      <c r="S131" s="31" t="s">
        <v>56</v>
      </c>
      <c r="T131" s="35" t="s">
        <v>45</v>
      </c>
      <c r="U131" s="35" t="s">
        <v>35</v>
      </c>
      <c r="V131" s="35"/>
      <c r="W131" s="31" t="str">
        <f>HYPERLINK("https://www.stromypodkontrolou.cz/map/tree/d41bce85-5010-4276-b929-4760db78c679/bb47e1d5-d779-4639-8c7d-1ec454fd33ea")</f>
        <v>https://www.stromypodkontrolou.cz/map/tree/d41bce85-5010-4276-b929-4760db78c679/bb47e1d5-d779-4639-8c7d-1ec454fd33ea</v>
      </c>
      <c r="X131" s="31">
        <v>-733891.92538799997</v>
      </c>
      <c r="Y131" s="31">
        <v>-1021465.375807</v>
      </c>
      <c r="Z131" s="31" t="str">
        <f>HYPERLINK("https://www.mapy.cz?st=search&amp;fr=50.29028951 14.50401139")</f>
        <v>https://www.mapy.cz?st=search&amp;fr=50.29028951 14.50401139</v>
      </c>
      <c r="AA131" s="25" t="s">
        <v>602</v>
      </c>
      <c r="AB131" s="60"/>
    </row>
    <row r="132" spans="1:28" ht="35.1" customHeight="1" x14ac:dyDescent="0.25">
      <c r="A132" s="32" t="s">
        <v>403</v>
      </c>
      <c r="B132" s="33" t="s">
        <v>143</v>
      </c>
      <c r="C132" s="34" t="s">
        <v>144</v>
      </c>
      <c r="D132" s="35" t="s">
        <v>111</v>
      </c>
      <c r="E132" s="35"/>
      <c r="F132" s="35"/>
      <c r="G132" s="35"/>
      <c r="H132" s="35" t="s">
        <v>72</v>
      </c>
      <c r="I132" s="35" t="s">
        <v>182</v>
      </c>
      <c r="J132" s="35" t="s">
        <v>71</v>
      </c>
      <c r="K132" s="35" t="s">
        <v>32</v>
      </c>
      <c r="L132" s="35" t="s">
        <v>33</v>
      </c>
      <c r="M132" s="35" t="s">
        <v>35</v>
      </c>
      <c r="N132" s="35" t="s">
        <v>35</v>
      </c>
      <c r="O132" s="35" t="s">
        <v>54</v>
      </c>
      <c r="P132" s="31" t="s">
        <v>265</v>
      </c>
      <c r="Q132" s="31" t="s">
        <v>315</v>
      </c>
      <c r="R132" s="31" t="s">
        <v>398</v>
      </c>
      <c r="S132" s="31" t="s">
        <v>56</v>
      </c>
      <c r="T132" s="35" t="s">
        <v>45</v>
      </c>
      <c r="U132" s="35" t="s">
        <v>35</v>
      </c>
      <c r="V132" s="35"/>
      <c r="W132" s="31" t="str">
        <f>HYPERLINK("https://www.stromypodkontrolou.cz/map/tree/d41bce85-5010-4276-b929-4760db78c679/9e9bc81e-2859-493a-8a54-4f993c2bee92")</f>
        <v>https://www.stromypodkontrolou.cz/map/tree/d41bce85-5010-4276-b929-4760db78c679/9e9bc81e-2859-493a-8a54-4f993c2bee92</v>
      </c>
      <c r="X132" s="31">
        <v>-734005.13421799999</v>
      </c>
      <c r="Y132" s="31">
        <v>-1021432.875432</v>
      </c>
      <c r="Z132" s="31" t="str">
        <f>HYPERLINK("https://www.mapy.cz?st=search&amp;fr=50.29044138 14.50237558")</f>
        <v>https://www.mapy.cz?st=search&amp;fr=50.29044138 14.50237558</v>
      </c>
      <c r="AA132" s="25" t="s">
        <v>602</v>
      </c>
      <c r="AB132" s="60"/>
    </row>
    <row r="133" spans="1:28" ht="35.1" customHeight="1" thickBot="1" x14ac:dyDescent="0.3">
      <c r="A133" s="41" t="s">
        <v>404</v>
      </c>
      <c r="B133" s="42" t="s">
        <v>339</v>
      </c>
      <c r="C133" s="43" t="s">
        <v>340</v>
      </c>
      <c r="D133" s="44" t="s">
        <v>80</v>
      </c>
      <c r="E133" s="44"/>
      <c r="F133" s="44"/>
      <c r="G133" s="44"/>
      <c r="H133" s="44" t="s">
        <v>176</v>
      </c>
      <c r="I133" s="44" t="s">
        <v>73</v>
      </c>
      <c r="J133" s="44" t="s">
        <v>71</v>
      </c>
      <c r="K133" s="44" t="s">
        <v>32</v>
      </c>
      <c r="L133" s="44" t="s">
        <v>33</v>
      </c>
      <c r="M133" s="44" t="s">
        <v>35</v>
      </c>
      <c r="N133" s="44" t="s">
        <v>35</v>
      </c>
      <c r="O133" s="44" t="s">
        <v>54</v>
      </c>
      <c r="P133" s="45" t="s">
        <v>405</v>
      </c>
      <c r="Q133" s="45" t="s">
        <v>315</v>
      </c>
      <c r="R133" s="45" t="s">
        <v>398</v>
      </c>
      <c r="S133" s="45" t="s">
        <v>56</v>
      </c>
      <c r="T133" s="44" t="s">
        <v>45</v>
      </c>
      <c r="U133" s="44" t="s">
        <v>34</v>
      </c>
      <c r="V133" s="44"/>
      <c r="W133" s="45" t="str">
        <f>HYPERLINK("https://www.stromypodkontrolou.cz/map/tree/d41bce85-5010-4276-b929-4760db78c679/acda9d5c-1b16-4e82-a10c-452ad4df4054")</f>
        <v>https://www.stromypodkontrolou.cz/map/tree/d41bce85-5010-4276-b929-4760db78c679/acda9d5c-1b16-4e82-a10c-452ad4df4054</v>
      </c>
      <c r="X133" s="45">
        <v>-734145.46943099995</v>
      </c>
      <c r="Y133" s="45">
        <v>-1021370.0018570001</v>
      </c>
      <c r="Z133" s="45" t="str">
        <f>HYPERLINK("https://www.mapy.cz?st=search&amp;fr=50.29083081 14.50030491")</f>
        <v>https://www.mapy.cz?st=search&amp;fr=50.29083081 14.50030491</v>
      </c>
      <c r="AA133" s="21" t="s">
        <v>602</v>
      </c>
      <c r="AB133" s="61"/>
    </row>
    <row r="134" spans="1:28" ht="35.1" customHeight="1" x14ac:dyDescent="0.25">
      <c r="A134" s="38" t="s">
        <v>410</v>
      </c>
      <c r="B134" s="39" t="s">
        <v>143</v>
      </c>
      <c r="C134" s="40" t="s">
        <v>144</v>
      </c>
      <c r="D134" s="36" t="s">
        <v>27</v>
      </c>
      <c r="E134" s="36"/>
      <c r="F134" s="36"/>
      <c r="G134" s="36"/>
      <c r="H134" s="36" t="s">
        <v>70</v>
      </c>
      <c r="I134" s="36" t="s">
        <v>79</v>
      </c>
      <c r="J134" s="36" t="s">
        <v>78</v>
      </c>
      <c r="K134" s="36" t="s">
        <v>32</v>
      </c>
      <c r="L134" s="36" t="s">
        <v>33</v>
      </c>
      <c r="M134" s="36" t="s">
        <v>34</v>
      </c>
      <c r="N134" s="36" t="s">
        <v>35</v>
      </c>
      <c r="O134" s="36" t="s">
        <v>35</v>
      </c>
      <c r="P134" s="37" t="s">
        <v>67</v>
      </c>
      <c r="Q134" s="37" t="s">
        <v>407</v>
      </c>
      <c r="R134" s="37" t="s">
        <v>409</v>
      </c>
      <c r="S134" s="37" t="s">
        <v>56</v>
      </c>
      <c r="T134" s="36" t="s">
        <v>45</v>
      </c>
      <c r="U134" s="36" t="s">
        <v>34</v>
      </c>
      <c r="V134" s="36"/>
      <c r="W134" s="37" t="str">
        <f>HYPERLINK("https://www.stromypodkontrolou.cz/map/tree/d41bce85-5010-4276-b929-4760db78c679/86b433c4-453a-4a9f-a446-d8b477761901")</f>
        <v>https://www.stromypodkontrolou.cz/map/tree/d41bce85-5010-4276-b929-4760db78c679/86b433c4-453a-4a9f-a446-d8b477761901</v>
      </c>
      <c r="X134" s="37">
        <v>-733088.82158999995</v>
      </c>
      <c r="Y134" s="37">
        <v>-1021777.700153</v>
      </c>
      <c r="Z134" s="37" t="str">
        <f>HYPERLINK("https://www.mapy.cz?st=search&amp;fr=50.28848306 14.51577053")</f>
        <v>https://www.mapy.cz?st=search&amp;fr=50.28848306 14.51577053</v>
      </c>
      <c r="AA134" s="25" t="s">
        <v>602</v>
      </c>
      <c r="AB134" s="60"/>
    </row>
    <row r="135" spans="1:28" ht="35.1" customHeight="1" x14ac:dyDescent="0.25">
      <c r="A135" s="32" t="s">
        <v>411</v>
      </c>
      <c r="B135" s="33" t="s">
        <v>143</v>
      </c>
      <c r="C135" s="34" t="s">
        <v>144</v>
      </c>
      <c r="D135" s="35" t="s">
        <v>63</v>
      </c>
      <c r="E135" s="35"/>
      <c r="F135" s="35"/>
      <c r="G135" s="35"/>
      <c r="H135" s="35" t="s">
        <v>99</v>
      </c>
      <c r="I135" s="35" t="s">
        <v>89</v>
      </c>
      <c r="J135" s="35" t="s">
        <v>129</v>
      </c>
      <c r="K135" s="35" t="s">
        <v>32</v>
      </c>
      <c r="L135" s="35" t="s">
        <v>33</v>
      </c>
      <c r="M135" s="35" t="s">
        <v>34</v>
      </c>
      <c r="N135" s="35" t="s">
        <v>35</v>
      </c>
      <c r="O135" s="35" t="s">
        <v>54</v>
      </c>
      <c r="P135" s="31" t="s">
        <v>265</v>
      </c>
      <c r="Q135" s="31" t="s">
        <v>407</v>
      </c>
      <c r="R135" s="31" t="s">
        <v>409</v>
      </c>
      <c r="S135" s="31" t="s">
        <v>56</v>
      </c>
      <c r="T135" s="35" t="s">
        <v>45</v>
      </c>
      <c r="U135" s="35" t="s">
        <v>34</v>
      </c>
      <c r="V135" s="35"/>
      <c r="W135" s="31" t="str">
        <f>HYPERLINK("https://www.stromypodkontrolou.cz/map/tree/d41bce85-5010-4276-b929-4760db78c679/90438515-b776-4daf-a0ef-4c2697610111")</f>
        <v>https://www.stromypodkontrolou.cz/map/tree/d41bce85-5010-4276-b929-4760db78c679/90438515-b776-4daf-a0ef-4c2697610111</v>
      </c>
      <c r="X135" s="31">
        <v>-733085.68644299998</v>
      </c>
      <c r="Y135" s="31">
        <v>-1021779.642465</v>
      </c>
      <c r="Z135" s="31" t="str">
        <f>HYPERLINK("https://www.mapy.cz?st=search&amp;fr=50.28846957 14.51581780")</f>
        <v>https://www.mapy.cz?st=search&amp;fr=50.28846957 14.51581780</v>
      </c>
      <c r="AA135" s="25" t="s">
        <v>602</v>
      </c>
      <c r="AB135" s="60"/>
    </row>
    <row r="136" spans="1:28" ht="35.1" customHeight="1" x14ac:dyDescent="0.25">
      <c r="A136" s="32" t="s">
        <v>412</v>
      </c>
      <c r="B136" s="33" t="s">
        <v>143</v>
      </c>
      <c r="C136" s="34" t="s">
        <v>144</v>
      </c>
      <c r="D136" s="35" t="s">
        <v>233</v>
      </c>
      <c r="E136" s="35"/>
      <c r="F136" s="35"/>
      <c r="G136" s="35"/>
      <c r="H136" s="35" t="s">
        <v>134</v>
      </c>
      <c r="I136" s="35" t="s">
        <v>89</v>
      </c>
      <c r="J136" s="35" t="s">
        <v>129</v>
      </c>
      <c r="K136" s="35" t="s">
        <v>32</v>
      </c>
      <c r="L136" s="35" t="s">
        <v>33</v>
      </c>
      <c r="M136" s="35" t="s">
        <v>34</v>
      </c>
      <c r="N136" s="35" t="s">
        <v>35</v>
      </c>
      <c r="O136" s="35" t="s">
        <v>54</v>
      </c>
      <c r="P136" s="31" t="s">
        <v>265</v>
      </c>
      <c r="Q136" s="31" t="s">
        <v>407</v>
      </c>
      <c r="R136" s="31" t="s">
        <v>409</v>
      </c>
      <c r="S136" s="31" t="s">
        <v>56</v>
      </c>
      <c r="T136" s="35" t="s">
        <v>45</v>
      </c>
      <c r="U136" s="35" t="s">
        <v>34</v>
      </c>
      <c r="V136" s="35"/>
      <c r="W136" s="31" t="str">
        <f>HYPERLINK("https://www.stromypodkontrolou.cz/map/tree/d41bce85-5010-4276-b929-4760db78c679/b5f12cb3-2b6a-43b9-a78e-9786443e5b77")</f>
        <v>https://www.stromypodkontrolou.cz/map/tree/d41bce85-5010-4276-b929-4760db78c679/b5f12cb3-2b6a-43b9-a78e-9786443e5b77</v>
      </c>
      <c r="X136" s="31">
        <v>-733077.71984799998</v>
      </c>
      <c r="Y136" s="31">
        <v>-1021788.063969</v>
      </c>
      <c r="Z136" s="31" t="str">
        <f>HYPERLINK("https://www.mapy.cz?st=search&amp;fr=50.28840422 14.51594453")</f>
        <v>https://www.mapy.cz?st=search&amp;fr=50.28840422 14.51594453</v>
      </c>
      <c r="AA136" s="25" t="s">
        <v>602</v>
      </c>
      <c r="AB136" s="60"/>
    </row>
    <row r="137" spans="1:28" ht="35.1" customHeight="1" x14ac:dyDescent="0.25">
      <c r="A137" s="32" t="s">
        <v>413</v>
      </c>
      <c r="B137" s="33" t="s">
        <v>143</v>
      </c>
      <c r="C137" s="34" t="s">
        <v>144</v>
      </c>
      <c r="D137" s="35" t="s">
        <v>63</v>
      </c>
      <c r="E137" s="35"/>
      <c r="F137" s="35"/>
      <c r="G137" s="35"/>
      <c r="H137" s="35" t="s">
        <v>134</v>
      </c>
      <c r="I137" s="35" t="s">
        <v>52</v>
      </c>
      <c r="J137" s="35" t="s">
        <v>129</v>
      </c>
      <c r="K137" s="35" t="s">
        <v>32</v>
      </c>
      <c r="L137" s="35" t="s">
        <v>33</v>
      </c>
      <c r="M137" s="35" t="s">
        <v>34</v>
      </c>
      <c r="N137" s="35" t="s">
        <v>35</v>
      </c>
      <c r="O137" s="35" t="s">
        <v>35</v>
      </c>
      <c r="P137" s="31" t="s">
        <v>67</v>
      </c>
      <c r="Q137" s="31" t="s">
        <v>407</v>
      </c>
      <c r="R137" s="31" t="s">
        <v>409</v>
      </c>
      <c r="S137" s="31" t="s">
        <v>56</v>
      </c>
      <c r="T137" s="35" t="s">
        <v>45</v>
      </c>
      <c r="U137" s="35" t="s">
        <v>34</v>
      </c>
      <c r="V137" s="35"/>
      <c r="W137" s="31" t="str">
        <f>HYPERLINK("https://www.stromypodkontrolou.cz/map/tree/d41bce85-5010-4276-b929-4760db78c679/d32c6350-5103-4207-8f67-6eb9490c84b7")</f>
        <v>https://www.stromypodkontrolou.cz/map/tree/d41bce85-5010-4276-b929-4760db78c679/d32c6350-5103-4207-8f67-6eb9490c84b7</v>
      </c>
      <c r="X137" s="31">
        <v>-733068.573982</v>
      </c>
      <c r="Y137" s="31">
        <v>-1021789.958639</v>
      </c>
      <c r="Z137" s="31" t="str">
        <f>HYPERLINK("https://www.mapy.cz?st=search&amp;fr=50.28839845 14.51607529")</f>
        <v>https://www.mapy.cz?st=search&amp;fr=50.28839845 14.51607529</v>
      </c>
      <c r="AA137" s="25" t="s">
        <v>602</v>
      </c>
      <c r="AB137" s="60"/>
    </row>
    <row r="138" spans="1:28" ht="35.1" customHeight="1" x14ac:dyDescent="0.25">
      <c r="A138" s="32" t="s">
        <v>414</v>
      </c>
      <c r="B138" s="33" t="s">
        <v>143</v>
      </c>
      <c r="C138" s="34" t="s">
        <v>144</v>
      </c>
      <c r="D138" s="35" t="s">
        <v>112</v>
      </c>
      <c r="E138" s="35"/>
      <c r="F138" s="35"/>
      <c r="G138" s="35"/>
      <c r="H138" s="35" t="s">
        <v>29</v>
      </c>
      <c r="I138" s="35" t="s">
        <v>89</v>
      </c>
      <c r="J138" s="35" t="s">
        <v>129</v>
      </c>
      <c r="K138" s="35" t="s">
        <v>32</v>
      </c>
      <c r="L138" s="35" t="s">
        <v>33</v>
      </c>
      <c r="M138" s="35" t="s">
        <v>34</v>
      </c>
      <c r="N138" s="35" t="s">
        <v>35</v>
      </c>
      <c r="O138" s="35" t="s">
        <v>35</v>
      </c>
      <c r="P138" s="31" t="s">
        <v>67</v>
      </c>
      <c r="Q138" s="31" t="s">
        <v>407</v>
      </c>
      <c r="R138" s="31" t="s">
        <v>409</v>
      </c>
      <c r="S138" s="31" t="s">
        <v>56</v>
      </c>
      <c r="T138" s="35" t="s">
        <v>45</v>
      </c>
      <c r="U138" s="35" t="s">
        <v>34</v>
      </c>
      <c r="V138" s="35"/>
      <c r="W138" s="31" t="str">
        <f>HYPERLINK("https://www.stromypodkontrolou.cz/map/tree/d41bce85-5010-4276-b929-4760db78c679/6ce1b2c1-c783-49aa-aed6-819b8758584d")</f>
        <v>https://www.stromypodkontrolou.cz/map/tree/d41bce85-5010-4276-b929-4760db78c679/6ce1b2c1-c783-49aa-aed6-819b8758584d</v>
      </c>
      <c r="X138" s="31">
        <v>-733069.324715</v>
      </c>
      <c r="Y138" s="31">
        <v>-1021795.8199</v>
      </c>
      <c r="Z138" s="31" t="str">
        <f>HYPERLINK("https://www.mapy.cz?st=search&amp;fr=50.28834532 14.51607596")</f>
        <v>https://www.mapy.cz?st=search&amp;fr=50.28834532 14.51607596</v>
      </c>
      <c r="AA138" s="25" t="s">
        <v>602</v>
      </c>
      <c r="AB138" s="60"/>
    </row>
    <row r="139" spans="1:28" ht="35.1" customHeight="1" x14ac:dyDescent="0.25">
      <c r="A139" s="32" t="s">
        <v>415</v>
      </c>
      <c r="B139" s="33" t="s">
        <v>143</v>
      </c>
      <c r="C139" s="34" t="s">
        <v>144</v>
      </c>
      <c r="D139" s="35" t="s">
        <v>95</v>
      </c>
      <c r="E139" s="35"/>
      <c r="F139" s="35"/>
      <c r="G139" s="35"/>
      <c r="H139" s="35" t="s">
        <v>146</v>
      </c>
      <c r="I139" s="35" t="s">
        <v>89</v>
      </c>
      <c r="J139" s="35" t="s">
        <v>129</v>
      </c>
      <c r="K139" s="35" t="s">
        <v>32</v>
      </c>
      <c r="L139" s="35" t="s">
        <v>33</v>
      </c>
      <c r="M139" s="35" t="s">
        <v>34</v>
      </c>
      <c r="N139" s="35" t="s">
        <v>35</v>
      </c>
      <c r="O139" s="35" t="s">
        <v>35</v>
      </c>
      <c r="P139" s="31" t="s">
        <v>67</v>
      </c>
      <c r="Q139" s="31" t="s">
        <v>407</v>
      </c>
      <c r="R139" s="31" t="s">
        <v>409</v>
      </c>
      <c r="S139" s="31" t="s">
        <v>56</v>
      </c>
      <c r="T139" s="35" t="s">
        <v>45</v>
      </c>
      <c r="U139" s="35" t="s">
        <v>34</v>
      </c>
      <c r="V139" s="35"/>
      <c r="W139" s="31" t="str">
        <f>HYPERLINK("https://www.stromypodkontrolou.cz/map/tree/d41bce85-5010-4276-b929-4760db78c679/f33a0b5d-c420-4d15-a6ac-5b6f72fbca1f")</f>
        <v>https://www.stromypodkontrolou.cz/map/tree/d41bce85-5010-4276-b929-4760db78c679/f33a0b5d-c420-4d15-a6ac-5b6f72fbca1f</v>
      </c>
      <c r="X139" s="31">
        <v>-733064.96106700005</v>
      </c>
      <c r="Y139" s="31">
        <v>-1021797.063978</v>
      </c>
      <c r="Z139" s="31" t="str">
        <f>HYPERLINK("https://www.mapy.cz?st=search&amp;fr=50.28833954 14.51613900")</f>
        <v>https://www.mapy.cz?st=search&amp;fr=50.28833954 14.51613900</v>
      </c>
      <c r="AA139" s="25" t="s">
        <v>602</v>
      </c>
      <c r="AB139" s="60"/>
    </row>
    <row r="140" spans="1:28" ht="35.1" customHeight="1" x14ac:dyDescent="0.25">
      <c r="A140" s="32" t="s">
        <v>416</v>
      </c>
      <c r="B140" s="33" t="s">
        <v>25</v>
      </c>
      <c r="C140" s="34" t="s">
        <v>26</v>
      </c>
      <c r="D140" s="35" t="s">
        <v>41</v>
      </c>
      <c r="E140" s="35" t="s">
        <v>59</v>
      </c>
      <c r="F140" s="35"/>
      <c r="G140" s="35"/>
      <c r="H140" s="35" t="s">
        <v>131</v>
      </c>
      <c r="I140" s="35" t="s">
        <v>73</v>
      </c>
      <c r="J140" s="35" t="s">
        <v>113</v>
      </c>
      <c r="K140" s="35" t="s">
        <v>32</v>
      </c>
      <c r="L140" s="35" t="s">
        <v>33</v>
      </c>
      <c r="M140" s="35" t="s">
        <v>34</v>
      </c>
      <c r="N140" s="35" t="s">
        <v>35</v>
      </c>
      <c r="O140" s="35" t="s">
        <v>35</v>
      </c>
      <c r="P140" s="31" t="s">
        <v>226</v>
      </c>
      <c r="Q140" s="31" t="s">
        <v>407</v>
      </c>
      <c r="R140" s="31" t="s">
        <v>409</v>
      </c>
      <c r="S140" s="31" t="s">
        <v>252</v>
      </c>
      <c r="T140" s="35" t="s">
        <v>45</v>
      </c>
      <c r="U140" s="35" t="s">
        <v>35</v>
      </c>
      <c r="V140" s="35"/>
      <c r="W140" s="31" t="str">
        <f>HYPERLINK("https://www.stromypodkontrolou.cz/map/tree/d41bce85-5010-4276-b929-4760db78c679/e9d1d024-5f14-48f7-a64f-b0e11f9ecc48")</f>
        <v>https://www.stromypodkontrolou.cz/map/tree/d41bce85-5010-4276-b929-4760db78c679/e9d1d024-5f14-48f7-a64f-b0e11f9ecc48</v>
      </c>
      <c r="X140" s="31">
        <v>-733029.25120900001</v>
      </c>
      <c r="Y140" s="31">
        <v>-1021824.848095</v>
      </c>
      <c r="Z140" s="31" t="str">
        <f>HYPERLINK("https://www.mapy.cz?st=search&amp;fr=50.28813539 14.51668818")</f>
        <v>https://www.mapy.cz?st=search&amp;fr=50.28813539 14.51668818</v>
      </c>
      <c r="AA140" s="20" t="s">
        <v>607</v>
      </c>
      <c r="AB140" s="59"/>
    </row>
    <row r="141" spans="1:28" ht="35.1" customHeight="1" x14ac:dyDescent="0.25">
      <c r="A141" s="32" t="s">
        <v>417</v>
      </c>
      <c r="B141" s="33" t="s">
        <v>68</v>
      </c>
      <c r="C141" s="34" t="s">
        <v>69</v>
      </c>
      <c r="D141" s="35" t="s">
        <v>169</v>
      </c>
      <c r="E141" s="35"/>
      <c r="F141" s="35"/>
      <c r="G141" s="35"/>
      <c r="H141" s="35" t="s">
        <v>135</v>
      </c>
      <c r="I141" s="35" t="s">
        <v>65</v>
      </c>
      <c r="J141" s="35" t="s">
        <v>115</v>
      </c>
      <c r="K141" s="35" t="s">
        <v>45</v>
      </c>
      <c r="L141" s="35" t="s">
        <v>74</v>
      </c>
      <c r="M141" s="35" t="s">
        <v>35</v>
      </c>
      <c r="N141" s="35" t="s">
        <v>32</v>
      </c>
      <c r="O141" s="35" t="s">
        <v>32</v>
      </c>
      <c r="P141" s="31" t="s">
        <v>418</v>
      </c>
      <c r="Q141" s="31" t="s">
        <v>407</v>
      </c>
      <c r="R141" s="31" t="s">
        <v>409</v>
      </c>
      <c r="S141" s="31" t="s">
        <v>85</v>
      </c>
      <c r="T141" s="35" t="s">
        <v>45</v>
      </c>
      <c r="U141" s="35" t="s">
        <v>34</v>
      </c>
      <c r="V141" s="35" t="s">
        <v>419</v>
      </c>
      <c r="W141" s="31" t="str">
        <f>HYPERLINK("https://www.stromypodkontrolou.cz/map/tree/d41bce85-5010-4276-b929-4760db78c679/e5d920e1-cb71-4a90-abfd-be571d115162")</f>
        <v>https://www.stromypodkontrolou.cz/map/tree/d41bce85-5010-4276-b929-4760db78c679/e5d920e1-cb71-4a90-abfd-be571d115162</v>
      </c>
      <c r="X141" s="31">
        <v>-732988.80610599997</v>
      </c>
      <c r="Y141" s="31">
        <v>-1021848.852782</v>
      </c>
      <c r="Z141" s="31" t="str">
        <f>HYPERLINK("https://www.mapy.cz?st=search&amp;fr=50.28797066 14.51729603")</f>
        <v>https://www.mapy.cz?st=search&amp;fr=50.28797066 14.51729603</v>
      </c>
      <c r="AA141" s="20" t="s">
        <v>601</v>
      </c>
      <c r="AB141" s="59"/>
    </row>
    <row r="142" spans="1:28" ht="35.1" customHeight="1" x14ac:dyDescent="0.25">
      <c r="A142" s="32" t="s">
        <v>420</v>
      </c>
      <c r="B142" s="33" t="s">
        <v>68</v>
      </c>
      <c r="C142" s="34" t="s">
        <v>69</v>
      </c>
      <c r="D142" s="35" t="s">
        <v>50</v>
      </c>
      <c r="E142" s="35"/>
      <c r="F142" s="35"/>
      <c r="G142" s="35"/>
      <c r="H142" s="35" t="s">
        <v>135</v>
      </c>
      <c r="I142" s="35" t="s">
        <v>65</v>
      </c>
      <c r="J142" s="35" t="s">
        <v>115</v>
      </c>
      <c r="K142" s="35" t="s">
        <v>45</v>
      </c>
      <c r="L142" s="35" t="s">
        <v>74</v>
      </c>
      <c r="M142" s="35" t="s">
        <v>35</v>
      </c>
      <c r="N142" s="35" t="s">
        <v>54</v>
      </c>
      <c r="O142" s="35" t="s">
        <v>54</v>
      </c>
      <c r="P142" s="31" t="s">
        <v>186</v>
      </c>
      <c r="Q142" s="31" t="s">
        <v>407</v>
      </c>
      <c r="R142" s="31" t="s">
        <v>409</v>
      </c>
      <c r="S142" s="31" t="s">
        <v>85</v>
      </c>
      <c r="T142" s="35" t="s">
        <v>45</v>
      </c>
      <c r="U142" s="35" t="s">
        <v>34</v>
      </c>
      <c r="V142" s="35" t="s">
        <v>274</v>
      </c>
      <c r="W142" s="31" t="str">
        <f>HYPERLINK("https://www.stromypodkontrolou.cz/map/tree/d41bce85-5010-4276-b929-4760db78c679/eb8d8d6f-4c6a-4251-8746-7c3bb7bf9441")</f>
        <v>https://www.stromypodkontrolou.cz/map/tree/d41bce85-5010-4276-b929-4760db78c679/eb8d8d6f-4c6a-4251-8746-7c3bb7bf9441</v>
      </c>
      <c r="X142" s="31">
        <v>-732943.60715099995</v>
      </c>
      <c r="Y142" s="31">
        <v>-1021872.302716</v>
      </c>
      <c r="Z142" s="31" t="str">
        <f>HYPERLINK("https://www.mapy.cz?st=search&amp;fr=50.28781664 14.51796893")</f>
        <v>https://www.mapy.cz?st=search&amp;fr=50.28781664 14.51796893</v>
      </c>
      <c r="AA142" s="20" t="s">
        <v>601</v>
      </c>
      <c r="AB142" s="59"/>
    </row>
    <row r="143" spans="1:28" ht="35.1" customHeight="1" x14ac:dyDescent="0.25">
      <c r="A143" s="32" t="s">
        <v>421</v>
      </c>
      <c r="B143" s="33" t="s">
        <v>68</v>
      </c>
      <c r="C143" s="34" t="s">
        <v>69</v>
      </c>
      <c r="D143" s="35" t="s">
        <v>50</v>
      </c>
      <c r="E143" s="35"/>
      <c r="F143" s="35"/>
      <c r="G143" s="35"/>
      <c r="H143" s="35" t="s">
        <v>135</v>
      </c>
      <c r="I143" s="35" t="s">
        <v>65</v>
      </c>
      <c r="J143" s="35" t="s">
        <v>115</v>
      </c>
      <c r="K143" s="35" t="s">
        <v>45</v>
      </c>
      <c r="L143" s="35" t="s">
        <v>74</v>
      </c>
      <c r="M143" s="35" t="s">
        <v>35</v>
      </c>
      <c r="N143" s="35" t="s">
        <v>35</v>
      </c>
      <c r="O143" s="35" t="s">
        <v>54</v>
      </c>
      <c r="P143" s="31"/>
      <c r="Q143" s="31" t="s">
        <v>407</v>
      </c>
      <c r="R143" s="31" t="s">
        <v>409</v>
      </c>
      <c r="S143" s="31" t="s">
        <v>85</v>
      </c>
      <c r="T143" s="35" t="s">
        <v>45</v>
      </c>
      <c r="U143" s="35" t="s">
        <v>34</v>
      </c>
      <c r="V143" s="35" t="s">
        <v>274</v>
      </c>
      <c r="W143" s="31" t="str">
        <f>HYPERLINK("https://www.stromypodkontrolou.cz/map/tree/d41bce85-5010-4276-b929-4760db78c679/b4573bc0-5600-4b47-89ba-ee7f050d31bb")</f>
        <v>https://www.stromypodkontrolou.cz/map/tree/d41bce85-5010-4276-b929-4760db78c679/b4573bc0-5600-4b47-89ba-ee7f050d31bb</v>
      </c>
      <c r="X143" s="31">
        <v>-732945.38798100001</v>
      </c>
      <c r="Y143" s="31">
        <v>-1021872.806758</v>
      </c>
      <c r="Z143" s="31" t="str">
        <f>HYPERLINK("https://www.mapy.cz?st=search&amp;fr=50.28780998 14.51794513")</f>
        <v>https://www.mapy.cz?st=search&amp;fr=50.28780998 14.51794513</v>
      </c>
      <c r="AA143" s="20" t="s">
        <v>601</v>
      </c>
      <c r="AB143" s="59"/>
    </row>
    <row r="144" spans="1:28" ht="35.1" customHeight="1" x14ac:dyDescent="0.25">
      <c r="A144" s="65" t="s">
        <v>422</v>
      </c>
      <c r="B144" s="66" t="s">
        <v>68</v>
      </c>
      <c r="C144" s="67" t="s">
        <v>69</v>
      </c>
      <c r="D144" s="68" t="s">
        <v>201</v>
      </c>
      <c r="E144" s="68"/>
      <c r="F144" s="68"/>
      <c r="G144" s="68"/>
      <c r="H144" s="68" t="s">
        <v>135</v>
      </c>
      <c r="I144" s="68" t="s">
        <v>65</v>
      </c>
      <c r="J144" s="68" t="s">
        <v>78</v>
      </c>
      <c r="K144" s="68" t="s">
        <v>45</v>
      </c>
      <c r="L144" s="68" t="s">
        <v>74</v>
      </c>
      <c r="M144" s="68" t="s">
        <v>35</v>
      </c>
      <c r="N144" s="68" t="s">
        <v>54</v>
      </c>
      <c r="O144" s="68" t="s">
        <v>54</v>
      </c>
      <c r="P144" s="64" t="s">
        <v>265</v>
      </c>
      <c r="Q144" s="64" t="s">
        <v>407</v>
      </c>
      <c r="R144" s="64" t="s">
        <v>409</v>
      </c>
      <c r="S144" s="31" t="s">
        <v>57</v>
      </c>
      <c r="T144" s="35" t="s">
        <v>45</v>
      </c>
      <c r="U144" s="35" t="s">
        <v>34</v>
      </c>
      <c r="V144" s="35" t="s">
        <v>257</v>
      </c>
      <c r="W144" s="64" t="str">
        <f>HYPERLINK("https://www.stromypodkontrolou.cz/map/tree/d41bce85-5010-4276-b929-4760db78c679/999c04d4-8808-43e6-be5f-c0c9e2c2c69d")</f>
        <v>https://www.stromypodkontrolou.cz/map/tree/d41bce85-5010-4276-b929-4760db78c679/999c04d4-8808-43e6-be5f-c0c9e2c2c69d</v>
      </c>
      <c r="X144" s="64">
        <v>-732969.55319000001</v>
      </c>
      <c r="Y144" s="64">
        <v>-1021868.766567</v>
      </c>
      <c r="Z144" s="64" t="str">
        <f>HYPERLINK("https://www.mapy.cz?st=search&amp;fr=50.28781664 14.51760147")</f>
        <v>https://www.mapy.cz?st=search&amp;fr=50.28781664 14.51760147</v>
      </c>
      <c r="AA144" s="20" t="s">
        <v>603</v>
      </c>
      <c r="AB144" s="59"/>
    </row>
    <row r="145" spans="1:28" ht="35.1" customHeight="1" x14ac:dyDescent="0.25">
      <c r="A145" s="65"/>
      <c r="B145" s="66"/>
      <c r="C145" s="67"/>
      <c r="D145" s="68"/>
      <c r="E145" s="68"/>
      <c r="F145" s="68"/>
      <c r="G145" s="68"/>
      <c r="H145" s="68"/>
      <c r="I145" s="68"/>
      <c r="J145" s="68"/>
      <c r="K145" s="68"/>
      <c r="L145" s="68"/>
      <c r="M145" s="68"/>
      <c r="N145" s="68"/>
      <c r="O145" s="68"/>
      <c r="P145" s="64"/>
      <c r="Q145" s="64"/>
      <c r="R145" s="64"/>
      <c r="S145" s="31" t="s">
        <v>56</v>
      </c>
      <c r="T145" s="35" t="s">
        <v>45</v>
      </c>
      <c r="U145" s="35" t="s">
        <v>34</v>
      </c>
      <c r="V145" s="35"/>
      <c r="W145" s="64"/>
      <c r="X145" s="64"/>
      <c r="Y145" s="64"/>
      <c r="Z145" s="64"/>
      <c r="AA145" s="25" t="s">
        <v>602</v>
      </c>
      <c r="AB145" s="60"/>
    </row>
    <row r="146" spans="1:28" ht="35.1" customHeight="1" x14ac:dyDescent="0.25">
      <c r="A146" s="65" t="s">
        <v>423</v>
      </c>
      <c r="B146" s="66" t="s">
        <v>68</v>
      </c>
      <c r="C146" s="67" t="s">
        <v>69</v>
      </c>
      <c r="D146" s="68" t="s">
        <v>208</v>
      </c>
      <c r="E146" s="68"/>
      <c r="F146" s="68"/>
      <c r="G146" s="68"/>
      <c r="H146" s="68" t="s">
        <v>135</v>
      </c>
      <c r="I146" s="68" t="s">
        <v>65</v>
      </c>
      <c r="J146" s="68" t="s">
        <v>115</v>
      </c>
      <c r="K146" s="68" t="s">
        <v>45</v>
      </c>
      <c r="L146" s="68" t="s">
        <v>74</v>
      </c>
      <c r="M146" s="68" t="s">
        <v>35</v>
      </c>
      <c r="N146" s="68" t="s">
        <v>35</v>
      </c>
      <c r="O146" s="68" t="s">
        <v>54</v>
      </c>
      <c r="P146" s="64" t="s">
        <v>186</v>
      </c>
      <c r="Q146" s="64" t="s">
        <v>407</v>
      </c>
      <c r="R146" s="64" t="s">
        <v>409</v>
      </c>
      <c r="S146" s="31" t="s">
        <v>56</v>
      </c>
      <c r="T146" s="35" t="s">
        <v>45</v>
      </c>
      <c r="U146" s="35" t="s">
        <v>34</v>
      </c>
      <c r="V146" s="35"/>
      <c r="W146" s="64" t="str">
        <f>HYPERLINK("https://www.stromypodkontrolou.cz/map/tree/d41bce85-5010-4276-b929-4760db78c679/fe4af242-0f0a-46cb-9a79-06349cf8acad")</f>
        <v>https://www.stromypodkontrolou.cz/map/tree/d41bce85-5010-4276-b929-4760db78c679/fe4af242-0f0a-46cb-9a79-06349cf8acad</v>
      </c>
      <c r="X146" s="64">
        <v>-732962.38125600002</v>
      </c>
      <c r="Y146" s="64">
        <v>-1021877.00622</v>
      </c>
      <c r="Z146" s="64" t="str">
        <f>HYPERLINK("https://www.mapy.cz?st=search&amp;fr=50.28775194 14.51771681")</f>
        <v>https://www.mapy.cz?st=search&amp;fr=50.28775194 14.51771681</v>
      </c>
      <c r="AA146" s="25" t="s">
        <v>602</v>
      </c>
      <c r="AB146" s="60"/>
    </row>
    <row r="147" spans="1:28" ht="35.1" customHeight="1" thickBot="1" x14ac:dyDescent="0.3">
      <c r="A147" s="74"/>
      <c r="B147" s="75"/>
      <c r="C147" s="76"/>
      <c r="D147" s="77"/>
      <c r="E147" s="77"/>
      <c r="F147" s="77"/>
      <c r="G147" s="77"/>
      <c r="H147" s="77"/>
      <c r="I147" s="77"/>
      <c r="J147" s="77"/>
      <c r="K147" s="77"/>
      <c r="L147" s="77"/>
      <c r="M147" s="77"/>
      <c r="N147" s="77"/>
      <c r="O147" s="77"/>
      <c r="P147" s="78"/>
      <c r="Q147" s="78"/>
      <c r="R147" s="78"/>
      <c r="S147" s="45" t="s">
        <v>85</v>
      </c>
      <c r="T147" s="44" t="s">
        <v>45</v>
      </c>
      <c r="U147" s="44" t="s">
        <v>34</v>
      </c>
      <c r="V147" s="44" t="s">
        <v>86</v>
      </c>
      <c r="W147" s="78"/>
      <c r="X147" s="78"/>
      <c r="Y147" s="78"/>
      <c r="Z147" s="78"/>
      <c r="AA147" s="21" t="s">
        <v>601</v>
      </c>
      <c r="AB147" s="61"/>
    </row>
    <row r="148" spans="1:28" ht="35.1" customHeight="1" x14ac:dyDescent="0.25">
      <c r="A148" s="38" t="s">
        <v>424</v>
      </c>
      <c r="B148" s="39" t="s">
        <v>48</v>
      </c>
      <c r="C148" s="40" t="s">
        <v>49</v>
      </c>
      <c r="D148" s="36" t="s">
        <v>240</v>
      </c>
      <c r="E148" s="36"/>
      <c r="F148" s="36"/>
      <c r="G148" s="36"/>
      <c r="H148" s="36" t="s">
        <v>88</v>
      </c>
      <c r="I148" s="36" t="s">
        <v>81</v>
      </c>
      <c r="J148" s="36" t="s">
        <v>71</v>
      </c>
      <c r="K148" s="36" t="s">
        <v>32</v>
      </c>
      <c r="L148" s="36" t="s">
        <v>33</v>
      </c>
      <c r="M148" s="36" t="s">
        <v>34</v>
      </c>
      <c r="N148" s="36" t="s">
        <v>34</v>
      </c>
      <c r="O148" s="36" t="s">
        <v>35</v>
      </c>
      <c r="P148" s="37" t="s">
        <v>425</v>
      </c>
      <c r="Q148" s="37" t="s">
        <v>426</v>
      </c>
      <c r="R148" s="37" t="s">
        <v>588</v>
      </c>
      <c r="S148" s="37" t="s">
        <v>252</v>
      </c>
      <c r="T148" s="36" t="s">
        <v>54</v>
      </c>
      <c r="U148" s="36" t="s">
        <v>35</v>
      </c>
      <c r="V148" s="36"/>
      <c r="W148" s="37" t="str">
        <f>HYPERLINK("https://www.stromypodkontrolou.cz/map/tree/d41bce85-5010-4276-b929-4760db78c679/7100465a-265d-4a3c-a9bc-546e31b337f0")</f>
        <v>https://www.stromypodkontrolou.cz/map/tree/d41bce85-5010-4276-b929-4760db78c679/7100465a-265d-4a3c-a9bc-546e31b337f0</v>
      </c>
      <c r="X148" s="37">
        <v>-732780.14644299995</v>
      </c>
      <c r="Y148" s="37">
        <v>-1022063.799125</v>
      </c>
      <c r="Z148" s="37" t="str">
        <f>HYPERLINK("https://www.mapy.cz?st=search&amp;fr=50.28630915 14.52060454")</f>
        <v>https://www.mapy.cz?st=search&amp;fr=50.28630915 14.52060454</v>
      </c>
      <c r="AA148" s="25" t="s">
        <v>607</v>
      </c>
      <c r="AB148" s="60"/>
    </row>
    <row r="149" spans="1:28" ht="35.1" customHeight="1" x14ac:dyDescent="0.25">
      <c r="A149" s="32" t="s">
        <v>428</v>
      </c>
      <c r="B149" s="33" t="s">
        <v>48</v>
      </c>
      <c r="C149" s="34" t="s">
        <v>49</v>
      </c>
      <c r="D149" s="35" t="s">
        <v>96</v>
      </c>
      <c r="E149" s="35"/>
      <c r="F149" s="35"/>
      <c r="G149" s="35"/>
      <c r="H149" s="35" t="s">
        <v>88</v>
      </c>
      <c r="I149" s="35" t="s">
        <v>43</v>
      </c>
      <c r="J149" s="35" t="s">
        <v>66</v>
      </c>
      <c r="K149" s="35" t="s">
        <v>32</v>
      </c>
      <c r="L149" s="35" t="s">
        <v>33</v>
      </c>
      <c r="M149" s="35" t="s">
        <v>34</v>
      </c>
      <c r="N149" s="35" t="s">
        <v>35</v>
      </c>
      <c r="O149" s="35" t="s">
        <v>35</v>
      </c>
      <c r="P149" s="31" t="s">
        <v>67</v>
      </c>
      <c r="Q149" s="31" t="s">
        <v>426</v>
      </c>
      <c r="R149" s="31" t="s">
        <v>427</v>
      </c>
      <c r="S149" s="31" t="s">
        <v>56</v>
      </c>
      <c r="T149" s="35" t="s">
        <v>45</v>
      </c>
      <c r="U149" s="35" t="s">
        <v>34</v>
      </c>
      <c r="V149" s="35"/>
      <c r="W149" s="31" t="str">
        <f>HYPERLINK("https://www.stromypodkontrolou.cz/map/tree/d41bce85-5010-4276-b929-4760db78c679/88998883-f11c-42db-a6fa-1822f377902e")</f>
        <v>https://www.stromypodkontrolou.cz/map/tree/d41bce85-5010-4276-b929-4760db78c679/88998883-f11c-42db-a6fa-1822f377902e</v>
      </c>
      <c r="X149" s="31">
        <v>-732682.867279</v>
      </c>
      <c r="Y149" s="31">
        <v>-1022209.267424</v>
      </c>
      <c r="Z149" s="31" t="str">
        <f>HYPERLINK("https://www.mapy.cz?st=search&amp;fr=50.28513132 14.52223264")</f>
        <v>https://www.mapy.cz?st=search&amp;fr=50.28513132 14.52223264</v>
      </c>
      <c r="AA149" s="25" t="s">
        <v>602</v>
      </c>
      <c r="AB149" s="60"/>
    </row>
    <row r="150" spans="1:28" ht="35.1" customHeight="1" x14ac:dyDescent="0.25">
      <c r="A150" s="32" t="s">
        <v>429</v>
      </c>
      <c r="B150" s="33" t="s">
        <v>48</v>
      </c>
      <c r="C150" s="34" t="s">
        <v>49</v>
      </c>
      <c r="D150" s="35" t="s">
        <v>108</v>
      </c>
      <c r="E150" s="35"/>
      <c r="F150" s="35"/>
      <c r="G150" s="35"/>
      <c r="H150" s="35" t="s">
        <v>146</v>
      </c>
      <c r="I150" s="35" t="s">
        <v>43</v>
      </c>
      <c r="J150" s="35" t="s">
        <v>66</v>
      </c>
      <c r="K150" s="35" t="s">
        <v>32</v>
      </c>
      <c r="L150" s="35" t="s">
        <v>33</v>
      </c>
      <c r="M150" s="35" t="s">
        <v>34</v>
      </c>
      <c r="N150" s="35" t="s">
        <v>35</v>
      </c>
      <c r="O150" s="35" t="s">
        <v>35</v>
      </c>
      <c r="P150" s="31" t="s">
        <v>67</v>
      </c>
      <c r="Q150" s="31" t="s">
        <v>426</v>
      </c>
      <c r="R150" s="31" t="s">
        <v>427</v>
      </c>
      <c r="S150" s="31" t="s">
        <v>56</v>
      </c>
      <c r="T150" s="35" t="s">
        <v>45</v>
      </c>
      <c r="U150" s="35" t="s">
        <v>34</v>
      </c>
      <c r="V150" s="35"/>
      <c r="W150" s="31" t="str">
        <f>HYPERLINK("https://www.stromypodkontrolou.cz/map/tree/d41bce85-5010-4276-b929-4760db78c679/0dc47534-38a2-4859-b720-47215b9fdc2f")</f>
        <v>https://www.stromypodkontrolou.cz/map/tree/d41bce85-5010-4276-b929-4760db78c679/0dc47534-38a2-4859-b720-47215b9fdc2f</v>
      </c>
      <c r="X150" s="31">
        <v>-732663.056048</v>
      </c>
      <c r="Y150" s="31">
        <v>-1022248.999134</v>
      </c>
      <c r="Z150" s="31" t="str">
        <f>HYPERLINK("https://www.mapy.cz?st=search&amp;fr=50.28480142 14.52258334")</f>
        <v>https://www.mapy.cz?st=search&amp;fr=50.28480142 14.52258334</v>
      </c>
      <c r="AA150" s="25" t="s">
        <v>602</v>
      </c>
      <c r="AB150" s="60"/>
    </row>
    <row r="151" spans="1:28" ht="35.1" customHeight="1" x14ac:dyDescent="0.25">
      <c r="A151" s="65" t="s">
        <v>430</v>
      </c>
      <c r="B151" s="66" t="s">
        <v>143</v>
      </c>
      <c r="C151" s="67" t="s">
        <v>144</v>
      </c>
      <c r="D151" s="68" t="s">
        <v>63</v>
      </c>
      <c r="E151" s="68"/>
      <c r="F151" s="68"/>
      <c r="G151" s="68"/>
      <c r="H151" s="68" t="s">
        <v>88</v>
      </c>
      <c r="I151" s="68" t="s">
        <v>43</v>
      </c>
      <c r="J151" s="68" t="s">
        <v>133</v>
      </c>
      <c r="K151" s="68" t="s">
        <v>32</v>
      </c>
      <c r="L151" s="68" t="s">
        <v>33</v>
      </c>
      <c r="M151" s="68" t="s">
        <v>34</v>
      </c>
      <c r="N151" s="68" t="s">
        <v>35</v>
      </c>
      <c r="O151" s="68" t="s">
        <v>35</v>
      </c>
      <c r="P151" s="64" t="s">
        <v>431</v>
      </c>
      <c r="Q151" s="64" t="s">
        <v>426</v>
      </c>
      <c r="R151" s="64" t="s">
        <v>427</v>
      </c>
      <c r="S151" s="31" t="s">
        <v>57</v>
      </c>
      <c r="T151" s="35" t="s">
        <v>54</v>
      </c>
      <c r="U151" s="35" t="s">
        <v>34</v>
      </c>
      <c r="V151" s="35" t="s">
        <v>257</v>
      </c>
      <c r="W151" s="64" t="str">
        <f>HYPERLINK("https://www.stromypodkontrolou.cz/map/tree/d41bce85-5010-4276-b929-4760db78c679/b5609e62-f07e-4bdb-ad7d-314b7a626265")</f>
        <v>https://www.stromypodkontrolou.cz/map/tree/d41bce85-5010-4276-b929-4760db78c679/b5609e62-f07e-4bdb-ad7d-314b7a626265</v>
      </c>
      <c r="X151" s="64">
        <v>-732637.77226100001</v>
      </c>
      <c r="Y151" s="64">
        <v>-1022296.355577</v>
      </c>
      <c r="Z151" s="64" t="str">
        <f>HYPERLINK("https://www.mapy.cz?st=search&amp;fr=50.28441023 14.52302456")</f>
        <v>https://www.mapy.cz?st=search&amp;fr=50.28441023 14.52302456</v>
      </c>
      <c r="AA151" s="20" t="s">
        <v>603</v>
      </c>
      <c r="AB151" s="59"/>
    </row>
    <row r="152" spans="1:28" ht="35.1" customHeight="1" x14ac:dyDescent="0.25">
      <c r="A152" s="65"/>
      <c r="B152" s="66"/>
      <c r="C152" s="67"/>
      <c r="D152" s="68"/>
      <c r="E152" s="68"/>
      <c r="F152" s="68"/>
      <c r="G152" s="68"/>
      <c r="H152" s="68"/>
      <c r="I152" s="68"/>
      <c r="J152" s="68"/>
      <c r="K152" s="68"/>
      <c r="L152" s="68"/>
      <c r="M152" s="68"/>
      <c r="N152" s="68"/>
      <c r="O152" s="68"/>
      <c r="P152" s="64"/>
      <c r="Q152" s="64"/>
      <c r="R152" s="64"/>
      <c r="S152" s="31" t="s">
        <v>56</v>
      </c>
      <c r="T152" s="35" t="s">
        <v>45</v>
      </c>
      <c r="U152" s="35" t="s">
        <v>34</v>
      </c>
      <c r="V152" s="35"/>
      <c r="W152" s="64"/>
      <c r="X152" s="64"/>
      <c r="Y152" s="64"/>
      <c r="Z152" s="64"/>
      <c r="AA152" s="25" t="s">
        <v>602</v>
      </c>
      <c r="AB152" s="60"/>
    </row>
    <row r="153" spans="1:28" ht="35.1" customHeight="1" x14ac:dyDescent="0.25">
      <c r="A153" s="32" t="s">
        <v>432</v>
      </c>
      <c r="B153" s="33" t="s">
        <v>48</v>
      </c>
      <c r="C153" s="34" t="s">
        <v>49</v>
      </c>
      <c r="D153" s="35" t="s">
        <v>28</v>
      </c>
      <c r="E153" s="35"/>
      <c r="F153" s="35"/>
      <c r="G153" s="35"/>
      <c r="H153" s="35" t="s">
        <v>42</v>
      </c>
      <c r="I153" s="35" t="s">
        <v>77</v>
      </c>
      <c r="J153" s="35" t="s">
        <v>71</v>
      </c>
      <c r="K153" s="35" t="s">
        <v>32</v>
      </c>
      <c r="L153" s="35" t="s">
        <v>33</v>
      </c>
      <c r="M153" s="35" t="s">
        <v>34</v>
      </c>
      <c r="N153" s="35" t="s">
        <v>35</v>
      </c>
      <c r="O153" s="35" t="s">
        <v>54</v>
      </c>
      <c r="P153" s="31" t="s">
        <v>433</v>
      </c>
      <c r="Q153" s="31" t="s">
        <v>426</v>
      </c>
      <c r="R153" s="31" t="s">
        <v>427</v>
      </c>
      <c r="S153" s="31" t="s">
        <v>56</v>
      </c>
      <c r="T153" s="35" t="s">
        <v>45</v>
      </c>
      <c r="U153" s="35" t="s">
        <v>34</v>
      </c>
      <c r="V153" s="35"/>
      <c r="W153" s="31" t="str">
        <f>HYPERLINK("https://www.stromypodkontrolou.cz/map/tree/d41bce85-5010-4276-b929-4760db78c679/54b8915c-8d5d-456f-b736-1597b2c1f74c")</f>
        <v>https://www.stromypodkontrolou.cz/map/tree/d41bce85-5010-4276-b929-4760db78c679/54b8915c-8d5d-456f-b736-1597b2c1f74c</v>
      </c>
      <c r="X153" s="31">
        <v>-732628.49263800005</v>
      </c>
      <c r="Y153" s="31">
        <v>-1022318.517736</v>
      </c>
      <c r="Z153" s="31" t="str">
        <f>HYPERLINK("https://www.mapy.cz?st=search&amp;fr=50.28422406 14.52319555")</f>
        <v>https://www.mapy.cz?st=search&amp;fr=50.28422406 14.52319555</v>
      </c>
      <c r="AA153" s="25" t="s">
        <v>602</v>
      </c>
      <c r="AB153" s="60"/>
    </row>
    <row r="154" spans="1:28" ht="35.1" customHeight="1" x14ac:dyDescent="0.25">
      <c r="A154" s="32" t="s">
        <v>434</v>
      </c>
      <c r="B154" s="33" t="s">
        <v>48</v>
      </c>
      <c r="C154" s="34" t="s">
        <v>49</v>
      </c>
      <c r="D154" s="35" t="s">
        <v>80</v>
      </c>
      <c r="E154" s="35"/>
      <c r="F154" s="35"/>
      <c r="G154" s="35"/>
      <c r="H154" s="35" t="s">
        <v>146</v>
      </c>
      <c r="I154" s="35" t="s">
        <v>43</v>
      </c>
      <c r="J154" s="35" t="s">
        <v>71</v>
      </c>
      <c r="K154" s="35" t="s">
        <v>32</v>
      </c>
      <c r="L154" s="35" t="s">
        <v>33</v>
      </c>
      <c r="M154" s="35" t="s">
        <v>34</v>
      </c>
      <c r="N154" s="35" t="s">
        <v>35</v>
      </c>
      <c r="O154" s="35" t="s">
        <v>35</v>
      </c>
      <c r="P154" s="31" t="s">
        <v>265</v>
      </c>
      <c r="Q154" s="31" t="s">
        <v>426</v>
      </c>
      <c r="R154" s="31" t="s">
        <v>427</v>
      </c>
      <c r="S154" s="31" t="s">
        <v>56</v>
      </c>
      <c r="T154" s="35" t="s">
        <v>45</v>
      </c>
      <c r="U154" s="35" t="s">
        <v>34</v>
      </c>
      <c r="V154" s="35"/>
      <c r="W154" s="31" t="str">
        <f>HYPERLINK("https://www.stromypodkontrolou.cz/map/tree/d41bce85-5010-4276-b929-4760db78c679/d29b2580-4705-45e4-adc2-3076283aa9fa")</f>
        <v>https://www.stromypodkontrolou.cz/map/tree/d41bce85-5010-4276-b929-4760db78c679/d29b2580-4705-45e4-adc2-3076283aa9fa</v>
      </c>
      <c r="X154" s="31">
        <v>-732626.12628199998</v>
      </c>
      <c r="Y154" s="31">
        <v>-1022326.992522</v>
      </c>
      <c r="Z154" s="31" t="str">
        <f>HYPERLINK("https://www.mapy.cz?st=search&amp;fr=50.28415143 14.52324450")</f>
        <v>https://www.mapy.cz?st=search&amp;fr=50.28415143 14.52324450</v>
      </c>
      <c r="AA154" s="25" t="s">
        <v>602</v>
      </c>
      <c r="AB154" s="60"/>
    </row>
    <row r="155" spans="1:28" ht="35.1" customHeight="1" x14ac:dyDescent="0.25">
      <c r="A155" s="32" t="s">
        <v>435</v>
      </c>
      <c r="B155" s="33" t="s">
        <v>48</v>
      </c>
      <c r="C155" s="34" t="s">
        <v>49</v>
      </c>
      <c r="D155" s="35" t="s">
        <v>41</v>
      </c>
      <c r="E155" s="35"/>
      <c r="F155" s="35"/>
      <c r="G155" s="35"/>
      <c r="H155" s="35" t="s">
        <v>146</v>
      </c>
      <c r="I155" s="35" t="s">
        <v>43</v>
      </c>
      <c r="J155" s="35" t="s">
        <v>71</v>
      </c>
      <c r="K155" s="35" t="s">
        <v>32</v>
      </c>
      <c r="L155" s="35" t="s">
        <v>33</v>
      </c>
      <c r="M155" s="35" t="s">
        <v>34</v>
      </c>
      <c r="N155" s="35" t="s">
        <v>35</v>
      </c>
      <c r="O155" s="35" t="s">
        <v>35</v>
      </c>
      <c r="P155" s="31" t="s">
        <v>67</v>
      </c>
      <c r="Q155" s="31" t="s">
        <v>426</v>
      </c>
      <c r="R155" s="31" t="s">
        <v>427</v>
      </c>
      <c r="S155" s="31" t="s">
        <v>56</v>
      </c>
      <c r="T155" s="35" t="s">
        <v>45</v>
      </c>
      <c r="U155" s="35" t="s">
        <v>34</v>
      </c>
      <c r="V155" s="35"/>
      <c r="W155" s="31" t="str">
        <f>HYPERLINK("https://www.stromypodkontrolou.cz/map/tree/d41bce85-5010-4276-b929-4760db78c679/80fffd45-a053-4e5f-b27e-f04042d9b1fa")</f>
        <v>https://www.stromypodkontrolou.cz/map/tree/d41bce85-5010-4276-b929-4760db78c679/80fffd45-a053-4e5f-b27e-f04042d9b1fa</v>
      </c>
      <c r="X155" s="31">
        <v>-732615.68945299997</v>
      </c>
      <c r="Y155" s="31">
        <v>-1022343.492617</v>
      </c>
      <c r="Z155" s="31" t="str">
        <f>HYPERLINK("https://www.mapy.cz?st=search&amp;fr=50.28401711 14.52342086")</f>
        <v>https://www.mapy.cz?st=search&amp;fr=50.28401711 14.52342086</v>
      </c>
      <c r="AA155" s="25" t="s">
        <v>602</v>
      </c>
      <c r="AB155" s="60"/>
    </row>
    <row r="156" spans="1:28" ht="35.1" customHeight="1" thickBot="1" x14ac:dyDescent="0.3">
      <c r="A156" s="41" t="s">
        <v>436</v>
      </c>
      <c r="B156" s="42" t="s">
        <v>48</v>
      </c>
      <c r="C156" s="43" t="s">
        <v>49</v>
      </c>
      <c r="D156" s="44" t="s">
        <v>222</v>
      </c>
      <c r="E156" s="44"/>
      <c r="F156" s="44"/>
      <c r="G156" s="44"/>
      <c r="H156" s="44" t="s">
        <v>146</v>
      </c>
      <c r="I156" s="44" t="s">
        <v>43</v>
      </c>
      <c r="J156" s="44" t="s">
        <v>71</v>
      </c>
      <c r="K156" s="44" t="s">
        <v>32</v>
      </c>
      <c r="L156" s="44" t="s">
        <v>33</v>
      </c>
      <c r="M156" s="44" t="s">
        <v>34</v>
      </c>
      <c r="N156" s="44" t="s">
        <v>35</v>
      </c>
      <c r="O156" s="44" t="s">
        <v>35</v>
      </c>
      <c r="P156" s="45" t="s">
        <v>67</v>
      </c>
      <c r="Q156" s="45" t="s">
        <v>426</v>
      </c>
      <c r="R156" s="45" t="s">
        <v>427</v>
      </c>
      <c r="S156" s="45" t="s">
        <v>56</v>
      </c>
      <c r="T156" s="44" t="s">
        <v>45</v>
      </c>
      <c r="U156" s="44" t="s">
        <v>34</v>
      </c>
      <c r="V156" s="44"/>
      <c r="W156" s="45" t="str">
        <f>HYPERLINK("https://www.stromypodkontrolou.cz/map/tree/d41bce85-5010-4276-b929-4760db78c679/eb088fb6-7cd7-4dac-84ac-80d28c086b0c")</f>
        <v>https://www.stromypodkontrolou.cz/map/tree/d41bce85-5010-4276-b929-4760db78c679/eb088fb6-7cd7-4dac-84ac-80d28c086b0c</v>
      </c>
      <c r="X156" s="45">
        <v>-732609.97632300004</v>
      </c>
      <c r="Y156" s="45">
        <v>-1022352.182808</v>
      </c>
      <c r="Z156" s="45" t="str">
        <f>HYPERLINK("https://www.mapy.cz?st=search&amp;fr=50.28394662 14.52351675")</f>
        <v>https://www.mapy.cz?st=search&amp;fr=50.28394662 14.52351675</v>
      </c>
      <c r="AA156" s="25" t="s">
        <v>602</v>
      </c>
      <c r="AB156" s="60"/>
    </row>
    <row r="157" spans="1:28" ht="35.1" customHeight="1" x14ac:dyDescent="0.25">
      <c r="A157" s="38" t="s">
        <v>439</v>
      </c>
      <c r="B157" s="39" t="s">
        <v>48</v>
      </c>
      <c r="C157" s="40" t="s">
        <v>49</v>
      </c>
      <c r="D157" s="36" t="s">
        <v>153</v>
      </c>
      <c r="E157" s="36"/>
      <c r="F157" s="36"/>
      <c r="G157" s="36"/>
      <c r="H157" s="36" t="s">
        <v>42</v>
      </c>
      <c r="I157" s="36" t="s">
        <v>89</v>
      </c>
      <c r="J157" s="36" t="s">
        <v>120</v>
      </c>
      <c r="K157" s="36" t="s">
        <v>54</v>
      </c>
      <c r="L157" s="36" t="s">
        <v>33</v>
      </c>
      <c r="M157" s="36" t="s">
        <v>34</v>
      </c>
      <c r="N157" s="36" t="s">
        <v>35</v>
      </c>
      <c r="O157" s="36" t="s">
        <v>35</v>
      </c>
      <c r="P157" s="37" t="s">
        <v>440</v>
      </c>
      <c r="Q157" s="37" t="s">
        <v>437</v>
      </c>
      <c r="R157" s="37" t="s">
        <v>438</v>
      </c>
      <c r="S157" s="37" t="s">
        <v>56</v>
      </c>
      <c r="T157" s="36"/>
      <c r="U157" s="36" t="s">
        <v>34</v>
      </c>
      <c r="V157" s="36" t="s">
        <v>441</v>
      </c>
      <c r="W157" s="37" t="str">
        <f>HYPERLINK("https://www.stromypodkontrolou.cz/map/tree/d41bce85-5010-4276-b929-4760db78c679/8fe298ce-89da-4f4a-b7be-c03f8a6ae44e")</f>
        <v>https://www.stromypodkontrolou.cz/map/tree/d41bce85-5010-4276-b929-4760db78c679/8fe298ce-89da-4f4a-b7be-c03f8a6ae44e</v>
      </c>
      <c r="X157" s="37">
        <v>-745785.93944099999</v>
      </c>
      <c r="Y157" s="37">
        <v>-1001183.30587</v>
      </c>
      <c r="Z157" s="37" t="str">
        <f>HYPERLINK("https://www.mapy.cz?st=search&amp;fr=50.45632320 14.29943193")</f>
        <v>https://www.mapy.cz?st=search&amp;fr=50.45632320 14.29943193</v>
      </c>
      <c r="AA157" s="25" t="s">
        <v>602</v>
      </c>
      <c r="AB157" s="60"/>
    </row>
    <row r="158" spans="1:28" ht="35.1" customHeight="1" x14ac:dyDescent="0.25">
      <c r="A158" s="32" t="s">
        <v>442</v>
      </c>
      <c r="B158" s="33" t="s">
        <v>48</v>
      </c>
      <c r="C158" s="34" t="s">
        <v>49</v>
      </c>
      <c r="D158" s="35" t="s">
        <v>108</v>
      </c>
      <c r="E158" s="35"/>
      <c r="F158" s="35"/>
      <c r="G158" s="35"/>
      <c r="H158" s="35" t="s">
        <v>109</v>
      </c>
      <c r="I158" s="35" t="s">
        <v>81</v>
      </c>
      <c r="J158" s="35" t="s">
        <v>78</v>
      </c>
      <c r="K158" s="35" t="s">
        <v>32</v>
      </c>
      <c r="L158" s="35" t="s">
        <v>33</v>
      </c>
      <c r="M158" s="35" t="s">
        <v>34</v>
      </c>
      <c r="N158" s="35" t="s">
        <v>35</v>
      </c>
      <c r="O158" s="35" t="s">
        <v>35</v>
      </c>
      <c r="P158" s="31" t="s">
        <v>284</v>
      </c>
      <c r="Q158" s="31" t="s">
        <v>437</v>
      </c>
      <c r="R158" s="31" t="s">
        <v>438</v>
      </c>
      <c r="S158" s="31" t="s">
        <v>56</v>
      </c>
      <c r="T158" s="35"/>
      <c r="U158" s="35" t="s">
        <v>34</v>
      </c>
      <c r="V158" s="35" t="s">
        <v>441</v>
      </c>
      <c r="W158" s="31" t="str">
        <f>HYPERLINK("https://www.stromypodkontrolou.cz/map/tree/d41bce85-5010-4276-b929-4760db78c679/ff010e92-1a05-4ea8-8a22-1d795f1ac222")</f>
        <v>https://www.stromypodkontrolou.cz/map/tree/d41bce85-5010-4276-b929-4760db78c679/ff010e92-1a05-4ea8-8a22-1d795f1ac222</v>
      </c>
      <c r="X158" s="31">
        <v>-745792.32775599998</v>
      </c>
      <c r="Y158" s="31">
        <v>-1001184.64569</v>
      </c>
      <c r="Z158" s="31" t="str">
        <f>HYPERLINK("https://www.mapy.cz?st=search&amp;fr=50.45630335 14.29934543")</f>
        <v>https://www.mapy.cz?st=search&amp;fr=50.45630335 14.29934543</v>
      </c>
      <c r="AA158" s="25" t="s">
        <v>602</v>
      </c>
      <c r="AB158" s="60"/>
    </row>
    <row r="159" spans="1:28" ht="35.1" customHeight="1" x14ac:dyDescent="0.25">
      <c r="A159" s="65" t="s">
        <v>443</v>
      </c>
      <c r="B159" s="66" t="s">
        <v>48</v>
      </c>
      <c r="C159" s="67" t="s">
        <v>49</v>
      </c>
      <c r="D159" s="68" t="s">
        <v>94</v>
      </c>
      <c r="E159" s="68"/>
      <c r="F159" s="68"/>
      <c r="G159" s="68"/>
      <c r="H159" s="68" t="s">
        <v>42</v>
      </c>
      <c r="I159" s="68" t="s">
        <v>89</v>
      </c>
      <c r="J159" s="68" t="s">
        <v>71</v>
      </c>
      <c r="K159" s="68" t="s">
        <v>32</v>
      </c>
      <c r="L159" s="68" t="s">
        <v>33</v>
      </c>
      <c r="M159" s="68" t="s">
        <v>34</v>
      </c>
      <c r="N159" s="68" t="s">
        <v>35</v>
      </c>
      <c r="O159" s="68" t="s">
        <v>35</v>
      </c>
      <c r="P159" s="64" t="s">
        <v>444</v>
      </c>
      <c r="Q159" s="64" t="s">
        <v>437</v>
      </c>
      <c r="R159" s="64" t="s">
        <v>445</v>
      </c>
      <c r="S159" s="31" t="s">
        <v>57</v>
      </c>
      <c r="T159" s="35" t="s">
        <v>45</v>
      </c>
      <c r="U159" s="35" t="s">
        <v>35</v>
      </c>
      <c r="V159" s="35" t="s">
        <v>200</v>
      </c>
      <c r="W159" s="64" t="str">
        <f>HYPERLINK("https://www.stromypodkontrolou.cz/map/tree/d41bce85-5010-4276-b929-4760db78c679/f58cb006-c445-44c6-adc3-f6cbbd1efafb")</f>
        <v>https://www.stromypodkontrolou.cz/map/tree/d41bce85-5010-4276-b929-4760db78c679/f58cb006-c445-44c6-adc3-f6cbbd1efafb</v>
      </c>
      <c r="X159" s="64">
        <v>-745945.51788900001</v>
      </c>
      <c r="Y159" s="64">
        <v>-1001238.297019</v>
      </c>
      <c r="Z159" s="64" t="str">
        <f>HYPERLINK("https://www.mapy.cz?st=search&amp;fr=50.45563565 14.29731298")</f>
        <v>https://www.mapy.cz?st=search&amp;fr=50.45563565 14.29731298</v>
      </c>
      <c r="AA159" s="20" t="s">
        <v>603</v>
      </c>
      <c r="AB159" s="59"/>
    </row>
    <row r="160" spans="1:28" ht="35.1" customHeight="1" x14ac:dyDescent="0.25">
      <c r="A160" s="65"/>
      <c r="B160" s="66"/>
      <c r="C160" s="67"/>
      <c r="D160" s="68"/>
      <c r="E160" s="68"/>
      <c r="F160" s="68"/>
      <c r="G160" s="68"/>
      <c r="H160" s="68"/>
      <c r="I160" s="68"/>
      <c r="J160" s="68"/>
      <c r="K160" s="68"/>
      <c r="L160" s="68"/>
      <c r="M160" s="68"/>
      <c r="N160" s="68"/>
      <c r="O160" s="68"/>
      <c r="P160" s="64"/>
      <c r="Q160" s="64"/>
      <c r="R160" s="64"/>
      <c r="S160" s="31" t="s">
        <v>56</v>
      </c>
      <c r="T160" s="35" t="s">
        <v>45</v>
      </c>
      <c r="U160" s="35" t="s">
        <v>35</v>
      </c>
      <c r="V160" s="35"/>
      <c r="W160" s="64"/>
      <c r="X160" s="64"/>
      <c r="Y160" s="64"/>
      <c r="Z160" s="64"/>
      <c r="AA160" s="25" t="s">
        <v>602</v>
      </c>
      <c r="AB160" s="60"/>
    </row>
    <row r="161" spans="1:28" ht="35.1" customHeight="1" x14ac:dyDescent="0.25">
      <c r="A161" s="32" t="s">
        <v>446</v>
      </c>
      <c r="B161" s="33" t="s">
        <v>48</v>
      </c>
      <c r="C161" s="34" t="s">
        <v>49</v>
      </c>
      <c r="D161" s="35" t="s">
        <v>192</v>
      </c>
      <c r="E161" s="35"/>
      <c r="F161" s="35"/>
      <c r="G161" s="35"/>
      <c r="H161" s="35" t="s">
        <v>167</v>
      </c>
      <c r="I161" s="35" t="s">
        <v>79</v>
      </c>
      <c r="J161" s="35" t="s">
        <v>133</v>
      </c>
      <c r="K161" s="35" t="s">
        <v>32</v>
      </c>
      <c r="L161" s="35" t="s">
        <v>33</v>
      </c>
      <c r="M161" s="35" t="s">
        <v>34</v>
      </c>
      <c r="N161" s="35" t="s">
        <v>35</v>
      </c>
      <c r="O161" s="35" t="s">
        <v>54</v>
      </c>
      <c r="P161" s="31" t="s">
        <v>231</v>
      </c>
      <c r="Q161" s="31" t="s">
        <v>437</v>
      </c>
      <c r="R161" s="31" t="s">
        <v>438</v>
      </c>
      <c r="S161" s="31" t="s">
        <v>56</v>
      </c>
      <c r="T161" s="35"/>
      <c r="U161" s="35" t="s">
        <v>34</v>
      </c>
      <c r="V161" s="35" t="s">
        <v>441</v>
      </c>
      <c r="W161" s="31" t="str">
        <f>HYPERLINK("https://www.stromypodkontrolou.cz/map/tree/d41bce85-5010-4276-b929-4760db78c679/4bc4d586-e309-4672-82c4-71de1cfb562d")</f>
        <v>https://www.stromypodkontrolou.cz/map/tree/d41bce85-5010-4276-b929-4760db78c679/4bc4d586-e309-4672-82c4-71de1cfb562d</v>
      </c>
      <c r="X161" s="31">
        <v>-745915.70841600001</v>
      </c>
      <c r="Y161" s="31">
        <v>-1001225.164603</v>
      </c>
      <c r="Z161" s="31" t="str">
        <f>HYPERLINK("https://www.mapy.cz?st=search&amp;fr=50.45578955 14.29770325")</f>
        <v>https://www.mapy.cz?st=search&amp;fr=50.45578955 14.29770325</v>
      </c>
      <c r="AA161" s="25" t="s">
        <v>602</v>
      </c>
      <c r="AB161" s="60"/>
    </row>
    <row r="162" spans="1:28" ht="35.1" customHeight="1" x14ac:dyDescent="0.25">
      <c r="A162" s="32" t="s">
        <v>448</v>
      </c>
      <c r="B162" s="33" t="s">
        <v>68</v>
      </c>
      <c r="C162" s="34" t="s">
        <v>69</v>
      </c>
      <c r="D162" s="35" t="s">
        <v>100</v>
      </c>
      <c r="E162" s="35"/>
      <c r="F162" s="35"/>
      <c r="G162" s="35"/>
      <c r="H162" s="35" t="s">
        <v>64</v>
      </c>
      <c r="I162" s="35" t="s">
        <v>89</v>
      </c>
      <c r="J162" s="35" t="s">
        <v>31</v>
      </c>
      <c r="K162" s="35" t="s">
        <v>32</v>
      </c>
      <c r="L162" s="35" t="s">
        <v>33</v>
      </c>
      <c r="M162" s="35" t="s">
        <v>35</v>
      </c>
      <c r="N162" s="35" t="s">
        <v>35</v>
      </c>
      <c r="O162" s="35" t="s">
        <v>54</v>
      </c>
      <c r="P162" s="31" t="s">
        <v>186</v>
      </c>
      <c r="Q162" s="31" t="s">
        <v>437</v>
      </c>
      <c r="R162" s="31" t="s">
        <v>447</v>
      </c>
      <c r="S162" s="31" t="s">
        <v>56</v>
      </c>
      <c r="T162" s="35" t="s">
        <v>45</v>
      </c>
      <c r="U162" s="35" t="s">
        <v>34</v>
      </c>
      <c r="V162" s="35"/>
      <c r="W162" s="31" t="str">
        <f>HYPERLINK("https://www.stromypodkontrolou.cz/map/tree/d41bce85-5010-4276-b929-4760db78c679/c7c17642-b138-4e23-995e-a537d5789097")</f>
        <v>https://www.stromypodkontrolou.cz/map/tree/d41bce85-5010-4276-b929-4760db78c679/c7c17642-b138-4e23-995e-a537d5789097</v>
      </c>
      <c r="X162" s="31">
        <v>-743426.44222900004</v>
      </c>
      <c r="Y162" s="31">
        <v>-999754.460677</v>
      </c>
      <c r="Z162" s="31" t="str">
        <f>HYPERLINK("https://www.mapy.cz?st=search&amp;fr=50.47196801 14.32957661")</f>
        <v>https://www.mapy.cz?st=search&amp;fr=50.47196801 14.32957661</v>
      </c>
      <c r="AA162" s="25" t="s">
        <v>602</v>
      </c>
      <c r="AB162" s="60"/>
    </row>
    <row r="163" spans="1:28" ht="35.1" customHeight="1" x14ac:dyDescent="0.25">
      <c r="A163" s="32" t="s">
        <v>449</v>
      </c>
      <c r="B163" s="33" t="s">
        <v>149</v>
      </c>
      <c r="C163" s="34" t="s">
        <v>150</v>
      </c>
      <c r="D163" s="35" t="s">
        <v>233</v>
      </c>
      <c r="E163" s="35"/>
      <c r="F163" s="35"/>
      <c r="G163" s="35"/>
      <c r="H163" s="35" t="s">
        <v>60</v>
      </c>
      <c r="I163" s="35" t="s">
        <v>30</v>
      </c>
      <c r="J163" s="35" t="s">
        <v>31</v>
      </c>
      <c r="K163" s="35" t="s">
        <v>32</v>
      </c>
      <c r="L163" s="35" t="s">
        <v>74</v>
      </c>
      <c r="M163" s="35" t="s">
        <v>35</v>
      </c>
      <c r="N163" s="35" t="s">
        <v>54</v>
      </c>
      <c r="O163" s="35" t="s">
        <v>54</v>
      </c>
      <c r="P163" s="31" t="s">
        <v>450</v>
      </c>
      <c r="Q163" s="31" t="s">
        <v>437</v>
      </c>
      <c r="R163" s="31" t="s">
        <v>447</v>
      </c>
      <c r="S163" s="31" t="s">
        <v>85</v>
      </c>
      <c r="T163" s="35" t="s">
        <v>45</v>
      </c>
      <c r="U163" s="35" t="s">
        <v>34</v>
      </c>
      <c r="V163" s="35" t="s">
        <v>451</v>
      </c>
      <c r="W163" s="31" t="str">
        <f>HYPERLINK("https://www.stromypodkontrolou.cz/map/tree/d41bce85-5010-4276-b929-4760db78c679/cc88a60f-545d-4a26-8ead-70bc98e2f10f")</f>
        <v>https://www.stromypodkontrolou.cz/map/tree/d41bce85-5010-4276-b929-4760db78c679/cc88a60f-545d-4a26-8ead-70bc98e2f10f</v>
      </c>
      <c r="X163" s="31">
        <v>-743579.86574299994</v>
      </c>
      <c r="Y163" s="31">
        <v>-999828.00409399997</v>
      </c>
      <c r="Z163" s="31" t="str">
        <f>HYPERLINK("https://www.mapy.cz?st=search&amp;fr=50.47112342 14.32757836")</f>
        <v>https://www.mapy.cz?st=search&amp;fr=50.47112342 14.32757836</v>
      </c>
      <c r="AA163" s="20" t="s">
        <v>601</v>
      </c>
      <c r="AB163" s="59"/>
    </row>
    <row r="164" spans="1:28" ht="35.1" customHeight="1" x14ac:dyDescent="0.25">
      <c r="A164" s="65" t="s">
        <v>452</v>
      </c>
      <c r="B164" s="66" t="s">
        <v>68</v>
      </c>
      <c r="C164" s="67" t="s">
        <v>69</v>
      </c>
      <c r="D164" s="68" t="s">
        <v>192</v>
      </c>
      <c r="E164" s="68"/>
      <c r="F164" s="68"/>
      <c r="G164" s="68"/>
      <c r="H164" s="68" t="s">
        <v>166</v>
      </c>
      <c r="I164" s="68" t="s">
        <v>73</v>
      </c>
      <c r="J164" s="68" t="s">
        <v>66</v>
      </c>
      <c r="K164" s="68" t="s">
        <v>32</v>
      </c>
      <c r="L164" s="68" t="s">
        <v>74</v>
      </c>
      <c r="M164" s="68" t="s">
        <v>54</v>
      </c>
      <c r="N164" s="68" t="s">
        <v>54</v>
      </c>
      <c r="O164" s="68" t="s">
        <v>32</v>
      </c>
      <c r="P164" s="64" t="s">
        <v>453</v>
      </c>
      <c r="Q164" s="64" t="s">
        <v>437</v>
      </c>
      <c r="R164" s="64" t="s">
        <v>447</v>
      </c>
      <c r="S164" s="31" t="s">
        <v>57</v>
      </c>
      <c r="T164" s="35" t="s">
        <v>45</v>
      </c>
      <c r="U164" s="35" t="s">
        <v>35</v>
      </c>
      <c r="V164" s="35" t="s">
        <v>257</v>
      </c>
      <c r="W164" s="64" t="str">
        <f>HYPERLINK("https://www.stromypodkontrolou.cz/map/tree/d41bce85-5010-4276-b929-4760db78c679/98eac967-9ddf-41b2-b4d6-fbc851b19c2e")</f>
        <v>https://www.stromypodkontrolou.cz/map/tree/d41bce85-5010-4276-b929-4760db78c679/98eac967-9ddf-41b2-b4d6-fbc851b19c2e</v>
      </c>
      <c r="X164" s="64">
        <v>-743885.49270199996</v>
      </c>
      <c r="Y164" s="64">
        <v>-1000089.878015</v>
      </c>
      <c r="Z164" s="64" t="str">
        <f>HYPERLINK("https://www.mapy.cz?st=search&amp;fr=50.46841347 14.32382159")</f>
        <v>https://www.mapy.cz?st=search&amp;fr=50.46841347 14.32382159</v>
      </c>
      <c r="AA164" s="20" t="s">
        <v>603</v>
      </c>
      <c r="AB164" s="59"/>
    </row>
    <row r="165" spans="1:28" ht="35.1" customHeight="1" x14ac:dyDescent="0.25">
      <c r="A165" s="65"/>
      <c r="B165" s="66"/>
      <c r="C165" s="67"/>
      <c r="D165" s="68"/>
      <c r="E165" s="68"/>
      <c r="F165" s="68"/>
      <c r="G165" s="68"/>
      <c r="H165" s="68"/>
      <c r="I165" s="68"/>
      <c r="J165" s="68"/>
      <c r="K165" s="68"/>
      <c r="L165" s="68"/>
      <c r="M165" s="68"/>
      <c r="N165" s="68"/>
      <c r="O165" s="68"/>
      <c r="P165" s="64"/>
      <c r="Q165" s="64"/>
      <c r="R165" s="64"/>
      <c r="S165" s="31" t="s">
        <v>56</v>
      </c>
      <c r="T165" s="35" t="s">
        <v>45</v>
      </c>
      <c r="U165" s="35" t="s">
        <v>35</v>
      </c>
      <c r="V165" s="35"/>
      <c r="W165" s="64"/>
      <c r="X165" s="64"/>
      <c r="Y165" s="64"/>
      <c r="Z165" s="64"/>
      <c r="AA165" s="25" t="s">
        <v>602</v>
      </c>
      <c r="AB165" s="60"/>
    </row>
    <row r="166" spans="1:28" ht="35.1" customHeight="1" x14ac:dyDescent="0.25">
      <c r="A166" s="65" t="s">
        <v>454</v>
      </c>
      <c r="B166" s="66" t="s">
        <v>68</v>
      </c>
      <c r="C166" s="67" t="s">
        <v>69</v>
      </c>
      <c r="D166" s="68" t="s">
        <v>119</v>
      </c>
      <c r="E166" s="68"/>
      <c r="F166" s="68"/>
      <c r="G166" s="68"/>
      <c r="H166" s="68" t="s">
        <v>167</v>
      </c>
      <c r="I166" s="68" t="s">
        <v>43</v>
      </c>
      <c r="J166" s="68" t="s">
        <v>137</v>
      </c>
      <c r="K166" s="68" t="s">
        <v>32</v>
      </c>
      <c r="L166" s="68" t="s">
        <v>33</v>
      </c>
      <c r="M166" s="68" t="s">
        <v>34</v>
      </c>
      <c r="N166" s="68" t="s">
        <v>35</v>
      </c>
      <c r="O166" s="68" t="s">
        <v>54</v>
      </c>
      <c r="P166" s="64"/>
      <c r="Q166" s="64" t="s">
        <v>437</v>
      </c>
      <c r="R166" s="64" t="s">
        <v>447</v>
      </c>
      <c r="S166" s="31" t="s">
        <v>56</v>
      </c>
      <c r="T166" s="35" t="s">
        <v>45</v>
      </c>
      <c r="U166" s="35" t="s">
        <v>35</v>
      </c>
      <c r="V166" s="35"/>
      <c r="W166" s="64" t="str">
        <f>HYPERLINK("https://www.stromypodkontrolou.cz/map/tree/d41bce85-5010-4276-b929-4760db78c679/a4cf3226-86ff-4165-a73d-64dd2b6560bc")</f>
        <v>https://www.stromypodkontrolou.cz/map/tree/d41bce85-5010-4276-b929-4760db78c679/a4cf3226-86ff-4165-a73d-64dd2b6560bc</v>
      </c>
      <c r="X166" s="64">
        <v>-743932.626697</v>
      </c>
      <c r="Y166" s="64">
        <v>-1000152.565777</v>
      </c>
      <c r="Z166" s="64" t="str">
        <f>HYPERLINK("https://www.mapy.cz?st=search&amp;fr=50.46779694 14.32328548")</f>
        <v>https://www.mapy.cz?st=search&amp;fr=50.46779694 14.32328548</v>
      </c>
      <c r="AA166" s="25" t="s">
        <v>602</v>
      </c>
      <c r="AB166" s="60"/>
    </row>
    <row r="167" spans="1:28" ht="35.1" customHeight="1" thickBot="1" x14ac:dyDescent="0.3">
      <c r="A167" s="65"/>
      <c r="B167" s="66"/>
      <c r="C167" s="67"/>
      <c r="D167" s="68"/>
      <c r="E167" s="68"/>
      <c r="F167" s="68"/>
      <c r="G167" s="68"/>
      <c r="H167" s="68"/>
      <c r="I167" s="68"/>
      <c r="J167" s="68"/>
      <c r="K167" s="68"/>
      <c r="L167" s="68"/>
      <c r="M167" s="68"/>
      <c r="N167" s="68"/>
      <c r="O167" s="68"/>
      <c r="P167" s="64"/>
      <c r="Q167" s="64"/>
      <c r="R167" s="64"/>
      <c r="S167" s="31" t="s">
        <v>57</v>
      </c>
      <c r="T167" s="35" t="s">
        <v>45</v>
      </c>
      <c r="U167" s="35" t="s">
        <v>35</v>
      </c>
      <c r="V167" s="35" t="s">
        <v>257</v>
      </c>
      <c r="W167" s="64"/>
      <c r="X167" s="64"/>
      <c r="Y167" s="64"/>
      <c r="Z167" s="64"/>
      <c r="AA167" s="21" t="s">
        <v>599</v>
      </c>
      <c r="AB167" s="61"/>
    </row>
    <row r="168" spans="1:28" ht="35.1" customHeight="1" x14ac:dyDescent="0.25">
      <c r="A168" s="38" t="s">
        <v>458</v>
      </c>
      <c r="B168" s="39" t="s">
        <v>68</v>
      </c>
      <c r="C168" s="40" t="s">
        <v>69</v>
      </c>
      <c r="D168" s="36"/>
      <c r="E168" s="36" t="s">
        <v>178</v>
      </c>
      <c r="F168" s="36"/>
      <c r="G168" s="36"/>
      <c r="H168" s="36" t="s">
        <v>72</v>
      </c>
      <c r="I168" s="36" t="s">
        <v>43</v>
      </c>
      <c r="J168" s="36" t="s">
        <v>31</v>
      </c>
      <c r="K168" s="36" t="s">
        <v>32</v>
      </c>
      <c r="L168" s="36" t="s">
        <v>33</v>
      </c>
      <c r="M168" s="36" t="s">
        <v>35</v>
      </c>
      <c r="N168" s="36" t="s">
        <v>35</v>
      </c>
      <c r="O168" s="36" t="s">
        <v>54</v>
      </c>
      <c r="P168" s="37" t="s">
        <v>265</v>
      </c>
      <c r="Q168" s="37" t="s">
        <v>456</v>
      </c>
      <c r="R168" s="37" t="s">
        <v>457</v>
      </c>
      <c r="S168" s="37" t="s">
        <v>56</v>
      </c>
      <c r="T168" s="36" t="s">
        <v>45</v>
      </c>
      <c r="U168" s="36" t="s">
        <v>34</v>
      </c>
      <c r="V168" s="36"/>
      <c r="W168" s="37" t="str">
        <f>HYPERLINK("https://www.stromypodkontrolou.cz/map/tree/d41bce85-5010-4276-b929-4760db78c679/d6ac168d-1b8c-47b1-ae49-06cb2f8e7c11")</f>
        <v>https://www.stromypodkontrolou.cz/map/tree/d41bce85-5010-4276-b929-4760db78c679/d6ac168d-1b8c-47b1-ae49-06cb2f8e7c11</v>
      </c>
      <c r="X168" s="37">
        <v>-742512.82237099996</v>
      </c>
      <c r="Y168" s="37">
        <v>-999472.01066999999</v>
      </c>
      <c r="Z168" s="37" t="str">
        <f>HYPERLINK("https://www.mapy.cz?st=search&amp;fr=50.47561212 14.34177831")</f>
        <v>https://www.mapy.cz?st=search&amp;fr=50.47561212 14.34177831</v>
      </c>
      <c r="AA168" s="25" t="s">
        <v>602</v>
      </c>
      <c r="AB168" s="60"/>
    </row>
    <row r="169" spans="1:28" ht="35.1" customHeight="1" thickBot="1" x14ac:dyDescent="0.3">
      <c r="A169" s="41" t="s">
        <v>459</v>
      </c>
      <c r="B169" s="42" t="s">
        <v>68</v>
      </c>
      <c r="C169" s="43" t="s">
        <v>69</v>
      </c>
      <c r="D169" s="44"/>
      <c r="E169" s="44" t="s">
        <v>460</v>
      </c>
      <c r="F169" s="44"/>
      <c r="G169" s="44"/>
      <c r="H169" s="44" t="s">
        <v>72</v>
      </c>
      <c r="I169" s="44" t="s">
        <v>43</v>
      </c>
      <c r="J169" s="44" t="s">
        <v>31</v>
      </c>
      <c r="K169" s="44" t="s">
        <v>32</v>
      </c>
      <c r="L169" s="44" t="s">
        <v>33</v>
      </c>
      <c r="M169" s="44" t="s">
        <v>35</v>
      </c>
      <c r="N169" s="44" t="s">
        <v>54</v>
      </c>
      <c r="O169" s="44" t="s">
        <v>54</v>
      </c>
      <c r="P169" s="45" t="s">
        <v>186</v>
      </c>
      <c r="Q169" s="45" t="s">
        <v>456</v>
      </c>
      <c r="R169" s="45" t="s">
        <v>457</v>
      </c>
      <c r="S169" s="45" t="s">
        <v>56</v>
      </c>
      <c r="T169" s="44" t="s">
        <v>45</v>
      </c>
      <c r="U169" s="44" t="s">
        <v>34</v>
      </c>
      <c r="V169" s="44"/>
      <c r="W169" s="45" t="str">
        <f>HYPERLINK("https://www.stromypodkontrolou.cz/map/tree/d41bce85-5010-4276-b929-4760db78c679/7d24f0be-1999-40d9-900e-46415de2d9ac")</f>
        <v>https://www.stromypodkontrolou.cz/map/tree/d41bce85-5010-4276-b929-4760db78c679/7d24f0be-1999-40d9-900e-46415de2d9ac</v>
      </c>
      <c r="X169" s="45">
        <v>-742509.90685899998</v>
      </c>
      <c r="Y169" s="45">
        <v>-999472.99003500002</v>
      </c>
      <c r="Z169" s="45" t="str">
        <f>HYPERLINK("https://www.mapy.cz?st=search&amp;fr=50.47560700 14.34182089")</f>
        <v>https://www.mapy.cz?st=search&amp;fr=50.47560700 14.34182089</v>
      </c>
      <c r="AA169" s="21" t="s">
        <v>602</v>
      </c>
      <c r="AB169" s="61"/>
    </row>
    <row r="170" spans="1:28" ht="35.1" customHeight="1" x14ac:dyDescent="0.25">
      <c r="A170" s="71" t="s">
        <v>462</v>
      </c>
      <c r="B170" s="72" t="s">
        <v>68</v>
      </c>
      <c r="C170" s="73" t="s">
        <v>69</v>
      </c>
      <c r="D170" s="69" t="s">
        <v>50</v>
      </c>
      <c r="E170" s="69"/>
      <c r="F170" s="69"/>
      <c r="G170" s="69"/>
      <c r="H170" s="69" t="s">
        <v>131</v>
      </c>
      <c r="I170" s="69" t="s">
        <v>30</v>
      </c>
      <c r="J170" s="69" t="s">
        <v>66</v>
      </c>
      <c r="K170" s="69" t="s">
        <v>32</v>
      </c>
      <c r="L170" s="69" t="s">
        <v>33</v>
      </c>
      <c r="M170" s="69" t="s">
        <v>34</v>
      </c>
      <c r="N170" s="69" t="s">
        <v>35</v>
      </c>
      <c r="O170" s="69" t="s">
        <v>54</v>
      </c>
      <c r="P170" s="70" t="s">
        <v>463</v>
      </c>
      <c r="Q170" s="70" t="s">
        <v>464</v>
      </c>
      <c r="R170" s="70" t="s">
        <v>465</v>
      </c>
      <c r="S170" s="37" t="s">
        <v>56</v>
      </c>
      <c r="T170" s="36" t="s">
        <v>45</v>
      </c>
      <c r="U170" s="36" t="s">
        <v>34</v>
      </c>
      <c r="V170" s="36"/>
      <c r="W170" s="70" t="str">
        <f>HYPERLINK("https://www.stromypodkontrolou.cz/map/tree/d41bce85-5010-4276-b929-4760db78c679/a9cc741c-cc22-4551-9f7e-9fcbbbfb1cd7")</f>
        <v>https://www.stromypodkontrolou.cz/map/tree/d41bce85-5010-4276-b929-4760db78c679/a9cc741c-cc22-4551-9f7e-9fcbbbfb1cd7</v>
      </c>
      <c r="X170" s="70">
        <v>-741131.90917500004</v>
      </c>
      <c r="Y170" s="70">
        <v>-1001790.298485</v>
      </c>
      <c r="Z170" s="70" t="str">
        <f>HYPERLINK("https://www.mapy.cz?st=search&amp;fr=50.45667050 14.36552525")</f>
        <v>https://www.mapy.cz?st=search&amp;fr=50.45667050 14.36552525</v>
      </c>
      <c r="AA170" s="25" t="s">
        <v>602</v>
      </c>
      <c r="AB170" s="60"/>
    </row>
    <row r="171" spans="1:28" ht="35.1" customHeight="1" x14ac:dyDescent="0.25">
      <c r="A171" s="65"/>
      <c r="B171" s="66"/>
      <c r="C171" s="67"/>
      <c r="D171" s="68"/>
      <c r="E171" s="68"/>
      <c r="F171" s="68"/>
      <c r="G171" s="68"/>
      <c r="H171" s="68"/>
      <c r="I171" s="68"/>
      <c r="J171" s="68"/>
      <c r="K171" s="68"/>
      <c r="L171" s="68"/>
      <c r="M171" s="68"/>
      <c r="N171" s="68"/>
      <c r="O171" s="68"/>
      <c r="P171" s="64"/>
      <c r="Q171" s="64"/>
      <c r="R171" s="64"/>
      <c r="S171" s="31" t="s">
        <v>57</v>
      </c>
      <c r="T171" s="35" t="s">
        <v>45</v>
      </c>
      <c r="U171" s="35" t="s">
        <v>34</v>
      </c>
      <c r="V171" s="35" t="s">
        <v>357</v>
      </c>
      <c r="W171" s="64"/>
      <c r="X171" s="64"/>
      <c r="Y171" s="64"/>
      <c r="Z171" s="64"/>
      <c r="AA171" s="20" t="s">
        <v>599</v>
      </c>
      <c r="AB171" s="59"/>
    </row>
    <row r="172" spans="1:28" ht="35.1" customHeight="1" x14ac:dyDescent="0.25">
      <c r="A172" s="65" t="s">
        <v>466</v>
      </c>
      <c r="B172" s="66" t="s">
        <v>68</v>
      </c>
      <c r="C172" s="67" t="s">
        <v>69</v>
      </c>
      <c r="D172" s="68" t="s">
        <v>94</v>
      </c>
      <c r="E172" s="68"/>
      <c r="F172" s="68"/>
      <c r="G172" s="68"/>
      <c r="H172" s="68" t="s">
        <v>146</v>
      </c>
      <c r="I172" s="68" t="s">
        <v>89</v>
      </c>
      <c r="J172" s="68" t="s">
        <v>62</v>
      </c>
      <c r="K172" s="68" t="s">
        <v>32</v>
      </c>
      <c r="L172" s="68" t="s">
        <v>33</v>
      </c>
      <c r="M172" s="68" t="s">
        <v>34</v>
      </c>
      <c r="N172" s="68" t="s">
        <v>35</v>
      </c>
      <c r="O172" s="68" t="s">
        <v>54</v>
      </c>
      <c r="P172" s="64" t="s">
        <v>467</v>
      </c>
      <c r="Q172" s="64" t="s">
        <v>464</v>
      </c>
      <c r="R172" s="64" t="s">
        <v>465</v>
      </c>
      <c r="S172" s="31" t="s">
        <v>56</v>
      </c>
      <c r="T172" s="35" t="s">
        <v>45</v>
      </c>
      <c r="U172" s="35" t="s">
        <v>34</v>
      </c>
      <c r="V172" s="35"/>
      <c r="W172" s="64" t="str">
        <f>HYPERLINK("https://www.stromypodkontrolou.cz/map/tree/d41bce85-5010-4276-b929-4760db78c679/9f4d0350-0ff7-4e22-b454-0ba495a59559")</f>
        <v>https://www.stromypodkontrolou.cz/map/tree/d41bce85-5010-4276-b929-4760db78c679/9f4d0350-0ff7-4e22-b454-0ba495a59559</v>
      </c>
      <c r="X172" s="64">
        <v>-741128.71149200003</v>
      </c>
      <c r="Y172" s="64">
        <v>-1001788.032371</v>
      </c>
      <c r="Z172" s="64" t="str">
        <f>HYPERLINK("https://www.mapy.cz?st=search&amp;fr=50.45669462 14.36556548")</f>
        <v>https://www.mapy.cz?st=search&amp;fr=50.45669462 14.36556548</v>
      </c>
      <c r="AA172" s="25" t="s">
        <v>602</v>
      </c>
      <c r="AB172" s="60"/>
    </row>
    <row r="173" spans="1:28" ht="35.1" customHeight="1" x14ac:dyDescent="0.25">
      <c r="A173" s="65"/>
      <c r="B173" s="66"/>
      <c r="C173" s="67"/>
      <c r="D173" s="68"/>
      <c r="E173" s="68"/>
      <c r="F173" s="68"/>
      <c r="G173" s="68"/>
      <c r="H173" s="68"/>
      <c r="I173" s="68"/>
      <c r="J173" s="68"/>
      <c r="K173" s="68"/>
      <c r="L173" s="68"/>
      <c r="M173" s="68"/>
      <c r="N173" s="68"/>
      <c r="O173" s="68"/>
      <c r="P173" s="64"/>
      <c r="Q173" s="64"/>
      <c r="R173" s="64"/>
      <c r="S173" s="31" t="s">
        <v>57</v>
      </c>
      <c r="T173" s="35" t="s">
        <v>45</v>
      </c>
      <c r="U173" s="35" t="s">
        <v>34</v>
      </c>
      <c r="V173" s="35" t="s">
        <v>200</v>
      </c>
      <c r="W173" s="64"/>
      <c r="X173" s="64"/>
      <c r="Y173" s="64"/>
      <c r="Z173" s="64"/>
      <c r="AA173" s="20" t="s">
        <v>603</v>
      </c>
      <c r="AB173" s="59"/>
    </row>
    <row r="174" spans="1:28" ht="35.1" customHeight="1" x14ac:dyDescent="0.25">
      <c r="A174" s="65" t="s">
        <v>469</v>
      </c>
      <c r="B174" s="66" t="s">
        <v>68</v>
      </c>
      <c r="C174" s="67" t="s">
        <v>69</v>
      </c>
      <c r="D174" s="68" t="s">
        <v>205</v>
      </c>
      <c r="E174" s="68"/>
      <c r="F174" s="68"/>
      <c r="G174" s="68"/>
      <c r="H174" s="68" t="s">
        <v>166</v>
      </c>
      <c r="I174" s="68" t="s">
        <v>43</v>
      </c>
      <c r="J174" s="68" t="s">
        <v>129</v>
      </c>
      <c r="K174" s="68" t="s">
        <v>32</v>
      </c>
      <c r="L174" s="68" t="s">
        <v>33</v>
      </c>
      <c r="M174" s="68" t="s">
        <v>35</v>
      </c>
      <c r="N174" s="68" t="s">
        <v>35</v>
      </c>
      <c r="O174" s="68" t="s">
        <v>54</v>
      </c>
      <c r="P174" s="64" t="s">
        <v>67</v>
      </c>
      <c r="Q174" s="64" t="s">
        <v>464</v>
      </c>
      <c r="R174" s="64" t="s">
        <v>468</v>
      </c>
      <c r="S174" s="31" t="s">
        <v>57</v>
      </c>
      <c r="T174" s="35" t="s">
        <v>45</v>
      </c>
      <c r="U174" s="35" t="s">
        <v>34</v>
      </c>
      <c r="V174" s="35" t="s">
        <v>257</v>
      </c>
      <c r="W174" s="64" t="str">
        <f>HYPERLINK("https://www.stromypodkontrolou.cz/map/tree/d41bce85-5010-4276-b929-4760db78c679/5e454a62-f080-45b1-9fe3-01c3c7efb2a3")</f>
        <v>https://www.stromypodkontrolou.cz/map/tree/d41bce85-5010-4276-b929-4760db78c679/5e454a62-f080-45b1-9fe3-01c3c7efb2a3</v>
      </c>
      <c r="X174" s="64">
        <v>-741138.469453</v>
      </c>
      <c r="Y174" s="64">
        <v>-1001714.201271</v>
      </c>
      <c r="Z174" s="64" t="str">
        <f>HYPERLINK("https://www.mapy.cz?st=search&amp;fr=50.45734010 14.36528687")</f>
        <v>https://www.mapy.cz?st=search&amp;fr=50.45734010 14.36528687</v>
      </c>
      <c r="AA174" s="20" t="s">
        <v>603</v>
      </c>
      <c r="AB174" s="59"/>
    </row>
    <row r="175" spans="1:28" ht="35.1" customHeight="1" x14ac:dyDescent="0.25">
      <c r="A175" s="65"/>
      <c r="B175" s="66"/>
      <c r="C175" s="67"/>
      <c r="D175" s="68"/>
      <c r="E175" s="68"/>
      <c r="F175" s="68"/>
      <c r="G175" s="68"/>
      <c r="H175" s="68"/>
      <c r="I175" s="68"/>
      <c r="J175" s="68"/>
      <c r="K175" s="68"/>
      <c r="L175" s="68"/>
      <c r="M175" s="68"/>
      <c r="N175" s="68"/>
      <c r="O175" s="68"/>
      <c r="P175" s="64"/>
      <c r="Q175" s="64"/>
      <c r="R175" s="64"/>
      <c r="S175" s="31" t="s">
        <v>56</v>
      </c>
      <c r="T175" s="35" t="s">
        <v>45</v>
      </c>
      <c r="U175" s="35" t="s">
        <v>34</v>
      </c>
      <c r="V175" s="35"/>
      <c r="W175" s="64"/>
      <c r="X175" s="64"/>
      <c r="Y175" s="64"/>
      <c r="Z175" s="64"/>
      <c r="AA175" s="25" t="s">
        <v>602</v>
      </c>
      <c r="AB175" s="60"/>
    </row>
    <row r="176" spans="1:28" ht="35.1" customHeight="1" x14ac:dyDescent="0.25">
      <c r="A176" s="65" t="s">
        <v>470</v>
      </c>
      <c r="B176" s="66" t="s">
        <v>68</v>
      </c>
      <c r="C176" s="67" t="s">
        <v>69</v>
      </c>
      <c r="D176" s="68" t="s">
        <v>222</v>
      </c>
      <c r="E176" s="68"/>
      <c r="F176" s="68"/>
      <c r="G176" s="68"/>
      <c r="H176" s="68" t="s">
        <v>176</v>
      </c>
      <c r="I176" s="68" t="s">
        <v>89</v>
      </c>
      <c r="J176" s="68" t="s">
        <v>44</v>
      </c>
      <c r="K176" s="68" t="s">
        <v>32</v>
      </c>
      <c r="L176" s="68" t="s">
        <v>74</v>
      </c>
      <c r="M176" s="68" t="s">
        <v>35</v>
      </c>
      <c r="N176" s="68" t="s">
        <v>54</v>
      </c>
      <c r="O176" s="68" t="s">
        <v>54</v>
      </c>
      <c r="P176" s="64" t="s">
        <v>186</v>
      </c>
      <c r="Q176" s="64" t="s">
        <v>464</v>
      </c>
      <c r="R176" s="64" t="s">
        <v>465</v>
      </c>
      <c r="S176" s="31" t="s">
        <v>85</v>
      </c>
      <c r="T176" s="35" t="s">
        <v>45</v>
      </c>
      <c r="U176" s="35" t="s">
        <v>34</v>
      </c>
      <c r="V176" s="35" t="s">
        <v>86</v>
      </c>
      <c r="W176" s="64" t="str">
        <f>HYPERLINK("https://www.stromypodkontrolou.cz/map/tree/d41bce85-5010-4276-b929-4760db78c679/60fbb3a7-75f1-4891-87ef-9dc0a36ea927")</f>
        <v>https://www.stromypodkontrolou.cz/map/tree/d41bce85-5010-4276-b929-4760db78c679/60fbb3a7-75f1-4891-87ef-9dc0a36ea927</v>
      </c>
      <c r="X176" s="64">
        <v>-741138.16622999997</v>
      </c>
      <c r="Y176" s="64">
        <v>-1001721.9119440001</v>
      </c>
      <c r="Z176" s="64" t="str">
        <f>HYPERLINK("https://www.mapy.cz?st=search&amp;fr=50.45727181 14.36530598")</f>
        <v>https://www.mapy.cz?st=search&amp;fr=50.45727181 14.36530598</v>
      </c>
      <c r="AA176" s="20" t="s">
        <v>601</v>
      </c>
      <c r="AB176" s="59"/>
    </row>
    <row r="177" spans="1:28" ht="35.1" customHeight="1" x14ac:dyDescent="0.25">
      <c r="A177" s="65"/>
      <c r="B177" s="66"/>
      <c r="C177" s="67"/>
      <c r="D177" s="68"/>
      <c r="E177" s="68"/>
      <c r="F177" s="68"/>
      <c r="G177" s="68"/>
      <c r="H177" s="68"/>
      <c r="I177" s="68"/>
      <c r="J177" s="68"/>
      <c r="K177" s="68"/>
      <c r="L177" s="68"/>
      <c r="M177" s="68"/>
      <c r="N177" s="68"/>
      <c r="O177" s="68"/>
      <c r="P177" s="64"/>
      <c r="Q177" s="64"/>
      <c r="R177" s="64"/>
      <c r="S177" s="31" t="s">
        <v>56</v>
      </c>
      <c r="T177" s="35" t="s">
        <v>45</v>
      </c>
      <c r="U177" s="35" t="s">
        <v>34</v>
      </c>
      <c r="V177" s="35"/>
      <c r="W177" s="64"/>
      <c r="X177" s="64"/>
      <c r="Y177" s="64"/>
      <c r="Z177" s="64"/>
      <c r="AA177" s="25" t="s">
        <v>602</v>
      </c>
      <c r="AB177" s="60"/>
    </row>
    <row r="178" spans="1:28" ht="35.1" customHeight="1" x14ac:dyDescent="0.25">
      <c r="A178" s="65" t="s">
        <v>471</v>
      </c>
      <c r="B178" s="66" t="s">
        <v>68</v>
      </c>
      <c r="C178" s="67" t="s">
        <v>69</v>
      </c>
      <c r="D178" s="68" t="s">
        <v>192</v>
      </c>
      <c r="E178" s="68"/>
      <c r="F178" s="68"/>
      <c r="G178" s="68"/>
      <c r="H178" s="68" t="s">
        <v>167</v>
      </c>
      <c r="I178" s="68" t="s">
        <v>89</v>
      </c>
      <c r="J178" s="68" t="s">
        <v>62</v>
      </c>
      <c r="K178" s="68" t="s">
        <v>32</v>
      </c>
      <c r="L178" s="68" t="s">
        <v>74</v>
      </c>
      <c r="M178" s="68" t="s">
        <v>35</v>
      </c>
      <c r="N178" s="68" t="s">
        <v>54</v>
      </c>
      <c r="O178" s="68" t="s">
        <v>54</v>
      </c>
      <c r="P178" s="64" t="s">
        <v>472</v>
      </c>
      <c r="Q178" s="64" t="s">
        <v>464</v>
      </c>
      <c r="R178" s="64" t="s">
        <v>465</v>
      </c>
      <c r="S178" s="31" t="s">
        <v>85</v>
      </c>
      <c r="T178" s="35" t="s">
        <v>45</v>
      </c>
      <c r="U178" s="35" t="s">
        <v>34</v>
      </c>
      <c r="V178" s="35" t="s">
        <v>86</v>
      </c>
      <c r="W178" s="64" t="str">
        <f>HYPERLINK("https://www.stromypodkontrolou.cz/map/tree/d41bce85-5010-4276-b929-4760db78c679/9e6c174a-7160-4da5-b859-288e1e1f9f13")</f>
        <v>https://www.stromypodkontrolou.cz/map/tree/d41bce85-5010-4276-b929-4760db78c679/9e6c174a-7160-4da5-b859-288e1e1f9f13</v>
      </c>
      <c r="X178" s="64">
        <v>-741137.41666500003</v>
      </c>
      <c r="Y178" s="64">
        <v>-1001726.569747</v>
      </c>
      <c r="Z178" s="64" t="str">
        <f>HYPERLINK("https://www.mapy.cz?st=search&amp;fr=50.45723125 14.36532542")</f>
        <v>https://www.mapy.cz?st=search&amp;fr=50.45723125 14.36532542</v>
      </c>
      <c r="AA178" s="20" t="s">
        <v>601</v>
      </c>
      <c r="AB178" s="59"/>
    </row>
    <row r="179" spans="1:28" ht="35.1" customHeight="1" x14ac:dyDescent="0.25">
      <c r="A179" s="65"/>
      <c r="B179" s="66"/>
      <c r="C179" s="67"/>
      <c r="D179" s="68"/>
      <c r="E179" s="68"/>
      <c r="F179" s="68"/>
      <c r="G179" s="68"/>
      <c r="H179" s="68"/>
      <c r="I179" s="68"/>
      <c r="J179" s="68"/>
      <c r="K179" s="68"/>
      <c r="L179" s="68"/>
      <c r="M179" s="68"/>
      <c r="N179" s="68"/>
      <c r="O179" s="68"/>
      <c r="P179" s="64"/>
      <c r="Q179" s="64"/>
      <c r="R179" s="64"/>
      <c r="S179" s="31" t="s">
        <v>56</v>
      </c>
      <c r="T179" s="35" t="s">
        <v>45</v>
      </c>
      <c r="U179" s="35" t="s">
        <v>34</v>
      </c>
      <c r="V179" s="35"/>
      <c r="W179" s="64"/>
      <c r="X179" s="64"/>
      <c r="Y179" s="64"/>
      <c r="Z179" s="64"/>
      <c r="AA179" s="25" t="s">
        <v>602</v>
      </c>
      <c r="AB179" s="60"/>
    </row>
    <row r="180" spans="1:28" ht="35.1" customHeight="1" x14ac:dyDescent="0.25">
      <c r="A180" s="65" t="s">
        <v>473</v>
      </c>
      <c r="B180" s="66" t="s">
        <v>68</v>
      </c>
      <c r="C180" s="67" t="s">
        <v>69</v>
      </c>
      <c r="D180" s="68" t="s">
        <v>222</v>
      </c>
      <c r="E180" s="68"/>
      <c r="F180" s="68"/>
      <c r="G180" s="68"/>
      <c r="H180" s="68" t="s">
        <v>176</v>
      </c>
      <c r="I180" s="68" t="s">
        <v>30</v>
      </c>
      <c r="J180" s="68" t="s">
        <v>78</v>
      </c>
      <c r="K180" s="68" t="s">
        <v>32</v>
      </c>
      <c r="L180" s="68" t="s">
        <v>33</v>
      </c>
      <c r="M180" s="68" t="s">
        <v>34</v>
      </c>
      <c r="N180" s="68" t="s">
        <v>35</v>
      </c>
      <c r="O180" s="68" t="s">
        <v>54</v>
      </c>
      <c r="P180" s="64" t="s">
        <v>67</v>
      </c>
      <c r="Q180" s="64" t="s">
        <v>464</v>
      </c>
      <c r="R180" s="64" t="s">
        <v>465</v>
      </c>
      <c r="S180" s="31" t="s">
        <v>57</v>
      </c>
      <c r="T180" s="35" t="s">
        <v>45</v>
      </c>
      <c r="U180" s="35" t="s">
        <v>34</v>
      </c>
      <c r="V180" s="35" t="s">
        <v>200</v>
      </c>
      <c r="W180" s="64" t="str">
        <f>HYPERLINK("https://www.stromypodkontrolou.cz/map/tree/d41bce85-5010-4276-b929-4760db78c679/8a57730f-e0c4-435a-b315-34555aca7e5d")</f>
        <v>https://www.stromypodkontrolou.cz/map/tree/d41bce85-5010-4276-b929-4760db78c679/8a57730f-e0c4-435a-b315-34555aca7e5d</v>
      </c>
      <c r="X180" s="64">
        <v>-741137.62511000002</v>
      </c>
      <c r="Y180" s="64">
        <v>-1001732.245517</v>
      </c>
      <c r="Z180" s="64" t="str">
        <f>HYPERLINK("https://www.mapy.cz?st=search&amp;fr=50.45718045 14.36533347")</f>
        <v>https://www.mapy.cz?st=search&amp;fr=50.45718045 14.36533347</v>
      </c>
      <c r="AA180" s="20" t="s">
        <v>603</v>
      </c>
      <c r="AB180" s="59"/>
    </row>
    <row r="181" spans="1:28" ht="35.1" customHeight="1" x14ac:dyDescent="0.25">
      <c r="A181" s="65"/>
      <c r="B181" s="66"/>
      <c r="C181" s="67"/>
      <c r="D181" s="68"/>
      <c r="E181" s="68"/>
      <c r="F181" s="68"/>
      <c r="G181" s="68"/>
      <c r="H181" s="68"/>
      <c r="I181" s="68"/>
      <c r="J181" s="68"/>
      <c r="K181" s="68"/>
      <c r="L181" s="68"/>
      <c r="M181" s="68"/>
      <c r="N181" s="68"/>
      <c r="O181" s="68"/>
      <c r="P181" s="64"/>
      <c r="Q181" s="64"/>
      <c r="R181" s="64"/>
      <c r="S181" s="31" t="s">
        <v>56</v>
      </c>
      <c r="T181" s="35" t="s">
        <v>45</v>
      </c>
      <c r="U181" s="35" t="s">
        <v>34</v>
      </c>
      <c r="V181" s="35"/>
      <c r="W181" s="64"/>
      <c r="X181" s="64"/>
      <c r="Y181" s="64"/>
      <c r="Z181" s="64"/>
      <c r="AA181" s="25" t="s">
        <v>602</v>
      </c>
      <c r="AB181" s="60"/>
    </row>
    <row r="182" spans="1:28" ht="35.1" customHeight="1" x14ac:dyDescent="0.25">
      <c r="A182" s="32" t="s">
        <v>474</v>
      </c>
      <c r="B182" s="33" t="s">
        <v>68</v>
      </c>
      <c r="C182" s="34" t="s">
        <v>69</v>
      </c>
      <c r="D182" s="35" t="s">
        <v>391</v>
      </c>
      <c r="E182" s="35"/>
      <c r="F182" s="35"/>
      <c r="G182" s="35"/>
      <c r="H182" s="35" t="s">
        <v>60</v>
      </c>
      <c r="I182" s="35" t="s">
        <v>89</v>
      </c>
      <c r="J182" s="35" t="s">
        <v>71</v>
      </c>
      <c r="K182" s="35" t="s">
        <v>32</v>
      </c>
      <c r="L182" s="35" t="s">
        <v>33</v>
      </c>
      <c r="M182" s="35" t="s">
        <v>34</v>
      </c>
      <c r="N182" s="35" t="s">
        <v>54</v>
      </c>
      <c r="O182" s="35" t="s">
        <v>54</v>
      </c>
      <c r="P182" s="31" t="s">
        <v>214</v>
      </c>
      <c r="Q182" s="31" t="s">
        <v>464</v>
      </c>
      <c r="R182" s="31" t="s">
        <v>465</v>
      </c>
      <c r="S182" s="31" t="s">
        <v>85</v>
      </c>
      <c r="T182" s="35" t="s">
        <v>45</v>
      </c>
      <c r="U182" s="35" t="s">
        <v>34</v>
      </c>
      <c r="V182" s="35" t="s">
        <v>86</v>
      </c>
      <c r="W182" s="31" t="str">
        <f>HYPERLINK("https://www.stromypodkontrolou.cz/map/tree/d41bce85-5010-4276-b929-4760db78c679/d5733937-e475-4ada-b6aa-336fa2da1df6")</f>
        <v>https://www.stromypodkontrolou.cz/map/tree/d41bce85-5010-4276-b929-4760db78c679/d5733937-e475-4ada-b6aa-336fa2da1df6</v>
      </c>
      <c r="X182" s="31">
        <v>-741137.72933200002</v>
      </c>
      <c r="Y182" s="31">
        <v>-1001735.083405</v>
      </c>
      <c r="Z182" s="31" t="str">
        <f>HYPERLINK("https://www.mapy.cz?st=search&amp;fr=50.45715505 14.36533749")</f>
        <v>https://www.mapy.cz?st=search&amp;fr=50.45715505 14.36533749</v>
      </c>
      <c r="AA182" s="20" t="s">
        <v>601</v>
      </c>
      <c r="AB182" s="59"/>
    </row>
    <row r="183" spans="1:28" ht="35.1" customHeight="1" x14ac:dyDescent="0.25">
      <c r="A183" s="65" t="s">
        <v>475</v>
      </c>
      <c r="B183" s="66" t="s">
        <v>68</v>
      </c>
      <c r="C183" s="67" t="s">
        <v>69</v>
      </c>
      <c r="D183" s="68" t="s">
        <v>222</v>
      </c>
      <c r="E183" s="68"/>
      <c r="F183" s="68"/>
      <c r="G183" s="68"/>
      <c r="H183" s="68" t="s">
        <v>176</v>
      </c>
      <c r="I183" s="68" t="s">
        <v>89</v>
      </c>
      <c r="J183" s="68" t="s">
        <v>71</v>
      </c>
      <c r="K183" s="68" t="s">
        <v>32</v>
      </c>
      <c r="L183" s="68" t="s">
        <v>74</v>
      </c>
      <c r="M183" s="68" t="s">
        <v>35</v>
      </c>
      <c r="N183" s="68" t="s">
        <v>35</v>
      </c>
      <c r="O183" s="68" t="s">
        <v>54</v>
      </c>
      <c r="P183" s="64" t="s">
        <v>186</v>
      </c>
      <c r="Q183" s="64" t="s">
        <v>464</v>
      </c>
      <c r="R183" s="64" t="s">
        <v>468</v>
      </c>
      <c r="S183" s="31" t="s">
        <v>57</v>
      </c>
      <c r="T183" s="35" t="s">
        <v>45</v>
      </c>
      <c r="U183" s="35" t="s">
        <v>34</v>
      </c>
      <c r="V183" s="35" t="s">
        <v>200</v>
      </c>
      <c r="W183" s="64" t="str">
        <f>HYPERLINK("https://www.stromypodkontrolou.cz/map/tree/d41bce85-5010-4276-b929-4760db78c679/2f2a50d2-2ac9-4ac7-8299-c583a32155d1")</f>
        <v>https://www.stromypodkontrolou.cz/map/tree/d41bce85-5010-4276-b929-4760db78c679/2f2a50d2-2ac9-4ac7-8299-c583a32155d1</v>
      </c>
      <c r="X183" s="64">
        <v>-741137.75806799997</v>
      </c>
      <c r="Y183" s="64">
        <v>-1001741.023739</v>
      </c>
      <c r="Z183" s="64" t="str">
        <f>HYPERLINK("https://www.mapy.cz?st=search&amp;fr=50.45710211 14.36534856")</f>
        <v>https://www.mapy.cz?st=search&amp;fr=50.45710211 14.36534856</v>
      </c>
      <c r="AA183" s="20" t="s">
        <v>603</v>
      </c>
      <c r="AB183" s="59"/>
    </row>
    <row r="184" spans="1:28" ht="35.1" customHeight="1" x14ac:dyDescent="0.25">
      <c r="A184" s="65"/>
      <c r="B184" s="66"/>
      <c r="C184" s="67"/>
      <c r="D184" s="68"/>
      <c r="E184" s="68"/>
      <c r="F184" s="68"/>
      <c r="G184" s="68"/>
      <c r="H184" s="68"/>
      <c r="I184" s="68"/>
      <c r="J184" s="68"/>
      <c r="K184" s="68"/>
      <c r="L184" s="68"/>
      <c r="M184" s="68"/>
      <c r="N184" s="68"/>
      <c r="O184" s="68"/>
      <c r="P184" s="64"/>
      <c r="Q184" s="64"/>
      <c r="R184" s="64"/>
      <c r="S184" s="31" t="s">
        <v>56</v>
      </c>
      <c r="T184" s="35" t="s">
        <v>45</v>
      </c>
      <c r="U184" s="35" t="s">
        <v>34</v>
      </c>
      <c r="V184" s="35"/>
      <c r="W184" s="64"/>
      <c r="X184" s="64"/>
      <c r="Y184" s="64"/>
      <c r="Z184" s="64"/>
      <c r="AA184" s="25" t="s">
        <v>602</v>
      </c>
      <c r="AB184" s="60"/>
    </row>
    <row r="185" spans="1:28" ht="35.1" customHeight="1" x14ac:dyDescent="0.25">
      <c r="A185" s="65" t="s">
        <v>476</v>
      </c>
      <c r="B185" s="66" t="s">
        <v>68</v>
      </c>
      <c r="C185" s="67" t="s">
        <v>69</v>
      </c>
      <c r="D185" s="68" t="s">
        <v>238</v>
      </c>
      <c r="E185" s="68"/>
      <c r="F185" s="68"/>
      <c r="G185" s="68"/>
      <c r="H185" s="68" t="s">
        <v>176</v>
      </c>
      <c r="I185" s="68" t="s">
        <v>89</v>
      </c>
      <c r="J185" s="68" t="s">
        <v>78</v>
      </c>
      <c r="K185" s="68" t="s">
        <v>32</v>
      </c>
      <c r="L185" s="68" t="s">
        <v>33</v>
      </c>
      <c r="M185" s="68" t="s">
        <v>35</v>
      </c>
      <c r="N185" s="68" t="s">
        <v>35</v>
      </c>
      <c r="O185" s="68" t="s">
        <v>54</v>
      </c>
      <c r="P185" s="64" t="s">
        <v>186</v>
      </c>
      <c r="Q185" s="64" t="s">
        <v>464</v>
      </c>
      <c r="R185" s="64" t="s">
        <v>465</v>
      </c>
      <c r="S185" s="31" t="s">
        <v>56</v>
      </c>
      <c r="T185" s="35" t="s">
        <v>45</v>
      </c>
      <c r="U185" s="35" t="s">
        <v>34</v>
      </c>
      <c r="V185" s="35"/>
      <c r="W185" s="64" t="str">
        <f>HYPERLINK("https://www.stromypodkontrolou.cz/map/tree/d41bce85-5010-4276-b929-4760db78c679/29608c1d-95b3-432a-8cfe-aefbab5728de")</f>
        <v>https://www.stromypodkontrolou.cz/map/tree/d41bce85-5010-4276-b929-4760db78c679/29608c1d-95b3-432a-8cfe-aefbab5728de</v>
      </c>
      <c r="X185" s="64">
        <v>-741136.794734</v>
      </c>
      <c r="Y185" s="64">
        <v>-1001748.132004</v>
      </c>
      <c r="Z185" s="64" t="str">
        <f>HYPERLINK("https://www.mapy.cz?st=search&amp;fr=50.45703999 14.36537571")</f>
        <v>https://www.mapy.cz?st=search&amp;fr=50.45703999 14.36537571</v>
      </c>
      <c r="AA185" s="25" t="s">
        <v>602</v>
      </c>
      <c r="AB185" s="60"/>
    </row>
    <row r="186" spans="1:28" ht="35.1" customHeight="1" x14ac:dyDescent="0.25">
      <c r="A186" s="65"/>
      <c r="B186" s="66"/>
      <c r="C186" s="67"/>
      <c r="D186" s="68"/>
      <c r="E186" s="68"/>
      <c r="F186" s="68"/>
      <c r="G186" s="68"/>
      <c r="H186" s="68"/>
      <c r="I186" s="68"/>
      <c r="J186" s="68"/>
      <c r="K186" s="68"/>
      <c r="L186" s="68"/>
      <c r="M186" s="68"/>
      <c r="N186" s="68"/>
      <c r="O186" s="68"/>
      <c r="P186" s="64"/>
      <c r="Q186" s="64"/>
      <c r="R186" s="64"/>
      <c r="S186" s="31" t="s">
        <v>57</v>
      </c>
      <c r="T186" s="35" t="s">
        <v>45</v>
      </c>
      <c r="U186" s="35" t="s">
        <v>34</v>
      </c>
      <c r="V186" s="35" t="s">
        <v>257</v>
      </c>
      <c r="W186" s="64"/>
      <c r="X186" s="64"/>
      <c r="Y186" s="64"/>
      <c r="Z186" s="64"/>
      <c r="AA186" s="20" t="s">
        <v>603</v>
      </c>
      <c r="AB186" s="59"/>
    </row>
    <row r="187" spans="1:28" ht="35.1" customHeight="1" x14ac:dyDescent="0.25">
      <c r="A187" s="65" t="s">
        <v>477</v>
      </c>
      <c r="B187" s="66" t="s">
        <v>68</v>
      </c>
      <c r="C187" s="67" t="s">
        <v>69</v>
      </c>
      <c r="D187" s="68" t="s">
        <v>94</v>
      </c>
      <c r="E187" s="68"/>
      <c r="F187" s="68"/>
      <c r="G187" s="68"/>
      <c r="H187" s="68" t="s">
        <v>131</v>
      </c>
      <c r="I187" s="68" t="s">
        <v>89</v>
      </c>
      <c r="J187" s="68" t="s">
        <v>120</v>
      </c>
      <c r="K187" s="68" t="s">
        <v>32</v>
      </c>
      <c r="L187" s="68" t="s">
        <v>33</v>
      </c>
      <c r="M187" s="68" t="s">
        <v>35</v>
      </c>
      <c r="N187" s="68" t="s">
        <v>35</v>
      </c>
      <c r="O187" s="68" t="s">
        <v>54</v>
      </c>
      <c r="P187" s="64" t="s">
        <v>265</v>
      </c>
      <c r="Q187" s="64" t="s">
        <v>464</v>
      </c>
      <c r="R187" s="64" t="s">
        <v>465</v>
      </c>
      <c r="S187" s="31" t="s">
        <v>57</v>
      </c>
      <c r="T187" s="35" t="s">
        <v>45</v>
      </c>
      <c r="U187" s="35" t="s">
        <v>34</v>
      </c>
      <c r="V187" s="35" t="s">
        <v>257</v>
      </c>
      <c r="W187" s="64" t="str">
        <f>HYPERLINK("https://www.stromypodkontrolou.cz/map/tree/d41bce85-5010-4276-b929-4760db78c679/10147a16-9c5e-486c-aa8a-a472a3e3c101")</f>
        <v>https://www.stromypodkontrolou.cz/map/tree/d41bce85-5010-4276-b929-4760db78c679/10147a16-9c5e-486c-aa8a-a472a3e3c101</v>
      </c>
      <c r="X187" s="64">
        <v>-741136.11361999996</v>
      </c>
      <c r="Y187" s="64">
        <v>-1001756.064118</v>
      </c>
      <c r="Z187" s="64" t="str">
        <f>HYPERLINK("https://www.mapy.cz?st=search&amp;fr=50.45697019 14.36540053")</f>
        <v>https://www.mapy.cz?st=search&amp;fr=50.45697019 14.36540053</v>
      </c>
      <c r="AA187" s="20" t="s">
        <v>603</v>
      </c>
      <c r="AB187" s="59"/>
    </row>
    <row r="188" spans="1:28" ht="35.1" customHeight="1" x14ac:dyDescent="0.25">
      <c r="A188" s="65"/>
      <c r="B188" s="66"/>
      <c r="C188" s="67"/>
      <c r="D188" s="68"/>
      <c r="E188" s="68"/>
      <c r="F188" s="68"/>
      <c r="G188" s="68"/>
      <c r="H188" s="68"/>
      <c r="I188" s="68"/>
      <c r="J188" s="68"/>
      <c r="K188" s="68"/>
      <c r="L188" s="68"/>
      <c r="M188" s="68"/>
      <c r="N188" s="68"/>
      <c r="O188" s="68"/>
      <c r="P188" s="64"/>
      <c r="Q188" s="64"/>
      <c r="R188" s="64"/>
      <c r="S188" s="31" t="s">
        <v>56</v>
      </c>
      <c r="T188" s="35" t="s">
        <v>45</v>
      </c>
      <c r="U188" s="35" t="s">
        <v>34</v>
      </c>
      <c r="V188" s="35"/>
      <c r="W188" s="64"/>
      <c r="X188" s="64"/>
      <c r="Y188" s="64"/>
      <c r="Z188" s="64"/>
      <c r="AA188" s="25" t="s">
        <v>602</v>
      </c>
      <c r="AB188" s="60"/>
    </row>
    <row r="189" spans="1:28" ht="35.1" customHeight="1" x14ac:dyDescent="0.25">
      <c r="A189" s="65" t="s">
        <v>478</v>
      </c>
      <c r="B189" s="66" t="s">
        <v>68</v>
      </c>
      <c r="C189" s="67" t="s">
        <v>69</v>
      </c>
      <c r="D189" s="68" t="s">
        <v>96</v>
      </c>
      <c r="E189" s="68"/>
      <c r="F189" s="68"/>
      <c r="G189" s="68"/>
      <c r="H189" s="68" t="s">
        <v>131</v>
      </c>
      <c r="I189" s="68" t="s">
        <v>89</v>
      </c>
      <c r="J189" s="68" t="s">
        <v>120</v>
      </c>
      <c r="K189" s="68" t="s">
        <v>32</v>
      </c>
      <c r="L189" s="68" t="s">
        <v>33</v>
      </c>
      <c r="M189" s="68" t="s">
        <v>35</v>
      </c>
      <c r="N189" s="68" t="s">
        <v>35</v>
      </c>
      <c r="O189" s="68" t="s">
        <v>54</v>
      </c>
      <c r="P189" s="64" t="s">
        <v>186</v>
      </c>
      <c r="Q189" s="64" t="s">
        <v>464</v>
      </c>
      <c r="R189" s="64" t="s">
        <v>465</v>
      </c>
      <c r="S189" s="31" t="s">
        <v>56</v>
      </c>
      <c r="T189" s="35" t="s">
        <v>45</v>
      </c>
      <c r="U189" s="35" t="s">
        <v>34</v>
      </c>
      <c r="V189" s="35"/>
      <c r="W189" s="64" t="str">
        <f>HYPERLINK("https://www.stromypodkontrolou.cz/map/tree/d41bce85-5010-4276-b929-4760db78c679/1b8ddf04-1c1e-44ef-ae6f-b8a6520883d2")</f>
        <v>https://www.stromypodkontrolou.cz/map/tree/d41bce85-5010-4276-b929-4760db78c679/1b8ddf04-1c1e-44ef-ae6f-b8a6520883d2</v>
      </c>
      <c r="X189" s="64">
        <v>-741135.59262500005</v>
      </c>
      <c r="Y189" s="64">
        <v>-1001762.200376</v>
      </c>
      <c r="Z189" s="64" t="str">
        <f>HYPERLINK("https://www.mapy.cz?st=search&amp;fr=50.45691619 14.36541964")</f>
        <v>https://www.mapy.cz?st=search&amp;fr=50.45691619 14.36541964</v>
      </c>
      <c r="AA189" s="25" t="s">
        <v>602</v>
      </c>
      <c r="AB189" s="60"/>
    </row>
    <row r="190" spans="1:28" ht="35.1" customHeight="1" x14ac:dyDescent="0.25">
      <c r="A190" s="65"/>
      <c r="B190" s="66"/>
      <c r="C190" s="67"/>
      <c r="D190" s="68"/>
      <c r="E190" s="68"/>
      <c r="F190" s="68"/>
      <c r="G190" s="68"/>
      <c r="H190" s="68"/>
      <c r="I190" s="68"/>
      <c r="J190" s="68"/>
      <c r="K190" s="68"/>
      <c r="L190" s="68"/>
      <c r="M190" s="68"/>
      <c r="N190" s="68"/>
      <c r="O190" s="68"/>
      <c r="P190" s="64"/>
      <c r="Q190" s="64"/>
      <c r="R190" s="64"/>
      <c r="S190" s="31" t="s">
        <v>57</v>
      </c>
      <c r="T190" s="35" t="s">
        <v>45</v>
      </c>
      <c r="U190" s="35" t="s">
        <v>34</v>
      </c>
      <c r="V190" s="35" t="s">
        <v>257</v>
      </c>
      <c r="W190" s="64"/>
      <c r="X190" s="64"/>
      <c r="Y190" s="64"/>
      <c r="Z190" s="64"/>
      <c r="AA190" s="20" t="s">
        <v>603</v>
      </c>
      <c r="AB190" s="59"/>
    </row>
    <row r="191" spans="1:28" ht="35.1" customHeight="1" x14ac:dyDescent="0.25">
      <c r="A191" s="65" t="s">
        <v>479</v>
      </c>
      <c r="B191" s="66" t="s">
        <v>68</v>
      </c>
      <c r="C191" s="67" t="s">
        <v>69</v>
      </c>
      <c r="D191" s="68" t="s">
        <v>238</v>
      </c>
      <c r="E191" s="68"/>
      <c r="F191" s="68"/>
      <c r="G191" s="68"/>
      <c r="H191" s="68" t="s">
        <v>131</v>
      </c>
      <c r="I191" s="68" t="s">
        <v>89</v>
      </c>
      <c r="J191" s="68" t="s">
        <v>120</v>
      </c>
      <c r="K191" s="68" t="s">
        <v>32</v>
      </c>
      <c r="L191" s="68" t="s">
        <v>33</v>
      </c>
      <c r="M191" s="68" t="s">
        <v>34</v>
      </c>
      <c r="N191" s="68" t="s">
        <v>35</v>
      </c>
      <c r="O191" s="68" t="s">
        <v>35</v>
      </c>
      <c r="P191" s="64" t="s">
        <v>186</v>
      </c>
      <c r="Q191" s="64" t="s">
        <v>464</v>
      </c>
      <c r="R191" s="64" t="s">
        <v>465</v>
      </c>
      <c r="S191" s="31" t="s">
        <v>57</v>
      </c>
      <c r="T191" s="35" t="s">
        <v>45</v>
      </c>
      <c r="U191" s="35" t="s">
        <v>34</v>
      </c>
      <c r="V191" s="35" t="s">
        <v>257</v>
      </c>
      <c r="W191" s="64" t="str">
        <f>HYPERLINK("https://www.stromypodkontrolou.cz/map/tree/d41bce85-5010-4276-b929-4760db78c679/3aa0092c-8312-41a5-83ad-64de2d424ff9")</f>
        <v>https://www.stromypodkontrolou.cz/map/tree/d41bce85-5010-4276-b929-4760db78c679/3aa0092c-8312-41a5-83ad-64de2d424ff9</v>
      </c>
      <c r="X191" s="64">
        <v>-741135.45775900001</v>
      </c>
      <c r="Y191" s="64">
        <v>-1001765.047389</v>
      </c>
      <c r="Z191" s="64" t="str">
        <f>HYPERLINK("https://www.mapy.cz?st=search&amp;fr=50.45689100 14.36542701")</f>
        <v>https://www.mapy.cz?st=search&amp;fr=50.45689100 14.36542701</v>
      </c>
      <c r="AA191" s="20" t="s">
        <v>603</v>
      </c>
      <c r="AB191" s="59"/>
    </row>
    <row r="192" spans="1:28" ht="35.1" customHeight="1" x14ac:dyDescent="0.25">
      <c r="A192" s="65"/>
      <c r="B192" s="66"/>
      <c r="C192" s="67"/>
      <c r="D192" s="68"/>
      <c r="E192" s="68"/>
      <c r="F192" s="68"/>
      <c r="G192" s="68"/>
      <c r="H192" s="68"/>
      <c r="I192" s="68"/>
      <c r="J192" s="68"/>
      <c r="K192" s="68"/>
      <c r="L192" s="68"/>
      <c r="M192" s="68"/>
      <c r="N192" s="68"/>
      <c r="O192" s="68"/>
      <c r="P192" s="64"/>
      <c r="Q192" s="64"/>
      <c r="R192" s="64"/>
      <c r="S192" s="31" t="s">
        <v>56</v>
      </c>
      <c r="T192" s="35" t="s">
        <v>45</v>
      </c>
      <c r="U192" s="35" t="s">
        <v>34</v>
      </c>
      <c r="V192" s="35"/>
      <c r="W192" s="64"/>
      <c r="X192" s="64"/>
      <c r="Y192" s="64"/>
      <c r="Z192" s="64"/>
      <c r="AA192" s="25" t="s">
        <v>602</v>
      </c>
      <c r="AB192" s="60"/>
    </row>
    <row r="193" spans="1:28" ht="35.1" customHeight="1" x14ac:dyDescent="0.25">
      <c r="A193" s="32" t="s">
        <v>480</v>
      </c>
      <c r="B193" s="33" t="s">
        <v>68</v>
      </c>
      <c r="C193" s="34" t="s">
        <v>69</v>
      </c>
      <c r="D193" s="35" t="s">
        <v>111</v>
      </c>
      <c r="E193" s="35"/>
      <c r="F193" s="35"/>
      <c r="G193" s="35"/>
      <c r="H193" s="35" t="s">
        <v>131</v>
      </c>
      <c r="I193" s="35" t="s">
        <v>89</v>
      </c>
      <c r="J193" s="35" t="s">
        <v>120</v>
      </c>
      <c r="K193" s="35" t="s">
        <v>32</v>
      </c>
      <c r="L193" s="35" t="s">
        <v>74</v>
      </c>
      <c r="M193" s="35" t="s">
        <v>34</v>
      </c>
      <c r="N193" s="35" t="s">
        <v>35</v>
      </c>
      <c r="O193" s="35" t="s">
        <v>54</v>
      </c>
      <c r="P193" s="31" t="s">
        <v>186</v>
      </c>
      <c r="Q193" s="31" t="s">
        <v>464</v>
      </c>
      <c r="R193" s="31" t="s">
        <v>465</v>
      </c>
      <c r="S193" s="31" t="s">
        <v>56</v>
      </c>
      <c r="T193" s="35" t="s">
        <v>45</v>
      </c>
      <c r="U193" s="35" t="s">
        <v>34</v>
      </c>
      <c r="V193" s="35"/>
      <c r="W193" s="31" t="str">
        <f>HYPERLINK("https://www.stromypodkontrolou.cz/map/tree/d41bce85-5010-4276-b929-4760db78c679/174e134f-358d-4122-9454-5364528b354f")</f>
        <v>https://www.stromypodkontrolou.cz/map/tree/d41bce85-5010-4276-b929-4760db78c679/174e134f-358d-4122-9454-5364528b354f</v>
      </c>
      <c r="X193" s="31">
        <v>-741135.32289299998</v>
      </c>
      <c r="Y193" s="31">
        <v>-1001767.894403</v>
      </c>
      <c r="Z193" s="31" t="str">
        <f>HYPERLINK("https://www.mapy.cz?st=search&amp;fr=50.45686581 14.36543439")</f>
        <v>https://www.mapy.cz?st=search&amp;fr=50.45686581 14.36543439</v>
      </c>
      <c r="AA193" s="25" t="s">
        <v>602</v>
      </c>
      <c r="AB193" s="60"/>
    </row>
    <row r="194" spans="1:28" ht="35.1" customHeight="1" x14ac:dyDescent="0.25">
      <c r="A194" s="32" t="s">
        <v>481</v>
      </c>
      <c r="B194" s="33" t="s">
        <v>68</v>
      </c>
      <c r="C194" s="34" t="s">
        <v>69</v>
      </c>
      <c r="D194" s="35" t="s">
        <v>94</v>
      </c>
      <c r="E194" s="35"/>
      <c r="F194" s="35"/>
      <c r="G194" s="35"/>
      <c r="H194" s="35" t="s">
        <v>166</v>
      </c>
      <c r="I194" s="35" t="s">
        <v>43</v>
      </c>
      <c r="J194" s="35" t="s">
        <v>129</v>
      </c>
      <c r="K194" s="35" t="s">
        <v>32</v>
      </c>
      <c r="L194" s="35" t="s">
        <v>33</v>
      </c>
      <c r="M194" s="35" t="s">
        <v>35</v>
      </c>
      <c r="N194" s="35" t="s">
        <v>54</v>
      </c>
      <c r="O194" s="35" t="s">
        <v>54</v>
      </c>
      <c r="P194" s="31" t="s">
        <v>186</v>
      </c>
      <c r="Q194" s="31" t="s">
        <v>464</v>
      </c>
      <c r="R194" s="31" t="s">
        <v>465</v>
      </c>
      <c r="S194" s="31" t="s">
        <v>56</v>
      </c>
      <c r="T194" s="35" t="s">
        <v>45</v>
      </c>
      <c r="U194" s="35" t="s">
        <v>34</v>
      </c>
      <c r="V194" s="35"/>
      <c r="W194" s="31" t="str">
        <f>HYPERLINK("https://www.stromypodkontrolou.cz/map/tree/d41bce85-5010-4276-b929-4760db78c679/a7c8ff4f-856e-4007-918f-6456a0e8a117")</f>
        <v>https://www.stromypodkontrolou.cz/map/tree/d41bce85-5010-4276-b929-4760db78c679/a7c8ff4f-856e-4007-918f-6456a0e8a117</v>
      </c>
      <c r="X194" s="31">
        <v>-741133.74561700004</v>
      </c>
      <c r="Y194" s="31">
        <v>-1001716.364877</v>
      </c>
      <c r="Z194" s="31" t="str">
        <f>HYPERLINK("https://www.mapy.cz?st=search&amp;fr=50.45732665 14.36535694")</f>
        <v>https://www.mapy.cz?st=search&amp;fr=50.45732665 14.36535694</v>
      </c>
      <c r="AA194" s="25" t="s">
        <v>602</v>
      </c>
      <c r="AB194" s="60"/>
    </row>
    <row r="195" spans="1:28" ht="35.1" customHeight="1" x14ac:dyDescent="0.25">
      <c r="A195" s="32" t="s">
        <v>482</v>
      </c>
      <c r="B195" s="33" t="s">
        <v>68</v>
      </c>
      <c r="C195" s="34" t="s">
        <v>69</v>
      </c>
      <c r="D195" s="35" t="s">
        <v>41</v>
      </c>
      <c r="E195" s="35"/>
      <c r="F195" s="35"/>
      <c r="G195" s="35"/>
      <c r="H195" s="35" t="s">
        <v>176</v>
      </c>
      <c r="I195" s="35" t="s">
        <v>81</v>
      </c>
      <c r="J195" s="35" t="s">
        <v>120</v>
      </c>
      <c r="K195" s="35" t="s">
        <v>32</v>
      </c>
      <c r="L195" s="35" t="s">
        <v>33</v>
      </c>
      <c r="M195" s="35" t="s">
        <v>35</v>
      </c>
      <c r="N195" s="35" t="s">
        <v>35</v>
      </c>
      <c r="O195" s="35" t="s">
        <v>54</v>
      </c>
      <c r="P195" s="31" t="s">
        <v>36</v>
      </c>
      <c r="Q195" s="31" t="s">
        <v>464</v>
      </c>
      <c r="R195" s="31" t="s">
        <v>465</v>
      </c>
      <c r="S195" s="31" t="s">
        <v>56</v>
      </c>
      <c r="T195" s="35" t="s">
        <v>45</v>
      </c>
      <c r="U195" s="35" t="s">
        <v>35</v>
      </c>
      <c r="V195" s="35"/>
      <c r="W195" s="31" t="str">
        <f>HYPERLINK("https://www.stromypodkontrolou.cz/map/tree/d41bce85-5010-4276-b929-4760db78c679/a7c6a936-57fa-4bae-9a0d-e7f5801221fc")</f>
        <v>https://www.stromypodkontrolou.cz/map/tree/d41bce85-5010-4276-b929-4760db78c679/a7c6a936-57fa-4bae-9a0d-e7f5801221fc</v>
      </c>
      <c r="X195" s="31">
        <v>-741133.526388</v>
      </c>
      <c r="Y195" s="31">
        <v>-1001693.9350769999</v>
      </c>
      <c r="Z195" s="31" t="str">
        <f>HYPERLINK("https://www.mapy.cz?st=search&amp;fr=50.45752667 14.36531671")</f>
        <v>https://www.mapy.cz?st=search&amp;fr=50.45752667 14.36531671</v>
      </c>
      <c r="AA195" s="25" t="s">
        <v>602</v>
      </c>
      <c r="AB195" s="60"/>
    </row>
    <row r="196" spans="1:28" ht="35.1" customHeight="1" x14ac:dyDescent="0.25">
      <c r="A196" s="65" t="s">
        <v>483</v>
      </c>
      <c r="B196" s="66" t="s">
        <v>68</v>
      </c>
      <c r="C196" s="67" t="s">
        <v>69</v>
      </c>
      <c r="D196" s="68" t="s">
        <v>240</v>
      </c>
      <c r="E196" s="68"/>
      <c r="F196" s="68"/>
      <c r="G196" s="68"/>
      <c r="H196" s="68" t="s">
        <v>146</v>
      </c>
      <c r="I196" s="68" t="s">
        <v>81</v>
      </c>
      <c r="J196" s="68" t="s">
        <v>113</v>
      </c>
      <c r="K196" s="68" t="s">
        <v>32</v>
      </c>
      <c r="L196" s="68" t="s">
        <v>74</v>
      </c>
      <c r="M196" s="68" t="s">
        <v>35</v>
      </c>
      <c r="N196" s="68" t="s">
        <v>35</v>
      </c>
      <c r="O196" s="68" t="s">
        <v>54</v>
      </c>
      <c r="P196" s="64" t="s">
        <v>484</v>
      </c>
      <c r="Q196" s="64" t="s">
        <v>464</v>
      </c>
      <c r="R196" s="64" t="s">
        <v>465</v>
      </c>
      <c r="S196" s="31" t="s">
        <v>57</v>
      </c>
      <c r="T196" s="35" t="s">
        <v>45</v>
      </c>
      <c r="U196" s="35" t="s">
        <v>34</v>
      </c>
      <c r="V196" s="35" t="s">
        <v>257</v>
      </c>
      <c r="W196" s="64" t="str">
        <f>HYPERLINK("https://www.stromypodkontrolou.cz/map/tree/d41bce85-5010-4276-b929-4760db78c679/c3cab303-cc03-4a00-89b0-3870c652df6a")</f>
        <v>https://www.stromypodkontrolou.cz/map/tree/d41bce85-5010-4276-b929-4760db78c679/c3cab303-cc03-4a00-89b0-3870c652df6a</v>
      </c>
      <c r="X196" s="64">
        <v>-741139.45290300006</v>
      </c>
      <c r="Y196" s="64">
        <v>-1001674.059952</v>
      </c>
      <c r="Z196" s="64" t="str">
        <f>HYPERLINK("https://www.mapy.cz?st=search&amp;fr=50.45769637 14.36519567")</f>
        <v>https://www.mapy.cz?st=search&amp;fr=50.45769637 14.36519567</v>
      </c>
      <c r="AA196" s="20" t="s">
        <v>603</v>
      </c>
      <c r="AB196" s="59"/>
    </row>
    <row r="197" spans="1:28" ht="35.1" customHeight="1" x14ac:dyDescent="0.25">
      <c r="A197" s="65"/>
      <c r="B197" s="66"/>
      <c r="C197" s="67"/>
      <c r="D197" s="68"/>
      <c r="E197" s="68"/>
      <c r="F197" s="68"/>
      <c r="G197" s="68"/>
      <c r="H197" s="68"/>
      <c r="I197" s="68"/>
      <c r="J197" s="68"/>
      <c r="K197" s="68"/>
      <c r="L197" s="68"/>
      <c r="M197" s="68"/>
      <c r="N197" s="68"/>
      <c r="O197" s="68"/>
      <c r="P197" s="64"/>
      <c r="Q197" s="64"/>
      <c r="R197" s="64"/>
      <c r="S197" s="31" t="s">
        <v>56</v>
      </c>
      <c r="T197" s="35" t="s">
        <v>45</v>
      </c>
      <c r="U197" s="35" t="s">
        <v>34</v>
      </c>
      <c r="V197" s="35"/>
      <c r="W197" s="64"/>
      <c r="X197" s="64"/>
      <c r="Y197" s="64"/>
      <c r="Z197" s="64"/>
      <c r="AA197" s="25" t="s">
        <v>602</v>
      </c>
      <c r="AB197" s="60"/>
    </row>
    <row r="198" spans="1:28" ht="35.1" customHeight="1" x14ac:dyDescent="0.25">
      <c r="A198" s="65" t="s">
        <v>485</v>
      </c>
      <c r="B198" s="66" t="s">
        <v>68</v>
      </c>
      <c r="C198" s="67" t="s">
        <v>69</v>
      </c>
      <c r="D198" s="68" t="s">
        <v>123</v>
      </c>
      <c r="E198" s="68"/>
      <c r="F198" s="68"/>
      <c r="G198" s="68"/>
      <c r="H198" s="68" t="s">
        <v>146</v>
      </c>
      <c r="I198" s="68" t="s">
        <v>81</v>
      </c>
      <c r="J198" s="68" t="s">
        <v>113</v>
      </c>
      <c r="K198" s="68" t="s">
        <v>32</v>
      </c>
      <c r="L198" s="68" t="s">
        <v>74</v>
      </c>
      <c r="M198" s="68" t="s">
        <v>35</v>
      </c>
      <c r="N198" s="68" t="s">
        <v>54</v>
      </c>
      <c r="O198" s="68" t="s">
        <v>54</v>
      </c>
      <c r="P198" s="64" t="s">
        <v>170</v>
      </c>
      <c r="Q198" s="64" t="s">
        <v>464</v>
      </c>
      <c r="R198" s="64" t="s">
        <v>465</v>
      </c>
      <c r="S198" s="31" t="s">
        <v>85</v>
      </c>
      <c r="T198" s="35" t="s">
        <v>45</v>
      </c>
      <c r="U198" s="35" t="s">
        <v>34</v>
      </c>
      <c r="V198" s="35" t="s">
        <v>158</v>
      </c>
      <c r="W198" s="64" t="str">
        <f>HYPERLINK("https://www.stromypodkontrolou.cz/map/tree/d41bce85-5010-4276-b929-4760db78c679/c3a3a22d-3270-4dc1-823f-d5a5c04c42f4")</f>
        <v>https://www.stromypodkontrolou.cz/map/tree/d41bce85-5010-4276-b929-4760db78c679/c3a3a22d-3270-4dc1-823f-d5a5c04c42f4</v>
      </c>
      <c r="X198" s="64">
        <v>-741139.29446500004</v>
      </c>
      <c r="Y198" s="64">
        <v>-1001676.910182</v>
      </c>
      <c r="Z198" s="64" t="str">
        <f>HYPERLINK("https://www.mapy.cz?st=search&amp;fr=50.45767118 14.36520338")</f>
        <v>https://www.mapy.cz?st=search&amp;fr=50.45767118 14.36520338</v>
      </c>
      <c r="AA198" s="20" t="s">
        <v>601</v>
      </c>
      <c r="AB198" s="59"/>
    </row>
    <row r="199" spans="1:28" ht="35.1" customHeight="1" x14ac:dyDescent="0.25">
      <c r="A199" s="65"/>
      <c r="B199" s="66"/>
      <c r="C199" s="67"/>
      <c r="D199" s="68"/>
      <c r="E199" s="68"/>
      <c r="F199" s="68"/>
      <c r="G199" s="68"/>
      <c r="H199" s="68"/>
      <c r="I199" s="68"/>
      <c r="J199" s="68"/>
      <c r="K199" s="68"/>
      <c r="L199" s="68"/>
      <c r="M199" s="68"/>
      <c r="N199" s="68"/>
      <c r="O199" s="68"/>
      <c r="P199" s="64"/>
      <c r="Q199" s="64"/>
      <c r="R199" s="64"/>
      <c r="S199" s="31" t="s">
        <v>56</v>
      </c>
      <c r="T199" s="35" t="s">
        <v>45</v>
      </c>
      <c r="U199" s="35" t="s">
        <v>34</v>
      </c>
      <c r="V199" s="35"/>
      <c r="W199" s="64"/>
      <c r="X199" s="64"/>
      <c r="Y199" s="64"/>
      <c r="Z199" s="64"/>
      <c r="AA199" s="25" t="s">
        <v>602</v>
      </c>
      <c r="AB199" s="60"/>
    </row>
    <row r="200" spans="1:28" ht="35.1" customHeight="1" x14ac:dyDescent="0.25">
      <c r="A200" s="32" t="s">
        <v>486</v>
      </c>
      <c r="B200" s="33" t="s">
        <v>68</v>
      </c>
      <c r="C200" s="34" t="s">
        <v>69</v>
      </c>
      <c r="D200" s="35" t="s">
        <v>103</v>
      </c>
      <c r="E200" s="35"/>
      <c r="F200" s="35"/>
      <c r="G200" s="35"/>
      <c r="H200" s="35" t="s">
        <v>146</v>
      </c>
      <c r="I200" s="35" t="s">
        <v>81</v>
      </c>
      <c r="J200" s="35" t="s">
        <v>113</v>
      </c>
      <c r="K200" s="35" t="s">
        <v>32</v>
      </c>
      <c r="L200" s="35" t="s">
        <v>74</v>
      </c>
      <c r="M200" s="35" t="s">
        <v>35</v>
      </c>
      <c r="N200" s="35" t="s">
        <v>54</v>
      </c>
      <c r="O200" s="35" t="s">
        <v>54</v>
      </c>
      <c r="P200" s="31" t="s">
        <v>186</v>
      </c>
      <c r="Q200" s="31" t="s">
        <v>464</v>
      </c>
      <c r="R200" s="31" t="s">
        <v>465</v>
      </c>
      <c r="S200" s="31" t="s">
        <v>56</v>
      </c>
      <c r="T200" s="35" t="s">
        <v>45</v>
      </c>
      <c r="U200" s="35" t="s">
        <v>35</v>
      </c>
      <c r="V200" s="35"/>
      <c r="W200" s="31" t="str">
        <f>HYPERLINK("https://www.stromypodkontrolou.cz/map/tree/d41bce85-5010-4276-b929-4760db78c679/4f0253ec-0a85-4172-a50e-81bb9553e2e4")</f>
        <v>https://www.stromypodkontrolou.cz/map/tree/d41bce85-5010-4276-b929-4760db78c679/4f0253ec-0a85-4172-a50e-81bb9553e2e4</v>
      </c>
      <c r="X200" s="31">
        <v>-741139.24749900005</v>
      </c>
      <c r="Y200" s="31">
        <v>-1001681.087239</v>
      </c>
      <c r="Z200" s="31" t="str">
        <f>HYPERLINK("https://www.mapy.cz?st=search&amp;fr=50.45763404 14.36521210")</f>
        <v>https://www.mapy.cz?st=search&amp;fr=50.45763404 14.36521210</v>
      </c>
      <c r="AA200" s="25" t="s">
        <v>602</v>
      </c>
      <c r="AB200" s="60"/>
    </row>
    <row r="201" spans="1:28" ht="35.1" customHeight="1" x14ac:dyDescent="0.25">
      <c r="A201" s="32" t="s">
        <v>487</v>
      </c>
      <c r="B201" s="33" t="s">
        <v>68</v>
      </c>
      <c r="C201" s="34" t="s">
        <v>69</v>
      </c>
      <c r="D201" s="35" t="s">
        <v>238</v>
      </c>
      <c r="E201" s="35"/>
      <c r="F201" s="35"/>
      <c r="G201" s="35"/>
      <c r="H201" s="35" t="s">
        <v>146</v>
      </c>
      <c r="I201" s="35" t="s">
        <v>81</v>
      </c>
      <c r="J201" s="35" t="s">
        <v>113</v>
      </c>
      <c r="K201" s="35" t="s">
        <v>32</v>
      </c>
      <c r="L201" s="35" t="s">
        <v>33</v>
      </c>
      <c r="M201" s="35" t="s">
        <v>34</v>
      </c>
      <c r="N201" s="35" t="s">
        <v>35</v>
      </c>
      <c r="O201" s="35" t="s">
        <v>35</v>
      </c>
      <c r="P201" s="31"/>
      <c r="Q201" s="31" t="s">
        <v>464</v>
      </c>
      <c r="R201" s="31" t="s">
        <v>465</v>
      </c>
      <c r="S201" s="31" t="s">
        <v>56</v>
      </c>
      <c r="T201" s="35" t="s">
        <v>45</v>
      </c>
      <c r="U201" s="35" t="s">
        <v>35</v>
      </c>
      <c r="V201" s="35"/>
      <c r="W201" s="31" t="str">
        <f>HYPERLINK("https://www.stromypodkontrolou.cz/map/tree/d41bce85-5010-4276-b929-4760db78c679/84455219-fcdc-4a0a-89fa-5c7a639a6033")</f>
        <v>https://www.stromypodkontrolou.cz/map/tree/d41bce85-5010-4276-b929-4760db78c679/84455219-fcdc-4a0a-89fa-5c7a639a6033</v>
      </c>
      <c r="X201" s="31">
        <v>-741150.39718099998</v>
      </c>
      <c r="Y201" s="31">
        <v>-1001566.772793</v>
      </c>
      <c r="Z201" s="31" t="str">
        <f>HYPERLINK("https://www.mapy.cz?st=search&amp;fr=50.45863832 14.36483592")</f>
        <v>https://www.mapy.cz?st=search&amp;fr=50.45863832 14.36483592</v>
      </c>
      <c r="AA201" s="25" t="s">
        <v>602</v>
      </c>
      <c r="AB201" s="60"/>
    </row>
    <row r="202" spans="1:28" ht="35.1" customHeight="1" x14ac:dyDescent="0.25">
      <c r="A202" s="32" t="s">
        <v>488</v>
      </c>
      <c r="B202" s="33" t="s">
        <v>68</v>
      </c>
      <c r="C202" s="34" t="s">
        <v>69</v>
      </c>
      <c r="D202" s="35" t="s">
        <v>201</v>
      </c>
      <c r="E202" s="35"/>
      <c r="F202" s="35"/>
      <c r="G202" s="35"/>
      <c r="H202" s="35" t="s">
        <v>146</v>
      </c>
      <c r="I202" s="35" t="s">
        <v>81</v>
      </c>
      <c r="J202" s="35" t="s">
        <v>71</v>
      </c>
      <c r="K202" s="35" t="s">
        <v>32</v>
      </c>
      <c r="L202" s="35" t="s">
        <v>74</v>
      </c>
      <c r="M202" s="35" t="s">
        <v>35</v>
      </c>
      <c r="N202" s="35" t="s">
        <v>35</v>
      </c>
      <c r="O202" s="35" t="s">
        <v>54</v>
      </c>
      <c r="P202" s="31" t="s">
        <v>136</v>
      </c>
      <c r="Q202" s="31" t="s">
        <v>464</v>
      </c>
      <c r="R202" s="31" t="s">
        <v>465</v>
      </c>
      <c r="S202" s="31" t="s">
        <v>56</v>
      </c>
      <c r="T202" s="35" t="s">
        <v>45</v>
      </c>
      <c r="U202" s="35" t="s">
        <v>35</v>
      </c>
      <c r="V202" s="35"/>
      <c r="W202" s="31" t="str">
        <f>HYPERLINK("https://www.stromypodkontrolou.cz/map/tree/d41bce85-5010-4276-b929-4760db78c679/f4beed44-ca7b-4c0e-8041-3284da7d3507")</f>
        <v>https://www.stromypodkontrolou.cz/map/tree/d41bce85-5010-4276-b929-4760db78c679/f4beed44-ca7b-4c0e-8041-3284da7d3507</v>
      </c>
      <c r="X202" s="31">
        <v>-741150.08944100002</v>
      </c>
      <c r="Y202" s="31">
        <v>-1001575.491888</v>
      </c>
      <c r="Z202" s="31" t="str">
        <f>HYPERLINK("https://www.mapy.cz?st=search&amp;fr=50.45856105 14.36485704")</f>
        <v>https://www.mapy.cz?st=search&amp;fr=50.45856105 14.36485704</v>
      </c>
      <c r="AA202" s="25" t="s">
        <v>602</v>
      </c>
      <c r="AB202" s="60"/>
    </row>
    <row r="203" spans="1:28" ht="35.1" customHeight="1" x14ac:dyDescent="0.25">
      <c r="A203" s="32" t="s">
        <v>489</v>
      </c>
      <c r="B203" s="33" t="s">
        <v>68</v>
      </c>
      <c r="C203" s="34" t="s">
        <v>69</v>
      </c>
      <c r="D203" s="35" t="s">
        <v>455</v>
      </c>
      <c r="E203" s="35"/>
      <c r="F203" s="35"/>
      <c r="G203" s="35"/>
      <c r="H203" s="35" t="s">
        <v>146</v>
      </c>
      <c r="I203" s="35" t="s">
        <v>81</v>
      </c>
      <c r="J203" s="35" t="s">
        <v>71</v>
      </c>
      <c r="K203" s="35" t="s">
        <v>32</v>
      </c>
      <c r="L203" s="35" t="s">
        <v>74</v>
      </c>
      <c r="M203" s="35" t="s">
        <v>35</v>
      </c>
      <c r="N203" s="35" t="s">
        <v>35</v>
      </c>
      <c r="O203" s="35" t="s">
        <v>54</v>
      </c>
      <c r="P203" s="31" t="s">
        <v>490</v>
      </c>
      <c r="Q203" s="31" t="s">
        <v>464</v>
      </c>
      <c r="R203" s="31" t="s">
        <v>468</v>
      </c>
      <c r="S203" s="31" t="s">
        <v>56</v>
      </c>
      <c r="T203" s="35" t="s">
        <v>45</v>
      </c>
      <c r="U203" s="35" t="s">
        <v>34</v>
      </c>
      <c r="V203" s="35"/>
      <c r="W203" s="31" t="str">
        <f>HYPERLINK("https://www.stromypodkontrolou.cz/map/tree/d41bce85-5010-4276-b929-4760db78c679/ec1a1335-0b09-4808-ade2-b37eb394f690")</f>
        <v>https://www.stromypodkontrolou.cz/map/tree/d41bce85-5010-4276-b929-4760db78c679/ec1a1335-0b09-4808-ade2-b37eb394f690</v>
      </c>
      <c r="X203" s="31">
        <v>-741149.33150900004</v>
      </c>
      <c r="Y203" s="31">
        <v>-1001590.3372759999</v>
      </c>
      <c r="Z203" s="31" t="str">
        <f>HYPERLINK("https://www.mapy.cz?st=search&amp;fr=50.45842978 14.36489627")</f>
        <v>https://www.mapy.cz?st=search&amp;fr=50.45842978 14.36489627</v>
      </c>
      <c r="AA203" s="25" t="s">
        <v>602</v>
      </c>
      <c r="AB203" s="60"/>
    </row>
    <row r="204" spans="1:28" ht="35.1" customHeight="1" x14ac:dyDescent="0.25">
      <c r="A204" s="65" t="s">
        <v>491</v>
      </c>
      <c r="B204" s="66" t="s">
        <v>68</v>
      </c>
      <c r="C204" s="67" t="s">
        <v>69</v>
      </c>
      <c r="D204" s="68" t="s">
        <v>108</v>
      </c>
      <c r="E204" s="68"/>
      <c r="F204" s="68"/>
      <c r="G204" s="68"/>
      <c r="H204" s="68" t="s">
        <v>146</v>
      </c>
      <c r="I204" s="68" t="s">
        <v>81</v>
      </c>
      <c r="J204" s="68" t="s">
        <v>71</v>
      </c>
      <c r="K204" s="68" t="s">
        <v>32</v>
      </c>
      <c r="L204" s="68" t="s">
        <v>74</v>
      </c>
      <c r="M204" s="68" t="s">
        <v>35</v>
      </c>
      <c r="N204" s="68" t="s">
        <v>54</v>
      </c>
      <c r="O204" s="68" t="s">
        <v>54</v>
      </c>
      <c r="P204" s="64" t="s">
        <v>490</v>
      </c>
      <c r="Q204" s="64" t="s">
        <v>464</v>
      </c>
      <c r="R204" s="64" t="s">
        <v>468</v>
      </c>
      <c r="S204" s="31" t="s">
        <v>85</v>
      </c>
      <c r="T204" s="35" t="s">
        <v>45</v>
      </c>
      <c r="U204" s="35" t="s">
        <v>34</v>
      </c>
      <c r="V204" s="35" t="s">
        <v>86</v>
      </c>
      <c r="W204" s="64" t="str">
        <f>HYPERLINK("https://www.stromypodkontrolou.cz/map/tree/d41bce85-5010-4276-b929-4760db78c679/96045929-b579-4f24-bc41-86078c20f15a")</f>
        <v>https://www.stromypodkontrolou.cz/map/tree/d41bce85-5010-4276-b929-4760db78c679/96045929-b579-4f24-bc41-86078c20f15a</v>
      </c>
      <c r="X204" s="64">
        <v>-741148.968444</v>
      </c>
      <c r="Y204" s="64">
        <v>-1001598.6566</v>
      </c>
      <c r="Z204" s="64" t="str">
        <f>HYPERLINK("https://www.mapy.cz?st=search&amp;fr=50.45835614 14.36491739")</f>
        <v>https://www.mapy.cz?st=search&amp;fr=50.45835614 14.36491739</v>
      </c>
      <c r="AA204" s="20" t="s">
        <v>601</v>
      </c>
      <c r="AB204" s="59"/>
    </row>
    <row r="205" spans="1:28" ht="35.1" customHeight="1" x14ac:dyDescent="0.25">
      <c r="A205" s="65"/>
      <c r="B205" s="66"/>
      <c r="C205" s="67"/>
      <c r="D205" s="68"/>
      <c r="E205" s="68"/>
      <c r="F205" s="68"/>
      <c r="G205" s="68"/>
      <c r="H205" s="68"/>
      <c r="I205" s="68"/>
      <c r="J205" s="68"/>
      <c r="K205" s="68"/>
      <c r="L205" s="68"/>
      <c r="M205" s="68"/>
      <c r="N205" s="68"/>
      <c r="O205" s="68"/>
      <c r="P205" s="64"/>
      <c r="Q205" s="64"/>
      <c r="R205" s="64"/>
      <c r="S205" s="31" t="s">
        <v>56</v>
      </c>
      <c r="T205" s="35" t="s">
        <v>45</v>
      </c>
      <c r="U205" s="35" t="s">
        <v>34</v>
      </c>
      <c r="V205" s="35"/>
      <c r="W205" s="64"/>
      <c r="X205" s="64"/>
      <c r="Y205" s="64"/>
      <c r="Z205" s="64"/>
      <c r="AA205" s="25" t="s">
        <v>602</v>
      </c>
      <c r="AB205" s="60"/>
    </row>
    <row r="206" spans="1:28" ht="35.1" customHeight="1" x14ac:dyDescent="0.25">
      <c r="A206" s="32" t="s">
        <v>492</v>
      </c>
      <c r="B206" s="33" t="s">
        <v>68</v>
      </c>
      <c r="C206" s="34" t="s">
        <v>69</v>
      </c>
      <c r="D206" s="35" t="s">
        <v>240</v>
      </c>
      <c r="E206" s="35"/>
      <c r="F206" s="35"/>
      <c r="G206" s="35"/>
      <c r="H206" s="35" t="s">
        <v>146</v>
      </c>
      <c r="I206" s="35" t="s">
        <v>81</v>
      </c>
      <c r="J206" s="35" t="s">
        <v>31</v>
      </c>
      <c r="K206" s="35" t="s">
        <v>32</v>
      </c>
      <c r="L206" s="35" t="s">
        <v>33</v>
      </c>
      <c r="M206" s="35" t="s">
        <v>35</v>
      </c>
      <c r="N206" s="35" t="s">
        <v>54</v>
      </c>
      <c r="O206" s="35" t="s">
        <v>54</v>
      </c>
      <c r="P206" s="31" t="s">
        <v>338</v>
      </c>
      <c r="Q206" s="31" t="s">
        <v>464</v>
      </c>
      <c r="R206" s="31" t="s">
        <v>468</v>
      </c>
      <c r="S206" s="31" t="s">
        <v>56</v>
      </c>
      <c r="T206" s="35" t="s">
        <v>45</v>
      </c>
      <c r="U206" s="35" t="s">
        <v>34</v>
      </c>
      <c r="V206" s="35"/>
      <c r="W206" s="31" t="str">
        <f>HYPERLINK("https://www.stromypodkontrolou.cz/map/tree/d41bce85-5010-4276-b929-4760db78c679/61d0c28a-aeb5-4dbc-a2e1-4bec7ef3f48e")</f>
        <v>https://www.stromypodkontrolou.cz/map/tree/d41bce85-5010-4276-b929-4760db78c679/61d0c28a-aeb5-4dbc-a2e1-4bec7ef3f48e</v>
      </c>
      <c r="X206" s="31">
        <v>-741148.96697800001</v>
      </c>
      <c r="Y206" s="31">
        <v>-1001601.7726950001</v>
      </c>
      <c r="Z206" s="31" t="str">
        <f>HYPERLINK("https://www.mapy.cz?st=search&amp;fr=50.45832839 14.36492343")</f>
        <v>https://www.mapy.cz?st=search&amp;fr=50.45832839 14.36492343</v>
      </c>
      <c r="AA206" s="25" t="s">
        <v>602</v>
      </c>
      <c r="AB206" s="60"/>
    </row>
    <row r="207" spans="1:28" ht="35.1" customHeight="1" x14ac:dyDescent="0.25">
      <c r="A207" s="32" t="s">
        <v>493</v>
      </c>
      <c r="B207" s="33" t="s">
        <v>68</v>
      </c>
      <c r="C207" s="34" t="s">
        <v>69</v>
      </c>
      <c r="D207" s="35" t="s">
        <v>76</v>
      </c>
      <c r="E207" s="35"/>
      <c r="F207" s="35"/>
      <c r="G207" s="35"/>
      <c r="H207" s="35" t="s">
        <v>146</v>
      </c>
      <c r="I207" s="35" t="s">
        <v>81</v>
      </c>
      <c r="J207" s="35" t="s">
        <v>31</v>
      </c>
      <c r="K207" s="35" t="s">
        <v>32</v>
      </c>
      <c r="L207" s="35" t="s">
        <v>33</v>
      </c>
      <c r="M207" s="35" t="s">
        <v>35</v>
      </c>
      <c r="N207" s="35" t="s">
        <v>54</v>
      </c>
      <c r="O207" s="35" t="s">
        <v>54</v>
      </c>
      <c r="P207" s="31" t="s">
        <v>139</v>
      </c>
      <c r="Q207" s="31" t="s">
        <v>464</v>
      </c>
      <c r="R207" s="31" t="s">
        <v>468</v>
      </c>
      <c r="S207" s="31" t="s">
        <v>56</v>
      </c>
      <c r="T207" s="35" t="s">
        <v>45</v>
      </c>
      <c r="U207" s="35" t="s">
        <v>34</v>
      </c>
      <c r="V207" s="35"/>
      <c r="W207" s="31" t="str">
        <f>HYPERLINK("https://www.stromypodkontrolou.cz/map/tree/d41bce85-5010-4276-b929-4760db78c679/2846bfb8-bdfe-4b95-ba95-6a0f098c46e4")</f>
        <v>https://www.stromypodkontrolou.cz/map/tree/d41bce85-5010-4276-b929-4760db78c679/2846bfb8-bdfe-4b95-ba95-6a0f098c46e4</v>
      </c>
      <c r="X207" s="31">
        <v>-741148.55012899998</v>
      </c>
      <c r="Y207" s="31">
        <v>-1001607.966286</v>
      </c>
      <c r="Z207" s="31" t="str">
        <f>HYPERLINK("https://www.mapy.cz?st=search&amp;fr=50.45827375 14.36494120")</f>
        <v>https://www.mapy.cz?st=search&amp;fr=50.45827375 14.36494120</v>
      </c>
      <c r="AA207" s="25" t="s">
        <v>602</v>
      </c>
      <c r="AB207" s="60"/>
    </row>
    <row r="208" spans="1:28" ht="35.1" customHeight="1" x14ac:dyDescent="0.25">
      <c r="A208" s="32" t="s">
        <v>494</v>
      </c>
      <c r="B208" s="33" t="s">
        <v>68</v>
      </c>
      <c r="C208" s="34" t="s">
        <v>69</v>
      </c>
      <c r="D208" s="35" t="s">
        <v>108</v>
      </c>
      <c r="E208" s="35"/>
      <c r="F208" s="35"/>
      <c r="G208" s="35"/>
      <c r="H208" s="35" t="s">
        <v>146</v>
      </c>
      <c r="I208" s="35" t="s">
        <v>81</v>
      </c>
      <c r="J208" s="35" t="s">
        <v>31</v>
      </c>
      <c r="K208" s="35" t="s">
        <v>32</v>
      </c>
      <c r="L208" s="35" t="s">
        <v>33</v>
      </c>
      <c r="M208" s="35" t="s">
        <v>35</v>
      </c>
      <c r="N208" s="35" t="s">
        <v>35</v>
      </c>
      <c r="O208" s="35" t="s">
        <v>54</v>
      </c>
      <c r="P208" s="31" t="s">
        <v>186</v>
      </c>
      <c r="Q208" s="31" t="s">
        <v>464</v>
      </c>
      <c r="R208" s="31" t="s">
        <v>468</v>
      </c>
      <c r="S208" s="31" t="s">
        <v>56</v>
      </c>
      <c r="T208" s="35" t="s">
        <v>45</v>
      </c>
      <c r="U208" s="35" t="s">
        <v>34</v>
      </c>
      <c r="V208" s="35"/>
      <c r="W208" s="31" t="str">
        <f>HYPERLINK("https://www.stromypodkontrolou.cz/map/tree/d41bce85-5010-4276-b929-4760db78c679/c2affeb0-23c5-48f7-b2e1-cf0f883ac892")</f>
        <v>https://www.stromypodkontrolou.cz/map/tree/d41bce85-5010-4276-b929-4760db78c679/c2affeb0-23c5-48f7-b2e1-cf0f883ac892</v>
      </c>
      <c r="X208" s="31">
        <v>-741148.13474400004</v>
      </c>
      <c r="Y208" s="31">
        <v>-1001611.043782</v>
      </c>
      <c r="Z208" s="31" t="str">
        <f>HYPERLINK("https://www.mapy.cz?st=search&amp;fr=50.45824686 14.36495293")</f>
        <v>https://www.mapy.cz?st=search&amp;fr=50.45824686 14.36495293</v>
      </c>
      <c r="AA208" s="25" t="s">
        <v>602</v>
      </c>
      <c r="AB208" s="60"/>
    </row>
    <row r="209" spans="1:28" ht="35.1" customHeight="1" x14ac:dyDescent="0.25">
      <c r="A209" s="32" t="s">
        <v>495</v>
      </c>
      <c r="B209" s="33" t="s">
        <v>68</v>
      </c>
      <c r="C209" s="34" t="s">
        <v>69</v>
      </c>
      <c r="D209" s="35" t="s">
        <v>103</v>
      </c>
      <c r="E209" s="35"/>
      <c r="F209" s="35"/>
      <c r="G209" s="35"/>
      <c r="H209" s="35" t="s">
        <v>146</v>
      </c>
      <c r="I209" s="35" t="s">
        <v>73</v>
      </c>
      <c r="J209" s="35" t="s">
        <v>78</v>
      </c>
      <c r="K209" s="35" t="s">
        <v>32</v>
      </c>
      <c r="L209" s="35" t="s">
        <v>33</v>
      </c>
      <c r="M209" s="35" t="s">
        <v>35</v>
      </c>
      <c r="N209" s="35" t="s">
        <v>35</v>
      </c>
      <c r="O209" s="35" t="s">
        <v>54</v>
      </c>
      <c r="P209" s="31" t="s">
        <v>186</v>
      </c>
      <c r="Q209" s="31" t="s">
        <v>464</v>
      </c>
      <c r="R209" s="31" t="s">
        <v>468</v>
      </c>
      <c r="S209" s="31" t="s">
        <v>56</v>
      </c>
      <c r="T209" s="35" t="s">
        <v>45</v>
      </c>
      <c r="U209" s="35" t="s">
        <v>34</v>
      </c>
      <c r="V209" s="35"/>
      <c r="W209" s="31" t="str">
        <f>HYPERLINK("https://www.stromypodkontrolou.cz/map/tree/d41bce85-5010-4276-b929-4760db78c679/6a704a55-6a26-4eba-b518-93a26cdc3722")</f>
        <v>https://www.stromypodkontrolou.cz/map/tree/d41bce85-5010-4276-b929-4760db78c679/6a704a55-6a26-4eba-b518-93a26cdc3722</v>
      </c>
      <c r="X209" s="31">
        <v>-741146.45070199994</v>
      </c>
      <c r="Y209" s="31">
        <v>-1001628.74981</v>
      </c>
      <c r="Z209" s="31" t="str">
        <f>HYPERLINK("https://www.mapy.cz?st=search&amp;fr=50.45809125 14.36501060")</f>
        <v>https://www.mapy.cz?st=search&amp;fr=50.45809125 14.36501060</v>
      </c>
      <c r="AA209" s="25" t="s">
        <v>602</v>
      </c>
      <c r="AB209" s="60"/>
    </row>
    <row r="210" spans="1:28" ht="35.1" customHeight="1" x14ac:dyDescent="0.25">
      <c r="A210" s="32" t="s">
        <v>496</v>
      </c>
      <c r="B210" s="33" t="s">
        <v>68</v>
      </c>
      <c r="C210" s="34" t="s">
        <v>69</v>
      </c>
      <c r="D210" s="35" t="s">
        <v>94</v>
      </c>
      <c r="E210" s="35"/>
      <c r="F210" s="35"/>
      <c r="G210" s="35"/>
      <c r="H210" s="35" t="s">
        <v>146</v>
      </c>
      <c r="I210" s="35" t="s">
        <v>73</v>
      </c>
      <c r="J210" s="35" t="s">
        <v>78</v>
      </c>
      <c r="K210" s="35" t="s">
        <v>32</v>
      </c>
      <c r="L210" s="35" t="s">
        <v>33</v>
      </c>
      <c r="M210" s="35" t="s">
        <v>35</v>
      </c>
      <c r="N210" s="35" t="s">
        <v>54</v>
      </c>
      <c r="O210" s="35" t="s">
        <v>54</v>
      </c>
      <c r="P210" s="31" t="s">
        <v>186</v>
      </c>
      <c r="Q210" s="31" t="s">
        <v>464</v>
      </c>
      <c r="R210" s="31" t="s">
        <v>468</v>
      </c>
      <c r="S210" s="31" t="s">
        <v>56</v>
      </c>
      <c r="T210" s="35" t="s">
        <v>45</v>
      </c>
      <c r="U210" s="35" t="s">
        <v>34</v>
      </c>
      <c r="V210" s="35"/>
      <c r="W210" s="31" t="str">
        <f>HYPERLINK("https://www.stromypodkontrolou.cz/map/tree/d41bce85-5010-4276-b929-4760db78c679/55d5f9dc-aa8d-4ec4-9959-0dafe74a9a3d")</f>
        <v>https://www.stromypodkontrolou.cz/map/tree/d41bce85-5010-4276-b929-4760db78c679/55d5f9dc-aa8d-4ec4-9959-0dafe74a9a3d</v>
      </c>
      <c r="X210" s="31">
        <v>-741146.25570900005</v>
      </c>
      <c r="Y210" s="31">
        <v>-1001632.204289</v>
      </c>
      <c r="Z210" s="31" t="str">
        <f>HYPERLINK("https://www.mapy.cz?st=search&amp;fr=50.45806073 14.36501999")</f>
        <v>https://www.mapy.cz?st=search&amp;fr=50.45806073 14.36501999</v>
      </c>
      <c r="AA210" s="25" t="s">
        <v>602</v>
      </c>
      <c r="AB210" s="60"/>
    </row>
    <row r="211" spans="1:28" ht="35.1" customHeight="1" x14ac:dyDescent="0.25">
      <c r="A211" s="32" t="s">
        <v>496</v>
      </c>
      <c r="B211" s="33" t="s">
        <v>68</v>
      </c>
      <c r="C211" s="34" t="s">
        <v>69</v>
      </c>
      <c r="D211" s="35" t="s">
        <v>94</v>
      </c>
      <c r="E211" s="35"/>
      <c r="F211" s="35"/>
      <c r="G211" s="35"/>
      <c r="H211" s="35" t="s">
        <v>166</v>
      </c>
      <c r="I211" s="35" t="s">
        <v>81</v>
      </c>
      <c r="J211" s="35" t="s">
        <v>31</v>
      </c>
      <c r="K211" s="35" t="s">
        <v>32</v>
      </c>
      <c r="L211" s="35" t="s">
        <v>33</v>
      </c>
      <c r="M211" s="35" t="s">
        <v>35</v>
      </c>
      <c r="N211" s="35" t="s">
        <v>54</v>
      </c>
      <c r="O211" s="35" t="s">
        <v>54</v>
      </c>
      <c r="P211" s="31" t="s">
        <v>186</v>
      </c>
      <c r="Q211" s="31" t="s">
        <v>464</v>
      </c>
      <c r="R211" s="31" t="s">
        <v>468</v>
      </c>
      <c r="S211" s="31" t="s">
        <v>56</v>
      </c>
      <c r="T211" s="35" t="s">
        <v>45</v>
      </c>
      <c r="U211" s="35" t="s">
        <v>34</v>
      </c>
      <c r="V211" s="35"/>
      <c r="W211" s="31" t="str">
        <f>HYPERLINK("https://www.stromypodkontrolou.cz/map/tree/d41bce85-5010-4276-b929-4760db78c679/2bf63cf9-0245-4702-a06c-d76981dd0ce7")</f>
        <v>https://www.stromypodkontrolou.cz/map/tree/d41bce85-5010-4276-b929-4760db78c679/2bf63cf9-0245-4702-a06c-d76981dd0ce7</v>
      </c>
      <c r="X211" s="31">
        <v>-741144.89974300005</v>
      </c>
      <c r="Y211" s="31">
        <v>-1001641.16439</v>
      </c>
      <c r="Z211" s="31" t="str">
        <f>HYPERLINK("https://www.mapy.cz?st=search&amp;fr=50.45798260 14.36505620")</f>
        <v>https://www.mapy.cz?st=search&amp;fr=50.45798260 14.36505620</v>
      </c>
      <c r="AA211" s="25" t="s">
        <v>602</v>
      </c>
      <c r="AB211" s="60"/>
    </row>
    <row r="212" spans="1:28" ht="35.1" customHeight="1" x14ac:dyDescent="0.25">
      <c r="A212" s="32" t="s">
        <v>497</v>
      </c>
      <c r="B212" s="33" t="s">
        <v>68</v>
      </c>
      <c r="C212" s="34" t="s">
        <v>69</v>
      </c>
      <c r="D212" s="35" t="s">
        <v>145</v>
      </c>
      <c r="E212" s="35"/>
      <c r="F212" s="35"/>
      <c r="G212" s="35"/>
      <c r="H212" s="35" t="s">
        <v>166</v>
      </c>
      <c r="I212" s="35" t="s">
        <v>81</v>
      </c>
      <c r="J212" s="35" t="s">
        <v>71</v>
      </c>
      <c r="K212" s="35" t="s">
        <v>32</v>
      </c>
      <c r="L212" s="35" t="s">
        <v>33</v>
      </c>
      <c r="M212" s="35" t="s">
        <v>54</v>
      </c>
      <c r="N212" s="35" t="s">
        <v>54</v>
      </c>
      <c r="O212" s="35" t="s">
        <v>54</v>
      </c>
      <c r="P212" s="31" t="s">
        <v>498</v>
      </c>
      <c r="Q212" s="31" t="s">
        <v>464</v>
      </c>
      <c r="R212" s="31" t="s">
        <v>468</v>
      </c>
      <c r="S212" s="31" t="s">
        <v>56</v>
      </c>
      <c r="T212" s="35" t="s">
        <v>45</v>
      </c>
      <c r="U212" s="35" t="s">
        <v>34</v>
      </c>
      <c r="V212" s="35"/>
      <c r="W212" s="31" t="str">
        <f>HYPERLINK("https://www.stromypodkontrolou.cz/map/tree/d41bce85-5010-4276-b929-4760db78c679/7b60da14-f8b5-43ea-892c-702e09f76ebf")</f>
        <v>https://www.stromypodkontrolou.cz/map/tree/d41bce85-5010-4276-b929-4760db78c679/7b60da14-f8b5-43ea-892c-702e09f76ebf</v>
      </c>
      <c r="X212" s="31">
        <v>-741144.59334200004</v>
      </c>
      <c r="Y212" s="31">
        <v>-1001644.682228</v>
      </c>
      <c r="Z212" s="31" t="str">
        <f>HYPERLINK("https://www.mapy.cz?st=search&amp;fr=50.45795165 14.36506726")</f>
        <v>https://www.mapy.cz?st=search&amp;fr=50.45795165 14.36506726</v>
      </c>
      <c r="AA212" s="25" t="s">
        <v>602</v>
      </c>
      <c r="AB212" s="60"/>
    </row>
    <row r="213" spans="1:28" ht="35.1" customHeight="1" x14ac:dyDescent="0.25">
      <c r="A213" s="65" t="s">
        <v>499</v>
      </c>
      <c r="B213" s="66" t="s">
        <v>68</v>
      </c>
      <c r="C213" s="67" t="s">
        <v>69</v>
      </c>
      <c r="D213" s="68" t="s">
        <v>145</v>
      </c>
      <c r="E213" s="68"/>
      <c r="F213" s="68"/>
      <c r="G213" s="68"/>
      <c r="H213" s="68" t="s">
        <v>166</v>
      </c>
      <c r="I213" s="68" t="s">
        <v>81</v>
      </c>
      <c r="J213" s="68" t="s">
        <v>71</v>
      </c>
      <c r="K213" s="68" t="s">
        <v>32</v>
      </c>
      <c r="L213" s="68" t="s">
        <v>33</v>
      </c>
      <c r="M213" s="68" t="s">
        <v>35</v>
      </c>
      <c r="N213" s="68" t="s">
        <v>35</v>
      </c>
      <c r="O213" s="68" t="s">
        <v>54</v>
      </c>
      <c r="P213" s="64" t="s">
        <v>186</v>
      </c>
      <c r="Q213" s="64" t="s">
        <v>464</v>
      </c>
      <c r="R213" s="64" t="s">
        <v>468</v>
      </c>
      <c r="S213" s="31" t="s">
        <v>56</v>
      </c>
      <c r="T213" s="35" t="s">
        <v>45</v>
      </c>
      <c r="U213" s="35" t="s">
        <v>34</v>
      </c>
      <c r="V213" s="35"/>
      <c r="W213" s="64" t="str">
        <f>HYPERLINK("https://www.stromypodkontrolou.cz/map/tree/d41bce85-5010-4276-b929-4760db78c679/cb586d86-a8ae-4fa8-85dd-6c16a6ed6997")</f>
        <v>https://www.stromypodkontrolou.cz/map/tree/d41bce85-5010-4276-b929-4760db78c679/cb586d86-a8ae-4fa8-85dd-6c16a6ed6997</v>
      </c>
      <c r="X213" s="64">
        <v>-741144.28694000002</v>
      </c>
      <c r="Y213" s="64">
        <v>-1001648.200068</v>
      </c>
      <c r="Z213" s="64" t="str">
        <f>HYPERLINK("https://www.mapy.cz?st=search&amp;fr=50.45792070 14.36507832")</f>
        <v>https://www.mapy.cz?st=search&amp;fr=50.45792070 14.36507832</v>
      </c>
      <c r="AA213" s="25" t="s">
        <v>602</v>
      </c>
      <c r="AB213" s="60"/>
    </row>
    <row r="214" spans="1:28" ht="35.1" customHeight="1" x14ac:dyDescent="0.25">
      <c r="A214" s="65"/>
      <c r="B214" s="66"/>
      <c r="C214" s="67"/>
      <c r="D214" s="68"/>
      <c r="E214" s="68"/>
      <c r="F214" s="68"/>
      <c r="G214" s="68"/>
      <c r="H214" s="68"/>
      <c r="I214" s="68"/>
      <c r="J214" s="68"/>
      <c r="K214" s="68"/>
      <c r="L214" s="68"/>
      <c r="M214" s="68"/>
      <c r="N214" s="68"/>
      <c r="O214" s="68"/>
      <c r="P214" s="64"/>
      <c r="Q214" s="64"/>
      <c r="R214" s="64"/>
      <c r="S214" s="31" t="s">
        <v>57</v>
      </c>
      <c r="T214" s="35" t="s">
        <v>45</v>
      </c>
      <c r="U214" s="35" t="s">
        <v>34</v>
      </c>
      <c r="V214" s="35" t="s">
        <v>257</v>
      </c>
      <c r="W214" s="64"/>
      <c r="X214" s="64"/>
      <c r="Y214" s="64"/>
      <c r="Z214" s="64"/>
      <c r="AA214" s="20" t="s">
        <v>603</v>
      </c>
      <c r="AB214" s="59"/>
    </row>
    <row r="215" spans="1:28" ht="35.1" customHeight="1" x14ac:dyDescent="0.25">
      <c r="A215" s="65" t="s">
        <v>500</v>
      </c>
      <c r="B215" s="66" t="s">
        <v>68</v>
      </c>
      <c r="C215" s="67" t="s">
        <v>69</v>
      </c>
      <c r="D215" s="68" t="s">
        <v>236</v>
      </c>
      <c r="E215" s="68"/>
      <c r="F215" s="68"/>
      <c r="G215" s="68"/>
      <c r="H215" s="68" t="s">
        <v>166</v>
      </c>
      <c r="I215" s="68" t="s">
        <v>43</v>
      </c>
      <c r="J215" s="68" t="s">
        <v>78</v>
      </c>
      <c r="K215" s="68" t="s">
        <v>32</v>
      </c>
      <c r="L215" s="68" t="s">
        <v>33</v>
      </c>
      <c r="M215" s="68" t="s">
        <v>34</v>
      </c>
      <c r="N215" s="68" t="s">
        <v>35</v>
      </c>
      <c r="O215" s="68" t="s">
        <v>54</v>
      </c>
      <c r="P215" s="64" t="s">
        <v>93</v>
      </c>
      <c r="Q215" s="64" t="s">
        <v>464</v>
      </c>
      <c r="R215" s="64" t="s">
        <v>468</v>
      </c>
      <c r="S215" s="31" t="s">
        <v>56</v>
      </c>
      <c r="T215" s="35" t="s">
        <v>45</v>
      </c>
      <c r="U215" s="35" t="s">
        <v>35</v>
      </c>
      <c r="V215" s="35"/>
      <c r="W215" s="64" t="str">
        <f>HYPERLINK("https://www.stromypodkontrolou.cz/map/tree/d41bce85-5010-4276-b929-4760db78c679/5d55486b-6457-49e1-8310-1fcf57fab5e7")</f>
        <v>https://www.stromypodkontrolou.cz/map/tree/d41bce85-5010-4276-b929-4760db78c679/5d55486b-6457-49e1-8310-1fcf57fab5e7</v>
      </c>
      <c r="X215" s="64">
        <v>-741142.40674699994</v>
      </c>
      <c r="Y215" s="64">
        <v>-1001663.272824</v>
      </c>
      <c r="Z215" s="64" t="str">
        <f>HYPERLINK("https://www.mapy.cz?st=search&amp;fr=50.45778879 14.36513365")</f>
        <v>https://www.mapy.cz?st=search&amp;fr=50.45778879 14.36513365</v>
      </c>
      <c r="AA215" s="25" t="s">
        <v>602</v>
      </c>
      <c r="AB215" s="60"/>
    </row>
    <row r="216" spans="1:28" ht="35.1" customHeight="1" x14ac:dyDescent="0.25">
      <c r="A216" s="65"/>
      <c r="B216" s="66"/>
      <c r="C216" s="67"/>
      <c r="D216" s="68"/>
      <c r="E216" s="68"/>
      <c r="F216" s="68"/>
      <c r="G216" s="68"/>
      <c r="H216" s="68"/>
      <c r="I216" s="68"/>
      <c r="J216" s="68"/>
      <c r="K216" s="68"/>
      <c r="L216" s="68"/>
      <c r="M216" s="68"/>
      <c r="N216" s="68"/>
      <c r="O216" s="68"/>
      <c r="P216" s="64"/>
      <c r="Q216" s="64"/>
      <c r="R216" s="64"/>
      <c r="S216" s="31" t="s">
        <v>57</v>
      </c>
      <c r="T216" s="35" t="s">
        <v>45</v>
      </c>
      <c r="U216" s="35" t="s">
        <v>35</v>
      </c>
      <c r="V216" s="35" t="s">
        <v>257</v>
      </c>
      <c r="W216" s="64"/>
      <c r="X216" s="64"/>
      <c r="Y216" s="64"/>
      <c r="Z216" s="64"/>
      <c r="AA216" s="20" t="s">
        <v>603</v>
      </c>
      <c r="AB216" s="59"/>
    </row>
    <row r="217" spans="1:28" ht="35.1" customHeight="1" x14ac:dyDescent="0.25">
      <c r="A217" s="65" t="s">
        <v>501</v>
      </c>
      <c r="B217" s="66" t="s">
        <v>68</v>
      </c>
      <c r="C217" s="67" t="s">
        <v>69</v>
      </c>
      <c r="D217" s="68" t="s">
        <v>96</v>
      </c>
      <c r="E217" s="68"/>
      <c r="F217" s="68"/>
      <c r="G217" s="68"/>
      <c r="H217" s="68" t="s">
        <v>166</v>
      </c>
      <c r="I217" s="68" t="s">
        <v>43</v>
      </c>
      <c r="J217" s="68" t="s">
        <v>78</v>
      </c>
      <c r="K217" s="68" t="s">
        <v>32</v>
      </c>
      <c r="L217" s="68" t="s">
        <v>74</v>
      </c>
      <c r="M217" s="68" t="s">
        <v>35</v>
      </c>
      <c r="N217" s="68" t="s">
        <v>54</v>
      </c>
      <c r="O217" s="68" t="s">
        <v>54</v>
      </c>
      <c r="P217" s="64" t="s">
        <v>186</v>
      </c>
      <c r="Q217" s="64" t="s">
        <v>464</v>
      </c>
      <c r="R217" s="64" t="s">
        <v>468</v>
      </c>
      <c r="S217" s="31" t="s">
        <v>56</v>
      </c>
      <c r="T217" s="35" t="s">
        <v>45</v>
      </c>
      <c r="U217" s="35" t="s">
        <v>34</v>
      </c>
      <c r="V217" s="35"/>
      <c r="W217" s="64" t="str">
        <f>HYPERLINK("https://www.stromypodkontrolou.cz/map/tree/d41bce85-5010-4276-b929-4760db78c679/36c48207-4f55-4bec-82f5-4a55c184ff9d")</f>
        <v>https://www.stromypodkontrolou.cz/map/tree/d41bce85-5010-4276-b929-4760db78c679/36c48207-4f55-4bec-82f5-4a55c184ff9d</v>
      </c>
      <c r="X217" s="64">
        <v>-741142.14099900005</v>
      </c>
      <c r="Y217" s="64">
        <v>-1001666.737113</v>
      </c>
      <c r="Z217" s="64" t="str">
        <f>HYPERLINK("https://www.mapy.cz?st=search&amp;fr=50.45775827 14.36514404")</f>
        <v>https://www.mapy.cz?st=search&amp;fr=50.45775827 14.36514404</v>
      </c>
      <c r="AA217" s="25" t="s">
        <v>602</v>
      </c>
      <c r="AB217" s="60"/>
    </row>
    <row r="218" spans="1:28" ht="35.1" customHeight="1" x14ac:dyDescent="0.25">
      <c r="A218" s="65"/>
      <c r="B218" s="66"/>
      <c r="C218" s="67"/>
      <c r="D218" s="68"/>
      <c r="E218" s="68"/>
      <c r="F218" s="68"/>
      <c r="G218" s="68"/>
      <c r="H218" s="68"/>
      <c r="I218" s="68"/>
      <c r="J218" s="68"/>
      <c r="K218" s="68"/>
      <c r="L218" s="68"/>
      <c r="M218" s="68"/>
      <c r="N218" s="68"/>
      <c r="O218" s="68"/>
      <c r="P218" s="64"/>
      <c r="Q218" s="64"/>
      <c r="R218" s="64"/>
      <c r="S218" s="31" t="s">
        <v>57</v>
      </c>
      <c r="T218" s="35" t="s">
        <v>45</v>
      </c>
      <c r="U218" s="35" t="s">
        <v>34</v>
      </c>
      <c r="V218" s="35" t="s">
        <v>257</v>
      </c>
      <c r="W218" s="64"/>
      <c r="X218" s="64"/>
      <c r="Y218" s="64"/>
      <c r="Z218" s="64"/>
      <c r="AA218" s="20" t="s">
        <v>603</v>
      </c>
      <c r="AB218" s="59"/>
    </row>
    <row r="219" spans="1:28" ht="35.1" customHeight="1" x14ac:dyDescent="0.25">
      <c r="A219" s="32" t="s">
        <v>503</v>
      </c>
      <c r="B219" s="33" t="s">
        <v>68</v>
      </c>
      <c r="C219" s="34" t="s">
        <v>69</v>
      </c>
      <c r="D219" s="35" t="s">
        <v>97</v>
      </c>
      <c r="E219" s="35"/>
      <c r="F219" s="35"/>
      <c r="G219" s="35"/>
      <c r="H219" s="35" t="s">
        <v>146</v>
      </c>
      <c r="I219" s="35" t="s">
        <v>81</v>
      </c>
      <c r="J219" s="35" t="s">
        <v>113</v>
      </c>
      <c r="K219" s="35" t="s">
        <v>32</v>
      </c>
      <c r="L219" s="35" t="s">
        <v>33</v>
      </c>
      <c r="M219" s="35" t="s">
        <v>35</v>
      </c>
      <c r="N219" s="35" t="s">
        <v>35</v>
      </c>
      <c r="O219" s="35" t="s">
        <v>54</v>
      </c>
      <c r="P219" s="31" t="s">
        <v>265</v>
      </c>
      <c r="Q219" s="31" t="s">
        <v>464</v>
      </c>
      <c r="R219" s="31" t="s">
        <v>502</v>
      </c>
      <c r="S219" s="31" t="s">
        <v>56</v>
      </c>
      <c r="T219" s="35" t="s">
        <v>45</v>
      </c>
      <c r="U219" s="35" t="s">
        <v>35</v>
      </c>
      <c r="V219" s="35"/>
      <c r="W219" s="31" t="str">
        <f>HYPERLINK("https://www.stromypodkontrolou.cz/map/tree/d41bce85-5010-4276-b929-4760db78c679/bac57f53-ecf3-4085-83f4-4538a60db3b1")</f>
        <v>https://www.stromypodkontrolou.cz/map/tree/d41bce85-5010-4276-b929-4760db78c679/bac57f53-ecf3-4085-83f4-4538a60db3b1</v>
      </c>
      <c r="X219" s="31">
        <v>-741138.702697</v>
      </c>
      <c r="Y219" s="31">
        <v>-1001534.188262</v>
      </c>
      <c r="Z219" s="31" t="str">
        <f>HYPERLINK("https://www.mapy.cz?st=search&amp;fr=50.45894291 14.36493617")</f>
        <v>https://www.mapy.cz?st=search&amp;fr=50.45894291 14.36493617</v>
      </c>
      <c r="AA219" s="25" t="s">
        <v>602</v>
      </c>
      <c r="AB219" s="60"/>
    </row>
    <row r="220" spans="1:28" ht="35.1" customHeight="1" x14ac:dyDescent="0.25">
      <c r="A220" s="32" t="s">
        <v>504</v>
      </c>
      <c r="B220" s="33" t="s">
        <v>68</v>
      </c>
      <c r="C220" s="34" t="s">
        <v>69</v>
      </c>
      <c r="D220" s="35" t="s">
        <v>76</v>
      </c>
      <c r="E220" s="35"/>
      <c r="F220" s="35"/>
      <c r="G220" s="35"/>
      <c r="H220" s="35" t="s">
        <v>146</v>
      </c>
      <c r="I220" s="35" t="s">
        <v>81</v>
      </c>
      <c r="J220" s="35" t="s">
        <v>129</v>
      </c>
      <c r="K220" s="35" t="s">
        <v>32</v>
      </c>
      <c r="L220" s="35" t="s">
        <v>74</v>
      </c>
      <c r="M220" s="35" t="s">
        <v>34</v>
      </c>
      <c r="N220" s="35" t="s">
        <v>35</v>
      </c>
      <c r="O220" s="35" t="s">
        <v>35</v>
      </c>
      <c r="P220" s="31" t="s">
        <v>265</v>
      </c>
      <c r="Q220" s="31" t="s">
        <v>464</v>
      </c>
      <c r="R220" s="31" t="s">
        <v>502</v>
      </c>
      <c r="S220" s="31" t="s">
        <v>56</v>
      </c>
      <c r="T220" s="35" t="s">
        <v>45</v>
      </c>
      <c r="U220" s="35" t="s">
        <v>35</v>
      </c>
      <c r="V220" s="35"/>
      <c r="W220" s="31" t="str">
        <f>HYPERLINK("https://www.stromypodkontrolou.cz/map/tree/d41bce85-5010-4276-b929-4760db78c679/559fd899-14c6-4a52-b836-5d73de06e7b8")</f>
        <v>https://www.stromypodkontrolou.cz/map/tree/d41bce85-5010-4276-b929-4760db78c679/559fd899-14c6-4a52-b836-5d73de06e7b8</v>
      </c>
      <c r="X220" s="31">
        <v>-741136.61648800003</v>
      </c>
      <c r="Y220" s="31">
        <v>-1001542.386388</v>
      </c>
      <c r="Z220" s="31" t="str">
        <f>HYPERLINK("https://www.mapy.cz?st=search&amp;fr=50.45887248 14.36498109")</f>
        <v>https://www.mapy.cz?st=search&amp;fr=50.45887248 14.36498109</v>
      </c>
      <c r="AA220" s="25" t="s">
        <v>602</v>
      </c>
      <c r="AB220" s="60"/>
    </row>
    <row r="221" spans="1:28" ht="35.1" customHeight="1" x14ac:dyDescent="0.25">
      <c r="A221" s="32" t="s">
        <v>505</v>
      </c>
      <c r="B221" s="33" t="s">
        <v>68</v>
      </c>
      <c r="C221" s="34" t="s">
        <v>69</v>
      </c>
      <c r="D221" s="35" t="s">
        <v>63</v>
      </c>
      <c r="E221" s="35"/>
      <c r="F221" s="35"/>
      <c r="G221" s="35"/>
      <c r="H221" s="35" t="s">
        <v>131</v>
      </c>
      <c r="I221" s="35" t="s">
        <v>81</v>
      </c>
      <c r="J221" s="35" t="s">
        <v>31</v>
      </c>
      <c r="K221" s="35" t="s">
        <v>32</v>
      </c>
      <c r="L221" s="35" t="s">
        <v>33</v>
      </c>
      <c r="M221" s="35" t="s">
        <v>34</v>
      </c>
      <c r="N221" s="35" t="s">
        <v>35</v>
      </c>
      <c r="O221" s="35" t="s">
        <v>35</v>
      </c>
      <c r="P221" s="31" t="s">
        <v>186</v>
      </c>
      <c r="Q221" s="31" t="s">
        <v>464</v>
      </c>
      <c r="R221" s="31" t="s">
        <v>502</v>
      </c>
      <c r="S221" s="31" t="s">
        <v>56</v>
      </c>
      <c r="T221" s="35" t="s">
        <v>45</v>
      </c>
      <c r="U221" s="35" t="s">
        <v>35</v>
      </c>
      <c r="V221" s="35"/>
      <c r="W221" s="31" t="str">
        <f>HYPERLINK("https://www.stromypodkontrolou.cz/map/tree/d41bce85-5010-4276-b929-4760db78c679/8827113f-054e-4c33-b578-babc2af641eb")</f>
        <v>https://www.stromypodkontrolou.cz/map/tree/d41bce85-5010-4276-b929-4760db78c679/8827113f-054e-4c33-b578-babc2af641eb</v>
      </c>
      <c r="X221" s="31">
        <v>-741135.32044899999</v>
      </c>
      <c r="Y221" s="31">
        <v>-1001545.8733100001</v>
      </c>
      <c r="Z221" s="31" t="str">
        <f>HYPERLINK("https://www.mapy.cz?st=search&amp;fr=50.45884302 14.36500591")</f>
        <v>https://www.mapy.cz?st=search&amp;fr=50.45884302 14.36500591</v>
      </c>
      <c r="AA221" s="25" t="s">
        <v>602</v>
      </c>
      <c r="AB221" s="60"/>
    </row>
    <row r="222" spans="1:28" ht="35.1" customHeight="1" x14ac:dyDescent="0.25">
      <c r="A222" s="32" t="s">
        <v>506</v>
      </c>
      <c r="B222" s="33" t="s">
        <v>68</v>
      </c>
      <c r="C222" s="34" t="s">
        <v>69</v>
      </c>
      <c r="D222" s="35" t="s">
        <v>116</v>
      </c>
      <c r="E222" s="35"/>
      <c r="F222" s="35"/>
      <c r="G222" s="35"/>
      <c r="H222" s="35" t="s">
        <v>131</v>
      </c>
      <c r="I222" s="35" t="s">
        <v>81</v>
      </c>
      <c r="J222" s="35" t="s">
        <v>31</v>
      </c>
      <c r="K222" s="35" t="s">
        <v>32</v>
      </c>
      <c r="L222" s="35" t="s">
        <v>33</v>
      </c>
      <c r="M222" s="35" t="s">
        <v>35</v>
      </c>
      <c r="N222" s="35" t="s">
        <v>35</v>
      </c>
      <c r="O222" s="35" t="s">
        <v>54</v>
      </c>
      <c r="P222" s="31" t="s">
        <v>507</v>
      </c>
      <c r="Q222" s="31" t="s">
        <v>464</v>
      </c>
      <c r="R222" s="31" t="s">
        <v>502</v>
      </c>
      <c r="S222" s="31" t="s">
        <v>56</v>
      </c>
      <c r="T222" s="35" t="s">
        <v>45</v>
      </c>
      <c r="U222" s="35" t="s">
        <v>35</v>
      </c>
      <c r="V222" s="35"/>
      <c r="W222" s="31" t="str">
        <f>HYPERLINK("https://www.stromypodkontrolou.cz/map/tree/d41bce85-5010-4276-b929-4760db78c679/b9d86fba-24c9-4adc-a070-c923b76e5349")</f>
        <v>https://www.stromypodkontrolou.cz/map/tree/d41bce85-5010-4276-b929-4760db78c679/b9d86fba-24c9-4adc-a070-c923b76e5349</v>
      </c>
      <c r="X222" s="31">
        <v>-741134.47505899996</v>
      </c>
      <c r="Y222" s="31">
        <v>-1001552.269935</v>
      </c>
      <c r="Z222" s="31" t="str">
        <f>HYPERLINK("https://www.mapy.cz?st=search&amp;fr=50.45878710 14.36503004")</f>
        <v>https://www.mapy.cz?st=search&amp;fr=50.45878710 14.36503004</v>
      </c>
      <c r="AA222" s="25" t="s">
        <v>602</v>
      </c>
      <c r="AB222" s="60"/>
    </row>
    <row r="223" spans="1:28" ht="35.1" customHeight="1" x14ac:dyDescent="0.25">
      <c r="A223" s="65" t="s">
        <v>509</v>
      </c>
      <c r="B223" s="66" t="s">
        <v>68</v>
      </c>
      <c r="C223" s="67" t="s">
        <v>69</v>
      </c>
      <c r="D223" s="68" t="s">
        <v>63</v>
      </c>
      <c r="E223" s="68"/>
      <c r="F223" s="68"/>
      <c r="G223" s="68"/>
      <c r="H223" s="68" t="s">
        <v>166</v>
      </c>
      <c r="I223" s="68" t="s">
        <v>73</v>
      </c>
      <c r="J223" s="68" t="s">
        <v>129</v>
      </c>
      <c r="K223" s="68" t="s">
        <v>32</v>
      </c>
      <c r="L223" s="68" t="s">
        <v>33</v>
      </c>
      <c r="M223" s="68" t="s">
        <v>35</v>
      </c>
      <c r="N223" s="68" t="s">
        <v>35</v>
      </c>
      <c r="O223" s="68" t="s">
        <v>54</v>
      </c>
      <c r="P223" s="64" t="s">
        <v>162</v>
      </c>
      <c r="Q223" s="64" t="s">
        <v>464</v>
      </c>
      <c r="R223" s="64" t="s">
        <v>502</v>
      </c>
      <c r="S223" s="31" t="s">
        <v>56</v>
      </c>
      <c r="T223" s="35" t="s">
        <v>45</v>
      </c>
      <c r="U223" s="35" t="s">
        <v>35</v>
      </c>
      <c r="V223" s="35"/>
      <c r="W223" s="64" t="str">
        <f>HYPERLINK("https://www.stromypodkontrolou.cz/map/tree/d41bce85-5010-4276-b929-4760db78c679/ba7927e9-5628-4ea4-88f2-2201de004c0a")</f>
        <v>https://www.stromypodkontrolou.cz/map/tree/d41bce85-5010-4276-b929-4760db78c679/ba7927e9-5628-4ea4-88f2-2201de004c0a</v>
      </c>
      <c r="X223" s="64">
        <v>-741129.27622100001</v>
      </c>
      <c r="Y223" s="64">
        <v>-1001582.613976</v>
      </c>
      <c r="Z223" s="64" t="str">
        <f>HYPERLINK("https://www.mapy.cz?st=search&amp;fr=50.45852327 14.36516114")</f>
        <v>https://www.mapy.cz?st=search&amp;fr=50.45852327 14.36516114</v>
      </c>
      <c r="AA223" s="25" t="s">
        <v>602</v>
      </c>
      <c r="AB223" s="60"/>
    </row>
    <row r="224" spans="1:28" ht="35.1" customHeight="1" x14ac:dyDescent="0.25">
      <c r="A224" s="65"/>
      <c r="B224" s="66"/>
      <c r="C224" s="67"/>
      <c r="D224" s="68"/>
      <c r="E224" s="68"/>
      <c r="F224" s="68"/>
      <c r="G224" s="68"/>
      <c r="H224" s="68"/>
      <c r="I224" s="68"/>
      <c r="J224" s="68"/>
      <c r="K224" s="68"/>
      <c r="L224" s="68"/>
      <c r="M224" s="68"/>
      <c r="N224" s="68"/>
      <c r="O224" s="68"/>
      <c r="P224" s="64"/>
      <c r="Q224" s="64"/>
      <c r="R224" s="64"/>
      <c r="S224" s="31" t="s">
        <v>57</v>
      </c>
      <c r="T224" s="35" t="s">
        <v>45</v>
      </c>
      <c r="U224" s="35" t="s">
        <v>35</v>
      </c>
      <c r="V224" s="35" t="s">
        <v>200</v>
      </c>
      <c r="W224" s="64"/>
      <c r="X224" s="64"/>
      <c r="Y224" s="64"/>
      <c r="Z224" s="64"/>
      <c r="AA224" s="20" t="s">
        <v>603</v>
      </c>
      <c r="AB224" s="59"/>
    </row>
    <row r="225" spans="1:28" ht="35.1" customHeight="1" x14ac:dyDescent="0.25">
      <c r="A225" s="32" t="s">
        <v>510</v>
      </c>
      <c r="B225" s="33" t="s">
        <v>68</v>
      </c>
      <c r="C225" s="34" t="s">
        <v>69</v>
      </c>
      <c r="D225" s="35" t="s">
        <v>130</v>
      </c>
      <c r="E225" s="35"/>
      <c r="F225" s="35"/>
      <c r="G225" s="35"/>
      <c r="H225" s="35" t="s">
        <v>131</v>
      </c>
      <c r="I225" s="35" t="s">
        <v>73</v>
      </c>
      <c r="J225" s="35" t="s">
        <v>78</v>
      </c>
      <c r="K225" s="35" t="s">
        <v>32</v>
      </c>
      <c r="L225" s="35" t="s">
        <v>33</v>
      </c>
      <c r="M225" s="35" t="s">
        <v>35</v>
      </c>
      <c r="N225" s="35" t="s">
        <v>35</v>
      </c>
      <c r="O225" s="35" t="s">
        <v>54</v>
      </c>
      <c r="P225" s="31" t="s">
        <v>186</v>
      </c>
      <c r="Q225" s="31" t="s">
        <v>464</v>
      </c>
      <c r="R225" s="31" t="s">
        <v>502</v>
      </c>
      <c r="S225" s="31" t="s">
        <v>56</v>
      </c>
      <c r="T225" s="35" t="s">
        <v>45</v>
      </c>
      <c r="U225" s="35" t="s">
        <v>34</v>
      </c>
      <c r="V225" s="35"/>
      <c r="W225" s="31" t="str">
        <f>HYPERLINK("https://www.stromypodkontrolou.cz/map/tree/d41bce85-5010-4276-b929-4760db78c679/444a1d24-773e-41c5-aef6-3186d31752a1")</f>
        <v>https://www.stromypodkontrolou.cz/map/tree/d41bce85-5010-4276-b929-4760db78c679/444a1d24-773e-41c5-aef6-3186d31752a1</v>
      </c>
      <c r="X225" s="31">
        <v>-741125.04079799994</v>
      </c>
      <c r="Y225" s="31">
        <v>-1001610.020565</v>
      </c>
      <c r="Z225" s="31" t="str">
        <f>HYPERLINK("https://www.mapy.cz?st=search&amp;fr=50.45828442 14.36527312")</f>
        <v>https://www.mapy.cz?st=search&amp;fr=50.45828442 14.36527312</v>
      </c>
      <c r="AA225" s="25" t="s">
        <v>602</v>
      </c>
      <c r="AB225" s="60"/>
    </row>
    <row r="226" spans="1:28" ht="35.1" customHeight="1" x14ac:dyDescent="0.25">
      <c r="A226" s="32" t="s">
        <v>511</v>
      </c>
      <c r="B226" s="33" t="s">
        <v>68</v>
      </c>
      <c r="C226" s="34" t="s">
        <v>69</v>
      </c>
      <c r="D226" s="35" t="s">
        <v>130</v>
      </c>
      <c r="E226" s="35"/>
      <c r="F226" s="35"/>
      <c r="G226" s="35"/>
      <c r="H226" s="35" t="s">
        <v>146</v>
      </c>
      <c r="I226" s="35" t="s">
        <v>73</v>
      </c>
      <c r="J226" s="35" t="s">
        <v>71</v>
      </c>
      <c r="K226" s="35" t="s">
        <v>32</v>
      </c>
      <c r="L226" s="35" t="s">
        <v>33</v>
      </c>
      <c r="M226" s="35" t="s">
        <v>35</v>
      </c>
      <c r="N226" s="35" t="s">
        <v>54</v>
      </c>
      <c r="O226" s="35" t="s">
        <v>54</v>
      </c>
      <c r="P226" s="31" t="s">
        <v>338</v>
      </c>
      <c r="Q226" s="31" t="s">
        <v>464</v>
      </c>
      <c r="R226" s="31" t="s">
        <v>502</v>
      </c>
      <c r="S226" s="31" t="s">
        <v>56</v>
      </c>
      <c r="T226" s="35" t="s">
        <v>45</v>
      </c>
      <c r="U226" s="35" t="s">
        <v>34</v>
      </c>
      <c r="V226" s="35"/>
      <c r="W226" s="31" t="str">
        <f>HYPERLINK("https://www.stromypodkontrolou.cz/map/tree/d41bce85-5010-4276-b929-4760db78c679/c0dcd926-ae38-4c9c-aabf-371e45a98b62")</f>
        <v>https://www.stromypodkontrolou.cz/map/tree/d41bce85-5010-4276-b929-4760db78c679/c0dcd926-ae38-4c9c-aabf-371e45a98b62</v>
      </c>
      <c r="X226" s="31">
        <v>-741124.57910500001</v>
      </c>
      <c r="Y226" s="31">
        <v>-1001614.326854</v>
      </c>
      <c r="Z226" s="31" t="str">
        <f>HYPERLINK("https://www.mapy.cz?st=search&amp;fr=50.45824664 14.36528787")</f>
        <v>https://www.mapy.cz?st=search&amp;fr=50.45824664 14.36528787</v>
      </c>
      <c r="AA226" s="25" t="s">
        <v>602</v>
      </c>
      <c r="AB226" s="60"/>
    </row>
    <row r="227" spans="1:28" ht="35.1" customHeight="1" x14ac:dyDescent="0.25">
      <c r="A227" s="32" t="s">
        <v>512</v>
      </c>
      <c r="B227" s="33" t="s">
        <v>68</v>
      </c>
      <c r="C227" s="34" t="s">
        <v>69</v>
      </c>
      <c r="D227" s="35" t="s">
        <v>63</v>
      </c>
      <c r="E227" s="35"/>
      <c r="F227" s="35"/>
      <c r="G227" s="35"/>
      <c r="H227" s="35" t="s">
        <v>146</v>
      </c>
      <c r="I227" s="35" t="s">
        <v>73</v>
      </c>
      <c r="J227" s="35" t="s">
        <v>129</v>
      </c>
      <c r="K227" s="35" t="s">
        <v>32</v>
      </c>
      <c r="L227" s="35" t="s">
        <v>33</v>
      </c>
      <c r="M227" s="35" t="s">
        <v>35</v>
      </c>
      <c r="N227" s="35" t="s">
        <v>35</v>
      </c>
      <c r="O227" s="35" t="s">
        <v>35</v>
      </c>
      <c r="P227" s="31" t="s">
        <v>186</v>
      </c>
      <c r="Q227" s="31" t="s">
        <v>464</v>
      </c>
      <c r="R227" s="31" t="s">
        <v>502</v>
      </c>
      <c r="S227" s="31" t="s">
        <v>56</v>
      </c>
      <c r="T227" s="35" t="s">
        <v>45</v>
      </c>
      <c r="U227" s="35" t="s">
        <v>34</v>
      </c>
      <c r="V227" s="35"/>
      <c r="W227" s="31" t="str">
        <f>HYPERLINK("https://www.stromypodkontrolou.cz/map/tree/d41bce85-5010-4276-b929-4760db78c679/62f6e614-5f58-4027-92e0-788fee0c402d")</f>
        <v>https://www.stromypodkontrolou.cz/map/tree/d41bce85-5010-4276-b929-4760db78c679/62f6e614-5f58-4027-92e0-788fee0c402d</v>
      </c>
      <c r="X227" s="31">
        <v>-741124.30130399996</v>
      </c>
      <c r="Y227" s="31">
        <v>-1001621.0045489999</v>
      </c>
      <c r="Z227" s="31" t="str">
        <f>HYPERLINK("https://www.mapy.cz?st=search&amp;fr=50.45818752 14.36530464")</f>
        <v>https://www.mapy.cz?st=search&amp;fr=50.45818752 14.36530464</v>
      </c>
      <c r="AA227" s="25" t="s">
        <v>602</v>
      </c>
      <c r="AB227" s="60"/>
    </row>
    <row r="228" spans="1:28" ht="35.1" customHeight="1" x14ac:dyDescent="0.25">
      <c r="A228" s="32" t="s">
        <v>513</v>
      </c>
      <c r="B228" s="33" t="s">
        <v>68</v>
      </c>
      <c r="C228" s="34" t="s">
        <v>69</v>
      </c>
      <c r="D228" s="35" t="s">
        <v>103</v>
      </c>
      <c r="E228" s="35"/>
      <c r="F228" s="35"/>
      <c r="G228" s="35"/>
      <c r="H228" s="35" t="s">
        <v>146</v>
      </c>
      <c r="I228" s="35" t="s">
        <v>73</v>
      </c>
      <c r="J228" s="35" t="s">
        <v>31</v>
      </c>
      <c r="K228" s="35" t="s">
        <v>32</v>
      </c>
      <c r="L228" s="35" t="s">
        <v>74</v>
      </c>
      <c r="M228" s="35" t="s">
        <v>35</v>
      </c>
      <c r="N228" s="35" t="s">
        <v>35</v>
      </c>
      <c r="O228" s="35" t="s">
        <v>35</v>
      </c>
      <c r="P228" s="31" t="s">
        <v>293</v>
      </c>
      <c r="Q228" s="31" t="s">
        <v>464</v>
      </c>
      <c r="R228" s="31" t="s">
        <v>502</v>
      </c>
      <c r="S228" s="31" t="s">
        <v>56</v>
      </c>
      <c r="T228" s="35" t="s">
        <v>45</v>
      </c>
      <c r="U228" s="35" t="s">
        <v>34</v>
      </c>
      <c r="V228" s="35"/>
      <c r="W228" s="31" t="str">
        <f>HYPERLINK("https://www.stromypodkontrolou.cz/map/tree/d41bce85-5010-4276-b929-4760db78c679/4f847c4d-ceb0-4b44-81f5-9a699b15f17a")</f>
        <v>https://www.stromypodkontrolou.cz/map/tree/d41bce85-5010-4276-b929-4760db78c679/4f847c4d-ceb0-4b44-81f5-9a699b15f17a</v>
      </c>
      <c r="X228" s="31">
        <v>-741120.28188300005</v>
      </c>
      <c r="Y228" s="31">
        <v>-1001643.3719959999</v>
      </c>
      <c r="Z228" s="31" t="str">
        <f>HYPERLINK("https://www.mapy.cz?st=search&amp;fr=50.45799328 14.36540388")</f>
        <v>https://www.mapy.cz?st=search&amp;fr=50.45799328 14.36540388</v>
      </c>
      <c r="AA228" s="25" t="s">
        <v>602</v>
      </c>
      <c r="AB228" s="60"/>
    </row>
    <row r="229" spans="1:28" ht="35.1" customHeight="1" x14ac:dyDescent="0.25">
      <c r="A229" s="65" t="s">
        <v>514</v>
      </c>
      <c r="B229" s="66" t="s">
        <v>68</v>
      </c>
      <c r="C229" s="67" t="s">
        <v>69</v>
      </c>
      <c r="D229" s="68" t="s">
        <v>178</v>
      </c>
      <c r="E229" s="68"/>
      <c r="F229" s="68"/>
      <c r="G229" s="68"/>
      <c r="H229" s="68" t="s">
        <v>146</v>
      </c>
      <c r="I229" s="68" t="s">
        <v>73</v>
      </c>
      <c r="J229" s="68" t="s">
        <v>129</v>
      </c>
      <c r="K229" s="68" t="s">
        <v>32</v>
      </c>
      <c r="L229" s="68" t="s">
        <v>33</v>
      </c>
      <c r="M229" s="68" t="s">
        <v>34</v>
      </c>
      <c r="N229" s="68" t="s">
        <v>54</v>
      </c>
      <c r="O229" s="68" t="s">
        <v>54</v>
      </c>
      <c r="P229" s="64" t="s">
        <v>75</v>
      </c>
      <c r="Q229" s="64" t="s">
        <v>464</v>
      </c>
      <c r="R229" s="64" t="s">
        <v>502</v>
      </c>
      <c r="S229" s="31" t="s">
        <v>57</v>
      </c>
      <c r="T229" s="35" t="s">
        <v>45</v>
      </c>
      <c r="U229" s="35" t="s">
        <v>34</v>
      </c>
      <c r="V229" s="35" t="s">
        <v>200</v>
      </c>
      <c r="W229" s="64" t="str">
        <f>HYPERLINK("https://www.stromypodkontrolou.cz/map/tree/d41bce85-5010-4276-b929-4760db78c679/4fa53a7c-90c4-4160-997b-5a95bfa50c56")</f>
        <v>https://www.stromypodkontrolou.cz/map/tree/d41bce85-5010-4276-b929-4760db78c679/4fa53a7c-90c4-4160-997b-5a95bfa50c56</v>
      </c>
      <c r="X229" s="64">
        <v>-741123.99103999999</v>
      </c>
      <c r="Y229" s="64">
        <v>-1001659.062915</v>
      </c>
      <c r="Z229" s="64" t="str">
        <f>HYPERLINK("https://www.mapy.cz?st=search&amp;fr=50.45784897 14.36538242")</f>
        <v>https://www.mapy.cz?st=search&amp;fr=50.45784897 14.36538242</v>
      </c>
      <c r="AA229" s="20" t="s">
        <v>603</v>
      </c>
      <c r="AB229" s="59"/>
    </row>
    <row r="230" spans="1:28" ht="35.1" customHeight="1" x14ac:dyDescent="0.25">
      <c r="A230" s="65"/>
      <c r="B230" s="66"/>
      <c r="C230" s="67"/>
      <c r="D230" s="68"/>
      <c r="E230" s="68"/>
      <c r="F230" s="68"/>
      <c r="G230" s="68"/>
      <c r="H230" s="68"/>
      <c r="I230" s="68"/>
      <c r="J230" s="68"/>
      <c r="K230" s="68"/>
      <c r="L230" s="68"/>
      <c r="M230" s="68"/>
      <c r="N230" s="68"/>
      <c r="O230" s="68"/>
      <c r="P230" s="64"/>
      <c r="Q230" s="64"/>
      <c r="R230" s="64"/>
      <c r="S230" s="31" t="s">
        <v>56</v>
      </c>
      <c r="T230" s="35" t="s">
        <v>45</v>
      </c>
      <c r="U230" s="35" t="s">
        <v>34</v>
      </c>
      <c r="V230" s="35"/>
      <c r="W230" s="64"/>
      <c r="X230" s="64"/>
      <c r="Y230" s="64"/>
      <c r="Z230" s="64"/>
      <c r="AA230" s="25" t="s">
        <v>602</v>
      </c>
      <c r="AB230" s="60"/>
    </row>
    <row r="231" spans="1:28" ht="35.1" customHeight="1" x14ac:dyDescent="0.25">
      <c r="A231" s="65" t="s">
        <v>515</v>
      </c>
      <c r="B231" s="66" t="s">
        <v>68</v>
      </c>
      <c r="C231" s="67" t="s">
        <v>69</v>
      </c>
      <c r="D231" s="68" t="s">
        <v>87</v>
      </c>
      <c r="E231" s="68"/>
      <c r="F231" s="68"/>
      <c r="G231" s="68"/>
      <c r="H231" s="68" t="s">
        <v>166</v>
      </c>
      <c r="I231" s="68" t="s">
        <v>73</v>
      </c>
      <c r="J231" s="68" t="s">
        <v>129</v>
      </c>
      <c r="K231" s="68" t="s">
        <v>32</v>
      </c>
      <c r="L231" s="68" t="s">
        <v>74</v>
      </c>
      <c r="M231" s="68" t="s">
        <v>34</v>
      </c>
      <c r="N231" s="68" t="s">
        <v>35</v>
      </c>
      <c r="O231" s="68" t="s">
        <v>54</v>
      </c>
      <c r="P231" s="64" t="s">
        <v>162</v>
      </c>
      <c r="Q231" s="64" t="s">
        <v>464</v>
      </c>
      <c r="R231" s="64" t="s">
        <v>502</v>
      </c>
      <c r="S231" s="31" t="s">
        <v>56</v>
      </c>
      <c r="T231" s="35" t="s">
        <v>45</v>
      </c>
      <c r="U231" s="35" t="s">
        <v>34</v>
      </c>
      <c r="V231" s="35"/>
      <c r="W231" s="64" t="str">
        <f>HYPERLINK("https://www.stromypodkontrolou.cz/map/tree/d41bce85-5010-4276-b929-4760db78c679/b88d64c7-93b7-440a-bd9c-fcd07fff771c")</f>
        <v>https://www.stromypodkontrolou.cz/map/tree/d41bce85-5010-4276-b929-4760db78c679/b88d64c7-93b7-440a-bd9c-fcd07fff771c</v>
      </c>
      <c r="X231" s="64">
        <v>-741117.05353300006</v>
      </c>
      <c r="Y231" s="64">
        <v>-1001700.121067</v>
      </c>
      <c r="Z231" s="64" t="str">
        <f>HYPERLINK("https://www.mapy.cz?st=search&amp;fr=50.45749188 14.36555844")</f>
        <v>https://www.mapy.cz?st=search&amp;fr=50.45749188 14.36555844</v>
      </c>
      <c r="AA231" s="25" t="s">
        <v>602</v>
      </c>
      <c r="AB231" s="60"/>
    </row>
    <row r="232" spans="1:28" ht="35.1" customHeight="1" x14ac:dyDescent="0.25">
      <c r="A232" s="65"/>
      <c r="B232" s="66"/>
      <c r="C232" s="67"/>
      <c r="D232" s="68"/>
      <c r="E232" s="68"/>
      <c r="F232" s="68"/>
      <c r="G232" s="68"/>
      <c r="H232" s="68"/>
      <c r="I232" s="68"/>
      <c r="J232" s="68"/>
      <c r="K232" s="68"/>
      <c r="L232" s="68"/>
      <c r="M232" s="68"/>
      <c r="N232" s="68"/>
      <c r="O232" s="68"/>
      <c r="P232" s="64"/>
      <c r="Q232" s="64"/>
      <c r="R232" s="64"/>
      <c r="S232" s="31" t="s">
        <v>57</v>
      </c>
      <c r="T232" s="35" t="s">
        <v>45</v>
      </c>
      <c r="U232" s="35" t="s">
        <v>34</v>
      </c>
      <c r="V232" s="35" t="s">
        <v>200</v>
      </c>
      <c r="W232" s="64"/>
      <c r="X232" s="64"/>
      <c r="Y232" s="64"/>
      <c r="Z232" s="64"/>
      <c r="AA232" s="20" t="s">
        <v>603</v>
      </c>
      <c r="AB232" s="59"/>
    </row>
    <row r="233" spans="1:28" ht="35.1" customHeight="1" x14ac:dyDescent="0.25">
      <c r="A233" s="32" t="s">
        <v>516</v>
      </c>
      <c r="B233" s="33" t="s">
        <v>68</v>
      </c>
      <c r="C233" s="34" t="s">
        <v>69</v>
      </c>
      <c r="D233" s="35" t="s">
        <v>63</v>
      </c>
      <c r="E233" s="35"/>
      <c r="F233" s="35"/>
      <c r="G233" s="35"/>
      <c r="H233" s="35" t="s">
        <v>166</v>
      </c>
      <c r="I233" s="35" t="s">
        <v>73</v>
      </c>
      <c r="J233" s="35" t="s">
        <v>129</v>
      </c>
      <c r="K233" s="35" t="s">
        <v>32</v>
      </c>
      <c r="L233" s="35" t="s">
        <v>33</v>
      </c>
      <c r="M233" s="35" t="s">
        <v>34</v>
      </c>
      <c r="N233" s="35" t="s">
        <v>35</v>
      </c>
      <c r="O233" s="35" t="s">
        <v>35</v>
      </c>
      <c r="P233" s="31" t="s">
        <v>186</v>
      </c>
      <c r="Q233" s="31" t="s">
        <v>464</v>
      </c>
      <c r="R233" s="31" t="s">
        <v>502</v>
      </c>
      <c r="S233" s="31" t="s">
        <v>56</v>
      </c>
      <c r="T233" s="35" t="s">
        <v>45</v>
      </c>
      <c r="U233" s="35" t="s">
        <v>34</v>
      </c>
      <c r="V233" s="35"/>
      <c r="W233" s="31" t="str">
        <f>HYPERLINK("https://www.stromypodkontrolou.cz/map/tree/d41bce85-5010-4276-b929-4760db78c679/9f14a0bf-55cc-4b11-9724-b517d2ba81da")</f>
        <v>https://www.stromypodkontrolou.cz/map/tree/d41bce85-5010-4276-b929-4760db78c679/9f14a0bf-55cc-4b11-9724-b517d2ba81da</v>
      </c>
      <c r="X233" s="31">
        <v>-741120.190145</v>
      </c>
      <c r="Y233" s="31">
        <v>-1001701.772396</v>
      </c>
      <c r="Z233" s="31" t="str">
        <f>HYPERLINK("https://www.mapy.cz?st=search&amp;fr=50.45747331 14.36551787")</f>
        <v>https://www.mapy.cz?st=search&amp;fr=50.45747331 14.36551787</v>
      </c>
      <c r="AA233" s="25" t="s">
        <v>602</v>
      </c>
      <c r="AB233" s="60"/>
    </row>
    <row r="234" spans="1:28" ht="35.1" customHeight="1" x14ac:dyDescent="0.25">
      <c r="A234" s="32" t="s">
        <v>517</v>
      </c>
      <c r="B234" s="33" t="s">
        <v>68</v>
      </c>
      <c r="C234" s="34" t="s">
        <v>69</v>
      </c>
      <c r="D234" s="35" t="s">
        <v>178</v>
      </c>
      <c r="E234" s="35"/>
      <c r="F234" s="35"/>
      <c r="G234" s="35"/>
      <c r="H234" s="35" t="s">
        <v>166</v>
      </c>
      <c r="I234" s="35" t="s">
        <v>73</v>
      </c>
      <c r="J234" s="35" t="s">
        <v>129</v>
      </c>
      <c r="K234" s="35" t="s">
        <v>32</v>
      </c>
      <c r="L234" s="35" t="s">
        <v>33</v>
      </c>
      <c r="M234" s="35" t="s">
        <v>34</v>
      </c>
      <c r="N234" s="35" t="s">
        <v>35</v>
      </c>
      <c r="O234" s="35" t="s">
        <v>35</v>
      </c>
      <c r="P234" s="31" t="s">
        <v>186</v>
      </c>
      <c r="Q234" s="31" t="s">
        <v>464</v>
      </c>
      <c r="R234" s="31" t="s">
        <v>502</v>
      </c>
      <c r="S234" s="31" t="s">
        <v>56</v>
      </c>
      <c r="T234" s="35" t="s">
        <v>45</v>
      </c>
      <c r="U234" s="35" t="s">
        <v>34</v>
      </c>
      <c r="V234" s="35"/>
      <c r="W234" s="31" t="str">
        <f>HYPERLINK("https://www.stromypodkontrolou.cz/map/tree/d41bce85-5010-4276-b929-4760db78c679/e47682c2-5e97-4948-a001-c40b1e6f8e2f")</f>
        <v>https://www.stromypodkontrolou.cz/map/tree/d41bce85-5010-4276-b929-4760db78c679/e47682c2-5e97-4948-a001-c40b1e6f8e2f</v>
      </c>
      <c r="X234" s="31">
        <v>-741117.85639700003</v>
      </c>
      <c r="Y234" s="31">
        <v>-1001705.4029709999</v>
      </c>
      <c r="Z234" s="31" t="str">
        <f>HYPERLINK("https://www.mapy.cz?st=search&amp;fr=50.45744385 14.36555743")</f>
        <v>https://www.mapy.cz?st=search&amp;fr=50.45744385 14.36555743</v>
      </c>
      <c r="AA234" s="25" t="s">
        <v>602</v>
      </c>
      <c r="AB234" s="60"/>
    </row>
    <row r="235" spans="1:28" ht="35.1" customHeight="1" x14ac:dyDescent="0.25">
      <c r="A235" s="32" t="s">
        <v>518</v>
      </c>
      <c r="B235" s="33" t="s">
        <v>68</v>
      </c>
      <c r="C235" s="34" t="s">
        <v>69</v>
      </c>
      <c r="D235" s="35" t="s">
        <v>94</v>
      </c>
      <c r="E235" s="35"/>
      <c r="F235" s="35"/>
      <c r="G235" s="35"/>
      <c r="H235" s="35" t="s">
        <v>166</v>
      </c>
      <c r="I235" s="35" t="s">
        <v>73</v>
      </c>
      <c r="J235" s="35" t="s">
        <v>129</v>
      </c>
      <c r="K235" s="35" t="s">
        <v>32</v>
      </c>
      <c r="L235" s="35" t="s">
        <v>33</v>
      </c>
      <c r="M235" s="35" t="s">
        <v>35</v>
      </c>
      <c r="N235" s="35" t="s">
        <v>54</v>
      </c>
      <c r="O235" s="35" t="s">
        <v>54</v>
      </c>
      <c r="P235" s="31" t="s">
        <v>142</v>
      </c>
      <c r="Q235" s="31" t="s">
        <v>464</v>
      </c>
      <c r="R235" s="31" t="s">
        <v>502</v>
      </c>
      <c r="S235" s="31" t="s">
        <v>56</v>
      </c>
      <c r="T235" s="35" t="s">
        <v>45</v>
      </c>
      <c r="U235" s="35" t="s">
        <v>34</v>
      </c>
      <c r="V235" s="35"/>
      <c r="W235" s="31" t="str">
        <f>HYPERLINK("https://www.stromypodkontrolou.cz/map/tree/d41bce85-5010-4276-b929-4760db78c679/bb1abc71-3847-47a8-8dd0-e0e6421abf46")</f>
        <v>https://www.stromypodkontrolou.cz/map/tree/d41bce85-5010-4276-b929-4760db78c679/bb1abc71-3847-47a8-8dd0-e0e6421abf46</v>
      </c>
      <c r="X235" s="31">
        <v>-741119.49021900003</v>
      </c>
      <c r="Y235" s="31">
        <v>-1001726.245565</v>
      </c>
      <c r="Z235" s="31" t="str">
        <f>HYPERLINK("https://www.mapy.cz?st=search&amp;fr=50.45725622 14.36557487")</f>
        <v>https://www.mapy.cz?st=search&amp;fr=50.45725622 14.36557487</v>
      </c>
      <c r="AA235" s="25" t="s">
        <v>602</v>
      </c>
      <c r="AB235" s="60"/>
    </row>
    <row r="236" spans="1:28" ht="35.1" customHeight="1" thickBot="1" x14ac:dyDescent="0.3">
      <c r="A236" s="41" t="s">
        <v>519</v>
      </c>
      <c r="B236" s="42" t="s">
        <v>68</v>
      </c>
      <c r="C236" s="43" t="s">
        <v>69</v>
      </c>
      <c r="D236" s="44" t="s">
        <v>97</v>
      </c>
      <c r="E236" s="44"/>
      <c r="F236" s="44"/>
      <c r="G236" s="44"/>
      <c r="H236" s="44" t="s">
        <v>166</v>
      </c>
      <c r="I236" s="44" t="s">
        <v>43</v>
      </c>
      <c r="J236" s="44" t="s">
        <v>66</v>
      </c>
      <c r="K236" s="44" t="s">
        <v>32</v>
      </c>
      <c r="L236" s="44" t="s">
        <v>33</v>
      </c>
      <c r="M236" s="44" t="s">
        <v>35</v>
      </c>
      <c r="N236" s="44" t="s">
        <v>35</v>
      </c>
      <c r="O236" s="44" t="s">
        <v>54</v>
      </c>
      <c r="P236" s="45" t="s">
        <v>293</v>
      </c>
      <c r="Q236" s="45" t="s">
        <v>464</v>
      </c>
      <c r="R236" s="45" t="s">
        <v>502</v>
      </c>
      <c r="S236" s="45" t="s">
        <v>56</v>
      </c>
      <c r="T236" s="44" t="s">
        <v>45</v>
      </c>
      <c r="U236" s="44" t="s">
        <v>35</v>
      </c>
      <c r="V236" s="44"/>
      <c r="W236" s="45" t="str">
        <f>HYPERLINK("https://www.stromypodkontrolou.cz/map/tree/d41bce85-5010-4276-b929-4760db78c679/be526ffc-bfcc-4d0a-bdbf-e78c7c2b175c")</f>
        <v>https://www.stromypodkontrolou.cz/map/tree/d41bce85-5010-4276-b929-4760db78c679/be526ffc-bfcc-4d0a-bdbf-e78c7c2b175c</v>
      </c>
      <c r="X236" s="45">
        <v>-741113.67339899996</v>
      </c>
      <c r="Y236" s="45">
        <v>-1001728.152897</v>
      </c>
      <c r="Z236" s="45" t="str">
        <f>HYPERLINK("https://www.mapy.cz?st=search&amp;fr=50.45724640 14.36565969")</f>
        <v>https://www.mapy.cz?st=search&amp;fr=50.45724640 14.36565969</v>
      </c>
      <c r="AA236" s="21" t="s">
        <v>602</v>
      </c>
      <c r="AB236" s="61"/>
    </row>
    <row r="237" spans="1:28" ht="35.1" customHeight="1" x14ac:dyDescent="0.25">
      <c r="A237" s="38" t="s">
        <v>520</v>
      </c>
      <c r="B237" s="39" t="s">
        <v>68</v>
      </c>
      <c r="C237" s="40" t="s">
        <v>69</v>
      </c>
      <c r="D237" s="36" t="s">
        <v>145</v>
      </c>
      <c r="E237" s="36"/>
      <c r="F237" s="36"/>
      <c r="G237" s="36"/>
      <c r="H237" s="36" t="s">
        <v>72</v>
      </c>
      <c r="I237" s="36" t="s">
        <v>73</v>
      </c>
      <c r="J237" s="36" t="s">
        <v>120</v>
      </c>
      <c r="K237" s="36" t="s">
        <v>32</v>
      </c>
      <c r="L237" s="36" t="s">
        <v>33</v>
      </c>
      <c r="M237" s="36" t="s">
        <v>35</v>
      </c>
      <c r="N237" s="36" t="s">
        <v>35</v>
      </c>
      <c r="O237" s="36" t="s">
        <v>54</v>
      </c>
      <c r="P237" s="37" t="s">
        <v>67</v>
      </c>
      <c r="Q237" s="37" t="s">
        <v>521</v>
      </c>
      <c r="R237" s="37" t="s">
        <v>522</v>
      </c>
      <c r="S237" s="37" t="s">
        <v>85</v>
      </c>
      <c r="T237" s="36" t="s">
        <v>45</v>
      </c>
      <c r="U237" s="36" t="s">
        <v>34</v>
      </c>
      <c r="V237" s="36" t="s">
        <v>86</v>
      </c>
      <c r="W237" s="37" t="str">
        <f>HYPERLINK("https://www.stromypodkontrolou.cz/map/tree/d41bce85-5010-4276-b929-4760db78c679/16ac01ad-4c8e-4090-927d-9f539b678b71")</f>
        <v>https://www.stromypodkontrolou.cz/map/tree/d41bce85-5010-4276-b929-4760db78c679/16ac01ad-4c8e-4090-927d-9f539b678b71</v>
      </c>
      <c r="X237" s="37">
        <v>-740182.80735300004</v>
      </c>
      <c r="Y237" s="37">
        <v>-1005039.3840890001</v>
      </c>
      <c r="Z237" s="37" t="str">
        <f>HYPERLINK("https://www.mapy.cz?st=search&amp;fr=50.42890349 14.38502424")</f>
        <v>https://www.mapy.cz?st=search&amp;fr=50.42890349 14.38502424</v>
      </c>
      <c r="AA237" s="20" t="s">
        <v>601</v>
      </c>
      <c r="AB237" s="59"/>
    </row>
    <row r="238" spans="1:28" ht="35.1" customHeight="1" x14ac:dyDescent="0.25">
      <c r="A238" s="32" t="s">
        <v>523</v>
      </c>
      <c r="B238" s="33" t="s">
        <v>68</v>
      </c>
      <c r="C238" s="34" t="s">
        <v>69</v>
      </c>
      <c r="D238" s="35" t="s">
        <v>222</v>
      </c>
      <c r="E238" s="35"/>
      <c r="F238" s="35"/>
      <c r="G238" s="35"/>
      <c r="H238" s="35" t="s">
        <v>60</v>
      </c>
      <c r="I238" s="35" t="s">
        <v>73</v>
      </c>
      <c r="J238" s="35" t="s">
        <v>120</v>
      </c>
      <c r="K238" s="35" t="s">
        <v>32</v>
      </c>
      <c r="L238" s="35" t="s">
        <v>33</v>
      </c>
      <c r="M238" s="35" t="s">
        <v>35</v>
      </c>
      <c r="N238" s="35" t="s">
        <v>35</v>
      </c>
      <c r="O238" s="35" t="s">
        <v>54</v>
      </c>
      <c r="P238" s="31" t="s">
        <v>265</v>
      </c>
      <c r="Q238" s="31" t="s">
        <v>521</v>
      </c>
      <c r="R238" s="31" t="s">
        <v>522</v>
      </c>
      <c r="S238" s="31" t="s">
        <v>56</v>
      </c>
      <c r="T238" s="35" t="s">
        <v>45</v>
      </c>
      <c r="U238" s="35" t="s">
        <v>34</v>
      </c>
      <c r="V238" s="35"/>
      <c r="W238" s="31" t="str">
        <f>HYPERLINK("https://www.stromypodkontrolou.cz/map/tree/d41bce85-5010-4276-b929-4760db78c679/b8f44411-7022-4b5f-b141-d90beead56ab")</f>
        <v>https://www.stromypodkontrolou.cz/map/tree/d41bce85-5010-4276-b929-4760db78c679/b8f44411-7022-4b5f-b141-d90beead56ab</v>
      </c>
      <c r="X238" s="31">
        <v>-740183.99319499999</v>
      </c>
      <c r="Y238" s="31">
        <v>-1005038.045208</v>
      </c>
      <c r="Z238" s="31" t="str">
        <f>HYPERLINK("https://www.mapy.cz?st=search&amp;fr=50.42891395 14.38500513")</f>
        <v>https://www.mapy.cz?st=search&amp;fr=50.42891395 14.38500513</v>
      </c>
      <c r="AA238" s="25" t="s">
        <v>602</v>
      </c>
      <c r="AB238" s="60"/>
    </row>
    <row r="239" spans="1:28" ht="35.1" customHeight="1" x14ac:dyDescent="0.25">
      <c r="A239" s="32" t="s">
        <v>524</v>
      </c>
      <c r="B239" s="33" t="s">
        <v>68</v>
      </c>
      <c r="C239" s="34" t="s">
        <v>69</v>
      </c>
      <c r="D239" s="35" t="s">
        <v>205</v>
      </c>
      <c r="E239" s="35"/>
      <c r="F239" s="35"/>
      <c r="G239" s="35"/>
      <c r="H239" s="35" t="s">
        <v>131</v>
      </c>
      <c r="I239" s="35" t="s">
        <v>73</v>
      </c>
      <c r="J239" s="35" t="s">
        <v>113</v>
      </c>
      <c r="K239" s="35" t="s">
        <v>32</v>
      </c>
      <c r="L239" s="35" t="s">
        <v>74</v>
      </c>
      <c r="M239" s="35" t="s">
        <v>35</v>
      </c>
      <c r="N239" s="35" t="s">
        <v>35</v>
      </c>
      <c r="O239" s="35" t="s">
        <v>54</v>
      </c>
      <c r="P239" s="31" t="s">
        <v>186</v>
      </c>
      <c r="Q239" s="31" t="s">
        <v>521</v>
      </c>
      <c r="R239" s="31" t="s">
        <v>522</v>
      </c>
      <c r="S239" s="31" t="s">
        <v>56</v>
      </c>
      <c r="T239" s="35" t="s">
        <v>45</v>
      </c>
      <c r="U239" s="35" t="s">
        <v>34</v>
      </c>
      <c r="V239" s="35"/>
      <c r="W239" s="31" t="str">
        <f>HYPERLINK("https://www.stromypodkontrolou.cz/map/tree/d41bce85-5010-4276-b929-4760db78c679/962cc31a-2beb-4337-ba9a-eaf0870a0e5b")</f>
        <v>https://www.stromypodkontrolou.cz/map/tree/d41bce85-5010-4276-b929-4760db78c679/962cc31a-2beb-4337-ba9a-eaf0870a0e5b</v>
      </c>
      <c r="X239" s="31">
        <v>-740187.924076</v>
      </c>
      <c r="Y239" s="31">
        <v>-1005033.424096</v>
      </c>
      <c r="Z239" s="31" t="str">
        <f>HYPERLINK("https://www.mapy.cz?st=search&amp;fr=50.42895027 14.38494142")</f>
        <v>https://www.mapy.cz?st=search&amp;fr=50.42895027 14.38494142</v>
      </c>
      <c r="AA239" s="25" t="s">
        <v>602</v>
      </c>
      <c r="AB239" s="60"/>
    </row>
    <row r="240" spans="1:28" ht="35.1" customHeight="1" x14ac:dyDescent="0.25">
      <c r="A240" s="32" t="s">
        <v>525</v>
      </c>
      <c r="B240" s="33" t="s">
        <v>68</v>
      </c>
      <c r="C240" s="34" t="s">
        <v>69</v>
      </c>
      <c r="D240" s="35" t="s">
        <v>108</v>
      </c>
      <c r="E240" s="35"/>
      <c r="F240" s="35"/>
      <c r="G240" s="35"/>
      <c r="H240" s="35" t="s">
        <v>131</v>
      </c>
      <c r="I240" s="35" t="s">
        <v>73</v>
      </c>
      <c r="J240" s="35" t="s">
        <v>113</v>
      </c>
      <c r="K240" s="35" t="s">
        <v>32</v>
      </c>
      <c r="L240" s="35" t="s">
        <v>74</v>
      </c>
      <c r="M240" s="35" t="s">
        <v>35</v>
      </c>
      <c r="N240" s="35" t="s">
        <v>35</v>
      </c>
      <c r="O240" s="35" t="s">
        <v>54</v>
      </c>
      <c r="P240" s="31" t="s">
        <v>186</v>
      </c>
      <c r="Q240" s="31" t="s">
        <v>521</v>
      </c>
      <c r="R240" s="31" t="s">
        <v>522</v>
      </c>
      <c r="S240" s="31" t="s">
        <v>56</v>
      </c>
      <c r="T240" s="35" t="s">
        <v>45</v>
      </c>
      <c r="U240" s="35" t="s">
        <v>34</v>
      </c>
      <c r="V240" s="35"/>
      <c r="W240" s="31" t="str">
        <f>HYPERLINK("https://www.stromypodkontrolou.cz/map/tree/d41bce85-5010-4276-b929-4760db78c679/96134995-75a3-4fef-9f76-99ec1679bc43")</f>
        <v>https://www.stromypodkontrolou.cz/map/tree/d41bce85-5010-4276-b929-4760db78c679/96134995-75a3-4fef-9f76-99ec1679bc43</v>
      </c>
      <c r="X240" s="31">
        <v>-740190.06893299997</v>
      </c>
      <c r="Y240" s="31">
        <v>-1005031.0188</v>
      </c>
      <c r="Z240" s="31" t="str">
        <f>HYPERLINK("https://www.mapy.cz?st=search&amp;fr=50.42896906 14.38490689")</f>
        <v>https://www.mapy.cz?st=search&amp;fr=50.42896906 14.38490689</v>
      </c>
      <c r="AA240" s="25" t="s">
        <v>602</v>
      </c>
      <c r="AB240" s="60"/>
    </row>
    <row r="241" spans="1:28" ht="35.1" customHeight="1" x14ac:dyDescent="0.25">
      <c r="A241" s="32" t="s">
        <v>526</v>
      </c>
      <c r="B241" s="33" t="s">
        <v>68</v>
      </c>
      <c r="C241" s="34" t="s">
        <v>69</v>
      </c>
      <c r="D241" s="35" t="s">
        <v>233</v>
      </c>
      <c r="E241" s="35"/>
      <c r="F241" s="35"/>
      <c r="G241" s="35"/>
      <c r="H241" s="35" t="s">
        <v>131</v>
      </c>
      <c r="I241" s="35" t="s">
        <v>89</v>
      </c>
      <c r="J241" s="35" t="s">
        <v>120</v>
      </c>
      <c r="K241" s="35" t="s">
        <v>32</v>
      </c>
      <c r="L241" s="35" t="s">
        <v>33</v>
      </c>
      <c r="M241" s="35" t="s">
        <v>35</v>
      </c>
      <c r="N241" s="35" t="s">
        <v>35</v>
      </c>
      <c r="O241" s="35" t="s">
        <v>54</v>
      </c>
      <c r="P241" s="31" t="s">
        <v>527</v>
      </c>
      <c r="Q241" s="31" t="s">
        <v>521</v>
      </c>
      <c r="R241" s="31" t="s">
        <v>522</v>
      </c>
      <c r="S241" s="31" t="s">
        <v>56</v>
      </c>
      <c r="T241" s="35" t="s">
        <v>45</v>
      </c>
      <c r="U241" s="35" t="s">
        <v>34</v>
      </c>
      <c r="V241" s="35"/>
      <c r="W241" s="31" t="str">
        <f>HYPERLINK("https://www.stromypodkontrolou.cz/map/tree/d41bce85-5010-4276-b929-4760db78c679/2fc80a06-b1d9-4209-9d9a-883ffdf129c5")</f>
        <v>https://www.stromypodkontrolou.cz/map/tree/d41bce85-5010-4276-b929-4760db78c679/2fc80a06-b1d9-4209-9d9a-883ffdf129c5</v>
      </c>
      <c r="X241" s="31">
        <v>-740195.12430000002</v>
      </c>
      <c r="Y241" s="31">
        <v>-1005023.917454</v>
      </c>
      <c r="Z241" s="31" t="str">
        <f>HYPERLINK("https://www.mapy.cz?st=search&amp;fr=50.42902608 14.38482273")</f>
        <v>https://www.mapy.cz?st=search&amp;fr=50.42902608 14.38482273</v>
      </c>
      <c r="AA241" s="25" t="s">
        <v>602</v>
      </c>
      <c r="AB241" s="60"/>
    </row>
    <row r="242" spans="1:28" ht="35.1" customHeight="1" x14ac:dyDescent="0.25">
      <c r="A242" s="32" t="s">
        <v>528</v>
      </c>
      <c r="B242" s="33" t="s">
        <v>68</v>
      </c>
      <c r="C242" s="34" t="s">
        <v>69</v>
      </c>
      <c r="D242" s="35" t="s">
        <v>80</v>
      </c>
      <c r="E242" s="35"/>
      <c r="F242" s="35"/>
      <c r="G242" s="35"/>
      <c r="H242" s="35" t="s">
        <v>131</v>
      </c>
      <c r="I242" s="35" t="s">
        <v>89</v>
      </c>
      <c r="J242" s="35" t="s">
        <v>120</v>
      </c>
      <c r="K242" s="35" t="s">
        <v>32</v>
      </c>
      <c r="L242" s="35" t="s">
        <v>74</v>
      </c>
      <c r="M242" s="35" t="s">
        <v>35</v>
      </c>
      <c r="N242" s="35" t="s">
        <v>35</v>
      </c>
      <c r="O242" s="35" t="s">
        <v>54</v>
      </c>
      <c r="P242" s="31" t="s">
        <v>186</v>
      </c>
      <c r="Q242" s="31" t="s">
        <v>521</v>
      </c>
      <c r="R242" s="31" t="s">
        <v>529</v>
      </c>
      <c r="S242" s="31" t="s">
        <v>56</v>
      </c>
      <c r="T242" s="35" t="s">
        <v>45</v>
      </c>
      <c r="U242" s="35" t="s">
        <v>35</v>
      </c>
      <c r="V242" s="35"/>
      <c r="W242" s="31" t="str">
        <f>HYPERLINK("https://www.stromypodkontrolou.cz/map/tree/d41bce85-5010-4276-b929-4760db78c679/7bbacb4b-3e82-46ad-b722-e2d0b5399449")</f>
        <v>https://www.stromypodkontrolou.cz/map/tree/d41bce85-5010-4276-b929-4760db78c679/7bbacb4b-3e82-46ad-b722-e2d0b5399449</v>
      </c>
      <c r="X242" s="31">
        <v>-740218.18700300006</v>
      </c>
      <c r="Y242" s="31">
        <v>-1004990.489853</v>
      </c>
      <c r="Z242" s="31" t="str">
        <f>HYPERLINK("https://www.mapy.cz?st=search&amp;fr=50.42929542 14.38443683")</f>
        <v>https://www.mapy.cz?st=search&amp;fr=50.42929542 14.38443683</v>
      </c>
      <c r="AA242" s="25" t="s">
        <v>602</v>
      </c>
      <c r="AB242" s="60"/>
    </row>
    <row r="243" spans="1:28" ht="35.1" customHeight="1" x14ac:dyDescent="0.25">
      <c r="A243" s="32" t="s">
        <v>530</v>
      </c>
      <c r="B243" s="33" t="s">
        <v>68</v>
      </c>
      <c r="C243" s="34" t="s">
        <v>69</v>
      </c>
      <c r="D243" s="35" t="s">
        <v>165</v>
      </c>
      <c r="E243" s="35"/>
      <c r="F243" s="35"/>
      <c r="G243" s="35"/>
      <c r="H243" s="35" t="s">
        <v>131</v>
      </c>
      <c r="I243" s="35" t="s">
        <v>89</v>
      </c>
      <c r="J243" s="35" t="s">
        <v>120</v>
      </c>
      <c r="K243" s="35" t="s">
        <v>32</v>
      </c>
      <c r="L243" s="35" t="s">
        <v>33</v>
      </c>
      <c r="M243" s="35" t="s">
        <v>35</v>
      </c>
      <c r="N243" s="35" t="s">
        <v>35</v>
      </c>
      <c r="O243" s="35" t="s">
        <v>54</v>
      </c>
      <c r="P243" s="31" t="s">
        <v>186</v>
      </c>
      <c r="Q243" s="31" t="s">
        <v>521</v>
      </c>
      <c r="R243" s="31" t="s">
        <v>529</v>
      </c>
      <c r="S243" s="31" t="s">
        <v>56</v>
      </c>
      <c r="T243" s="35" t="s">
        <v>45</v>
      </c>
      <c r="U243" s="35" t="s">
        <v>34</v>
      </c>
      <c r="V243" s="35"/>
      <c r="W243" s="31" t="str">
        <f>HYPERLINK("https://www.stromypodkontrolou.cz/map/tree/d41bce85-5010-4276-b929-4760db78c679/6c1bcfaa-4bd9-4bda-a503-83010fd1e192")</f>
        <v>https://www.stromypodkontrolou.cz/map/tree/d41bce85-5010-4276-b929-4760db78c679/6c1bcfaa-4bd9-4bda-a503-83010fd1e192</v>
      </c>
      <c r="X243" s="31">
        <v>-740215.29037900001</v>
      </c>
      <c r="Y243" s="31">
        <v>-1004995.112033</v>
      </c>
      <c r="Z243" s="31" t="str">
        <f>HYPERLINK("https://www.mapy.cz?st=search&amp;fr=50.42925782 14.38448612")</f>
        <v>https://www.mapy.cz?st=search&amp;fr=50.42925782 14.38448612</v>
      </c>
      <c r="AA243" s="25" t="s">
        <v>602</v>
      </c>
      <c r="AB243" s="60"/>
    </row>
    <row r="244" spans="1:28" ht="35.1" customHeight="1" x14ac:dyDescent="0.25">
      <c r="A244" s="32" t="s">
        <v>531</v>
      </c>
      <c r="B244" s="33" t="s">
        <v>68</v>
      </c>
      <c r="C244" s="34" t="s">
        <v>69</v>
      </c>
      <c r="D244" s="35" t="s">
        <v>225</v>
      </c>
      <c r="E244" s="35"/>
      <c r="F244" s="35"/>
      <c r="G244" s="35"/>
      <c r="H244" s="35" t="s">
        <v>131</v>
      </c>
      <c r="I244" s="35" t="s">
        <v>89</v>
      </c>
      <c r="J244" s="35" t="s">
        <v>120</v>
      </c>
      <c r="K244" s="35" t="s">
        <v>32</v>
      </c>
      <c r="L244" s="35" t="s">
        <v>74</v>
      </c>
      <c r="M244" s="35" t="s">
        <v>35</v>
      </c>
      <c r="N244" s="35" t="s">
        <v>35</v>
      </c>
      <c r="O244" s="35" t="s">
        <v>54</v>
      </c>
      <c r="P244" s="31" t="s">
        <v>186</v>
      </c>
      <c r="Q244" s="31" t="s">
        <v>521</v>
      </c>
      <c r="R244" s="31" t="s">
        <v>529</v>
      </c>
      <c r="S244" s="31" t="s">
        <v>56</v>
      </c>
      <c r="T244" s="35" t="s">
        <v>45</v>
      </c>
      <c r="U244" s="35" t="s">
        <v>34</v>
      </c>
      <c r="V244" s="35"/>
      <c r="W244" s="31" t="str">
        <f>HYPERLINK("https://www.stromypodkontrolou.cz/map/tree/d41bce85-5010-4276-b929-4760db78c679/a2b62dcf-d9ae-4f71-a304-84d99bf27912")</f>
        <v>https://www.stromypodkontrolou.cz/map/tree/d41bce85-5010-4276-b929-4760db78c679/a2b62dcf-d9ae-4f71-a304-84d99bf27912</v>
      </c>
      <c r="X244" s="31">
        <v>-740212.11046700005</v>
      </c>
      <c r="Y244" s="31">
        <v>-1004999.076531</v>
      </c>
      <c r="Z244" s="31" t="str">
        <f>HYPERLINK("https://www.mapy.cz?st=search&amp;fr=50.42922642 14.38453809")</f>
        <v>https://www.mapy.cz?st=search&amp;fr=50.42922642 14.38453809</v>
      </c>
      <c r="AA244" s="25" t="s">
        <v>602</v>
      </c>
      <c r="AB244" s="60"/>
    </row>
    <row r="245" spans="1:28" ht="35.1" customHeight="1" x14ac:dyDescent="0.25">
      <c r="A245" s="32" t="s">
        <v>532</v>
      </c>
      <c r="B245" s="33" t="s">
        <v>68</v>
      </c>
      <c r="C245" s="34" t="s">
        <v>69</v>
      </c>
      <c r="D245" s="35" t="s">
        <v>103</v>
      </c>
      <c r="E245" s="35"/>
      <c r="F245" s="35"/>
      <c r="G245" s="35"/>
      <c r="H245" s="35" t="s">
        <v>146</v>
      </c>
      <c r="I245" s="35" t="s">
        <v>89</v>
      </c>
      <c r="J245" s="35" t="s">
        <v>44</v>
      </c>
      <c r="K245" s="35" t="s">
        <v>32</v>
      </c>
      <c r="L245" s="35" t="s">
        <v>74</v>
      </c>
      <c r="M245" s="35" t="s">
        <v>35</v>
      </c>
      <c r="N245" s="35" t="s">
        <v>35</v>
      </c>
      <c r="O245" s="35" t="s">
        <v>54</v>
      </c>
      <c r="P245" s="31" t="s">
        <v>186</v>
      </c>
      <c r="Q245" s="31" t="s">
        <v>521</v>
      </c>
      <c r="R245" s="31" t="s">
        <v>522</v>
      </c>
      <c r="S245" s="31" t="s">
        <v>56</v>
      </c>
      <c r="T245" s="35" t="s">
        <v>45</v>
      </c>
      <c r="U245" s="35" t="s">
        <v>34</v>
      </c>
      <c r="V245" s="35"/>
      <c r="W245" s="31" t="str">
        <f>HYPERLINK("https://www.stromypodkontrolou.cz/map/tree/d41bce85-5010-4276-b929-4760db78c679/ace5ec72-7a1a-45ac-9f24-442e4835a6d9")</f>
        <v>https://www.stromypodkontrolou.cz/map/tree/d41bce85-5010-4276-b929-4760db78c679/ace5ec72-7a1a-45ac-9f24-442e4835a6d9</v>
      </c>
      <c r="X245" s="31">
        <v>-740209.46439700003</v>
      </c>
      <c r="Y245" s="31">
        <v>-1005002.7274879999</v>
      </c>
      <c r="Z245" s="31" t="str">
        <f>HYPERLINK("https://www.mapy.cz?st=search&amp;fr=50.42919716 14.38458201")</f>
        <v>https://www.mapy.cz?st=search&amp;fr=50.42919716 14.38458201</v>
      </c>
      <c r="AA245" s="25" t="s">
        <v>602</v>
      </c>
      <c r="AB245" s="60"/>
    </row>
    <row r="246" spans="1:28" ht="35.1" customHeight="1" x14ac:dyDescent="0.25">
      <c r="A246" s="32" t="s">
        <v>533</v>
      </c>
      <c r="B246" s="33" t="s">
        <v>68</v>
      </c>
      <c r="C246" s="34" t="s">
        <v>69</v>
      </c>
      <c r="D246" s="35" t="s">
        <v>192</v>
      </c>
      <c r="E246" s="35"/>
      <c r="F246" s="35"/>
      <c r="G246" s="35"/>
      <c r="H246" s="35" t="s">
        <v>146</v>
      </c>
      <c r="I246" s="35" t="s">
        <v>89</v>
      </c>
      <c r="J246" s="35" t="s">
        <v>44</v>
      </c>
      <c r="K246" s="35" t="s">
        <v>32</v>
      </c>
      <c r="L246" s="35" t="s">
        <v>33</v>
      </c>
      <c r="M246" s="35" t="s">
        <v>35</v>
      </c>
      <c r="N246" s="35" t="s">
        <v>35</v>
      </c>
      <c r="O246" s="35" t="s">
        <v>54</v>
      </c>
      <c r="P246" s="31" t="s">
        <v>67</v>
      </c>
      <c r="Q246" s="31" t="s">
        <v>521</v>
      </c>
      <c r="R246" s="31" t="s">
        <v>522</v>
      </c>
      <c r="S246" s="31" t="s">
        <v>56</v>
      </c>
      <c r="T246" s="35" t="s">
        <v>45</v>
      </c>
      <c r="U246" s="35" t="s">
        <v>34</v>
      </c>
      <c r="V246" s="35"/>
      <c r="W246" s="31" t="str">
        <f>HYPERLINK("https://www.stromypodkontrolou.cz/map/tree/d41bce85-5010-4276-b929-4760db78c679/8d7430d3-0e3c-4b4f-92b9-bfbe2afeaae7")</f>
        <v>https://www.stromypodkontrolou.cz/map/tree/d41bce85-5010-4276-b929-4760db78c679/8d7430d3-0e3c-4b4f-92b9-bfbe2afeaae7</v>
      </c>
      <c r="X246" s="31">
        <v>-740205.49655799998</v>
      </c>
      <c r="Y246" s="31">
        <v>-1005007.951937</v>
      </c>
      <c r="Z246" s="31" t="str">
        <f>HYPERLINK("https://www.mapy.cz?st=search&amp;fr=50.42915551 14.38464739")</f>
        <v>https://www.mapy.cz?st=search&amp;fr=50.42915551 14.38464739</v>
      </c>
      <c r="AA246" s="25" t="s">
        <v>602</v>
      </c>
      <c r="AB246" s="60"/>
    </row>
    <row r="247" spans="1:28" ht="35.1" customHeight="1" x14ac:dyDescent="0.25">
      <c r="A247" s="32" t="s">
        <v>534</v>
      </c>
      <c r="B247" s="33" t="s">
        <v>68</v>
      </c>
      <c r="C247" s="34" t="s">
        <v>69</v>
      </c>
      <c r="D247" s="35" t="s">
        <v>240</v>
      </c>
      <c r="E247" s="35"/>
      <c r="F247" s="35"/>
      <c r="G247" s="35"/>
      <c r="H247" s="35" t="s">
        <v>146</v>
      </c>
      <c r="I247" s="35" t="s">
        <v>89</v>
      </c>
      <c r="J247" s="35" t="s">
        <v>113</v>
      </c>
      <c r="K247" s="35" t="s">
        <v>32</v>
      </c>
      <c r="L247" s="35" t="s">
        <v>33</v>
      </c>
      <c r="M247" s="35" t="s">
        <v>35</v>
      </c>
      <c r="N247" s="35" t="s">
        <v>35</v>
      </c>
      <c r="O247" s="35" t="s">
        <v>54</v>
      </c>
      <c r="P247" s="31" t="s">
        <v>186</v>
      </c>
      <c r="Q247" s="31" t="s">
        <v>521</v>
      </c>
      <c r="R247" s="31" t="s">
        <v>522</v>
      </c>
      <c r="S247" s="31" t="s">
        <v>56</v>
      </c>
      <c r="T247" s="35" t="s">
        <v>45</v>
      </c>
      <c r="U247" s="35" t="s">
        <v>34</v>
      </c>
      <c r="V247" s="35"/>
      <c r="W247" s="31" t="str">
        <f>HYPERLINK("https://www.stromypodkontrolou.cz/map/tree/d41bce85-5010-4276-b929-4760db78c679/4dfeb636-f050-4278-af55-93d4db44a322")</f>
        <v>https://www.stromypodkontrolou.cz/map/tree/d41bce85-5010-4276-b929-4760db78c679/4dfeb636-f050-4278-af55-93d4db44a322</v>
      </c>
      <c r="X247" s="31">
        <v>-740203.62045000005</v>
      </c>
      <c r="Y247" s="31">
        <v>-1005010.561264</v>
      </c>
      <c r="Z247" s="31" t="str">
        <f>HYPERLINK("https://www.mapy.cz?st=search&amp;fr=50.42913458 14.38467857")</f>
        <v>https://www.mapy.cz?st=search&amp;fr=50.42913458 14.38467857</v>
      </c>
      <c r="AA247" s="25" t="s">
        <v>602</v>
      </c>
      <c r="AB247" s="60"/>
    </row>
    <row r="248" spans="1:28" ht="35.1" customHeight="1" x14ac:dyDescent="0.25">
      <c r="A248" s="32" t="s">
        <v>535</v>
      </c>
      <c r="B248" s="33" t="s">
        <v>68</v>
      </c>
      <c r="C248" s="34" t="s">
        <v>69</v>
      </c>
      <c r="D248" s="35" t="s">
        <v>145</v>
      </c>
      <c r="E248" s="35"/>
      <c r="F248" s="35"/>
      <c r="G248" s="35"/>
      <c r="H248" s="35" t="s">
        <v>146</v>
      </c>
      <c r="I248" s="35" t="s">
        <v>89</v>
      </c>
      <c r="J248" s="35" t="s">
        <v>44</v>
      </c>
      <c r="K248" s="35" t="s">
        <v>32</v>
      </c>
      <c r="L248" s="35" t="s">
        <v>74</v>
      </c>
      <c r="M248" s="35" t="s">
        <v>54</v>
      </c>
      <c r="N248" s="35" t="s">
        <v>54</v>
      </c>
      <c r="O248" s="35" t="s">
        <v>54</v>
      </c>
      <c r="P248" s="31" t="s">
        <v>536</v>
      </c>
      <c r="Q248" s="31" t="s">
        <v>521</v>
      </c>
      <c r="R248" s="31" t="s">
        <v>522</v>
      </c>
      <c r="S248" s="31" t="s">
        <v>56</v>
      </c>
      <c r="T248" s="35" t="s">
        <v>45</v>
      </c>
      <c r="U248" s="35" t="s">
        <v>34</v>
      </c>
      <c r="V248" s="35"/>
      <c r="W248" s="31" t="str">
        <f>HYPERLINK("https://www.stromypodkontrolou.cz/map/tree/d41bce85-5010-4276-b929-4760db78c679/0f20c323-b4cf-409a-833e-c31eec1328a6")</f>
        <v>https://www.stromypodkontrolou.cz/map/tree/d41bce85-5010-4276-b929-4760db78c679/0f20c323-b4cf-409a-833e-c31eec1328a6</v>
      </c>
      <c r="X248" s="31">
        <v>-740201.51796500001</v>
      </c>
      <c r="Y248" s="31">
        <v>-1005013.969281</v>
      </c>
      <c r="Z248" s="31" t="str">
        <f>HYPERLINK("https://www.mapy.cz?st=search&amp;fr=50.42910682 14.38471444")</f>
        <v>https://www.mapy.cz?st=search&amp;fr=50.42910682 14.38471444</v>
      </c>
      <c r="AA248" s="25" t="s">
        <v>602</v>
      </c>
      <c r="AB248" s="60"/>
    </row>
    <row r="249" spans="1:28" ht="35.1" customHeight="1" x14ac:dyDescent="0.25">
      <c r="A249" s="32" t="s">
        <v>537</v>
      </c>
      <c r="B249" s="33" t="s">
        <v>68</v>
      </c>
      <c r="C249" s="34" t="s">
        <v>69</v>
      </c>
      <c r="D249" s="35" t="s">
        <v>145</v>
      </c>
      <c r="E249" s="35"/>
      <c r="F249" s="35"/>
      <c r="G249" s="35"/>
      <c r="H249" s="35" t="s">
        <v>99</v>
      </c>
      <c r="I249" s="35" t="s">
        <v>89</v>
      </c>
      <c r="J249" s="35" t="s">
        <v>44</v>
      </c>
      <c r="K249" s="35" t="s">
        <v>32</v>
      </c>
      <c r="L249" s="35" t="s">
        <v>33</v>
      </c>
      <c r="M249" s="35" t="s">
        <v>35</v>
      </c>
      <c r="N249" s="35" t="s">
        <v>35</v>
      </c>
      <c r="O249" s="35" t="s">
        <v>54</v>
      </c>
      <c r="P249" s="31" t="s">
        <v>186</v>
      </c>
      <c r="Q249" s="31" t="s">
        <v>521</v>
      </c>
      <c r="R249" s="31" t="s">
        <v>522</v>
      </c>
      <c r="S249" s="31" t="s">
        <v>56</v>
      </c>
      <c r="T249" s="35" t="s">
        <v>45</v>
      </c>
      <c r="U249" s="35" t="s">
        <v>35</v>
      </c>
      <c r="V249" s="35"/>
      <c r="W249" s="31" t="str">
        <f>HYPERLINK("https://www.stromypodkontrolou.cz/map/tree/d41bce85-5010-4276-b929-4760db78c679/a99ee98f-2c65-43b8-8bd8-55e34400b080")</f>
        <v>https://www.stromypodkontrolou.cz/map/tree/d41bce85-5010-4276-b929-4760db78c679/a99ee98f-2c65-43b8-8bd8-55e34400b080</v>
      </c>
      <c r="X249" s="31">
        <v>-740239.16050500004</v>
      </c>
      <c r="Y249" s="31">
        <v>-1004959.174752</v>
      </c>
      <c r="Z249" s="31" t="str">
        <f>HYPERLINK("https://www.mapy.cz?st=search&amp;fr=50.42954851 14.38408412")</f>
        <v>https://www.mapy.cz?st=search&amp;fr=50.42954851 14.38408412</v>
      </c>
      <c r="AA249" s="25" t="s">
        <v>602</v>
      </c>
      <c r="AB249" s="60"/>
    </row>
    <row r="250" spans="1:28" ht="35.1" customHeight="1" x14ac:dyDescent="0.25">
      <c r="A250" s="32" t="s">
        <v>538</v>
      </c>
      <c r="B250" s="33" t="s">
        <v>68</v>
      </c>
      <c r="C250" s="34" t="s">
        <v>69</v>
      </c>
      <c r="D250" s="35" t="s">
        <v>208</v>
      </c>
      <c r="E250" s="35"/>
      <c r="F250" s="35"/>
      <c r="G250" s="35"/>
      <c r="H250" s="35" t="s">
        <v>99</v>
      </c>
      <c r="I250" s="35" t="s">
        <v>89</v>
      </c>
      <c r="J250" s="35" t="s">
        <v>129</v>
      </c>
      <c r="K250" s="35" t="s">
        <v>32</v>
      </c>
      <c r="L250" s="35" t="s">
        <v>33</v>
      </c>
      <c r="M250" s="35" t="s">
        <v>34</v>
      </c>
      <c r="N250" s="35" t="s">
        <v>54</v>
      </c>
      <c r="O250" s="35" t="s">
        <v>54</v>
      </c>
      <c r="P250" s="31" t="s">
        <v>406</v>
      </c>
      <c r="Q250" s="31" t="s">
        <v>521</v>
      </c>
      <c r="R250" s="31" t="s">
        <v>522</v>
      </c>
      <c r="S250" s="31" t="s">
        <v>85</v>
      </c>
      <c r="T250" s="35" t="s">
        <v>45</v>
      </c>
      <c r="U250" s="35" t="s">
        <v>35</v>
      </c>
      <c r="V250" s="35" t="s">
        <v>158</v>
      </c>
      <c r="W250" s="31" t="str">
        <f>HYPERLINK("https://www.stromypodkontrolou.cz/map/tree/d41bce85-5010-4276-b929-4760db78c679/389a6bbc-c74f-43c7-ab8b-676e2e98b13d")</f>
        <v>https://www.stromypodkontrolou.cz/map/tree/d41bce85-5010-4276-b929-4760db78c679/389a6bbc-c74f-43c7-ab8b-676e2e98b13d</v>
      </c>
      <c r="X250" s="31">
        <v>-740236.41924099997</v>
      </c>
      <c r="Y250" s="31">
        <v>-1004954.9967519999</v>
      </c>
      <c r="Z250" s="31" t="str">
        <f>HYPERLINK("https://www.mapy.cz?st=search&amp;fr=50.42958909 14.38411430")</f>
        <v>https://www.mapy.cz?st=search&amp;fr=50.42958909 14.38411430</v>
      </c>
      <c r="AA250" s="20" t="s">
        <v>601</v>
      </c>
      <c r="AB250" s="59"/>
    </row>
    <row r="251" spans="1:28" ht="35.1" customHeight="1" x14ac:dyDescent="0.25">
      <c r="A251" s="65" t="s">
        <v>539</v>
      </c>
      <c r="B251" s="66" t="s">
        <v>68</v>
      </c>
      <c r="C251" s="67" t="s">
        <v>69</v>
      </c>
      <c r="D251" s="68" t="s">
        <v>119</v>
      </c>
      <c r="E251" s="68"/>
      <c r="F251" s="68"/>
      <c r="G251" s="68"/>
      <c r="H251" s="68" t="s">
        <v>64</v>
      </c>
      <c r="I251" s="68" t="s">
        <v>29</v>
      </c>
      <c r="J251" s="68" t="s">
        <v>71</v>
      </c>
      <c r="K251" s="68" t="s">
        <v>32</v>
      </c>
      <c r="L251" s="68" t="s">
        <v>33</v>
      </c>
      <c r="M251" s="68" t="s">
        <v>35</v>
      </c>
      <c r="N251" s="68" t="s">
        <v>54</v>
      </c>
      <c r="O251" s="68" t="s">
        <v>54</v>
      </c>
      <c r="P251" s="64" t="s">
        <v>183</v>
      </c>
      <c r="Q251" s="64" t="s">
        <v>521</v>
      </c>
      <c r="R251" s="64" t="s">
        <v>529</v>
      </c>
      <c r="S251" s="31" t="s">
        <v>56</v>
      </c>
      <c r="T251" s="35" t="s">
        <v>45</v>
      </c>
      <c r="U251" s="35" t="s">
        <v>35</v>
      </c>
      <c r="V251" s="35"/>
      <c r="W251" s="64" t="str">
        <f>HYPERLINK("https://www.stromypodkontrolou.cz/map/tree/d41bce85-5010-4276-b929-4760db78c679/680cc05c-6794-47f8-a627-6f4be2f3a938")</f>
        <v>https://www.stromypodkontrolou.cz/map/tree/d41bce85-5010-4276-b929-4760db78c679/680cc05c-6794-47f8-a627-6f4be2f3a938</v>
      </c>
      <c r="X251" s="64">
        <v>-740357.29044799996</v>
      </c>
      <c r="Y251" s="64">
        <v>-1004772.949453</v>
      </c>
      <c r="Z251" s="64" t="str">
        <f>HYPERLINK("https://www.mapy.cz?st=search&amp;fr=50.43106170 14.38207850")</f>
        <v>https://www.mapy.cz?st=search&amp;fr=50.43106170 14.38207850</v>
      </c>
      <c r="AA251" s="25" t="s">
        <v>602</v>
      </c>
      <c r="AB251" s="60"/>
    </row>
    <row r="252" spans="1:28" ht="35.1" customHeight="1" x14ac:dyDescent="0.25">
      <c r="A252" s="65"/>
      <c r="B252" s="66"/>
      <c r="C252" s="67"/>
      <c r="D252" s="68"/>
      <c r="E252" s="68"/>
      <c r="F252" s="68"/>
      <c r="G252" s="68"/>
      <c r="H252" s="68"/>
      <c r="I252" s="68"/>
      <c r="J252" s="68"/>
      <c r="K252" s="68"/>
      <c r="L252" s="68"/>
      <c r="M252" s="68"/>
      <c r="N252" s="68"/>
      <c r="O252" s="68"/>
      <c r="P252" s="64"/>
      <c r="Q252" s="64"/>
      <c r="R252" s="64"/>
      <c r="S252" s="31" t="s">
        <v>85</v>
      </c>
      <c r="T252" s="35" t="s">
        <v>45</v>
      </c>
      <c r="U252" s="35" t="s">
        <v>35</v>
      </c>
      <c r="V252" s="35" t="s">
        <v>158</v>
      </c>
      <c r="W252" s="64"/>
      <c r="X252" s="64"/>
      <c r="Y252" s="64"/>
      <c r="Z252" s="64"/>
      <c r="AA252" s="20" t="s">
        <v>601</v>
      </c>
      <c r="AB252" s="59"/>
    </row>
    <row r="253" spans="1:28" ht="35.1" customHeight="1" x14ac:dyDescent="0.25">
      <c r="A253" s="32" t="s">
        <v>540</v>
      </c>
      <c r="B253" s="33" t="s">
        <v>68</v>
      </c>
      <c r="C253" s="34" t="s">
        <v>69</v>
      </c>
      <c r="D253" s="35" t="s">
        <v>96</v>
      </c>
      <c r="E253" s="35"/>
      <c r="F253" s="35"/>
      <c r="G253" s="35"/>
      <c r="H253" s="35" t="s">
        <v>51</v>
      </c>
      <c r="I253" s="35" t="s">
        <v>29</v>
      </c>
      <c r="J253" s="35" t="s">
        <v>113</v>
      </c>
      <c r="K253" s="35" t="s">
        <v>32</v>
      </c>
      <c r="L253" s="35" t="s">
        <v>33</v>
      </c>
      <c r="M253" s="35" t="s">
        <v>35</v>
      </c>
      <c r="N253" s="35" t="s">
        <v>54</v>
      </c>
      <c r="O253" s="35" t="s">
        <v>54</v>
      </c>
      <c r="P253" s="31" t="s">
        <v>75</v>
      </c>
      <c r="Q253" s="31" t="s">
        <v>521</v>
      </c>
      <c r="R253" s="31" t="s">
        <v>529</v>
      </c>
      <c r="S253" s="31" t="s">
        <v>85</v>
      </c>
      <c r="T253" s="35" t="s">
        <v>45</v>
      </c>
      <c r="U253" s="35" t="s">
        <v>35</v>
      </c>
      <c r="V253" s="35" t="s">
        <v>86</v>
      </c>
      <c r="W253" s="31" t="str">
        <f>HYPERLINK("https://www.stromypodkontrolou.cz/map/tree/d41bce85-5010-4276-b929-4760db78c679/2a7fa9c4-8f36-4703-8724-8a6be32b9c38")</f>
        <v>https://www.stromypodkontrolou.cz/map/tree/d41bce85-5010-4276-b929-4760db78c679/2a7fa9c4-8f36-4703-8724-8a6be32b9c38</v>
      </c>
      <c r="X253" s="31">
        <v>-740363.97354899999</v>
      </c>
      <c r="Y253" s="31">
        <v>-1004799.2225</v>
      </c>
      <c r="Z253" s="31" t="str">
        <f>HYPERLINK("https://www.mapy.cz?st=search&amp;fr=50.43081950 14.38203592")</f>
        <v>https://www.mapy.cz?st=search&amp;fr=50.43081950 14.38203592</v>
      </c>
      <c r="AA253" s="20" t="s">
        <v>601</v>
      </c>
      <c r="AB253" s="59"/>
    </row>
    <row r="254" spans="1:28" ht="35.1" customHeight="1" x14ac:dyDescent="0.25">
      <c r="A254" s="32" t="s">
        <v>541</v>
      </c>
      <c r="B254" s="33" t="s">
        <v>68</v>
      </c>
      <c r="C254" s="34" t="s">
        <v>69</v>
      </c>
      <c r="D254" s="35" t="s">
        <v>391</v>
      </c>
      <c r="E254" s="35"/>
      <c r="F254" s="35"/>
      <c r="G254" s="35"/>
      <c r="H254" s="35" t="s">
        <v>166</v>
      </c>
      <c r="I254" s="35" t="s">
        <v>77</v>
      </c>
      <c r="J254" s="35" t="s">
        <v>71</v>
      </c>
      <c r="K254" s="35" t="s">
        <v>32</v>
      </c>
      <c r="L254" s="35" t="s">
        <v>74</v>
      </c>
      <c r="M254" s="35" t="s">
        <v>35</v>
      </c>
      <c r="N254" s="35" t="s">
        <v>54</v>
      </c>
      <c r="O254" s="35" t="s">
        <v>54</v>
      </c>
      <c r="P254" s="31" t="s">
        <v>399</v>
      </c>
      <c r="Q254" s="31" t="s">
        <v>521</v>
      </c>
      <c r="R254" s="31" t="s">
        <v>529</v>
      </c>
      <c r="S254" s="31" t="s">
        <v>85</v>
      </c>
      <c r="T254" s="35" t="s">
        <v>45</v>
      </c>
      <c r="U254" s="35" t="s">
        <v>35</v>
      </c>
      <c r="V254" s="35" t="s">
        <v>158</v>
      </c>
      <c r="W254" s="31" t="str">
        <f>HYPERLINK("https://www.stromypodkontrolou.cz/map/tree/d41bce85-5010-4276-b929-4760db78c679/222774d9-b6b7-46ac-8467-837f2b234230")</f>
        <v>https://www.stromypodkontrolou.cz/map/tree/d41bce85-5010-4276-b929-4760db78c679/222774d9-b6b7-46ac-8467-837f2b234230</v>
      </c>
      <c r="X254" s="31">
        <v>-740331.92985499999</v>
      </c>
      <c r="Y254" s="31">
        <v>-1004838.300463</v>
      </c>
      <c r="Z254" s="31" t="str">
        <f>HYPERLINK("https://www.mapy.cz?st=search&amp;fr=50.43051089 14.38255795")</f>
        <v>https://www.mapy.cz?st=search&amp;fr=50.43051089 14.38255795</v>
      </c>
      <c r="AA254" s="20" t="s">
        <v>601</v>
      </c>
      <c r="AB254" s="59"/>
    </row>
    <row r="255" spans="1:28" ht="35.1" customHeight="1" x14ac:dyDescent="0.25">
      <c r="A255" s="65" t="s">
        <v>542</v>
      </c>
      <c r="B255" s="66" t="s">
        <v>254</v>
      </c>
      <c r="C255" s="67" t="s">
        <v>255</v>
      </c>
      <c r="D255" s="68" t="s">
        <v>106</v>
      </c>
      <c r="E255" s="68"/>
      <c r="F255" s="68"/>
      <c r="G255" s="68"/>
      <c r="H255" s="68" t="s">
        <v>70</v>
      </c>
      <c r="I255" s="68" t="s">
        <v>61</v>
      </c>
      <c r="J255" s="68" t="s">
        <v>101</v>
      </c>
      <c r="K255" s="68" t="s">
        <v>32</v>
      </c>
      <c r="L255" s="68" t="s">
        <v>33</v>
      </c>
      <c r="M255" s="68" t="s">
        <v>35</v>
      </c>
      <c r="N255" s="68" t="s">
        <v>35</v>
      </c>
      <c r="O255" s="68" t="s">
        <v>54</v>
      </c>
      <c r="P255" s="64" t="s">
        <v>543</v>
      </c>
      <c r="Q255" s="64" t="s">
        <v>521</v>
      </c>
      <c r="R255" s="64" t="s">
        <v>529</v>
      </c>
      <c r="S255" s="31" t="s">
        <v>57</v>
      </c>
      <c r="T255" s="35" t="s">
        <v>45</v>
      </c>
      <c r="U255" s="35" t="s">
        <v>34</v>
      </c>
      <c r="V255" s="35" t="s">
        <v>58</v>
      </c>
      <c r="W255" s="64" t="str">
        <f>HYPERLINK("https://www.stromypodkontrolou.cz/map/tree/d41bce85-5010-4276-b929-4760db78c679/c1132848-f1cd-467a-981c-912a41293b4b")</f>
        <v>https://www.stromypodkontrolou.cz/map/tree/d41bce85-5010-4276-b929-4760db78c679/c1132848-f1cd-467a-981c-912a41293b4b</v>
      </c>
      <c r="X255" s="64">
        <v>-740327.262521</v>
      </c>
      <c r="Y255" s="64">
        <v>-1004856.739454</v>
      </c>
      <c r="Z255" s="64" t="str">
        <f>HYPERLINK("https://www.mapy.cz?st=search&amp;fr=50.43035242 14.38265853")</f>
        <v>https://www.mapy.cz?st=search&amp;fr=50.43035242 14.38265853</v>
      </c>
      <c r="AA255" s="20" t="s">
        <v>599</v>
      </c>
      <c r="AB255" s="59"/>
    </row>
    <row r="256" spans="1:28" ht="35.1" customHeight="1" x14ac:dyDescent="0.25">
      <c r="A256" s="65"/>
      <c r="B256" s="66"/>
      <c r="C256" s="67"/>
      <c r="D256" s="68"/>
      <c r="E256" s="68"/>
      <c r="F256" s="68"/>
      <c r="G256" s="68"/>
      <c r="H256" s="68"/>
      <c r="I256" s="68"/>
      <c r="J256" s="68"/>
      <c r="K256" s="68"/>
      <c r="L256" s="68"/>
      <c r="M256" s="68"/>
      <c r="N256" s="68"/>
      <c r="O256" s="68"/>
      <c r="P256" s="64"/>
      <c r="Q256" s="64"/>
      <c r="R256" s="64"/>
      <c r="S256" s="31" t="s">
        <v>56</v>
      </c>
      <c r="T256" s="35" t="s">
        <v>45</v>
      </c>
      <c r="U256" s="35" t="s">
        <v>34</v>
      </c>
      <c r="V256" s="35"/>
      <c r="W256" s="64"/>
      <c r="X256" s="64"/>
      <c r="Y256" s="64"/>
      <c r="Z256" s="64"/>
      <c r="AA256" s="20" t="s">
        <v>598</v>
      </c>
      <c r="AB256" s="59"/>
    </row>
    <row r="257" spans="1:28" ht="35.1" customHeight="1" x14ac:dyDescent="0.25">
      <c r="A257" s="65" t="s">
        <v>544</v>
      </c>
      <c r="B257" s="66" t="s">
        <v>254</v>
      </c>
      <c r="C257" s="67" t="s">
        <v>255</v>
      </c>
      <c r="D257" s="68" t="s">
        <v>545</v>
      </c>
      <c r="E257" s="68"/>
      <c r="F257" s="68"/>
      <c r="G257" s="68"/>
      <c r="H257" s="68" t="s">
        <v>70</v>
      </c>
      <c r="I257" s="68" t="s">
        <v>61</v>
      </c>
      <c r="J257" s="68" t="s">
        <v>101</v>
      </c>
      <c r="K257" s="68" t="s">
        <v>45</v>
      </c>
      <c r="L257" s="68" t="s">
        <v>74</v>
      </c>
      <c r="M257" s="68" t="s">
        <v>35</v>
      </c>
      <c r="N257" s="68" t="s">
        <v>54</v>
      </c>
      <c r="O257" s="68" t="s">
        <v>54</v>
      </c>
      <c r="P257" s="64" t="s">
        <v>546</v>
      </c>
      <c r="Q257" s="64" t="s">
        <v>521</v>
      </c>
      <c r="R257" s="64" t="s">
        <v>529</v>
      </c>
      <c r="S257" s="31" t="s">
        <v>56</v>
      </c>
      <c r="T257" s="35" t="s">
        <v>45</v>
      </c>
      <c r="U257" s="35" t="s">
        <v>34</v>
      </c>
      <c r="V257" s="35"/>
      <c r="W257" s="64" t="str">
        <f>HYPERLINK("https://www.stromypodkontrolou.cz/map/tree/d41bce85-5010-4276-b929-4760db78c679/fc148cea-9a55-45c3-9563-9ca7017c5556")</f>
        <v>https://www.stromypodkontrolou.cz/map/tree/d41bce85-5010-4276-b929-4760db78c679/fc148cea-9a55-45c3-9563-9ca7017c5556</v>
      </c>
      <c r="X257" s="64">
        <v>-740316.98247499997</v>
      </c>
      <c r="Y257" s="64">
        <v>-1004870.581819</v>
      </c>
      <c r="Z257" s="64" t="str">
        <f>HYPERLINK("https://www.mapy.cz?st=search&amp;fr=50.43024179 14.38282851")</f>
        <v>https://www.mapy.cz?st=search&amp;fr=50.43024179 14.38282851</v>
      </c>
      <c r="AA257" s="20" t="s">
        <v>598</v>
      </c>
      <c r="AB257" s="59"/>
    </row>
    <row r="258" spans="1:28" ht="35.1" customHeight="1" x14ac:dyDescent="0.25">
      <c r="A258" s="65"/>
      <c r="B258" s="66"/>
      <c r="C258" s="67"/>
      <c r="D258" s="68"/>
      <c r="E258" s="68"/>
      <c r="F258" s="68"/>
      <c r="G258" s="68"/>
      <c r="H258" s="68"/>
      <c r="I258" s="68"/>
      <c r="J258" s="68"/>
      <c r="K258" s="68"/>
      <c r="L258" s="68"/>
      <c r="M258" s="68"/>
      <c r="N258" s="68"/>
      <c r="O258" s="68"/>
      <c r="P258" s="64"/>
      <c r="Q258" s="64"/>
      <c r="R258" s="64"/>
      <c r="S258" s="31" t="s">
        <v>57</v>
      </c>
      <c r="T258" s="35" t="s">
        <v>45</v>
      </c>
      <c r="U258" s="35" t="s">
        <v>34</v>
      </c>
      <c r="V258" s="35" t="s">
        <v>200</v>
      </c>
      <c r="W258" s="64"/>
      <c r="X258" s="64"/>
      <c r="Y258" s="64"/>
      <c r="Z258" s="64"/>
      <c r="AA258" s="20" t="s">
        <v>599</v>
      </c>
      <c r="AB258" s="59"/>
    </row>
    <row r="259" spans="1:28" ht="35.1" customHeight="1" x14ac:dyDescent="0.25">
      <c r="A259" s="65" t="s">
        <v>547</v>
      </c>
      <c r="B259" s="66" t="s">
        <v>68</v>
      </c>
      <c r="C259" s="67" t="s">
        <v>69</v>
      </c>
      <c r="D259" s="68" t="s">
        <v>96</v>
      </c>
      <c r="E259" s="68" t="s">
        <v>50</v>
      </c>
      <c r="F259" s="68"/>
      <c r="G259" s="68"/>
      <c r="H259" s="68" t="s">
        <v>64</v>
      </c>
      <c r="I259" s="68" t="s">
        <v>89</v>
      </c>
      <c r="J259" s="68" t="s">
        <v>137</v>
      </c>
      <c r="K259" s="68" t="s">
        <v>32</v>
      </c>
      <c r="L259" s="68" t="s">
        <v>33</v>
      </c>
      <c r="M259" s="68" t="s">
        <v>35</v>
      </c>
      <c r="N259" s="68" t="s">
        <v>54</v>
      </c>
      <c r="O259" s="68" t="s">
        <v>54</v>
      </c>
      <c r="P259" s="64" t="s">
        <v>548</v>
      </c>
      <c r="Q259" s="64" t="s">
        <v>521</v>
      </c>
      <c r="R259" s="64" t="s">
        <v>529</v>
      </c>
      <c r="S259" s="31" t="s">
        <v>85</v>
      </c>
      <c r="T259" s="35" t="s">
        <v>45</v>
      </c>
      <c r="U259" s="35" t="s">
        <v>35</v>
      </c>
      <c r="V259" s="35" t="s">
        <v>86</v>
      </c>
      <c r="W259" s="64" t="str">
        <f>HYPERLINK("https://www.stromypodkontrolou.cz/map/tree/d41bce85-5010-4276-b929-4760db78c679/063e79bc-ead5-409c-ab6f-7ef211df7ad0")</f>
        <v>https://www.stromypodkontrolou.cz/map/tree/d41bce85-5010-4276-b929-4760db78c679/063e79bc-ead5-409c-ab6f-7ef211df7ad0</v>
      </c>
      <c r="X259" s="64">
        <v>-740307.00770800002</v>
      </c>
      <c r="Y259" s="64">
        <v>-1004883.326826</v>
      </c>
      <c r="Z259" s="64" t="str">
        <f>HYPERLINK("https://www.mapy.cz?st=search&amp;fr=50.43014055 14.38299213")</f>
        <v>https://www.mapy.cz?st=search&amp;fr=50.43014055 14.38299213</v>
      </c>
      <c r="AA259" s="20" t="s">
        <v>601</v>
      </c>
      <c r="AB259" s="59"/>
    </row>
    <row r="260" spans="1:28" ht="35.1" customHeight="1" x14ac:dyDescent="0.25">
      <c r="A260" s="65"/>
      <c r="B260" s="66"/>
      <c r="C260" s="67"/>
      <c r="D260" s="68"/>
      <c r="E260" s="68"/>
      <c r="F260" s="68"/>
      <c r="G260" s="68"/>
      <c r="H260" s="68"/>
      <c r="I260" s="68"/>
      <c r="J260" s="68"/>
      <c r="K260" s="68"/>
      <c r="L260" s="68"/>
      <c r="M260" s="68"/>
      <c r="N260" s="68"/>
      <c r="O260" s="68"/>
      <c r="P260" s="64"/>
      <c r="Q260" s="64"/>
      <c r="R260" s="64"/>
      <c r="S260" s="31" t="s">
        <v>56</v>
      </c>
      <c r="T260" s="35" t="s">
        <v>45</v>
      </c>
      <c r="U260" s="35" t="s">
        <v>35</v>
      </c>
      <c r="V260" s="35"/>
      <c r="W260" s="64"/>
      <c r="X260" s="64"/>
      <c r="Y260" s="64"/>
      <c r="Z260" s="64"/>
      <c r="AA260" s="25" t="s">
        <v>602</v>
      </c>
      <c r="AB260" s="60"/>
    </row>
    <row r="261" spans="1:28" ht="35.1" customHeight="1" x14ac:dyDescent="0.25">
      <c r="A261" s="32" t="s">
        <v>549</v>
      </c>
      <c r="B261" s="33" t="s">
        <v>68</v>
      </c>
      <c r="C261" s="34" t="s">
        <v>69</v>
      </c>
      <c r="D261" s="35" t="s">
        <v>100</v>
      </c>
      <c r="E261" s="35"/>
      <c r="F261" s="35"/>
      <c r="G261" s="35"/>
      <c r="H261" s="35" t="s">
        <v>146</v>
      </c>
      <c r="I261" s="35" t="s">
        <v>43</v>
      </c>
      <c r="J261" s="35" t="s">
        <v>66</v>
      </c>
      <c r="K261" s="35" t="s">
        <v>32</v>
      </c>
      <c r="L261" s="35" t="s">
        <v>74</v>
      </c>
      <c r="M261" s="35" t="s">
        <v>35</v>
      </c>
      <c r="N261" s="35" t="s">
        <v>54</v>
      </c>
      <c r="O261" s="35" t="s">
        <v>54</v>
      </c>
      <c r="P261" s="31" t="s">
        <v>550</v>
      </c>
      <c r="Q261" s="31" t="s">
        <v>521</v>
      </c>
      <c r="R261" s="31" t="s">
        <v>529</v>
      </c>
      <c r="S261" s="31" t="s">
        <v>85</v>
      </c>
      <c r="T261" s="35" t="s">
        <v>45</v>
      </c>
      <c r="U261" s="35" t="s">
        <v>35</v>
      </c>
      <c r="V261" s="35" t="s">
        <v>86</v>
      </c>
      <c r="W261" s="31" t="str">
        <f>HYPERLINK("https://www.stromypodkontrolou.cz/map/tree/d41bce85-5010-4276-b929-4760db78c679/7240d94b-3fc7-440e-99a7-6934c3b9eece")</f>
        <v>https://www.stromypodkontrolou.cz/map/tree/d41bce85-5010-4276-b929-4760db78c679/7240d94b-3fc7-440e-99a7-6934c3b9eece</v>
      </c>
      <c r="X261" s="31">
        <v>-740266.52895199996</v>
      </c>
      <c r="Y261" s="31">
        <v>-1004933.595492</v>
      </c>
      <c r="Z261" s="31" t="str">
        <f>HYPERLINK("https://www.mapy.cz?st=search&amp;fr=50.42974266 14.38365329")</f>
        <v>https://www.mapy.cz?st=search&amp;fr=50.42974266 14.38365329</v>
      </c>
      <c r="AA261" s="20" t="s">
        <v>601</v>
      </c>
      <c r="AB261" s="59"/>
    </row>
    <row r="262" spans="1:28" ht="35.1" customHeight="1" x14ac:dyDescent="0.25">
      <c r="A262" s="65" t="s">
        <v>551</v>
      </c>
      <c r="B262" s="66" t="s">
        <v>68</v>
      </c>
      <c r="C262" s="67" t="s">
        <v>69</v>
      </c>
      <c r="D262" s="68" t="s">
        <v>208</v>
      </c>
      <c r="E262" s="68"/>
      <c r="F262" s="68"/>
      <c r="G262" s="68"/>
      <c r="H262" s="68" t="s">
        <v>146</v>
      </c>
      <c r="I262" s="68" t="s">
        <v>43</v>
      </c>
      <c r="J262" s="68" t="s">
        <v>66</v>
      </c>
      <c r="K262" s="68" t="s">
        <v>32</v>
      </c>
      <c r="L262" s="68" t="s">
        <v>33</v>
      </c>
      <c r="M262" s="68" t="s">
        <v>34</v>
      </c>
      <c r="N262" s="68" t="s">
        <v>35</v>
      </c>
      <c r="O262" s="68" t="s">
        <v>35</v>
      </c>
      <c r="P262" s="64" t="s">
        <v>36</v>
      </c>
      <c r="Q262" s="64" t="s">
        <v>521</v>
      </c>
      <c r="R262" s="64" t="s">
        <v>529</v>
      </c>
      <c r="S262" s="31" t="s">
        <v>57</v>
      </c>
      <c r="T262" s="35" t="s">
        <v>45</v>
      </c>
      <c r="U262" s="35" t="s">
        <v>35</v>
      </c>
      <c r="V262" s="35" t="s">
        <v>552</v>
      </c>
      <c r="W262" s="64" t="str">
        <f>HYPERLINK("https://www.stromypodkontrolou.cz/map/tree/d41bce85-5010-4276-b929-4760db78c679/7d73557b-50d8-4a6f-8a55-0b0f8525b161")</f>
        <v>https://www.stromypodkontrolou.cz/map/tree/d41bce85-5010-4276-b929-4760db78c679/7d73557b-50d8-4a6f-8a55-0b0f8525b161</v>
      </c>
      <c r="X262" s="64">
        <v>-740263.93918900006</v>
      </c>
      <c r="Y262" s="64">
        <v>-1004936.783019</v>
      </c>
      <c r="Z262" s="64" t="str">
        <f>HYPERLINK("https://www.mapy.cz?st=search&amp;fr=50.42971745 14.38369554")</f>
        <v>https://www.mapy.cz?st=search&amp;fr=50.42971745 14.38369554</v>
      </c>
      <c r="AA262" s="20" t="s">
        <v>603</v>
      </c>
      <c r="AB262" s="59"/>
    </row>
    <row r="263" spans="1:28" ht="35.1" customHeight="1" x14ac:dyDescent="0.25">
      <c r="A263" s="65"/>
      <c r="B263" s="66"/>
      <c r="C263" s="67"/>
      <c r="D263" s="68"/>
      <c r="E263" s="68"/>
      <c r="F263" s="68"/>
      <c r="G263" s="68"/>
      <c r="H263" s="68"/>
      <c r="I263" s="68"/>
      <c r="J263" s="68"/>
      <c r="K263" s="68"/>
      <c r="L263" s="68"/>
      <c r="M263" s="68"/>
      <c r="N263" s="68"/>
      <c r="O263" s="68"/>
      <c r="P263" s="64"/>
      <c r="Q263" s="64"/>
      <c r="R263" s="64"/>
      <c r="S263" s="31" t="s">
        <v>56</v>
      </c>
      <c r="T263" s="35" t="s">
        <v>45</v>
      </c>
      <c r="U263" s="35" t="s">
        <v>35</v>
      </c>
      <c r="V263" s="35"/>
      <c r="W263" s="64"/>
      <c r="X263" s="64"/>
      <c r="Y263" s="64"/>
      <c r="Z263" s="64"/>
      <c r="AA263" s="25" t="s">
        <v>602</v>
      </c>
      <c r="AB263" s="60"/>
    </row>
    <row r="264" spans="1:28" ht="35.1" customHeight="1" x14ac:dyDescent="0.25">
      <c r="A264" s="65" t="s">
        <v>553</v>
      </c>
      <c r="B264" s="66" t="s">
        <v>68</v>
      </c>
      <c r="C264" s="67" t="s">
        <v>69</v>
      </c>
      <c r="D264" s="68" t="s">
        <v>185</v>
      </c>
      <c r="E264" s="68"/>
      <c r="F264" s="68"/>
      <c r="G264" s="68"/>
      <c r="H264" s="68" t="s">
        <v>146</v>
      </c>
      <c r="I264" s="68" t="s">
        <v>43</v>
      </c>
      <c r="J264" s="68" t="s">
        <v>129</v>
      </c>
      <c r="K264" s="68" t="s">
        <v>32</v>
      </c>
      <c r="L264" s="68" t="s">
        <v>74</v>
      </c>
      <c r="M264" s="68" t="s">
        <v>35</v>
      </c>
      <c r="N264" s="68" t="s">
        <v>54</v>
      </c>
      <c r="O264" s="68" t="s">
        <v>54</v>
      </c>
      <c r="P264" s="64" t="s">
        <v>162</v>
      </c>
      <c r="Q264" s="64" t="s">
        <v>521</v>
      </c>
      <c r="R264" s="64" t="s">
        <v>529</v>
      </c>
      <c r="S264" s="31" t="s">
        <v>56</v>
      </c>
      <c r="T264" s="35" t="s">
        <v>45</v>
      </c>
      <c r="U264" s="35" t="s">
        <v>34</v>
      </c>
      <c r="V264" s="35"/>
      <c r="W264" s="64" t="str">
        <f>HYPERLINK("https://www.stromypodkontrolou.cz/map/tree/d41bce85-5010-4276-b929-4760db78c679/3702276f-df88-493e-9722-f3a6168a975f")</f>
        <v>https://www.stromypodkontrolou.cz/map/tree/d41bce85-5010-4276-b929-4760db78c679/3702276f-df88-493e-9722-f3a6168a975f</v>
      </c>
      <c r="X264" s="64">
        <v>-740235.27481800003</v>
      </c>
      <c r="Y264" s="64">
        <v>-1004972.829514</v>
      </c>
      <c r="Z264" s="64" t="str">
        <f>HYPERLINK("https://www.mapy.cz?st=search&amp;fr=50.42943168 14.38416459")</f>
        <v>https://www.mapy.cz?st=search&amp;fr=50.42943168 14.38416459</v>
      </c>
      <c r="AA264" s="25" t="s">
        <v>602</v>
      </c>
      <c r="AB264" s="60"/>
    </row>
    <row r="265" spans="1:28" ht="35.1" customHeight="1" x14ac:dyDescent="0.25">
      <c r="A265" s="65"/>
      <c r="B265" s="66"/>
      <c r="C265" s="67"/>
      <c r="D265" s="68"/>
      <c r="E265" s="68"/>
      <c r="F265" s="68"/>
      <c r="G265" s="68"/>
      <c r="H265" s="68"/>
      <c r="I265" s="68"/>
      <c r="J265" s="68"/>
      <c r="K265" s="68"/>
      <c r="L265" s="68"/>
      <c r="M265" s="68"/>
      <c r="N265" s="68"/>
      <c r="O265" s="68"/>
      <c r="P265" s="64"/>
      <c r="Q265" s="64"/>
      <c r="R265" s="64"/>
      <c r="S265" s="31" t="s">
        <v>57</v>
      </c>
      <c r="T265" s="35" t="s">
        <v>45</v>
      </c>
      <c r="U265" s="35" t="s">
        <v>34</v>
      </c>
      <c r="V265" s="35" t="s">
        <v>200</v>
      </c>
      <c r="W265" s="64"/>
      <c r="X265" s="64"/>
      <c r="Y265" s="64"/>
      <c r="Z265" s="64"/>
      <c r="AA265" s="20" t="s">
        <v>603</v>
      </c>
      <c r="AB265" s="59"/>
    </row>
    <row r="266" spans="1:28" ht="35.1" customHeight="1" x14ac:dyDescent="0.25">
      <c r="A266" s="32" t="s">
        <v>554</v>
      </c>
      <c r="B266" s="33" t="s">
        <v>68</v>
      </c>
      <c r="C266" s="34" t="s">
        <v>69</v>
      </c>
      <c r="D266" s="35" t="s">
        <v>236</v>
      </c>
      <c r="E266" s="35"/>
      <c r="F266" s="35"/>
      <c r="G266" s="35"/>
      <c r="H266" s="35" t="s">
        <v>146</v>
      </c>
      <c r="I266" s="35" t="s">
        <v>43</v>
      </c>
      <c r="J266" s="35" t="s">
        <v>129</v>
      </c>
      <c r="K266" s="35" t="s">
        <v>32</v>
      </c>
      <c r="L266" s="35" t="s">
        <v>33</v>
      </c>
      <c r="M266" s="35" t="s">
        <v>34</v>
      </c>
      <c r="N266" s="35" t="s">
        <v>35</v>
      </c>
      <c r="O266" s="35" t="s">
        <v>54</v>
      </c>
      <c r="P266" s="31" t="s">
        <v>186</v>
      </c>
      <c r="Q266" s="31" t="s">
        <v>521</v>
      </c>
      <c r="R266" s="31" t="s">
        <v>529</v>
      </c>
      <c r="S266" s="31" t="s">
        <v>56</v>
      </c>
      <c r="T266" s="35" t="s">
        <v>45</v>
      </c>
      <c r="U266" s="35" t="s">
        <v>35</v>
      </c>
      <c r="V266" s="35"/>
      <c r="W266" s="31" t="str">
        <f>HYPERLINK("https://www.stromypodkontrolou.cz/map/tree/d41bce85-5010-4276-b929-4760db78c679/653b034f-3a7a-4a7e-b942-b4a80a1c74bf")</f>
        <v>https://www.stromypodkontrolou.cz/map/tree/d41bce85-5010-4276-b929-4760db78c679/653b034f-3a7a-4a7e-b942-b4a80a1c74bf</v>
      </c>
      <c r="X266" s="31">
        <v>-740226.25825499999</v>
      </c>
      <c r="Y266" s="31">
        <v>-1004985.202357</v>
      </c>
      <c r="Z266" s="31" t="str">
        <f>HYPERLINK("https://www.mapy.cz?st=search&amp;fr=50.42933258 14.38431412")</f>
        <v>https://www.mapy.cz?st=search&amp;fr=50.42933258 14.38431412</v>
      </c>
      <c r="AA266" s="25" t="s">
        <v>602</v>
      </c>
      <c r="AB266" s="60"/>
    </row>
    <row r="267" spans="1:28" ht="35.1" customHeight="1" x14ac:dyDescent="0.25">
      <c r="A267" s="32" t="s">
        <v>555</v>
      </c>
      <c r="B267" s="33" t="s">
        <v>68</v>
      </c>
      <c r="C267" s="34" t="s">
        <v>69</v>
      </c>
      <c r="D267" s="35" t="s">
        <v>87</v>
      </c>
      <c r="E267" s="35"/>
      <c r="F267" s="35"/>
      <c r="G267" s="35"/>
      <c r="H267" s="35" t="s">
        <v>72</v>
      </c>
      <c r="I267" s="35" t="s">
        <v>43</v>
      </c>
      <c r="J267" s="35" t="s">
        <v>45</v>
      </c>
      <c r="K267" s="35" t="s">
        <v>32</v>
      </c>
      <c r="L267" s="35" t="s">
        <v>33</v>
      </c>
      <c r="M267" s="35" t="s">
        <v>35</v>
      </c>
      <c r="N267" s="35" t="s">
        <v>35</v>
      </c>
      <c r="O267" s="35" t="s">
        <v>54</v>
      </c>
      <c r="P267" s="31" t="s">
        <v>162</v>
      </c>
      <c r="Q267" s="31" t="s">
        <v>521</v>
      </c>
      <c r="R267" s="31" t="s">
        <v>529</v>
      </c>
      <c r="S267" s="31" t="s">
        <v>56</v>
      </c>
      <c r="T267" s="35" t="s">
        <v>45</v>
      </c>
      <c r="U267" s="35" t="s">
        <v>34</v>
      </c>
      <c r="V267" s="35"/>
      <c r="W267" s="31" t="str">
        <f>HYPERLINK("https://www.stromypodkontrolou.cz/map/tree/d41bce85-5010-4276-b929-4760db78c679/78ebe812-ac28-40ee-bc9c-367b7c8cdc2f")</f>
        <v>https://www.stromypodkontrolou.cz/map/tree/d41bce85-5010-4276-b929-4760db78c679/78ebe812-ac28-40ee-bc9c-367b7c8cdc2f</v>
      </c>
      <c r="X267" s="31">
        <v>-740216.93827399996</v>
      </c>
      <c r="Y267" s="31">
        <v>-1004996.945604</v>
      </c>
      <c r="Z267" s="31" t="str">
        <f>HYPERLINK("https://www.mapy.cz?st=search&amp;fr=50.42923946 14.38446667")</f>
        <v>https://www.mapy.cz?st=search&amp;fr=50.42923946 14.38446667</v>
      </c>
      <c r="AA267" s="25" t="s">
        <v>602</v>
      </c>
      <c r="AB267" s="60"/>
    </row>
    <row r="268" spans="1:28" ht="35.1" customHeight="1" x14ac:dyDescent="0.25">
      <c r="A268" s="32" t="s">
        <v>557</v>
      </c>
      <c r="B268" s="33" t="s">
        <v>68</v>
      </c>
      <c r="C268" s="34" t="s">
        <v>69</v>
      </c>
      <c r="D268" s="35" t="s">
        <v>283</v>
      </c>
      <c r="E268" s="35"/>
      <c r="F268" s="35"/>
      <c r="G268" s="35"/>
      <c r="H268" s="35" t="s">
        <v>72</v>
      </c>
      <c r="I268" s="35" t="s">
        <v>73</v>
      </c>
      <c r="J268" s="35" t="s">
        <v>62</v>
      </c>
      <c r="K268" s="35" t="s">
        <v>32</v>
      </c>
      <c r="L268" s="35" t="s">
        <v>33</v>
      </c>
      <c r="M268" s="35" t="s">
        <v>35</v>
      </c>
      <c r="N268" s="35" t="s">
        <v>35</v>
      </c>
      <c r="O268" s="35" t="s">
        <v>35</v>
      </c>
      <c r="P268" s="31" t="s">
        <v>186</v>
      </c>
      <c r="Q268" s="31" t="s">
        <v>521</v>
      </c>
      <c r="R268" s="31" t="s">
        <v>556</v>
      </c>
      <c r="S268" s="31" t="s">
        <v>56</v>
      </c>
      <c r="T268" s="35" t="s">
        <v>45</v>
      </c>
      <c r="U268" s="35" t="s">
        <v>34</v>
      </c>
      <c r="V268" s="35"/>
      <c r="W268" s="31" t="str">
        <f>HYPERLINK("https://www.stromypodkontrolou.cz/map/tree/d41bce85-5010-4276-b929-4760db78c679/5a88c0e3-5029-4761-ac8b-792cc8a255d5")</f>
        <v>https://www.stromypodkontrolou.cz/map/tree/d41bce85-5010-4276-b929-4760db78c679/5a88c0e3-5029-4761-ac8b-792cc8a255d5</v>
      </c>
      <c r="X268" s="31">
        <v>-739585.88962499995</v>
      </c>
      <c r="Y268" s="31">
        <v>-1005598.2935039999</v>
      </c>
      <c r="Z268" s="31" t="str">
        <f>HYPERLINK("https://www.mapy.cz?st=search&amp;fr=50.42465962 14.39442169")</f>
        <v>https://www.mapy.cz?st=search&amp;fr=50.42465962 14.39442169</v>
      </c>
      <c r="AA268" s="25" t="s">
        <v>602</v>
      </c>
      <c r="AB268" s="60"/>
    </row>
    <row r="269" spans="1:28" ht="35.1" customHeight="1" x14ac:dyDescent="0.25">
      <c r="A269" s="65" t="s">
        <v>558</v>
      </c>
      <c r="B269" s="66" t="s">
        <v>68</v>
      </c>
      <c r="C269" s="67" t="s">
        <v>69</v>
      </c>
      <c r="D269" s="68" t="s">
        <v>108</v>
      </c>
      <c r="E269" s="68"/>
      <c r="F269" s="68"/>
      <c r="G269" s="68"/>
      <c r="H269" s="68" t="s">
        <v>72</v>
      </c>
      <c r="I269" s="68" t="s">
        <v>73</v>
      </c>
      <c r="J269" s="68" t="s">
        <v>62</v>
      </c>
      <c r="K269" s="68" t="s">
        <v>32</v>
      </c>
      <c r="L269" s="68" t="s">
        <v>33</v>
      </c>
      <c r="M269" s="68" t="s">
        <v>35</v>
      </c>
      <c r="N269" s="68" t="s">
        <v>35</v>
      </c>
      <c r="O269" s="68" t="s">
        <v>35</v>
      </c>
      <c r="P269" s="64" t="s">
        <v>265</v>
      </c>
      <c r="Q269" s="64" t="s">
        <v>521</v>
      </c>
      <c r="R269" s="64" t="s">
        <v>556</v>
      </c>
      <c r="S269" s="31" t="s">
        <v>56</v>
      </c>
      <c r="T269" s="35" t="s">
        <v>45</v>
      </c>
      <c r="U269" s="35" t="s">
        <v>34</v>
      </c>
      <c r="V269" s="35"/>
      <c r="W269" s="64" t="str">
        <f>HYPERLINK("https://www.stromypodkontrolou.cz/map/tree/d41bce85-5010-4276-b929-4760db78c679/235ae49c-7396-40ef-92c2-bcc0da7e1f1a")</f>
        <v>https://www.stromypodkontrolou.cz/map/tree/d41bce85-5010-4276-b929-4760db78c679/235ae49c-7396-40ef-92c2-bcc0da7e1f1a</v>
      </c>
      <c r="X269" s="64">
        <v>-739585.71458100004</v>
      </c>
      <c r="Y269" s="64">
        <v>-1005600.163097</v>
      </c>
      <c r="Z269" s="64" t="str">
        <f>HYPERLINK("https://www.mapy.cz?st=search&amp;fr=50.42464319 14.39442773")</f>
        <v>https://www.mapy.cz?st=search&amp;fr=50.42464319 14.39442773</v>
      </c>
      <c r="AA269" s="25" t="s">
        <v>602</v>
      </c>
      <c r="AB269" s="60"/>
    </row>
    <row r="270" spans="1:28" ht="35.1" customHeight="1" x14ac:dyDescent="0.25">
      <c r="A270" s="65"/>
      <c r="B270" s="66"/>
      <c r="C270" s="67"/>
      <c r="D270" s="68"/>
      <c r="E270" s="68"/>
      <c r="F270" s="68"/>
      <c r="G270" s="68"/>
      <c r="H270" s="68"/>
      <c r="I270" s="68"/>
      <c r="J270" s="68"/>
      <c r="K270" s="68"/>
      <c r="L270" s="68"/>
      <c r="M270" s="68"/>
      <c r="N270" s="68"/>
      <c r="O270" s="68"/>
      <c r="P270" s="64"/>
      <c r="Q270" s="64"/>
      <c r="R270" s="64"/>
      <c r="S270" s="31" t="s">
        <v>57</v>
      </c>
      <c r="T270" s="35" t="s">
        <v>45</v>
      </c>
      <c r="U270" s="35" t="s">
        <v>34</v>
      </c>
      <c r="V270" s="35" t="s">
        <v>257</v>
      </c>
      <c r="W270" s="64"/>
      <c r="X270" s="64"/>
      <c r="Y270" s="64"/>
      <c r="Z270" s="64"/>
      <c r="AA270" s="20" t="s">
        <v>603</v>
      </c>
      <c r="AB270" s="59"/>
    </row>
    <row r="271" spans="1:28" ht="35.1" customHeight="1" x14ac:dyDescent="0.25">
      <c r="A271" s="32" t="s">
        <v>559</v>
      </c>
      <c r="B271" s="33" t="s">
        <v>68</v>
      </c>
      <c r="C271" s="34" t="s">
        <v>69</v>
      </c>
      <c r="D271" s="35" t="s">
        <v>192</v>
      </c>
      <c r="E271" s="35"/>
      <c r="F271" s="35"/>
      <c r="G271" s="35"/>
      <c r="H271" s="35" t="s">
        <v>72</v>
      </c>
      <c r="I271" s="35" t="s">
        <v>73</v>
      </c>
      <c r="J271" s="35" t="s">
        <v>62</v>
      </c>
      <c r="K271" s="35" t="s">
        <v>32</v>
      </c>
      <c r="L271" s="35" t="s">
        <v>33</v>
      </c>
      <c r="M271" s="35" t="s">
        <v>34</v>
      </c>
      <c r="N271" s="35" t="s">
        <v>35</v>
      </c>
      <c r="O271" s="35" t="s">
        <v>35</v>
      </c>
      <c r="P271" s="31" t="s">
        <v>265</v>
      </c>
      <c r="Q271" s="31" t="s">
        <v>521</v>
      </c>
      <c r="R271" s="31" t="s">
        <v>556</v>
      </c>
      <c r="S271" s="31" t="s">
        <v>56</v>
      </c>
      <c r="T271" s="35" t="s">
        <v>45</v>
      </c>
      <c r="U271" s="35" t="s">
        <v>34</v>
      </c>
      <c r="V271" s="35"/>
      <c r="W271" s="31" t="str">
        <f>HYPERLINK("https://www.stromypodkontrolou.cz/map/tree/d41bce85-5010-4276-b929-4760db78c679/90d6fe9d-983c-45b0-9a21-dff5c922ed6e")</f>
        <v>https://www.stromypodkontrolou.cz/map/tree/d41bce85-5010-4276-b929-4760db78c679/90d6fe9d-983c-45b0-9a21-dff5c922ed6e</v>
      </c>
      <c r="X271" s="31">
        <v>-739582.73823899997</v>
      </c>
      <c r="Y271" s="31">
        <v>-1005603.691629</v>
      </c>
      <c r="Z271" s="31" t="str">
        <f>HYPERLINK("https://www.mapy.cz?st=search&amp;fr=50.42461542 14.39447601")</f>
        <v>https://www.mapy.cz?st=search&amp;fr=50.42461542 14.39447601</v>
      </c>
      <c r="AA271" s="25" t="s">
        <v>602</v>
      </c>
      <c r="AB271" s="60"/>
    </row>
    <row r="272" spans="1:28" ht="35.1" customHeight="1" x14ac:dyDescent="0.25">
      <c r="A272" s="32" t="s">
        <v>560</v>
      </c>
      <c r="B272" s="33" t="s">
        <v>68</v>
      </c>
      <c r="C272" s="34" t="s">
        <v>69</v>
      </c>
      <c r="D272" s="35" t="s">
        <v>147</v>
      </c>
      <c r="E272" s="35"/>
      <c r="F272" s="35"/>
      <c r="G272" s="35"/>
      <c r="H272" s="35" t="s">
        <v>146</v>
      </c>
      <c r="I272" s="35" t="s">
        <v>73</v>
      </c>
      <c r="J272" s="35" t="s">
        <v>62</v>
      </c>
      <c r="K272" s="35" t="s">
        <v>32</v>
      </c>
      <c r="L272" s="35" t="s">
        <v>33</v>
      </c>
      <c r="M272" s="35" t="s">
        <v>35</v>
      </c>
      <c r="N272" s="35" t="s">
        <v>35</v>
      </c>
      <c r="O272" s="35" t="s">
        <v>35</v>
      </c>
      <c r="P272" s="31" t="s">
        <v>186</v>
      </c>
      <c r="Q272" s="31" t="s">
        <v>521</v>
      </c>
      <c r="R272" s="31" t="s">
        <v>556</v>
      </c>
      <c r="S272" s="31" t="s">
        <v>56</v>
      </c>
      <c r="T272" s="35" t="s">
        <v>45</v>
      </c>
      <c r="U272" s="35" t="s">
        <v>34</v>
      </c>
      <c r="V272" s="35"/>
      <c r="W272" s="31" t="str">
        <f>HYPERLINK("https://www.stromypodkontrolou.cz/map/tree/d41bce85-5010-4276-b929-4760db78c679/a9b898e8-3064-404f-9883-3681055e1463")</f>
        <v>https://www.stromypodkontrolou.cz/map/tree/d41bce85-5010-4276-b929-4760db78c679/a9b898e8-3064-404f-9883-3681055e1463</v>
      </c>
      <c r="X272" s="31">
        <v>-739572.14957200002</v>
      </c>
      <c r="Y272" s="31">
        <v>-1005608.17441</v>
      </c>
      <c r="Z272" s="31" t="str">
        <f>HYPERLINK("https://www.mapy.cz?st=search&amp;fr=50.42458850 14.39463224")</f>
        <v>https://www.mapy.cz?st=search&amp;fr=50.42458850 14.39463224</v>
      </c>
      <c r="AA272" s="25" t="s">
        <v>602</v>
      </c>
      <c r="AB272" s="60"/>
    </row>
    <row r="273" spans="1:28" ht="35.1" customHeight="1" x14ac:dyDescent="0.25">
      <c r="A273" s="32" t="s">
        <v>561</v>
      </c>
      <c r="B273" s="33" t="s">
        <v>68</v>
      </c>
      <c r="C273" s="34" t="s">
        <v>69</v>
      </c>
      <c r="D273" s="35" t="s">
        <v>178</v>
      </c>
      <c r="E273" s="35"/>
      <c r="F273" s="35"/>
      <c r="G273" s="35"/>
      <c r="H273" s="35" t="s">
        <v>146</v>
      </c>
      <c r="I273" s="35" t="s">
        <v>73</v>
      </c>
      <c r="J273" s="35" t="s">
        <v>62</v>
      </c>
      <c r="K273" s="35" t="s">
        <v>32</v>
      </c>
      <c r="L273" s="35" t="s">
        <v>33</v>
      </c>
      <c r="M273" s="35" t="s">
        <v>35</v>
      </c>
      <c r="N273" s="35" t="s">
        <v>54</v>
      </c>
      <c r="O273" s="35" t="s">
        <v>54</v>
      </c>
      <c r="P273" s="31" t="s">
        <v>408</v>
      </c>
      <c r="Q273" s="31" t="s">
        <v>521</v>
      </c>
      <c r="R273" s="31" t="s">
        <v>556</v>
      </c>
      <c r="S273" s="31" t="s">
        <v>85</v>
      </c>
      <c r="T273" s="35" t="s">
        <v>45</v>
      </c>
      <c r="U273" s="35" t="s">
        <v>34</v>
      </c>
      <c r="V273" s="35" t="s">
        <v>158</v>
      </c>
      <c r="W273" s="31" t="str">
        <f>HYPERLINK("https://www.stromypodkontrolou.cz/map/tree/d41bce85-5010-4276-b929-4760db78c679/b3fad3c8-51aa-4b81-97f4-4dbd9e15aacb")</f>
        <v>https://www.stromypodkontrolou.cz/map/tree/d41bce85-5010-4276-b929-4760db78c679/b3fad3c8-51aa-4b81-97f4-4dbd9e15aacb</v>
      </c>
      <c r="X273" s="31">
        <v>-739567.00871099997</v>
      </c>
      <c r="Y273" s="31">
        <v>-1005611.353979</v>
      </c>
      <c r="Z273" s="31" t="str">
        <f>HYPERLINK("https://www.mapy.cz?st=search&amp;fr=50.42456650 14.39471003")</f>
        <v>https://www.mapy.cz?st=search&amp;fr=50.42456650 14.39471003</v>
      </c>
      <c r="AA273" s="20" t="s">
        <v>601</v>
      </c>
      <c r="AB273" s="59"/>
    </row>
    <row r="274" spans="1:28" ht="35.1" customHeight="1" x14ac:dyDescent="0.25">
      <c r="A274" s="32" t="s">
        <v>562</v>
      </c>
      <c r="B274" s="33" t="s">
        <v>68</v>
      </c>
      <c r="C274" s="34" t="s">
        <v>69</v>
      </c>
      <c r="D274" s="35" t="s">
        <v>222</v>
      </c>
      <c r="E274" s="35"/>
      <c r="F274" s="35"/>
      <c r="G274" s="35"/>
      <c r="H274" s="35" t="s">
        <v>146</v>
      </c>
      <c r="I274" s="35" t="s">
        <v>73</v>
      </c>
      <c r="J274" s="35" t="s">
        <v>62</v>
      </c>
      <c r="K274" s="35" t="s">
        <v>32</v>
      </c>
      <c r="L274" s="35" t="s">
        <v>33</v>
      </c>
      <c r="M274" s="35" t="s">
        <v>34</v>
      </c>
      <c r="N274" s="35" t="s">
        <v>35</v>
      </c>
      <c r="O274" s="35" t="s">
        <v>35</v>
      </c>
      <c r="P274" s="31" t="s">
        <v>293</v>
      </c>
      <c r="Q274" s="31" t="s">
        <v>521</v>
      </c>
      <c r="R274" s="31" t="s">
        <v>556</v>
      </c>
      <c r="S274" s="31" t="s">
        <v>56</v>
      </c>
      <c r="T274" s="35" t="s">
        <v>45</v>
      </c>
      <c r="U274" s="35" t="s">
        <v>34</v>
      </c>
      <c r="V274" s="35"/>
      <c r="W274" s="31" t="str">
        <f>HYPERLINK("https://www.stromypodkontrolou.cz/map/tree/d41bce85-5010-4276-b929-4760db78c679/df0e312e-cd93-4693-aa34-6fcde235c04c")</f>
        <v>https://www.stromypodkontrolou.cz/map/tree/d41bce85-5010-4276-b929-4760db78c679/df0e312e-cd93-4693-aa34-6fcde235c04c</v>
      </c>
      <c r="X274" s="31">
        <v>-739537.58566999994</v>
      </c>
      <c r="Y274" s="31">
        <v>-1005626.445637</v>
      </c>
      <c r="Z274" s="31" t="str">
        <f>HYPERLINK("https://www.mapy.cz?st=search&amp;fr=50.42446824 14.39514924")</f>
        <v>https://www.mapy.cz?st=search&amp;fr=50.42446824 14.39514924</v>
      </c>
      <c r="AA274" s="25" t="s">
        <v>602</v>
      </c>
      <c r="AB274" s="60"/>
    </row>
    <row r="275" spans="1:28" ht="35.1" customHeight="1" x14ac:dyDescent="0.25">
      <c r="A275" s="32" t="s">
        <v>563</v>
      </c>
      <c r="B275" s="33" t="s">
        <v>68</v>
      </c>
      <c r="C275" s="34" t="s">
        <v>69</v>
      </c>
      <c r="D275" s="35" t="s">
        <v>238</v>
      </c>
      <c r="E275" s="35"/>
      <c r="F275" s="35"/>
      <c r="G275" s="35"/>
      <c r="H275" s="35" t="s">
        <v>146</v>
      </c>
      <c r="I275" s="35" t="s">
        <v>73</v>
      </c>
      <c r="J275" s="35" t="s">
        <v>62</v>
      </c>
      <c r="K275" s="35" t="s">
        <v>32</v>
      </c>
      <c r="L275" s="35" t="s">
        <v>33</v>
      </c>
      <c r="M275" s="35" t="s">
        <v>35</v>
      </c>
      <c r="N275" s="35" t="s">
        <v>35</v>
      </c>
      <c r="O275" s="35" t="s">
        <v>54</v>
      </c>
      <c r="P275" s="31" t="s">
        <v>293</v>
      </c>
      <c r="Q275" s="31" t="s">
        <v>521</v>
      </c>
      <c r="R275" s="31" t="s">
        <v>556</v>
      </c>
      <c r="S275" s="31" t="s">
        <v>56</v>
      </c>
      <c r="T275" s="35" t="s">
        <v>45</v>
      </c>
      <c r="U275" s="35" t="s">
        <v>34</v>
      </c>
      <c r="V275" s="35"/>
      <c r="W275" s="31" t="str">
        <f>HYPERLINK("https://www.stromypodkontrolou.cz/map/tree/d41bce85-5010-4276-b929-4760db78c679/adbed947-9e29-454c-a057-4b9801583176")</f>
        <v>https://www.stromypodkontrolou.cz/map/tree/d41bce85-5010-4276-b929-4760db78c679/adbed947-9e29-454c-a057-4b9801583176</v>
      </c>
      <c r="X275" s="31">
        <v>-739533.36781299999</v>
      </c>
      <c r="Y275" s="31">
        <v>-1005628.994181</v>
      </c>
      <c r="Z275" s="31" t="str">
        <f>HYPERLINK("https://www.mapy.cz?st=search&amp;fr=50.42445073 14.39521294")</f>
        <v>https://www.mapy.cz?st=search&amp;fr=50.42445073 14.39521294</v>
      </c>
      <c r="AA275" s="25" t="s">
        <v>602</v>
      </c>
      <c r="AB275" s="60"/>
    </row>
    <row r="276" spans="1:28" ht="35.1" customHeight="1" x14ac:dyDescent="0.25">
      <c r="A276" s="32" t="s">
        <v>564</v>
      </c>
      <c r="B276" s="33" t="s">
        <v>68</v>
      </c>
      <c r="C276" s="34" t="s">
        <v>69</v>
      </c>
      <c r="D276" s="35" t="s">
        <v>225</v>
      </c>
      <c r="E276" s="35"/>
      <c r="F276" s="35"/>
      <c r="G276" s="35"/>
      <c r="H276" s="35" t="s">
        <v>166</v>
      </c>
      <c r="I276" s="35" t="s">
        <v>73</v>
      </c>
      <c r="J276" s="35" t="s">
        <v>62</v>
      </c>
      <c r="K276" s="35" t="s">
        <v>32</v>
      </c>
      <c r="L276" s="35" t="s">
        <v>33</v>
      </c>
      <c r="M276" s="35" t="s">
        <v>35</v>
      </c>
      <c r="N276" s="35" t="s">
        <v>35</v>
      </c>
      <c r="O276" s="35" t="s">
        <v>54</v>
      </c>
      <c r="P276" s="31" t="s">
        <v>293</v>
      </c>
      <c r="Q276" s="31" t="s">
        <v>521</v>
      </c>
      <c r="R276" s="31" t="s">
        <v>556</v>
      </c>
      <c r="S276" s="31" t="s">
        <v>56</v>
      </c>
      <c r="T276" s="35" t="s">
        <v>45</v>
      </c>
      <c r="U276" s="35" t="s">
        <v>34</v>
      </c>
      <c r="V276" s="35"/>
      <c r="W276" s="31" t="str">
        <f>HYPERLINK("https://www.stromypodkontrolou.cz/map/tree/d41bce85-5010-4276-b929-4760db78c679/af9946f3-4e22-4922-9900-3db984560db1")</f>
        <v>https://www.stromypodkontrolou.cz/map/tree/d41bce85-5010-4276-b929-4760db78c679/af9946f3-4e22-4922-9900-3db984560db1</v>
      </c>
      <c r="X276" s="31">
        <v>-739527.33658600005</v>
      </c>
      <c r="Y276" s="31">
        <v>-1005632.3445069999</v>
      </c>
      <c r="Z276" s="31" t="str">
        <f>HYPERLINK("https://www.mapy.cz?st=search&amp;fr=50.42442830 14.39530347")</f>
        <v>https://www.mapy.cz?st=search&amp;fr=50.42442830 14.39530347</v>
      </c>
      <c r="AA276" s="25" t="s">
        <v>602</v>
      </c>
      <c r="AB276" s="60"/>
    </row>
    <row r="277" spans="1:28" ht="35.1" customHeight="1" x14ac:dyDescent="0.25">
      <c r="A277" s="65" t="s">
        <v>565</v>
      </c>
      <c r="B277" s="66" t="s">
        <v>68</v>
      </c>
      <c r="C277" s="67" t="s">
        <v>69</v>
      </c>
      <c r="D277" s="68" t="s">
        <v>80</v>
      </c>
      <c r="E277" s="68"/>
      <c r="F277" s="68"/>
      <c r="G277" s="68"/>
      <c r="H277" s="68" t="s">
        <v>166</v>
      </c>
      <c r="I277" s="68" t="s">
        <v>73</v>
      </c>
      <c r="J277" s="68" t="s">
        <v>62</v>
      </c>
      <c r="K277" s="68" t="s">
        <v>32</v>
      </c>
      <c r="L277" s="68" t="s">
        <v>33</v>
      </c>
      <c r="M277" s="68" t="s">
        <v>35</v>
      </c>
      <c r="N277" s="68" t="s">
        <v>35</v>
      </c>
      <c r="O277" s="68" t="s">
        <v>54</v>
      </c>
      <c r="P277" s="64" t="s">
        <v>508</v>
      </c>
      <c r="Q277" s="64" t="s">
        <v>521</v>
      </c>
      <c r="R277" s="64" t="s">
        <v>556</v>
      </c>
      <c r="S277" s="31" t="s">
        <v>56</v>
      </c>
      <c r="T277" s="35" t="s">
        <v>45</v>
      </c>
      <c r="U277" s="35" t="s">
        <v>34</v>
      </c>
      <c r="V277" s="35"/>
      <c r="W277" s="64" t="str">
        <f>HYPERLINK("https://www.stromypodkontrolou.cz/map/tree/d41bce85-5010-4276-b929-4760db78c679/cda96ce2-8efc-4759-96d3-ddd6c515295f")</f>
        <v>https://www.stromypodkontrolou.cz/map/tree/d41bce85-5010-4276-b929-4760db78c679/cda96ce2-8efc-4759-96d3-ddd6c515295f</v>
      </c>
      <c r="X277" s="64">
        <v>-739517.84831899998</v>
      </c>
      <c r="Y277" s="64">
        <v>-1005638.3542619999</v>
      </c>
      <c r="Z277" s="64" t="str">
        <f>HYPERLINK("https://www.mapy.cz?st=search&amp;fr=50.42438643 14.39544730")</f>
        <v>https://www.mapy.cz?st=search&amp;fr=50.42438643 14.39544730</v>
      </c>
      <c r="AA277" s="25" t="s">
        <v>602</v>
      </c>
      <c r="AB277" s="60"/>
    </row>
    <row r="278" spans="1:28" ht="35.1" customHeight="1" x14ac:dyDescent="0.25">
      <c r="A278" s="65"/>
      <c r="B278" s="66"/>
      <c r="C278" s="67"/>
      <c r="D278" s="68"/>
      <c r="E278" s="68"/>
      <c r="F278" s="68"/>
      <c r="G278" s="68"/>
      <c r="H278" s="68"/>
      <c r="I278" s="68"/>
      <c r="J278" s="68"/>
      <c r="K278" s="68"/>
      <c r="L278" s="68"/>
      <c r="M278" s="68"/>
      <c r="N278" s="68"/>
      <c r="O278" s="68"/>
      <c r="P278" s="64"/>
      <c r="Q278" s="64"/>
      <c r="R278" s="64"/>
      <c r="S278" s="31" t="s">
        <v>85</v>
      </c>
      <c r="T278" s="35" t="s">
        <v>45</v>
      </c>
      <c r="U278" s="35" t="s">
        <v>34</v>
      </c>
      <c r="V278" s="35" t="s">
        <v>158</v>
      </c>
      <c r="W278" s="64"/>
      <c r="X278" s="64"/>
      <c r="Y278" s="64"/>
      <c r="Z278" s="64"/>
      <c r="AA278" s="20" t="s">
        <v>601</v>
      </c>
      <c r="AB278" s="59"/>
    </row>
    <row r="279" spans="1:28" ht="35.1" customHeight="1" x14ac:dyDescent="0.25">
      <c r="A279" s="32" t="s">
        <v>566</v>
      </c>
      <c r="B279" s="33" t="s">
        <v>68</v>
      </c>
      <c r="C279" s="34" t="s">
        <v>69</v>
      </c>
      <c r="D279" s="35" t="s">
        <v>111</v>
      </c>
      <c r="E279" s="35"/>
      <c r="F279" s="35"/>
      <c r="G279" s="35"/>
      <c r="H279" s="35" t="s">
        <v>166</v>
      </c>
      <c r="I279" s="35" t="s">
        <v>73</v>
      </c>
      <c r="J279" s="35" t="s">
        <v>62</v>
      </c>
      <c r="K279" s="35" t="s">
        <v>32</v>
      </c>
      <c r="L279" s="35" t="s">
        <v>33</v>
      </c>
      <c r="M279" s="35" t="s">
        <v>34</v>
      </c>
      <c r="N279" s="35" t="s">
        <v>35</v>
      </c>
      <c r="O279" s="35" t="s">
        <v>35</v>
      </c>
      <c r="P279" s="31" t="s">
        <v>75</v>
      </c>
      <c r="Q279" s="31" t="s">
        <v>521</v>
      </c>
      <c r="R279" s="31" t="s">
        <v>556</v>
      </c>
      <c r="S279" s="31" t="s">
        <v>56</v>
      </c>
      <c r="T279" s="35" t="s">
        <v>45</v>
      </c>
      <c r="U279" s="35" t="s">
        <v>34</v>
      </c>
      <c r="V279" s="35"/>
      <c r="W279" s="31" t="str">
        <f>HYPERLINK("https://www.stromypodkontrolou.cz/map/tree/d41bce85-5010-4276-b929-4760db78c679/b9bddc0a-227a-408f-a155-b3e0b2125649")</f>
        <v>https://www.stromypodkontrolou.cz/map/tree/d41bce85-5010-4276-b929-4760db78c679/b9bddc0a-227a-408f-a155-b3e0b2125649</v>
      </c>
      <c r="X279" s="31">
        <v>-739518.14978900005</v>
      </c>
      <c r="Y279" s="31">
        <v>-1005646.467257</v>
      </c>
      <c r="Z279" s="31" t="str">
        <f>HYPERLINK("https://www.mapy.cz?st=search&amp;fr=50.42431381 14.39545870")</f>
        <v>https://www.mapy.cz?st=search&amp;fr=50.42431381 14.39545870</v>
      </c>
      <c r="AA279" s="25" t="s">
        <v>602</v>
      </c>
      <c r="AB279" s="60"/>
    </row>
    <row r="280" spans="1:28" ht="35.1" customHeight="1" x14ac:dyDescent="0.25">
      <c r="A280" s="65" t="s">
        <v>567</v>
      </c>
      <c r="B280" s="66" t="s">
        <v>68</v>
      </c>
      <c r="C280" s="67" t="s">
        <v>69</v>
      </c>
      <c r="D280" s="68" t="s">
        <v>80</v>
      </c>
      <c r="E280" s="68"/>
      <c r="F280" s="68"/>
      <c r="G280" s="68"/>
      <c r="H280" s="68" t="s">
        <v>166</v>
      </c>
      <c r="I280" s="68" t="s">
        <v>73</v>
      </c>
      <c r="J280" s="68" t="s">
        <v>62</v>
      </c>
      <c r="K280" s="68" t="s">
        <v>32</v>
      </c>
      <c r="L280" s="68" t="s">
        <v>33</v>
      </c>
      <c r="M280" s="68" t="s">
        <v>35</v>
      </c>
      <c r="N280" s="68" t="s">
        <v>35</v>
      </c>
      <c r="O280" s="68" t="s">
        <v>54</v>
      </c>
      <c r="P280" s="64" t="s">
        <v>293</v>
      </c>
      <c r="Q280" s="64" t="s">
        <v>521</v>
      </c>
      <c r="R280" s="64" t="s">
        <v>556</v>
      </c>
      <c r="S280" s="31" t="s">
        <v>85</v>
      </c>
      <c r="T280" s="35" t="s">
        <v>45</v>
      </c>
      <c r="U280" s="35" t="s">
        <v>34</v>
      </c>
      <c r="V280" s="35" t="s">
        <v>158</v>
      </c>
      <c r="W280" s="64" t="str">
        <f>HYPERLINK("https://www.stromypodkontrolou.cz/map/tree/d41bce85-5010-4276-b929-4760db78c679/d5562057-2ea7-4e3d-bb9f-85479346e697")</f>
        <v>https://www.stromypodkontrolou.cz/map/tree/d41bce85-5010-4276-b929-4760db78c679/d5562057-2ea7-4e3d-bb9f-85479346e697</v>
      </c>
      <c r="X280" s="64">
        <v>-739510.31313000002</v>
      </c>
      <c r="Y280" s="64">
        <v>-1005641.960003</v>
      </c>
      <c r="Z280" s="64" t="str">
        <f>HYPERLINK("https://www.mapy.cz?st=search&amp;fr=50.42436358 14.39555928")</f>
        <v>https://www.mapy.cz?st=search&amp;fr=50.42436358 14.39555928</v>
      </c>
      <c r="AA280" s="20" t="s">
        <v>601</v>
      </c>
      <c r="AB280" s="59"/>
    </row>
    <row r="281" spans="1:28" ht="35.1" customHeight="1" x14ac:dyDescent="0.25">
      <c r="A281" s="65"/>
      <c r="B281" s="66"/>
      <c r="C281" s="67"/>
      <c r="D281" s="68"/>
      <c r="E281" s="68"/>
      <c r="F281" s="68"/>
      <c r="G281" s="68"/>
      <c r="H281" s="68"/>
      <c r="I281" s="68"/>
      <c r="J281" s="68"/>
      <c r="K281" s="68"/>
      <c r="L281" s="68"/>
      <c r="M281" s="68"/>
      <c r="N281" s="68"/>
      <c r="O281" s="68"/>
      <c r="P281" s="64"/>
      <c r="Q281" s="64"/>
      <c r="R281" s="64"/>
      <c r="S281" s="31" t="s">
        <v>56</v>
      </c>
      <c r="T281" s="35" t="s">
        <v>45</v>
      </c>
      <c r="U281" s="35" t="s">
        <v>34</v>
      </c>
      <c r="V281" s="35"/>
      <c r="W281" s="64"/>
      <c r="X281" s="64"/>
      <c r="Y281" s="64"/>
      <c r="Z281" s="64"/>
      <c r="AA281" s="25" t="s">
        <v>602</v>
      </c>
      <c r="AB281" s="60"/>
    </row>
    <row r="282" spans="1:28" ht="35.1" customHeight="1" x14ac:dyDescent="0.25">
      <c r="A282" s="32" t="s">
        <v>568</v>
      </c>
      <c r="B282" s="33" t="s">
        <v>68</v>
      </c>
      <c r="C282" s="34" t="s">
        <v>69</v>
      </c>
      <c r="D282" s="35" t="s">
        <v>249</v>
      </c>
      <c r="E282" s="35"/>
      <c r="F282" s="35"/>
      <c r="G282" s="35"/>
      <c r="H282" s="35" t="s">
        <v>166</v>
      </c>
      <c r="I282" s="35" t="s">
        <v>73</v>
      </c>
      <c r="J282" s="35" t="s">
        <v>62</v>
      </c>
      <c r="K282" s="35" t="s">
        <v>32</v>
      </c>
      <c r="L282" s="35" t="s">
        <v>33</v>
      </c>
      <c r="M282" s="35" t="s">
        <v>35</v>
      </c>
      <c r="N282" s="35" t="s">
        <v>35</v>
      </c>
      <c r="O282" s="35" t="s">
        <v>35</v>
      </c>
      <c r="P282" s="31" t="s">
        <v>293</v>
      </c>
      <c r="Q282" s="31" t="s">
        <v>521</v>
      </c>
      <c r="R282" s="31" t="s">
        <v>556</v>
      </c>
      <c r="S282" s="31" t="s">
        <v>56</v>
      </c>
      <c r="T282" s="35" t="s">
        <v>45</v>
      </c>
      <c r="U282" s="35" t="s">
        <v>34</v>
      </c>
      <c r="V282" s="35"/>
      <c r="W282" s="31" t="str">
        <f>HYPERLINK("https://www.stromypodkontrolou.cz/map/tree/d41bce85-5010-4276-b929-4760db78c679/f31cae32-babd-44de-9155-75f8ee34b90e")</f>
        <v>https://www.stromypodkontrolou.cz/map/tree/d41bce85-5010-4276-b929-4760db78c679/f31cae32-babd-44de-9155-75f8ee34b90e</v>
      </c>
      <c r="X282" s="31">
        <v>-739503.96008500003</v>
      </c>
      <c r="Y282" s="31">
        <v>-1005646.290075</v>
      </c>
      <c r="Z282" s="31" t="str">
        <f>HYPERLINK("https://www.mapy.cz?st=search&amp;fr=50.42433282 14.39565618")</f>
        <v>https://www.mapy.cz?st=search&amp;fr=50.42433282 14.39565618</v>
      </c>
      <c r="AA282" s="25" t="s">
        <v>602</v>
      </c>
      <c r="AB282" s="60"/>
    </row>
    <row r="283" spans="1:28" ht="35.1" customHeight="1" x14ac:dyDescent="0.25">
      <c r="A283" s="32" t="s">
        <v>569</v>
      </c>
      <c r="B283" s="33" t="s">
        <v>68</v>
      </c>
      <c r="C283" s="34" t="s">
        <v>69</v>
      </c>
      <c r="D283" s="35" t="s">
        <v>98</v>
      </c>
      <c r="E283" s="35"/>
      <c r="F283" s="35"/>
      <c r="G283" s="35"/>
      <c r="H283" s="35" t="s">
        <v>166</v>
      </c>
      <c r="I283" s="35" t="s">
        <v>73</v>
      </c>
      <c r="J283" s="35" t="s">
        <v>62</v>
      </c>
      <c r="K283" s="35" t="s">
        <v>32</v>
      </c>
      <c r="L283" s="35" t="s">
        <v>33</v>
      </c>
      <c r="M283" s="35" t="s">
        <v>34</v>
      </c>
      <c r="N283" s="35" t="s">
        <v>35</v>
      </c>
      <c r="O283" s="35" t="s">
        <v>35</v>
      </c>
      <c r="P283" s="31" t="s">
        <v>293</v>
      </c>
      <c r="Q283" s="31" t="s">
        <v>521</v>
      </c>
      <c r="R283" s="31" t="s">
        <v>556</v>
      </c>
      <c r="S283" s="31" t="s">
        <v>56</v>
      </c>
      <c r="T283" s="35" t="s">
        <v>45</v>
      </c>
      <c r="U283" s="35" t="s">
        <v>35</v>
      </c>
      <c r="V283" s="35"/>
      <c r="W283" s="31" t="str">
        <f>HYPERLINK("https://www.stromypodkontrolou.cz/map/tree/d41bce85-5010-4276-b929-4760db78c679/0868561e-b597-42cf-a08f-dfbfa9847be2")</f>
        <v>https://www.stromypodkontrolou.cz/map/tree/d41bce85-5010-4276-b929-4760db78c679/0868561e-b597-42cf-a08f-dfbfa9847be2</v>
      </c>
      <c r="X283" s="31">
        <v>-739498.50060799997</v>
      </c>
      <c r="Y283" s="31">
        <v>-1005650.472894</v>
      </c>
      <c r="Z283" s="31" t="str">
        <f>HYPERLINK("https://www.mapy.cz?st=search&amp;fr=50.42430228 14.39574033")</f>
        <v>https://www.mapy.cz?st=search&amp;fr=50.42430228 14.39574033</v>
      </c>
      <c r="AA283" s="25" t="s">
        <v>602</v>
      </c>
      <c r="AB283" s="60"/>
    </row>
    <row r="284" spans="1:28" ht="35.1" customHeight="1" x14ac:dyDescent="0.25">
      <c r="A284" s="32" t="s">
        <v>570</v>
      </c>
      <c r="B284" s="33" t="s">
        <v>68</v>
      </c>
      <c r="C284" s="34" t="s">
        <v>69</v>
      </c>
      <c r="D284" s="35" t="s">
        <v>249</v>
      </c>
      <c r="E284" s="35"/>
      <c r="F284" s="35"/>
      <c r="G284" s="35"/>
      <c r="H284" s="35" t="s">
        <v>72</v>
      </c>
      <c r="I284" s="35" t="s">
        <v>73</v>
      </c>
      <c r="J284" s="35" t="s">
        <v>62</v>
      </c>
      <c r="K284" s="35" t="s">
        <v>32</v>
      </c>
      <c r="L284" s="35" t="s">
        <v>33</v>
      </c>
      <c r="M284" s="35" t="s">
        <v>35</v>
      </c>
      <c r="N284" s="35" t="s">
        <v>35</v>
      </c>
      <c r="O284" s="35" t="s">
        <v>35</v>
      </c>
      <c r="P284" s="31" t="s">
        <v>186</v>
      </c>
      <c r="Q284" s="31" t="s">
        <v>521</v>
      </c>
      <c r="R284" s="31" t="s">
        <v>571</v>
      </c>
      <c r="S284" s="31" t="s">
        <v>56</v>
      </c>
      <c r="T284" s="35" t="s">
        <v>45</v>
      </c>
      <c r="U284" s="35" t="s">
        <v>34</v>
      </c>
      <c r="V284" s="35"/>
      <c r="W284" s="31" t="str">
        <f>HYPERLINK("https://www.stromypodkontrolou.cz/map/tree/d41bce85-5010-4276-b929-4760db78c679/102e8fc5-de3e-436b-a890-647d287d3b78")</f>
        <v>https://www.stromypodkontrolou.cz/map/tree/d41bce85-5010-4276-b929-4760db78c679/102e8fc5-de3e-436b-a890-647d287d3b78</v>
      </c>
      <c r="X284" s="31">
        <v>-738836.06903999997</v>
      </c>
      <c r="Y284" s="31">
        <v>-1005978.244059</v>
      </c>
      <c r="Z284" s="31" t="str">
        <f>HYPERLINK("https://www.mapy.cz?st=search&amp;fr=50.42219653 14.40560516")</f>
        <v>https://www.mapy.cz?st=search&amp;fr=50.42219653 14.40560516</v>
      </c>
      <c r="AA284" s="25" t="s">
        <v>602</v>
      </c>
      <c r="AB284" s="60"/>
    </row>
    <row r="285" spans="1:28" ht="35.1" customHeight="1" x14ac:dyDescent="0.25">
      <c r="A285" s="65" t="s">
        <v>572</v>
      </c>
      <c r="B285" s="66" t="s">
        <v>68</v>
      </c>
      <c r="C285" s="67" t="s">
        <v>69</v>
      </c>
      <c r="D285" s="68" t="s">
        <v>130</v>
      </c>
      <c r="E285" s="68"/>
      <c r="F285" s="68"/>
      <c r="G285" s="68"/>
      <c r="H285" s="68" t="s">
        <v>72</v>
      </c>
      <c r="I285" s="68" t="s">
        <v>73</v>
      </c>
      <c r="J285" s="68" t="s">
        <v>62</v>
      </c>
      <c r="K285" s="68" t="s">
        <v>32</v>
      </c>
      <c r="L285" s="68" t="s">
        <v>74</v>
      </c>
      <c r="M285" s="68" t="s">
        <v>34</v>
      </c>
      <c r="N285" s="68" t="s">
        <v>35</v>
      </c>
      <c r="O285" s="68" t="s">
        <v>35</v>
      </c>
      <c r="P285" s="64" t="s">
        <v>75</v>
      </c>
      <c r="Q285" s="64" t="s">
        <v>521</v>
      </c>
      <c r="R285" s="64" t="s">
        <v>571</v>
      </c>
      <c r="S285" s="31" t="s">
        <v>57</v>
      </c>
      <c r="T285" s="35" t="s">
        <v>45</v>
      </c>
      <c r="U285" s="35" t="s">
        <v>35</v>
      </c>
      <c r="V285" s="35" t="s">
        <v>257</v>
      </c>
      <c r="W285" s="64" t="str">
        <f>HYPERLINK("https://www.stromypodkontrolou.cz/map/tree/d41bce85-5010-4276-b929-4760db78c679/841259d2-2576-41c7-a530-eb0da1fecc3a")</f>
        <v>https://www.stromypodkontrolou.cz/map/tree/d41bce85-5010-4276-b929-4760db78c679/841259d2-2576-41c7-a530-eb0da1fecc3a</v>
      </c>
      <c r="X285" s="64">
        <v>-738856.03787500004</v>
      </c>
      <c r="Y285" s="64">
        <v>-1005970.791147</v>
      </c>
      <c r="Z285" s="64" t="str">
        <f>HYPERLINK("https://www.mapy.cz?st=search&amp;fr=50.42223839 14.40531247")</f>
        <v>https://www.mapy.cz?st=search&amp;fr=50.42223839 14.40531247</v>
      </c>
      <c r="AA285" s="20" t="s">
        <v>603</v>
      </c>
      <c r="AB285" s="59"/>
    </row>
    <row r="286" spans="1:28" ht="35.1" customHeight="1" x14ac:dyDescent="0.25">
      <c r="A286" s="65"/>
      <c r="B286" s="66"/>
      <c r="C286" s="67"/>
      <c r="D286" s="68"/>
      <c r="E286" s="68"/>
      <c r="F286" s="68"/>
      <c r="G286" s="68"/>
      <c r="H286" s="68"/>
      <c r="I286" s="68"/>
      <c r="J286" s="68"/>
      <c r="K286" s="68"/>
      <c r="L286" s="68"/>
      <c r="M286" s="68"/>
      <c r="N286" s="68"/>
      <c r="O286" s="68"/>
      <c r="P286" s="64"/>
      <c r="Q286" s="64"/>
      <c r="R286" s="64"/>
      <c r="S286" s="31" t="s">
        <v>56</v>
      </c>
      <c r="T286" s="35" t="s">
        <v>45</v>
      </c>
      <c r="U286" s="35" t="s">
        <v>35</v>
      </c>
      <c r="V286" s="35"/>
      <c r="W286" s="64"/>
      <c r="X286" s="64"/>
      <c r="Y286" s="64"/>
      <c r="Z286" s="64"/>
      <c r="AA286" s="25" t="s">
        <v>602</v>
      </c>
      <c r="AB286" s="60"/>
    </row>
    <row r="287" spans="1:28" ht="35.1" customHeight="1" x14ac:dyDescent="0.25">
      <c r="A287" s="65" t="s">
        <v>573</v>
      </c>
      <c r="B287" s="66" t="s">
        <v>68</v>
      </c>
      <c r="C287" s="67" t="s">
        <v>69</v>
      </c>
      <c r="D287" s="68" t="s">
        <v>80</v>
      </c>
      <c r="E287" s="68"/>
      <c r="F287" s="68"/>
      <c r="G287" s="68"/>
      <c r="H287" s="68" t="s">
        <v>72</v>
      </c>
      <c r="I287" s="68" t="s">
        <v>73</v>
      </c>
      <c r="J287" s="68" t="s">
        <v>62</v>
      </c>
      <c r="K287" s="68" t="s">
        <v>32</v>
      </c>
      <c r="L287" s="68" t="s">
        <v>33</v>
      </c>
      <c r="M287" s="68" t="s">
        <v>35</v>
      </c>
      <c r="N287" s="68" t="s">
        <v>35</v>
      </c>
      <c r="O287" s="68" t="s">
        <v>35</v>
      </c>
      <c r="P287" s="64" t="s">
        <v>293</v>
      </c>
      <c r="Q287" s="64" t="s">
        <v>521</v>
      </c>
      <c r="R287" s="64" t="s">
        <v>571</v>
      </c>
      <c r="S287" s="31" t="s">
        <v>57</v>
      </c>
      <c r="T287" s="35" t="s">
        <v>45</v>
      </c>
      <c r="U287" s="35" t="s">
        <v>34</v>
      </c>
      <c r="V287" s="35" t="s">
        <v>257</v>
      </c>
      <c r="W287" s="64" t="str">
        <f>HYPERLINK("https://www.stromypodkontrolou.cz/map/tree/d41bce85-5010-4276-b929-4760db78c679/6b9e0b66-1f6e-44a0-8879-5972c9a9b9a1")</f>
        <v>https://www.stromypodkontrolou.cz/map/tree/d41bce85-5010-4276-b929-4760db78c679/6b9e0b66-1f6e-44a0-8879-5972c9a9b9a1</v>
      </c>
      <c r="X287" s="64">
        <v>-738860.82899099996</v>
      </c>
      <c r="Y287" s="64">
        <v>-1005966.988876</v>
      </c>
      <c r="Z287" s="64" t="str">
        <f>HYPERLINK("https://www.mapy.cz?st=search&amp;fr=50.42226638 14.40523837")</f>
        <v>https://www.mapy.cz?st=search&amp;fr=50.42226638 14.40523837</v>
      </c>
      <c r="AA287" s="20" t="s">
        <v>603</v>
      </c>
      <c r="AB287" s="59"/>
    </row>
    <row r="288" spans="1:28" ht="35.1" customHeight="1" thickBot="1" x14ac:dyDescent="0.3">
      <c r="A288" s="74"/>
      <c r="B288" s="75"/>
      <c r="C288" s="76"/>
      <c r="D288" s="77"/>
      <c r="E288" s="77"/>
      <c r="F288" s="77"/>
      <c r="G288" s="77"/>
      <c r="H288" s="77"/>
      <c r="I288" s="77"/>
      <c r="J288" s="77"/>
      <c r="K288" s="77"/>
      <c r="L288" s="77"/>
      <c r="M288" s="77"/>
      <c r="N288" s="77"/>
      <c r="O288" s="77"/>
      <c r="P288" s="78"/>
      <c r="Q288" s="78"/>
      <c r="R288" s="78"/>
      <c r="S288" s="45" t="s">
        <v>56</v>
      </c>
      <c r="T288" s="44" t="s">
        <v>45</v>
      </c>
      <c r="U288" s="44" t="s">
        <v>34</v>
      </c>
      <c r="V288" s="44"/>
      <c r="W288" s="78"/>
      <c r="X288" s="78"/>
      <c r="Y288" s="78"/>
      <c r="Z288" s="78"/>
      <c r="AA288" s="21" t="s">
        <v>602</v>
      </c>
      <c r="AB288" s="61"/>
    </row>
    <row r="289" spans="1:30" ht="35.1" customHeight="1" x14ac:dyDescent="0.25">
      <c r="A289" s="38" t="s">
        <v>575</v>
      </c>
      <c r="B289" s="39" t="s">
        <v>187</v>
      </c>
      <c r="C289" s="40" t="s">
        <v>188</v>
      </c>
      <c r="D289" s="36" t="s">
        <v>185</v>
      </c>
      <c r="E289" s="36"/>
      <c r="F289" s="36"/>
      <c r="G289" s="36"/>
      <c r="H289" s="36" t="s">
        <v>154</v>
      </c>
      <c r="I289" s="36" t="s">
        <v>89</v>
      </c>
      <c r="J289" s="36" t="s">
        <v>71</v>
      </c>
      <c r="K289" s="36" t="s">
        <v>45</v>
      </c>
      <c r="L289" s="36" t="s">
        <v>74</v>
      </c>
      <c r="M289" s="36" t="s">
        <v>54</v>
      </c>
      <c r="N289" s="36" t="s">
        <v>54</v>
      </c>
      <c r="O289" s="36" t="s">
        <v>32</v>
      </c>
      <c r="P289" s="37" t="s">
        <v>576</v>
      </c>
      <c r="Q289" s="37" t="s">
        <v>461</v>
      </c>
      <c r="R289" s="37" t="s">
        <v>574</v>
      </c>
      <c r="S289" s="37" t="s">
        <v>85</v>
      </c>
      <c r="T289" s="36" t="s">
        <v>31</v>
      </c>
      <c r="U289" s="36" t="s">
        <v>34</v>
      </c>
      <c r="V289" s="36" t="s">
        <v>577</v>
      </c>
      <c r="W289" s="37" t="str">
        <f>HYPERLINK("https://www.stromypodkontrolou.cz/map/tree/d41bce85-5010-4276-b929-4760db78c679/b9fe5106-742a-4628-94fb-b427a4eedefc")</f>
        <v>https://www.stromypodkontrolou.cz/map/tree/d41bce85-5010-4276-b929-4760db78c679/b9fe5106-742a-4628-94fb-b427a4eedefc</v>
      </c>
      <c r="X289" s="37">
        <v>-739328.28704299999</v>
      </c>
      <c r="Y289" s="37">
        <v>-1005497.958233</v>
      </c>
      <c r="Z289" s="37" t="str">
        <f>HYPERLINK("https://www.mapy.cz?st=search&amp;fr=50.42586967 14.39782005")</f>
        <v>https://www.mapy.cz?st=search&amp;fr=50.42586967 14.39782005</v>
      </c>
      <c r="AA289" s="25" t="s">
        <v>601</v>
      </c>
      <c r="AB289" s="60"/>
    </row>
    <row r="290" spans="1:30" ht="35.1" customHeight="1" x14ac:dyDescent="0.25">
      <c r="A290" s="32" t="s">
        <v>578</v>
      </c>
      <c r="B290" s="33" t="s">
        <v>187</v>
      </c>
      <c r="C290" s="34" t="s">
        <v>188</v>
      </c>
      <c r="D290" s="35" t="s">
        <v>185</v>
      </c>
      <c r="E290" s="35" t="s">
        <v>579</v>
      </c>
      <c r="F290" s="35"/>
      <c r="G290" s="35"/>
      <c r="H290" s="35" t="s">
        <v>42</v>
      </c>
      <c r="I290" s="35" t="s">
        <v>89</v>
      </c>
      <c r="J290" s="35" t="s">
        <v>115</v>
      </c>
      <c r="K290" s="35" t="s">
        <v>32</v>
      </c>
      <c r="L290" s="35" t="s">
        <v>74</v>
      </c>
      <c r="M290" s="35" t="s">
        <v>54</v>
      </c>
      <c r="N290" s="35" t="s">
        <v>54</v>
      </c>
      <c r="O290" s="35" t="s">
        <v>32</v>
      </c>
      <c r="P290" s="31" t="s">
        <v>580</v>
      </c>
      <c r="Q290" s="31" t="s">
        <v>461</v>
      </c>
      <c r="R290" s="31" t="s">
        <v>574</v>
      </c>
      <c r="S290" s="31" t="s">
        <v>85</v>
      </c>
      <c r="T290" s="35" t="s">
        <v>31</v>
      </c>
      <c r="U290" s="35" t="s">
        <v>34</v>
      </c>
      <c r="V290" s="35" t="s">
        <v>274</v>
      </c>
      <c r="W290" s="31" t="str">
        <f>HYPERLINK("https://www.stromypodkontrolou.cz/map/tree/d41bce85-5010-4276-b929-4760db78c679/e22a4031-34f9-4285-82b8-b33d20aa248c")</f>
        <v>https://www.stromypodkontrolou.cz/map/tree/d41bce85-5010-4276-b929-4760db78c679/e22a4031-34f9-4285-82b8-b33d20aa248c</v>
      </c>
      <c r="X290" s="31">
        <v>-739349.07075099996</v>
      </c>
      <c r="Y290" s="31">
        <v>-1005477.24834</v>
      </c>
      <c r="Z290" s="31" t="str">
        <f>HYPERLINK("https://www.mapy.cz?st=search&amp;fr=50.42602859 14.39749047")</f>
        <v>https://www.mapy.cz?st=search&amp;fr=50.42602859 14.39749047</v>
      </c>
      <c r="AA290" s="20" t="s">
        <v>601</v>
      </c>
      <c r="AB290" s="59"/>
    </row>
    <row r="291" spans="1:30" ht="35.1" customHeight="1" x14ac:dyDescent="0.25">
      <c r="A291" s="32" t="s">
        <v>582</v>
      </c>
      <c r="B291" s="33" t="s">
        <v>68</v>
      </c>
      <c r="C291" s="34" t="s">
        <v>69</v>
      </c>
      <c r="D291" s="35" t="s">
        <v>583</v>
      </c>
      <c r="E291" s="35"/>
      <c r="F291" s="35"/>
      <c r="G291" s="35"/>
      <c r="H291" s="35" t="s">
        <v>72</v>
      </c>
      <c r="I291" s="35" t="s">
        <v>89</v>
      </c>
      <c r="J291" s="35" t="s">
        <v>66</v>
      </c>
      <c r="K291" s="35" t="s">
        <v>32</v>
      </c>
      <c r="L291" s="35" t="s">
        <v>33</v>
      </c>
      <c r="M291" s="35" t="s">
        <v>34</v>
      </c>
      <c r="N291" s="35" t="s">
        <v>54</v>
      </c>
      <c r="O291" s="35" t="s">
        <v>54</v>
      </c>
      <c r="P291" s="31" t="s">
        <v>584</v>
      </c>
      <c r="Q291" s="31" t="s">
        <v>461</v>
      </c>
      <c r="R291" s="31" t="s">
        <v>581</v>
      </c>
      <c r="S291" s="31" t="s">
        <v>326</v>
      </c>
      <c r="T291" s="35" t="s">
        <v>45</v>
      </c>
      <c r="U291" s="35" t="s">
        <v>34</v>
      </c>
      <c r="V291" s="35"/>
      <c r="W291" s="31" t="str">
        <f>HYPERLINK("https://www.stromypodkontrolou.cz/map/tree/d41bce85-5010-4276-b929-4760db78c679/961af8e9-d3dc-4dc5-ad63-7ffbe05ed6ac")</f>
        <v>https://www.stromypodkontrolou.cz/map/tree/d41bce85-5010-4276-b929-4760db78c679/961af8e9-d3dc-4dc5-ad63-7ffbe05ed6ac</v>
      </c>
      <c r="X291" s="31">
        <v>-739451.60418300005</v>
      </c>
      <c r="Y291" s="31">
        <v>-1005415.452957</v>
      </c>
      <c r="Z291" s="31" t="str">
        <f>HYPERLINK("https://www.mapy.cz?st=search&amp;fr=50.42645299 14.39594217")</f>
        <v>https://www.mapy.cz?st=search&amp;fr=50.42645299 14.39594217</v>
      </c>
      <c r="AA291" s="20" t="s">
        <v>604</v>
      </c>
      <c r="AB291" s="59"/>
    </row>
    <row r="292" spans="1:30" ht="35.1" customHeight="1" x14ac:dyDescent="0.25">
      <c r="A292" s="32" t="s">
        <v>585</v>
      </c>
      <c r="B292" s="33" t="s">
        <v>68</v>
      </c>
      <c r="C292" s="34" t="s">
        <v>69</v>
      </c>
      <c r="D292" s="35" t="s">
        <v>586</v>
      </c>
      <c r="E292" s="35"/>
      <c r="F292" s="35"/>
      <c r="G292" s="35"/>
      <c r="H292" s="35" t="s">
        <v>146</v>
      </c>
      <c r="I292" s="35" t="s">
        <v>89</v>
      </c>
      <c r="J292" s="35" t="s">
        <v>101</v>
      </c>
      <c r="K292" s="35" t="s">
        <v>32</v>
      </c>
      <c r="L292" s="35" t="s">
        <v>33</v>
      </c>
      <c r="M292" s="35" t="s">
        <v>34</v>
      </c>
      <c r="N292" s="35" t="s">
        <v>54</v>
      </c>
      <c r="O292" s="35" t="s">
        <v>54</v>
      </c>
      <c r="P292" s="31" t="s">
        <v>584</v>
      </c>
      <c r="Q292" s="31" t="s">
        <v>461</v>
      </c>
      <c r="R292" s="31" t="s">
        <v>581</v>
      </c>
      <c r="S292" s="31" t="s">
        <v>326</v>
      </c>
      <c r="T292" s="35" t="s">
        <v>45</v>
      </c>
      <c r="U292" s="35" t="s">
        <v>34</v>
      </c>
      <c r="V292" s="35" t="s">
        <v>364</v>
      </c>
      <c r="W292" s="31" t="str">
        <f>HYPERLINK("https://www.stromypodkontrolou.cz/map/tree/d41bce85-5010-4276-b929-4760db78c679/6958f3ac-cbdc-49d3-ab7d-eb5af6b29b4b")</f>
        <v>https://www.stromypodkontrolou.cz/map/tree/d41bce85-5010-4276-b929-4760db78c679/6958f3ac-cbdc-49d3-ab7d-eb5af6b29b4b</v>
      </c>
      <c r="X292" s="31">
        <v>-739570.50778900005</v>
      </c>
      <c r="Y292" s="31">
        <v>-1005327.651615</v>
      </c>
      <c r="Z292" s="31" t="str">
        <f>HYPERLINK("https://www.mapy.cz?st=search&amp;fr=50.42708886 14.39411558")</f>
        <v>https://www.mapy.cz?st=search&amp;fr=50.42708886 14.39411558</v>
      </c>
      <c r="AA292" s="20" t="s">
        <v>604</v>
      </c>
      <c r="AB292" s="59"/>
    </row>
    <row r="293" spans="1:30" ht="35.1" customHeight="1" thickBot="1" x14ac:dyDescent="0.3">
      <c r="A293" s="46" t="s">
        <v>587</v>
      </c>
      <c r="B293" s="47" t="s">
        <v>149</v>
      </c>
      <c r="C293" s="48" t="s">
        <v>150</v>
      </c>
      <c r="D293" s="49" t="s">
        <v>175</v>
      </c>
      <c r="E293" s="49" t="s">
        <v>66</v>
      </c>
      <c r="F293" s="49" t="s">
        <v>180</v>
      </c>
      <c r="G293" s="49" t="s">
        <v>174</v>
      </c>
      <c r="H293" s="49" t="s">
        <v>182</v>
      </c>
      <c r="I293" s="49" t="s">
        <v>30</v>
      </c>
      <c r="J293" s="49" t="s">
        <v>78</v>
      </c>
      <c r="K293" s="49" t="s">
        <v>32</v>
      </c>
      <c r="L293" s="49" t="s">
        <v>33</v>
      </c>
      <c r="M293" s="49" t="s">
        <v>34</v>
      </c>
      <c r="N293" s="49" t="s">
        <v>54</v>
      </c>
      <c r="O293" s="49" t="s">
        <v>54</v>
      </c>
      <c r="P293" s="50" t="s">
        <v>196</v>
      </c>
      <c r="Q293" s="50" t="s">
        <v>461</v>
      </c>
      <c r="R293" s="50" t="s">
        <v>581</v>
      </c>
      <c r="S293" s="50" t="s">
        <v>612</v>
      </c>
      <c r="T293" s="49" t="s">
        <v>54</v>
      </c>
      <c r="U293" s="49" t="s">
        <v>35</v>
      </c>
      <c r="V293" s="49"/>
      <c r="W293" s="50" t="str">
        <f>HYPERLINK("https://www.stromypodkontrolou.cz/map/tree/d41bce85-5010-4276-b929-4760db78c679/1d571eee-56a7-4e07-bab2-7eb08174e5cf")</f>
        <v>https://www.stromypodkontrolou.cz/map/tree/d41bce85-5010-4276-b929-4760db78c679/1d571eee-56a7-4e07-bab2-7eb08174e5cf</v>
      </c>
      <c r="X293" s="50">
        <v>-739587.86273499997</v>
      </c>
      <c r="Y293" s="54">
        <v>-1005323.410545</v>
      </c>
      <c r="Z293" s="54" t="str">
        <f>HYPERLINK("https://www.mapy.cz?st=search&amp;fr=50.42710531 14.39386547")</f>
        <v>https://www.mapy.cz?st=search&amp;fr=50.42710531 14.39386547</v>
      </c>
      <c r="AA293" s="55" t="s">
        <v>613</v>
      </c>
      <c r="AB293" s="63"/>
    </row>
    <row r="294" spans="1:30" ht="15" customHeight="1" x14ac:dyDescent="0.25">
      <c r="A294" s="26"/>
      <c r="B294" s="27"/>
      <c r="C294" s="28"/>
      <c r="D294" s="29"/>
      <c r="E294" s="29"/>
      <c r="F294" s="29"/>
      <c r="G294" s="29"/>
      <c r="H294" s="29"/>
      <c r="I294" s="29"/>
      <c r="J294" s="29"/>
      <c r="K294" s="29"/>
      <c r="L294" s="29"/>
      <c r="M294" s="29"/>
      <c r="N294" s="29"/>
      <c r="O294" s="29"/>
      <c r="P294" s="30"/>
      <c r="Q294" s="30"/>
      <c r="R294" s="30"/>
      <c r="S294" s="30"/>
      <c r="T294" s="29"/>
      <c r="U294" s="29"/>
      <c r="V294" s="29"/>
      <c r="W294" s="30"/>
      <c r="X294" s="30"/>
      <c r="Y294" s="80" t="s">
        <v>596</v>
      </c>
      <c r="Z294" s="81"/>
      <c r="AA294" s="24"/>
      <c r="AB294" s="51">
        <f>(SUM(AB2:AB293))</f>
        <v>0</v>
      </c>
    </row>
    <row r="295" spans="1:30" ht="15" customHeight="1" x14ac:dyDescent="0.25">
      <c r="A295" s="53" t="s">
        <v>616</v>
      </c>
      <c r="H295" s="10"/>
      <c r="I295" s="10"/>
      <c r="J295" s="10"/>
      <c r="K295" s="10"/>
      <c r="L295" s="10"/>
      <c r="M295" s="10"/>
      <c r="N295" s="10"/>
      <c r="O295" s="10"/>
      <c r="P295" s="11"/>
      <c r="Q295" s="11"/>
      <c r="R295" s="11"/>
      <c r="S295" s="11"/>
      <c r="T295" s="10"/>
      <c r="U295" s="10"/>
      <c r="V295" s="10"/>
      <c r="W295" s="11"/>
      <c r="Y295" s="82" t="s">
        <v>611</v>
      </c>
      <c r="Z295" s="83"/>
      <c r="AA295" s="56" t="s">
        <v>600</v>
      </c>
      <c r="AB295" s="62"/>
    </row>
    <row r="296" spans="1:30" ht="15" customHeight="1" thickBot="1" x14ac:dyDescent="0.3">
      <c r="A296" s="52"/>
      <c r="B296" s="79" t="s">
        <v>615</v>
      </c>
      <c r="C296" s="79"/>
      <c r="D296" s="79"/>
      <c r="E296" s="79"/>
      <c r="F296" s="79"/>
      <c r="G296" s="79"/>
      <c r="Y296" s="84" t="s">
        <v>595</v>
      </c>
      <c r="Z296" s="85"/>
      <c r="AA296" s="85"/>
      <c r="AB296" s="57">
        <f>SUM(AB294+AB295)</f>
        <v>0</v>
      </c>
    </row>
    <row r="297" spans="1:30" ht="15" customHeight="1" x14ac:dyDescent="0.25">
      <c r="AD297" s="23"/>
    </row>
    <row r="298" spans="1:30" ht="15" customHeight="1" x14ac:dyDescent="0.25"/>
  </sheetData>
  <sheetProtection algorithmName="SHA-512" hashValue="/R2cq6s6sHHSAFy56RC3ErIdHNikyE7QAWvoMyAqGcbt/Cfo5zxxQksMdX+ZpLNu3Cgp7lH6yBfY7tPz4OTrPg==" saltValue="qGJYN1AZbymW8futjqaJVw==" spinCount="100000" sheet="1" objects="1" scenarios="1"/>
  <mergeCells count="1587">
    <mergeCell ref="B296:G296"/>
    <mergeCell ref="Y294:Z294"/>
    <mergeCell ref="Y295:Z295"/>
    <mergeCell ref="Y296:AA296"/>
    <mergeCell ref="W287:W288"/>
    <mergeCell ref="X287:X288"/>
    <mergeCell ref="Y287:Y288"/>
    <mergeCell ref="Z287:Z288"/>
    <mergeCell ref="F285:F286"/>
    <mergeCell ref="G285:G286"/>
    <mergeCell ref="H285:H286"/>
    <mergeCell ref="I285:I286"/>
    <mergeCell ref="Q280:Q281"/>
    <mergeCell ref="R280:R281"/>
    <mergeCell ref="W280:W281"/>
    <mergeCell ref="X280:X281"/>
    <mergeCell ref="Y280:Y281"/>
    <mergeCell ref="Z280:Z281"/>
    <mergeCell ref="X285:X286"/>
    <mergeCell ref="Y285:Y286"/>
    <mergeCell ref="Z285:Z286"/>
    <mergeCell ref="R287:R288"/>
    <mergeCell ref="W285:W286"/>
    <mergeCell ref="A277:A278"/>
    <mergeCell ref="B277:B278"/>
    <mergeCell ref="L280:L281"/>
    <mergeCell ref="M280:M281"/>
    <mergeCell ref="N280:N281"/>
    <mergeCell ref="O280:O281"/>
    <mergeCell ref="P280:P281"/>
    <mergeCell ref="L277:L278"/>
    <mergeCell ref="M277:M278"/>
    <mergeCell ref="N277:N278"/>
    <mergeCell ref="O277:O278"/>
    <mergeCell ref="P277:P278"/>
    <mergeCell ref="Q277:Q278"/>
    <mergeCell ref="J285:J286"/>
    <mergeCell ref="K285:K286"/>
    <mergeCell ref="L285:L286"/>
    <mergeCell ref="R277:R278"/>
    <mergeCell ref="I277:I278"/>
    <mergeCell ref="Q285:Q286"/>
    <mergeCell ref="R285:R286"/>
    <mergeCell ref="A285:A286"/>
    <mergeCell ref="B285:B286"/>
    <mergeCell ref="C285:C286"/>
    <mergeCell ref="D285:D286"/>
    <mergeCell ref="E285:E286"/>
    <mergeCell ref="J277:J278"/>
    <mergeCell ref="K277:K278"/>
    <mergeCell ref="W277:W278"/>
    <mergeCell ref="X277:X278"/>
    <mergeCell ref="Y277:Y278"/>
    <mergeCell ref="Z277:Z278"/>
    <mergeCell ref="A280:A281"/>
    <mergeCell ref="Z264:Z265"/>
    <mergeCell ref="Z269:Z270"/>
    <mergeCell ref="M285:M286"/>
    <mergeCell ref="N285:N286"/>
    <mergeCell ref="O285:O286"/>
    <mergeCell ref="P285:P286"/>
    <mergeCell ref="B280:B281"/>
    <mergeCell ref="C280:C281"/>
    <mergeCell ref="D280:D281"/>
    <mergeCell ref="E280:E281"/>
    <mergeCell ref="F280:F281"/>
    <mergeCell ref="G280:G281"/>
    <mergeCell ref="H280:H281"/>
    <mergeCell ref="I280:I281"/>
    <mergeCell ref="J280:J281"/>
    <mergeCell ref="K280:K281"/>
    <mergeCell ref="A269:A270"/>
    <mergeCell ref="B269:B270"/>
    <mergeCell ref="C269:C270"/>
    <mergeCell ref="D269:D270"/>
    <mergeCell ref="E269:E270"/>
    <mergeCell ref="C277:C278"/>
    <mergeCell ref="D277:D278"/>
    <mergeCell ref="E277:E278"/>
    <mergeCell ref="F277:F278"/>
    <mergeCell ref="G277:G278"/>
    <mergeCell ref="H277:H278"/>
    <mergeCell ref="A287:A288"/>
    <mergeCell ref="B287:B288"/>
    <mergeCell ref="C287:C288"/>
    <mergeCell ref="D287:D288"/>
    <mergeCell ref="E287:E288"/>
    <mergeCell ref="F287:F288"/>
    <mergeCell ref="G287:G288"/>
    <mergeCell ref="H287:H288"/>
    <mergeCell ref="I287:I288"/>
    <mergeCell ref="J287:J288"/>
    <mergeCell ref="K287:K288"/>
    <mergeCell ref="L287:L288"/>
    <mergeCell ref="M287:M288"/>
    <mergeCell ref="N287:N288"/>
    <mergeCell ref="O287:O288"/>
    <mergeCell ref="P287:P288"/>
    <mergeCell ref="Q287:Q288"/>
    <mergeCell ref="F262:F263"/>
    <mergeCell ref="G262:G263"/>
    <mergeCell ref="H262:H263"/>
    <mergeCell ref="I262:I263"/>
    <mergeCell ref="J262:J263"/>
    <mergeCell ref="K262:K263"/>
    <mergeCell ref="L262:L263"/>
    <mergeCell ref="L269:L270"/>
    <mergeCell ref="M269:M270"/>
    <mergeCell ref="N269:N270"/>
    <mergeCell ref="O269:O270"/>
    <mergeCell ref="P269:P270"/>
    <mergeCell ref="Q269:Q270"/>
    <mergeCell ref="R269:R270"/>
    <mergeCell ref="W269:W270"/>
    <mergeCell ref="X269:X270"/>
    <mergeCell ref="Y269:Y270"/>
    <mergeCell ref="Q262:Q263"/>
    <mergeCell ref="R262:R263"/>
    <mergeCell ref="W262:W263"/>
    <mergeCell ref="X264:X265"/>
    <mergeCell ref="Y264:Y265"/>
    <mergeCell ref="F269:F270"/>
    <mergeCell ref="G269:G270"/>
    <mergeCell ref="H269:H270"/>
    <mergeCell ref="I269:I270"/>
    <mergeCell ref="J269:J270"/>
    <mergeCell ref="K269:K270"/>
    <mergeCell ref="R259:R260"/>
    <mergeCell ref="W259:W260"/>
    <mergeCell ref="X259:X260"/>
    <mergeCell ref="Y259:Y260"/>
    <mergeCell ref="Z259:Z260"/>
    <mergeCell ref="A257:A258"/>
    <mergeCell ref="B257:B258"/>
    <mergeCell ref="C257:C258"/>
    <mergeCell ref="D257:D258"/>
    <mergeCell ref="E257:E258"/>
    <mergeCell ref="X262:X263"/>
    <mergeCell ref="Y262:Y263"/>
    <mergeCell ref="Z262:Z263"/>
    <mergeCell ref="A264:A265"/>
    <mergeCell ref="B264:B265"/>
    <mergeCell ref="C264:C265"/>
    <mergeCell ref="D264:D265"/>
    <mergeCell ref="E264:E265"/>
    <mergeCell ref="F264:F265"/>
    <mergeCell ref="G264:G265"/>
    <mergeCell ref="H264:H265"/>
    <mergeCell ref="I264:I265"/>
    <mergeCell ref="J264:J265"/>
    <mergeCell ref="K264:K265"/>
    <mergeCell ref="L264:L265"/>
    <mergeCell ref="M264:M265"/>
    <mergeCell ref="N264:N265"/>
    <mergeCell ref="O264:O265"/>
    <mergeCell ref="P264:P265"/>
    <mergeCell ref="Q264:Q265"/>
    <mergeCell ref="R264:R265"/>
    <mergeCell ref="W264:W265"/>
    <mergeCell ref="A259:A260"/>
    <mergeCell ref="B259:B260"/>
    <mergeCell ref="C259:C260"/>
    <mergeCell ref="D259:D260"/>
    <mergeCell ref="E259:E260"/>
    <mergeCell ref="F259:F260"/>
    <mergeCell ref="G259:G260"/>
    <mergeCell ref="H259:H260"/>
    <mergeCell ref="I259:I260"/>
    <mergeCell ref="J259:J260"/>
    <mergeCell ref="K259:K260"/>
    <mergeCell ref="L259:L260"/>
    <mergeCell ref="M259:M260"/>
    <mergeCell ref="N259:N260"/>
    <mergeCell ref="O259:O260"/>
    <mergeCell ref="P259:P260"/>
    <mergeCell ref="Q259:Q260"/>
    <mergeCell ref="F257:F258"/>
    <mergeCell ref="G257:G258"/>
    <mergeCell ref="H257:H258"/>
    <mergeCell ref="I257:I258"/>
    <mergeCell ref="J257:J258"/>
    <mergeCell ref="K257:K258"/>
    <mergeCell ref="L257:L258"/>
    <mergeCell ref="M257:M258"/>
    <mergeCell ref="N257:N258"/>
    <mergeCell ref="O257:O258"/>
    <mergeCell ref="P257:P258"/>
    <mergeCell ref="Q257:Q258"/>
    <mergeCell ref="R251:R252"/>
    <mergeCell ref="W251:W252"/>
    <mergeCell ref="X251:X252"/>
    <mergeCell ref="Y251:Y252"/>
    <mergeCell ref="Z251:Z252"/>
    <mergeCell ref="R255:R256"/>
    <mergeCell ref="W255:W256"/>
    <mergeCell ref="X255:X256"/>
    <mergeCell ref="Y255:Y256"/>
    <mergeCell ref="Z255:Z256"/>
    <mergeCell ref="R257:R258"/>
    <mergeCell ref="W257:W258"/>
    <mergeCell ref="X257:X258"/>
    <mergeCell ref="Y257:Y258"/>
    <mergeCell ref="Z257:Z258"/>
    <mergeCell ref="A255:A256"/>
    <mergeCell ref="B255:B256"/>
    <mergeCell ref="C255:C256"/>
    <mergeCell ref="D255:D256"/>
    <mergeCell ref="E255:E256"/>
    <mergeCell ref="F255:F256"/>
    <mergeCell ref="G255:G256"/>
    <mergeCell ref="H255:H256"/>
    <mergeCell ref="I255:I256"/>
    <mergeCell ref="J255:J256"/>
    <mergeCell ref="K255:K256"/>
    <mergeCell ref="L255:L256"/>
    <mergeCell ref="M255:M256"/>
    <mergeCell ref="N255:N256"/>
    <mergeCell ref="O255:O256"/>
    <mergeCell ref="P255:P256"/>
    <mergeCell ref="Q255:Q256"/>
    <mergeCell ref="H231:H232"/>
    <mergeCell ref="I231:I232"/>
    <mergeCell ref="J231:J232"/>
    <mergeCell ref="K231:K232"/>
    <mergeCell ref="L231:L232"/>
    <mergeCell ref="M231:M232"/>
    <mergeCell ref="N231:N232"/>
    <mergeCell ref="O231:O232"/>
    <mergeCell ref="P231:P232"/>
    <mergeCell ref="Q231:Q232"/>
    <mergeCell ref="R231:R232"/>
    <mergeCell ref="W231:W232"/>
    <mergeCell ref="X231:X232"/>
    <mergeCell ref="Y231:Y232"/>
    <mergeCell ref="Z231:Z232"/>
    <mergeCell ref="A251:A252"/>
    <mergeCell ref="B251:B252"/>
    <mergeCell ref="C251:C252"/>
    <mergeCell ref="D251:D252"/>
    <mergeCell ref="E251:E252"/>
    <mergeCell ref="F251:F252"/>
    <mergeCell ref="G251:G252"/>
    <mergeCell ref="H251:H252"/>
    <mergeCell ref="I251:I252"/>
    <mergeCell ref="J251:J252"/>
    <mergeCell ref="K251:K252"/>
    <mergeCell ref="L251:L252"/>
    <mergeCell ref="M251:M252"/>
    <mergeCell ref="N251:N252"/>
    <mergeCell ref="O251:O252"/>
    <mergeCell ref="P251:P252"/>
    <mergeCell ref="Q251:Q252"/>
    <mergeCell ref="R223:R224"/>
    <mergeCell ref="W223:W224"/>
    <mergeCell ref="X223:X224"/>
    <mergeCell ref="Y223:Y224"/>
    <mergeCell ref="Z223:Z224"/>
    <mergeCell ref="A229:A230"/>
    <mergeCell ref="B229:B230"/>
    <mergeCell ref="C229:C230"/>
    <mergeCell ref="D229:D230"/>
    <mergeCell ref="E229:E230"/>
    <mergeCell ref="F229:F230"/>
    <mergeCell ref="G229:G230"/>
    <mergeCell ref="H229:H230"/>
    <mergeCell ref="I229:I230"/>
    <mergeCell ref="J229:J230"/>
    <mergeCell ref="K229:K230"/>
    <mergeCell ref="L229:L230"/>
    <mergeCell ref="M229:M230"/>
    <mergeCell ref="N229:N230"/>
    <mergeCell ref="O229:O230"/>
    <mergeCell ref="P229:P230"/>
    <mergeCell ref="Z229:Z230"/>
    <mergeCell ref="X229:X230"/>
    <mergeCell ref="Y229:Y230"/>
    <mergeCell ref="Q229:Q230"/>
    <mergeCell ref="R229:R230"/>
    <mergeCell ref="W229:W230"/>
    <mergeCell ref="Q223:Q224"/>
    <mergeCell ref="A223:A224"/>
    <mergeCell ref="B223:B224"/>
    <mergeCell ref="C223:C224"/>
    <mergeCell ref="D223:D224"/>
    <mergeCell ref="X215:X216"/>
    <mergeCell ref="Y215:Y216"/>
    <mergeCell ref="Z215:Z216"/>
    <mergeCell ref="A217:A218"/>
    <mergeCell ref="B217:B218"/>
    <mergeCell ref="C217:C218"/>
    <mergeCell ref="D217:D218"/>
    <mergeCell ref="E217:E218"/>
    <mergeCell ref="F217:F218"/>
    <mergeCell ref="G217:G218"/>
    <mergeCell ref="H217:H218"/>
    <mergeCell ref="I217:I218"/>
    <mergeCell ref="J217:J218"/>
    <mergeCell ref="K217:K218"/>
    <mergeCell ref="L217:L218"/>
    <mergeCell ref="M217:M218"/>
    <mergeCell ref="N217:N218"/>
    <mergeCell ref="O217:O218"/>
    <mergeCell ref="P217:P218"/>
    <mergeCell ref="Q217:Q218"/>
    <mergeCell ref="R217:R218"/>
    <mergeCell ref="W217:W218"/>
    <mergeCell ref="X217:X218"/>
    <mergeCell ref="Y217:Y218"/>
    <mergeCell ref="Z217:Z218"/>
    <mergeCell ref="Q215:Q216"/>
    <mergeCell ref="R215:R216"/>
    <mergeCell ref="W215:W216"/>
    <mergeCell ref="X204:X205"/>
    <mergeCell ref="Y204:Y205"/>
    <mergeCell ref="Z204:Z205"/>
    <mergeCell ref="A213:A214"/>
    <mergeCell ref="B213:B214"/>
    <mergeCell ref="C213:C214"/>
    <mergeCell ref="D213:D214"/>
    <mergeCell ref="E213:E214"/>
    <mergeCell ref="F213:F214"/>
    <mergeCell ref="G213:G214"/>
    <mergeCell ref="H213:H214"/>
    <mergeCell ref="I213:I214"/>
    <mergeCell ref="J213:J214"/>
    <mergeCell ref="K213:K214"/>
    <mergeCell ref="L213:L214"/>
    <mergeCell ref="M213:M214"/>
    <mergeCell ref="N213:N214"/>
    <mergeCell ref="O213:O214"/>
    <mergeCell ref="P213:P214"/>
    <mergeCell ref="Q213:Q214"/>
    <mergeCell ref="R213:R214"/>
    <mergeCell ref="W213:W214"/>
    <mergeCell ref="X213:X214"/>
    <mergeCell ref="Y213:Y214"/>
    <mergeCell ref="Z213:Z214"/>
    <mergeCell ref="F204:F205"/>
    <mergeCell ref="G204:G205"/>
    <mergeCell ref="H204:H205"/>
    <mergeCell ref="I204:I205"/>
    <mergeCell ref="J204:J205"/>
    <mergeCell ref="K204:K205"/>
    <mergeCell ref="L204:L205"/>
    <mergeCell ref="X196:X197"/>
    <mergeCell ref="Y196:Y197"/>
    <mergeCell ref="Z196:Z197"/>
    <mergeCell ref="A198:A199"/>
    <mergeCell ref="B198:B199"/>
    <mergeCell ref="C198:C199"/>
    <mergeCell ref="D198:D199"/>
    <mergeCell ref="E198:E199"/>
    <mergeCell ref="F198:F199"/>
    <mergeCell ref="G198:G199"/>
    <mergeCell ref="H198:H199"/>
    <mergeCell ref="I198:I199"/>
    <mergeCell ref="J198:J199"/>
    <mergeCell ref="K198:K199"/>
    <mergeCell ref="L198:L199"/>
    <mergeCell ref="M198:M199"/>
    <mergeCell ref="N198:N199"/>
    <mergeCell ref="O198:O199"/>
    <mergeCell ref="P198:P199"/>
    <mergeCell ref="Q198:Q199"/>
    <mergeCell ref="R198:R199"/>
    <mergeCell ref="W198:W199"/>
    <mergeCell ref="X198:X199"/>
    <mergeCell ref="Y198:Y199"/>
    <mergeCell ref="Z198:Z199"/>
    <mergeCell ref="E196:E197"/>
    <mergeCell ref="X189:X190"/>
    <mergeCell ref="Y189:Y190"/>
    <mergeCell ref="Z189:Z190"/>
    <mergeCell ref="A191:A192"/>
    <mergeCell ref="B191:B192"/>
    <mergeCell ref="C191:C192"/>
    <mergeCell ref="D191:D192"/>
    <mergeCell ref="E191:E192"/>
    <mergeCell ref="F191:F192"/>
    <mergeCell ref="G191:G192"/>
    <mergeCell ref="H191:H192"/>
    <mergeCell ref="I191:I192"/>
    <mergeCell ref="J191:J192"/>
    <mergeCell ref="K191:K192"/>
    <mergeCell ref="L191:L192"/>
    <mergeCell ref="M191:M192"/>
    <mergeCell ref="N191:N192"/>
    <mergeCell ref="O191:O192"/>
    <mergeCell ref="P191:P192"/>
    <mergeCell ref="Q191:Q192"/>
    <mergeCell ref="R191:R192"/>
    <mergeCell ref="W191:W192"/>
    <mergeCell ref="X191:X192"/>
    <mergeCell ref="Y191:Y192"/>
    <mergeCell ref="Z191:Z192"/>
    <mergeCell ref="F189:F190"/>
    <mergeCell ref="G189:G190"/>
    <mergeCell ref="H189:H190"/>
    <mergeCell ref="I189:I190"/>
    <mergeCell ref="J189:J190"/>
    <mergeCell ref="K189:K190"/>
    <mergeCell ref="L189:L190"/>
    <mergeCell ref="X185:X186"/>
    <mergeCell ref="Y185:Y186"/>
    <mergeCell ref="Z185:Z186"/>
    <mergeCell ref="A187:A188"/>
    <mergeCell ref="B187:B188"/>
    <mergeCell ref="C187:C188"/>
    <mergeCell ref="D187:D188"/>
    <mergeCell ref="E187:E188"/>
    <mergeCell ref="F187:F188"/>
    <mergeCell ref="G187:G188"/>
    <mergeCell ref="H187:H188"/>
    <mergeCell ref="I187:I188"/>
    <mergeCell ref="J187:J188"/>
    <mergeCell ref="K187:K188"/>
    <mergeCell ref="L187:L188"/>
    <mergeCell ref="M187:M188"/>
    <mergeCell ref="N187:N188"/>
    <mergeCell ref="O187:O188"/>
    <mergeCell ref="P187:P188"/>
    <mergeCell ref="Q187:Q188"/>
    <mergeCell ref="R187:R188"/>
    <mergeCell ref="W187:W188"/>
    <mergeCell ref="X187:X188"/>
    <mergeCell ref="Y187:Y188"/>
    <mergeCell ref="Z187:Z188"/>
    <mergeCell ref="W185:W186"/>
    <mergeCell ref="A185:A186"/>
    <mergeCell ref="X180:X181"/>
    <mergeCell ref="Y180:Y181"/>
    <mergeCell ref="Z180:Z181"/>
    <mergeCell ref="A183:A184"/>
    <mergeCell ref="B183:B184"/>
    <mergeCell ref="C183:C184"/>
    <mergeCell ref="D183:D184"/>
    <mergeCell ref="E183:E184"/>
    <mergeCell ref="F183:F184"/>
    <mergeCell ref="G183:G184"/>
    <mergeCell ref="H183:H184"/>
    <mergeCell ref="I183:I184"/>
    <mergeCell ref="J183:J184"/>
    <mergeCell ref="K183:K184"/>
    <mergeCell ref="L183:L184"/>
    <mergeCell ref="M183:M184"/>
    <mergeCell ref="N183:N184"/>
    <mergeCell ref="O183:O184"/>
    <mergeCell ref="P183:P184"/>
    <mergeCell ref="Q183:Q184"/>
    <mergeCell ref="R183:R184"/>
    <mergeCell ref="W183:W184"/>
    <mergeCell ref="X183:X184"/>
    <mergeCell ref="Y183:Y184"/>
    <mergeCell ref="Z183:Z184"/>
    <mergeCell ref="F180:F181"/>
    <mergeCell ref="G180:G181"/>
    <mergeCell ref="H180:H181"/>
    <mergeCell ref="I180:I181"/>
    <mergeCell ref="J180:J181"/>
    <mergeCell ref="K180:K181"/>
    <mergeCell ref="L180:L181"/>
    <mergeCell ref="X176:X177"/>
    <mergeCell ref="Y176:Y177"/>
    <mergeCell ref="Z176:Z177"/>
    <mergeCell ref="A178:A179"/>
    <mergeCell ref="B178:B179"/>
    <mergeCell ref="C178:C179"/>
    <mergeCell ref="D178:D179"/>
    <mergeCell ref="E178:E179"/>
    <mergeCell ref="F178:F179"/>
    <mergeCell ref="G178:G179"/>
    <mergeCell ref="H178:H179"/>
    <mergeCell ref="I178:I179"/>
    <mergeCell ref="J178:J179"/>
    <mergeCell ref="K178:K179"/>
    <mergeCell ref="L178:L179"/>
    <mergeCell ref="M178:M179"/>
    <mergeCell ref="N178:N179"/>
    <mergeCell ref="O178:O179"/>
    <mergeCell ref="P178:P179"/>
    <mergeCell ref="Q178:Q179"/>
    <mergeCell ref="R178:R179"/>
    <mergeCell ref="W178:W179"/>
    <mergeCell ref="X178:X179"/>
    <mergeCell ref="Y178:Y179"/>
    <mergeCell ref="Z178:Z179"/>
    <mergeCell ref="C176:C177"/>
    <mergeCell ref="D176:D177"/>
    <mergeCell ref="E176:E177"/>
    <mergeCell ref="X172:X173"/>
    <mergeCell ref="Y172:Y173"/>
    <mergeCell ref="Z172:Z173"/>
    <mergeCell ref="A174:A175"/>
    <mergeCell ref="B174:B175"/>
    <mergeCell ref="C174:C175"/>
    <mergeCell ref="D174:D175"/>
    <mergeCell ref="E174:E175"/>
    <mergeCell ref="F174:F175"/>
    <mergeCell ref="G174:G175"/>
    <mergeCell ref="H174:H175"/>
    <mergeCell ref="I174:I175"/>
    <mergeCell ref="J174:J175"/>
    <mergeCell ref="K174:K175"/>
    <mergeCell ref="L174:L175"/>
    <mergeCell ref="M174:M175"/>
    <mergeCell ref="N174:N175"/>
    <mergeCell ref="O174:O175"/>
    <mergeCell ref="P174:P175"/>
    <mergeCell ref="Q174:Q175"/>
    <mergeCell ref="R174:R175"/>
    <mergeCell ref="W174:W175"/>
    <mergeCell ref="X174:X175"/>
    <mergeCell ref="Y174:Y175"/>
    <mergeCell ref="Z174:Z175"/>
    <mergeCell ref="F172:F173"/>
    <mergeCell ref="G172:G173"/>
    <mergeCell ref="H172:H173"/>
    <mergeCell ref="I172:I173"/>
    <mergeCell ref="J172:J173"/>
    <mergeCell ref="K172:K173"/>
    <mergeCell ref="L172:L173"/>
    <mergeCell ref="X166:X167"/>
    <mergeCell ref="Y166:Y167"/>
    <mergeCell ref="Z166:Z167"/>
    <mergeCell ref="A170:A171"/>
    <mergeCell ref="B170:B171"/>
    <mergeCell ref="C170:C171"/>
    <mergeCell ref="D170:D171"/>
    <mergeCell ref="E170:E171"/>
    <mergeCell ref="F170:F171"/>
    <mergeCell ref="G170:G171"/>
    <mergeCell ref="H170:H171"/>
    <mergeCell ref="I170:I171"/>
    <mergeCell ref="J170:J171"/>
    <mergeCell ref="K170:K171"/>
    <mergeCell ref="L170:L171"/>
    <mergeCell ref="M170:M171"/>
    <mergeCell ref="N170:N171"/>
    <mergeCell ref="O170:O171"/>
    <mergeCell ref="P170:P171"/>
    <mergeCell ref="Q170:Q171"/>
    <mergeCell ref="R170:R171"/>
    <mergeCell ref="W170:W171"/>
    <mergeCell ref="X170:X171"/>
    <mergeCell ref="Y170:Y171"/>
    <mergeCell ref="Z170:Z171"/>
    <mergeCell ref="B166:B167"/>
    <mergeCell ref="C166:C167"/>
    <mergeCell ref="D166:D167"/>
    <mergeCell ref="E166:E167"/>
    <mergeCell ref="X164:X165"/>
    <mergeCell ref="Y164:Y165"/>
    <mergeCell ref="Z164:Z165"/>
    <mergeCell ref="F164:F165"/>
    <mergeCell ref="G164:G165"/>
    <mergeCell ref="H164:H165"/>
    <mergeCell ref="I164:I165"/>
    <mergeCell ref="J164:J165"/>
    <mergeCell ref="K164:K165"/>
    <mergeCell ref="L164:L165"/>
    <mergeCell ref="X151:X152"/>
    <mergeCell ref="Y151:Y152"/>
    <mergeCell ref="Z151:Z152"/>
    <mergeCell ref="A159:A160"/>
    <mergeCell ref="B159:B160"/>
    <mergeCell ref="C159:C160"/>
    <mergeCell ref="D159:D160"/>
    <mergeCell ref="E159:E160"/>
    <mergeCell ref="F159:F160"/>
    <mergeCell ref="G159:G160"/>
    <mergeCell ref="H159:H160"/>
    <mergeCell ref="I159:I160"/>
    <mergeCell ref="J159:J160"/>
    <mergeCell ref="K159:K160"/>
    <mergeCell ref="L159:L160"/>
    <mergeCell ref="M159:M160"/>
    <mergeCell ref="N159:N160"/>
    <mergeCell ref="O159:O160"/>
    <mergeCell ref="P159:P160"/>
    <mergeCell ref="Q159:Q160"/>
    <mergeCell ref="R159:R160"/>
    <mergeCell ref="W159:W160"/>
    <mergeCell ref="X159:X160"/>
    <mergeCell ref="Y159:Y160"/>
    <mergeCell ref="Z159:Z160"/>
    <mergeCell ref="W151:W152"/>
    <mergeCell ref="A151:A152"/>
    <mergeCell ref="B151:B152"/>
    <mergeCell ref="C151:C152"/>
    <mergeCell ref="D151:D152"/>
    <mergeCell ref="E151:E152"/>
    <mergeCell ref="Z144:Z145"/>
    <mergeCell ref="A146:A147"/>
    <mergeCell ref="B146:B147"/>
    <mergeCell ref="C146:C147"/>
    <mergeCell ref="D146:D147"/>
    <mergeCell ref="E146:E147"/>
    <mergeCell ref="F146:F147"/>
    <mergeCell ref="G146:G147"/>
    <mergeCell ref="H146:H147"/>
    <mergeCell ref="I146:I147"/>
    <mergeCell ref="J146:J147"/>
    <mergeCell ref="K146:K147"/>
    <mergeCell ref="L146:L147"/>
    <mergeCell ref="M146:M147"/>
    <mergeCell ref="N146:N147"/>
    <mergeCell ref="O146:O147"/>
    <mergeCell ref="P146:P147"/>
    <mergeCell ref="Q146:Q147"/>
    <mergeCell ref="R146:R147"/>
    <mergeCell ref="W146:W147"/>
    <mergeCell ref="X146:X147"/>
    <mergeCell ref="Y146:Y147"/>
    <mergeCell ref="Z146:Z147"/>
    <mergeCell ref="A144:A145"/>
    <mergeCell ref="B144:B145"/>
    <mergeCell ref="C144:C145"/>
    <mergeCell ref="D144:D145"/>
    <mergeCell ref="E144:E145"/>
    <mergeCell ref="F144:F145"/>
    <mergeCell ref="G144:G145"/>
    <mergeCell ref="H144:H145"/>
    <mergeCell ref="I144:I145"/>
    <mergeCell ref="J144:J145"/>
    <mergeCell ref="K144:K145"/>
    <mergeCell ref="L144:L145"/>
    <mergeCell ref="M144:M145"/>
    <mergeCell ref="N144:N145"/>
    <mergeCell ref="O144:O145"/>
    <mergeCell ref="P144:P145"/>
    <mergeCell ref="Q144:Q145"/>
    <mergeCell ref="Q122:Q123"/>
    <mergeCell ref="R122:R123"/>
    <mergeCell ref="W122:W123"/>
    <mergeCell ref="X122:X123"/>
    <mergeCell ref="Y122:Y123"/>
    <mergeCell ref="R144:R145"/>
    <mergeCell ref="W144:W145"/>
    <mergeCell ref="X144:X145"/>
    <mergeCell ref="Y144:Y145"/>
    <mergeCell ref="Z122:Z123"/>
    <mergeCell ref="A127:A128"/>
    <mergeCell ref="B127:B128"/>
    <mergeCell ref="C127:C128"/>
    <mergeCell ref="D127:D128"/>
    <mergeCell ref="E127:E128"/>
    <mergeCell ref="F127:F128"/>
    <mergeCell ref="G127:G128"/>
    <mergeCell ref="H127:H128"/>
    <mergeCell ref="I127:I128"/>
    <mergeCell ref="J127:J128"/>
    <mergeCell ref="K127:K128"/>
    <mergeCell ref="L127:L128"/>
    <mergeCell ref="M127:M128"/>
    <mergeCell ref="N127:N128"/>
    <mergeCell ref="O127:O128"/>
    <mergeCell ref="P127:P128"/>
    <mergeCell ref="Q127:Q128"/>
    <mergeCell ref="R127:R128"/>
    <mergeCell ref="W127:W128"/>
    <mergeCell ref="X127:X128"/>
    <mergeCell ref="Y127:Y128"/>
    <mergeCell ref="Z127:Z128"/>
    <mergeCell ref="G120:G121"/>
    <mergeCell ref="H120:H121"/>
    <mergeCell ref="I120:I121"/>
    <mergeCell ref="J120:J121"/>
    <mergeCell ref="K120:K121"/>
    <mergeCell ref="L120:L121"/>
    <mergeCell ref="M120:M121"/>
    <mergeCell ref="N120:N121"/>
    <mergeCell ref="O120:O121"/>
    <mergeCell ref="P120:P121"/>
    <mergeCell ref="Q120:Q121"/>
    <mergeCell ref="R120:R121"/>
    <mergeCell ref="W120:W121"/>
    <mergeCell ref="X120:X121"/>
    <mergeCell ref="Y120:Y121"/>
    <mergeCell ref="Z120:Z121"/>
    <mergeCell ref="A122:A123"/>
    <mergeCell ref="B122:B123"/>
    <mergeCell ref="C122:C123"/>
    <mergeCell ref="D122:D123"/>
    <mergeCell ref="E122:E123"/>
    <mergeCell ref="F122:F123"/>
    <mergeCell ref="G122:G123"/>
    <mergeCell ref="H122:H123"/>
    <mergeCell ref="I122:I123"/>
    <mergeCell ref="J122:J123"/>
    <mergeCell ref="K122:K123"/>
    <mergeCell ref="L122:L123"/>
    <mergeCell ref="M122:M123"/>
    <mergeCell ref="N122:N123"/>
    <mergeCell ref="O122:O123"/>
    <mergeCell ref="P122:P123"/>
    <mergeCell ref="W112:W113"/>
    <mergeCell ref="X112:X113"/>
    <mergeCell ref="Y112:Y113"/>
    <mergeCell ref="Z112:Z113"/>
    <mergeCell ref="A115:A116"/>
    <mergeCell ref="B115:B116"/>
    <mergeCell ref="C115:C116"/>
    <mergeCell ref="D115:D116"/>
    <mergeCell ref="E115:E116"/>
    <mergeCell ref="F115:F116"/>
    <mergeCell ref="G115:G116"/>
    <mergeCell ref="H115:H116"/>
    <mergeCell ref="I115:I116"/>
    <mergeCell ref="J115:J116"/>
    <mergeCell ref="K115:K116"/>
    <mergeCell ref="L115:L116"/>
    <mergeCell ref="M115:M116"/>
    <mergeCell ref="N115:N116"/>
    <mergeCell ref="O115:O116"/>
    <mergeCell ref="P115:P116"/>
    <mergeCell ref="Q115:Q116"/>
    <mergeCell ref="R115:R116"/>
    <mergeCell ref="W115:W116"/>
    <mergeCell ref="X115:X116"/>
    <mergeCell ref="Y115:Y116"/>
    <mergeCell ref="Z115:Z116"/>
    <mergeCell ref="A112:A113"/>
    <mergeCell ref="B112:B113"/>
    <mergeCell ref="C112:C113"/>
    <mergeCell ref="D112:D113"/>
    <mergeCell ref="E112:E113"/>
    <mergeCell ref="F112:F113"/>
    <mergeCell ref="Z104:Z105"/>
    <mergeCell ref="A107:A108"/>
    <mergeCell ref="B107:B108"/>
    <mergeCell ref="C107:C108"/>
    <mergeCell ref="D107:D108"/>
    <mergeCell ref="E107:E108"/>
    <mergeCell ref="F107:F108"/>
    <mergeCell ref="G107:G108"/>
    <mergeCell ref="H107:H108"/>
    <mergeCell ref="I107:I108"/>
    <mergeCell ref="J107:J108"/>
    <mergeCell ref="K107:K108"/>
    <mergeCell ref="L107:L108"/>
    <mergeCell ref="M107:M108"/>
    <mergeCell ref="N107:N108"/>
    <mergeCell ref="O107:O108"/>
    <mergeCell ref="P107:P108"/>
    <mergeCell ref="Q107:Q108"/>
    <mergeCell ref="R107:R108"/>
    <mergeCell ref="W107:W108"/>
    <mergeCell ref="X107:X108"/>
    <mergeCell ref="Y107:Y108"/>
    <mergeCell ref="Z107:Z108"/>
    <mergeCell ref="Z65:Z66"/>
    <mergeCell ref="Z67:Z68"/>
    <mergeCell ref="Z69:Z70"/>
    <mergeCell ref="Z71:Z72"/>
    <mergeCell ref="Z73:Z74"/>
    <mergeCell ref="Z75:Z76"/>
    <mergeCell ref="Z88:Z89"/>
    <mergeCell ref="Z93:Z94"/>
    <mergeCell ref="Z95:Z96"/>
    <mergeCell ref="Z99:Z100"/>
    <mergeCell ref="Z101:Z102"/>
    <mergeCell ref="A104:A105"/>
    <mergeCell ref="B104:B105"/>
    <mergeCell ref="C104:C105"/>
    <mergeCell ref="D104:D105"/>
    <mergeCell ref="E104:E105"/>
    <mergeCell ref="F104:F105"/>
    <mergeCell ref="G104:G105"/>
    <mergeCell ref="H104:H105"/>
    <mergeCell ref="I104:I105"/>
    <mergeCell ref="J104:J105"/>
    <mergeCell ref="K104:K105"/>
    <mergeCell ref="L104:L105"/>
    <mergeCell ref="M104:M105"/>
    <mergeCell ref="N104:N105"/>
    <mergeCell ref="O104:O105"/>
    <mergeCell ref="P104:P105"/>
    <mergeCell ref="Q104:Q105"/>
    <mergeCell ref="R104:R105"/>
    <mergeCell ref="W104:W105"/>
    <mergeCell ref="X104:X105"/>
    <mergeCell ref="Y104:Y105"/>
    <mergeCell ref="Z2:Z3"/>
    <mergeCell ref="Z4:Z5"/>
    <mergeCell ref="Z6:Z7"/>
    <mergeCell ref="Z14:Z15"/>
    <mergeCell ref="Z19:Z20"/>
    <mergeCell ref="Z26:Z27"/>
    <mergeCell ref="Z28:Z29"/>
    <mergeCell ref="Z32:Z33"/>
    <mergeCell ref="Z39:Z40"/>
    <mergeCell ref="Z42:Z43"/>
    <mergeCell ref="Z44:Z45"/>
    <mergeCell ref="Z46:Z47"/>
    <mergeCell ref="Z48:Z49"/>
    <mergeCell ref="Z57:Z58"/>
    <mergeCell ref="Z59:Z60"/>
    <mergeCell ref="Z61:Z62"/>
    <mergeCell ref="Z63:Z64"/>
    <mergeCell ref="A231:A232"/>
    <mergeCell ref="B231:B232"/>
    <mergeCell ref="C231:C232"/>
    <mergeCell ref="D231:D232"/>
    <mergeCell ref="E231:E232"/>
    <mergeCell ref="F231:F232"/>
    <mergeCell ref="G231:G232"/>
    <mergeCell ref="P215:P216"/>
    <mergeCell ref="A215:A216"/>
    <mergeCell ref="B215:B216"/>
    <mergeCell ref="C215:C216"/>
    <mergeCell ref="D215:D216"/>
    <mergeCell ref="E215:E216"/>
    <mergeCell ref="M262:M263"/>
    <mergeCell ref="N262:N263"/>
    <mergeCell ref="O262:O263"/>
    <mergeCell ref="P262:P263"/>
    <mergeCell ref="A262:A263"/>
    <mergeCell ref="B262:B263"/>
    <mergeCell ref="C262:C263"/>
    <mergeCell ref="D262:D263"/>
    <mergeCell ref="E262:E263"/>
    <mergeCell ref="G223:G224"/>
    <mergeCell ref="H223:H224"/>
    <mergeCell ref="I223:I224"/>
    <mergeCell ref="J223:J224"/>
    <mergeCell ref="K223:K224"/>
    <mergeCell ref="L223:L224"/>
    <mergeCell ref="M223:M224"/>
    <mergeCell ref="N223:N224"/>
    <mergeCell ref="O223:O224"/>
    <mergeCell ref="P223:P224"/>
    <mergeCell ref="E223:E224"/>
    <mergeCell ref="F223:F224"/>
    <mergeCell ref="F215:F216"/>
    <mergeCell ref="G215:G216"/>
    <mergeCell ref="H215:H216"/>
    <mergeCell ref="I215:I216"/>
    <mergeCell ref="J215:J216"/>
    <mergeCell ref="K215:K216"/>
    <mergeCell ref="L215:L216"/>
    <mergeCell ref="M215:M216"/>
    <mergeCell ref="N215:N216"/>
    <mergeCell ref="O215:O216"/>
    <mergeCell ref="D185:D186"/>
    <mergeCell ref="E185:E186"/>
    <mergeCell ref="M204:M205"/>
    <mergeCell ref="N204:N205"/>
    <mergeCell ref="O204:O205"/>
    <mergeCell ref="M189:M190"/>
    <mergeCell ref="N189:N190"/>
    <mergeCell ref="O189:O190"/>
    <mergeCell ref="P204:P205"/>
    <mergeCell ref="P189:P190"/>
    <mergeCell ref="Q204:Q205"/>
    <mergeCell ref="R204:R205"/>
    <mergeCell ref="W204:W205"/>
    <mergeCell ref="A204:A205"/>
    <mergeCell ref="B204:B205"/>
    <mergeCell ref="C204:C205"/>
    <mergeCell ref="D204:D205"/>
    <mergeCell ref="E204:E205"/>
    <mergeCell ref="F196:F197"/>
    <mergeCell ref="G196:G197"/>
    <mergeCell ref="H196:H197"/>
    <mergeCell ref="I196:I197"/>
    <mergeCell ref="J196:J197"/>
    <mergeCell ref="K196:K197"/>
    <mergeCell ref="L196:L197"/>
    <mergeCell ref="M196:M197"/>
    <mergeCell ref="N196:N197"/>
    <mergeCell ref="O196:O197"/>
    <mergeCell ref="P196:P197"/>
    <mergeCell ref="Q196:Q197"/>
    <mergeCell ref="R196:R197"/>
    <mergeCell ref="W196:W197"/>
    <mergeCell ref="A196:A197"/>
    <mergeCell ref="B196:B197"/>
    <mergeCell ref="C196:C197"/>
    <mergeCell ref="D196:D197"/>
    <mergeCell ref="Q189:Q190"/>
    <mergeCell ref="R189:R190"/>
    <mergeCell ref="W189:W190"/>
    <mergeCell ref="A189:A190"/>
    <mergeCell ref="B189:B190"/>
    <mergeCell ref="C189:C190"/>
    <mergeCell ref="D189:D190"/>
    <mergeCell ref="E189:E190"/>
    <mergeCell ref="F185:F186"/>
    <mergeCell ref="G185:G186"/>
    <mergeCell ref="H185:H186"/>
    <mergeCell ref="I185:I186"/>
    <mergeCell ref="J185:J186"/>
    <mergeCell ref="K185:K186"/>
    <mergeCell ref="L185:L186"/>
    <mergeCell ref="M185:M186"/>
    <mergeCell ref="N185:N186"/>
    <mergeCell ref="O185:O186"/>
    <mergeCell ref="P185:P186"/>
    <mergeCell ref="Q185:Q186"/>
    <mergeCell ref="R185:R186"/>
    <mergeCell ref="B185:B186"/>
    <mergeCell ref="C185:C186"/>
    <mergeCell ref="M180:M181"/>
    <mergeCell ref="N180:N181"/>
    <mergeCell ref="O180:O181"/>
    <mergeCell ref="P180:P181"/>
    <mergeCell ref="Q180:Q181"/>
    <mergeCell ref="R180:R181"/>
    <mergeCell ref="W180:W181"/>
    <mergeCell ref="A180:A181"/>
    <mergeCell ref="B180:B181"/>
    <mergeCell ref="C180:C181"/>
    <mergeCell ref="D180:D181"/>
    <mergeCell ref="E180:E181"/>
    <mergeCell ref="F176:F177"/>
    <mergeCell ref="G176:G177"/>
    <mergeCell ref="H176:H177"/>
    <mergeCell ref="I176:I177"/>
    <mergeCell ref="J176:J177"/>
    <mergeCell ref="K176:K177"/>
    <mergeCell ref="L176:L177"/>
    <mergeCell ref="M176:M177"/>
    <mergeCell ref="N176:N177"/>
    <mergeCell ref="O176:O177"/>
    <mergeCell ref="P176:P177"/>
    <mergeCell ref="Q176:Q177"/>
    <mergeCell ref="R176:R177"/>
    <mergeCell ref="W176:W177"/>
    <mergeCell ref="A176:A177"/>
    <mergeCell ref="B176:B177"/>
    <mergeCell ref="M172:M173"/>
    <mergeCell ref="N172:N173"/>
    <mergeCell ref="O172:O173"/>
    <mergeCell ref="P172:P173"/>
    <mergeCell ref="Q172:Q173"/>
    <mergeCell ref="R172:R173"/>
    <mergeCell ref="W172:W173"/>
    <mergeCell ref="A172:A173"/>
    <mergeCell ref="B172:B173"/>
    <mergeCell ref="C172:C173"/>
    <mergeCell ref="D172:D173"/>
    <mergeCell ref="E172:E173"/>
    <mergeCell ref="F166:F167"/>
    <mergeCell ref="G166:G167"/>
    <mergeCell ref="H166:H167"/>
    <mergeCell ref="I166:I167"/>
    <mergeCell ref="J166:J167"/>
    <mergeCell ref="K166:K167"/>
    <mergeCell ref="L166:L167"/>
    <mergeCell ref="M166:M167"/>
    <mergeCell ref="N166:N167"/>
    <mergeCell ref="O166:O167"/>
    <mergeCell ref="P166:P167"/>
    <mergeCell ref="Q166:Q167"/>
    <mergeCell ref="R166:R167"/>
    <mergeCell ref="W166:W167"/>
    <mergeCell ref="A166:A167"/>
    <mergeCell ref="M164:M165"/>
    <mergeCell ref="N164:N165"/>
    <mergeCell ref="O164:O165"/>
    <mergeCell ref="P164:P165"/>
    <mergeCell ref="Q164:Q165"/>
    <mergeCell ref="R164:R165"/>
    <mergeCell ref="W164:W165"/>
    <mergeCell ref="A164:A165"/>
    <mergeCell ref="B164:B165"/>
    <mergeCell ref="C164:C165"/>
    <mergeCell ref="D164:D165"/>
    <mergeCell ref="E164:E165"/>
    <mergeCell ref="R112:R113"/>
    <mergeCell ref="A120:A121"/>
    <mergeCell ref="B120:B121"/>
    <mergeCell ref="C120:C121"/>
    <mergeCell ref="D120:D121"/>
    <mergeCell ref="E120:E121"/>
    <mergeCell ref="F120:F121"/>
    <mergeCell ref="F151:F152"/>
    <mergeCell ref="G151:G152"/>
    <mergeCell ref="H151:H152"/>
    <mergeCell ref="I151:I152"/>
    <mergeCell ref="J151:J152"/>
    <mergeCell ref="K151:K152"/>
    <mergeCell ref="L151:L152"/>
    <mergeCell ref="M151:M152"/>
    <mergeCell ref="N151:N152"/>
    <mergeCell ref="O151:O152"/>
    <mergeCell ref="P151:P152"/>
    <mergeCell ref="Q151:Q152"/>
    <mergeCell ref="R151:R152"/>
    <mergeCell ref="A101:A102"/>
    <mergeCell ref="B101:B102"/>
    <mergeCell ref="C101:C102"/>
    <mergeCell ref="D101:D102"/>
    <mergeCell ref="E101:E102"/>
    <mergeCell ref="F101:F102"/>
    <mergeCell ref="G112:G113"/>
    <mergeCell ref="H112:H113"/>
    <mergeCell ref="I112:I113"/>
    <mergeCell ref="J112:J113"/>
    <mergeCell ref="K112:K113"/>
    <mergeCell ref="L112:L113"/>
    <mergeCell ref="M112:M113"/>
    <mergeCell ref="N112:N113"/>
    <mergeCell ref="O112:O113"/>
    <mergeCell ref="P112:P113"/>
    <mergeCell ref="Q112:Q113"/>
    <mergeCell ref="O99:O100"/>
    <mergeCell ref="P99:P100"/>
    <mergeCell ref="Q99:Q100"/>
    <mergeCell ref="F99:F100"/>
    <mergeCell ref="G99:G100"/>
    <mergeCell ref="H99:H100"/>
    <mergeCell ref="I99:I100"/>
    <mergeCell ref="J99:J100"/>
    <mergeCell ref="K99:K100"/>
    <mergeCell ref="W101:W102"/>
    <mergeCell ref="X101:X102"/>
    <mergeCell ref="Y101:Y102"/>
    <mergeCell ref="M101:M102"/>
    <mergeCell ref="N101:N102"/>
    <mergeCell ref="O101:O102"/>
    <mergeCell ref="P101:P102"/>
    <mergeCell ref="Q101:Q102"/>
    <mergeCell ref="R101:R102"/>
    <mergeCell ref="G101:G102"/>
    <mergeCell ref="H101:H102"/>
    <mergeCell ref="I101:I102"/>
    <mergeCell ref="J101:J102"/>
    <mergeCell ref="K101:K102"/>
    <mergeCell ref="L101:L102"/>
    <mergeCell ref="W95:W96"/>
    <mergeCell ref="X95:X96"/>
    <mergeCell ref="Y95:Y96"/>
    <mergeCell ref="A99:A100"/>
    <mergeCell ref="B99:B100"/>
    <mergeCell ref="C99:C100"/>
    <mergeCell ref="D99:D100"/>
    <mergeCell ref="E99:E100"/>
    <mergeCell ref="M95:M96"/>
    <mergeCell ref="N95:N96"/>
    <mergeCell ref="O95:O96"/>
    <mergeCell ref="P95:P96"/>
    <mergeCell ref="Q95:Q96"/>
    <mergeCell ref="R95:R96"/>
    <mergeCell ref="G95:G96"/>
    <mergeCell ref="H95:H96"/>
    <mergeCell ref="I95:I96"/>
    <mergeCell ref="J95:J96"/>
    <mergeCell ref="K95:K96"/>
    <mergeCell ref="L95:L96"/>
    <mergeCell ref="A95:A96"/>
    <mergeCell ref="B95:B96"/>
    <mergeCell ref="C95:C96"/>
    <mergeCell ref="D95:D96"/>
    <mergeCell ref="E95:E96"/>
    <mergeCell ref="F95:F96"/>
    <mergeCell ref="R99:R100"/>
    <mergeCell ref="X99:X100"/>
    <mergeCell ref="Y99:Y100"/>
    <mergeCell ref="L99:L100"/>
    <mergeCell ref="M99:M100"/>
    <mergeCell ref="N99:N100"/>
    <mergeCell ref="W93:W94"/>
    <mergeCell ref="X93:X94"/>
    <mergeCell ref="Y93:Y94"/>
    <mergeCell ref="L93:L94"/>
    <mergeCell ref="M93:M94"/>
    <mergeCell ref="N93:N94"/>
    <mergeCell ref="O93:O94"/>
    <mergeCell ref="P93:P94"/>
    <mergeCell ref="Q93:Q94"/>
    <mergeCell ref="F93:F94"/>
    <mergeCell ref="G93:G94"/>
    <mergeCell ref="H93:H94"/>
    <mergeCell ref="I93:I94"/>
    <mergeCell ref="J93:J94"/>
    <mergeCell ref="K93:K94"/>
    <mergeCell ref="A93:A94"/>
    <mergeCell ref="B93:B94"/>
    <mergeCell ref="C93:C94"/>
    <mergeCell ref="D93:D94"/>
    <mergeCell ref="E93:E94"/>
    <mergeCell ref="R93:R94"/>
    <mergeCell ref="W88:W89"/>
    <mergeCell ref="X88:X89"/>
    <mergeCell ref="Y88:Y89"/>
    <mergeCell ref="L88:L89"/>
    <mergeCell ref="M88:M89"/>
    <mergeCell ref="N88:N89"/>
    <mergeCell ref="O88:O89"/>
    <mergeCell ref="P88:P89"/>
    <mergeCell ref="Q88:Q89"/>
    <mergeCell ref="F88:F89"/>
    <mergeCell ref="G88:G89"/>
    <mergeCell ref="H88:H89"/>
    <mergeCell ref="I88:I89"/>
    <mergeCell ref="J88:J89"/>
    <mergeCell ref="K88:K89"/>
    <mergeCell ref="W75:W76"/>
    <mergeCell ref="X75:X76"/>
    <mergeCell ref="Y75:Y76"/>
    <mergeCell ref="A88:A89"/>
    <mergeCell ref="B88:B89"/>
    <mergeCell ref="C88:C89"/>
    <mergeCell ref="D88:D89"/>
    <mergeCell ref="E88:E89"/>
    <mergeCell ref="M75:M76"/>
    <mergeCell ref="N75:N76"/>
    <mergeCell ref="O75:O76"/>
    <mergeCell ref="P75:P76"/>
    <mergeCell ref="Q75:Q76"/>
    <mergeCell ref="R75:R76"/>
    <mergeCell ref="G75:G76"/>
    <mergeCell ref="H75:H76"/>
    <mergeCell ref="I75:I76"/>
    <mergeCell ref="J75:J76"/>
    <mergeCell ref="K75:K76"/>
    <mergeCell ref="L75:L76"/>
    <mergeCell ref="A75:A76"/>
    <mergeCell ref="B75:B76"/>
    <mergeCell ref="C75:C76"/>
    <mergeCell ref="D75:D76"/>
    <mergeCell ref="E75:E76"/>
    <mergeCell ref="F75:F76"/>
    <mergeCell ref="R88:R89"/>
    <mergeCell ref="W73:W74"/>
    <mergeCell ref="X73:X74"/>
    <mergeCell ref="Y73:Y74"/>
    <mergeCell ref="L73:L74"/>
    <mergeCell ref="M73:M74"/>
    <mergeCell ref="N73:N74"/>
    <mergeCell ref="O73:O74"/>
    <mergeCell ref="P73:P74"/>
    <mergeCell ref="Q73:Q74"/>
    <mergeCell ref="F73:F74"/>
    <mergeCell ref="G73:G74"/>
    <mergeCell ref="H73:H74"/>
    <mergeCell ref="I73:I74"/>
    <mergeCell ref="J73:J74"/>
    <mergeCell ref="K73:K74"/>
    <mergeCell ref="W71:W72"/>
    <mergeCell ref="X71:X72"/>
    <mergeCell ref="Y71:Y72"/>
    <mergeCell ref="A73:A74"/>
    <mergeCell ref="B73:B74"/>
    <mergeCell ref="C73:C74"/>
    <mergeCell ref="D73:D74"/>
    <mergeCell ref="E73:E74"/>
    <mergeCell ref="M71:M72"/>
    <mergeCell ref="N71:N72"/>
    <mergeCell ref="O71:O72"/>
    <mergeCell ref="P71:P72"/>
    <mergeCell ref="Q71:Q72"/>
    <mergeCell ref="R71:R72"/>
    <mergeCell ref="G71:G72"/>
    <mergeCell ref="H71:H72"/>
    <mergeCell ref="I71:I72"/>
    <mergeCell ref="J71:J72"/>
    <mergeCell ref="K71:K72"/>
    <mergeCell ref="L71:L72"/>
    <mergeCell ref="A71:A72"/>
    <mergeCell ref="B71:B72"/>
    <mergeCell ref="C71:C72"/>
    <mergeCell ref="D71:D72"/>
    <mergeCell ref="E71:E72"/>
    <mergeCell ref="F71:F72"/>
    <mergeCell ref="R73:R74"/>
    <mergeCell ref="W69:W70"/>
    <mergeCell ref="X69:X70"/>
    <mergeCell ref="Y69:Y70"/>
    <mergeCell ref="L69:L70"/>
    <mergeCell ref="M69:M70"/>
    <mergeCell ref="N69:N70"/>
    <mergeCell ref="O69:O70"/>
    <mergeCell ref="P69:P70"/>
    <mergeCell ref="Q69:Q70"/>
    <mergeCell ref="F69:F70"/>
    <mergeCell ref="G69:G70"/>
    <mergeCell ref="H69:H70"/>
    <mergeCell ref="I69:I70"/>
    <mergeCell ref="J69:J70"/>
    <mergeCell ref="K69:K70"/>
    <mergeCell ref="W67:W68"/>
    <mergeCell ref="X67:X68"/>
    <mergeCell ref="Y67:Y68"/>
    <mergeCell ref="A69:A70"/>
    <mergeCell ref="B69:B70"/>
    <mergeCell ref="C69:C70"/>
    <mergeCell ref="D69:D70"/>
    <mergeCell ref="E69:E70"/>
    <mergeCell ref="M67:M68"/>
    <mergeCell ref="N67:N68"/>
    <mergeCell ref="O67:O68"/>
    <mergeCell ref="P67:P68"/>
    <mergeCell ref="Q67:Q68"/>
    <mergeCell ref="R67:R68"/>
    <mergeCell ref="G67:G68"/>
    <mergeCell ref="H67:H68"/>
    <mergeCell ref="I67:I68"/>
    <mergeCell ref="J67:J68"/>
    <mergeCell ref="K67:K68"/>
    <mergeCell ref="L67:L68"/>
    <mergeCell ref="A67:A68"/>
    <mergeCell ref="B67:B68"/>
    <mergeCell ref="C67:C68"/>
    <mergeCell ref="D67:D68"/>
    <mergeCell ref="E67:E68"/>
    <mergeCell ref="F67:F68"/>
    <mergeCell ref="R69:R70"/>
    <mergeCell ref="W65:W66"/>
    <mergeCell ref="X65:X66"/>
    <mergeCell ref="Y65:Y66"/>
    <mergeCell ref="L65:L66"/>
    <mergeCell ref="M65:M66"/>
    <mergeCell ref="N65:N66"/>
    <mergeCell ref="O65:O66"/>
    <mergeCell ref="P65:P66"/>
    <mergeCell ref="Q65:Q66"/>
    <mergeCell ref="F65:F66"/>
    <mergeCell ref="G65:G66"/>
    <mergeCell ref="H65:H66"/>
    <mergeCell ref="I65:I66"/>
    <mergeCell ref="J65:J66"/>
    <mergeCell ref="K65:K66"/>
    <mergeCell ref="W63:W64"/>
    <mergeCell ref="X63:X64"/>
    <mergeCell ref="Y63:Y64"/>
    <mergeCell ref="A65:A66"/>
    <mergeCell ref="B65:B66"/>
    <mergeCell ref="C65:C66"/>
    <mergeCell ref="D65:D66"/>
    <mergeCell ref="E65:E66"/>
    <mergeCell ref="M63:M64"/>
    <mergeCell ref="N63:N64"/>
    <mergeCell ref="O63:O64"/>
    <mergeCell ref="P63:P64"/>
    <mergeCell ref="Q63:Q64"/>
    <mergeCell ref="R63:R64"/>
    <mergeCell ref="G63:G64"/>
    <mergeCell ref="H63:H64"/>
    <mergeCell ref="I63:I64"/>
    <mergeCell ref="J63:J64"/>
    <mergeCell ref="K63:K64"/>
    <mergeCell ref="L63:L64"/>
    <mergeCell ref="A63:A64"/>
    <mergeCell ref="B63:B64"/>
    <mergeCell ref="C63:C64"/>
    <mergeCell ref="D63:D64"/>
    <mergeCell ref="E63:E64"/>
    <mergeCell ref="F63:F64"/>
    <mergeCell ref="R65:R66"/>
    <mergeCell ref="W61:W62"/>
    <mergeCell ref="X61:X62"/>
    <mergeCell ref="Y61:Y62"/>
    <mergeCell ref="L61:L62"/>
    <mergeCell ref="M61:M62"/>
    <mergeCell ref="N61:N62"/>
    <mergeCell ref="O61:O62"/>
    <mergeCell ref="P61:P62"/>
    <mergeCell ref="Q61:Q62"/>
    <mergeCell ref="F61:F62"/>
    <mergeCell ref="G61:G62"/>
    <mergeCell ref="H61:H62"/>
    <mergeCell ref="I61:I62"/>
    <mergeCell ref="J61:J62"/>
    <mergeCell ref="K61:K62"/>
    <mergeCell ref="W59:W60"/>
    <mergeCell ref="X59:X60"/>
    <mergeCell ref="Y59:Y60"/>
    <mergeCell ref="A61:A62"/>
    <mergeCell ref="B61:B62"/>
    <mergeCell ref="C61:C62"/>
    <mergeCell ref="D61:D62"/>
    <mergeCell ref="E61:E62"/>
    <mergeCell ref="M59:M60"/>
    <mergeCell ref="N59:N60"/>
    <mergeCell ref="O59:O60"/>
    <mergeCell ref="P59:P60"/>
    <mergeCell ref="Q59:Q60"/>
    <mergeCell ref="R59:R60"/>
    <mergeCell ref="G59:G60"/>
    <mergeCell ref="H59:H60"/>
    <mergeCell ref="I59:I60"/>
    <mergeCell ref="J59:J60"/>
    <mergeCell ref="K59:K60"/>
    <mergeCell ref="L59:L60"/>
    <mergeCell ref="A59:A60"/>
    <mergeCell ref="B59:B60"/>
    <mergeCell ref="C59:C60"/>
    <mergeCell ref="D59:D60"/>
    <mergeCell ref="E59:E60"/>
    <mergeCell ref="F59:F60"/>
    <mergeCell ref="R61:R62"/>
    <mergeCell ref="W57:W58"/>
    <mergeCell ref="X57:X58"/>
    <mergeCell ref="Y57:Y58"/>
    <mergeCell ref="L57:L58"/>
    <mergeCell ref="M57:M58"/>
    <mergeCell ref="N57:N58"/>
    <mergeCell ref="O57:O58"/>
    <mergeCell ref="P57:P58"/>
    <mergeCell ref="Q57:Q58"/>
    <mergeCell ref="F57:F58"/>
    <mergeCell ref="G57:G58"/>
    <mergeCell ref="H57:H58"/>
    <mergeCell ref="I57:I58"/>
    <mergeCell ref="J57:J58"/>
    <mergeCell ref="K57:K58"/>
    <mergeCell ref="W48:W49"/>
    <mergeCell ref="X48:X49"/>
    <mergeCell ref="Y48:Y49"/>
    <mergeCell ref="A57:A58"/>
    <mergeCell ref="B57:B58"/>
    <mergeCell ref="C57:C58"/>
    <mergeCell ref="D57:D58"/>
    <mergeCell ref="E57:E58"/>
    <mergeCell ref="M48:M49"/>
    <mergeCell ref="N48:N49"/>
    <mergeCell ref="O48:O49"/>
    <mergeCell ref="P48:P49"/>
    <mergeCell ref="Q48:Q49"/>
    <mergeCell ref="R48:R49"/>
    <mergeCell ref="G48:G49"/>
    <mergeCell ref="H48:H49"/>
    <mergeCell ref="I48:I49"/>
    <mergeCell ref="J48:J49"/>
    <mergeCell ref="K48:K49"/>
    <mergeCell ref="L48:L49"/>
    <mergeCell ref="A48:A49"/>
    <mergeCell ref="B48:B49"/>
    <mergeCell ref="C48:C49"/>
    <mergeCell ref="D48:D49"/>
    <mergeCell ref="E48:E49"/>
    <mergeCell ref="F48:F49"/>
    <mergeCell ref="R57:R58"/>
    <mergeCell ref="W46:W47"/>
    <mergeCell ref="X46:X47"/>
    <mergeCell ref="Y46:Y47"/>
    <mergeCell ref="L46:L47"/>
    <mergeCell ref="M46:M47"/>
    <mergeCell ref="N46:N47"/>
    <mergeCell ref="O46:O47"/>
    <mergeCell ref="P46:P47"/>
    <mergeCell ref="Q46:Q47"/>
    <mergeCell ref="F46:F47"/>
    <mergeCell ref="G46:G47"/>
    <mergeCell ref="H46:H47"/>
    <mergeCell ref="I46:I47"/>
    <mergeCell ref="J46:J47"/>
    <mergeCell ref="K46:K47"/>
    <mergeCell ref="W44:W45"/>
    <mergeCell ref="X44:X45"/>
    <mergeCell ref="Y44:Y45"/>
    <mergeCell ref="A46:A47"/>
    <mergeCell ref="B46:B47"/>
    <mergeCell ref="C46:C47"/>
    <mergeCell ref="D46:D47"/>
    <mergeCell ref="E46:E47"/>
    <mergeCell ref="M44:M45"/>
    <mergeCell ref="N44:N45"/>
    <mergeCell ref="O44:O45"/>
    <mergeCell ref="P44:P45"/>
    <mergeCell ref="Q44:Q45"/>
    <mergeCell ref="R44:R45"/>
    <mergeCell ref="G44:G45"/>
    <mergeCell ref="H44:H45"/>
    <mergeCell ref="I44:I45"/>
    <mergeCell ref="J44:J45"/>
    <mergeCell ref="K44:K45"/>
    <mergeCell ref="L44:L45"/>
    <mergeCell ref="A44:A45"/>
    <mergeCell ref="B44:B45"/>
    <mergeCell ref="C44:C45"/>
    <mergeCell ref="D44:D45"/>
    <mergeCell ref="E44:E45"/>
    <mergeCell ref="F44:F45"/>
    <mergeCell ref="R46:R47"/>
    <mergeCell ref="W42:W43"/>
    <mergeCell ref="X42:X43"/>
    <mergeCell ref="Y42:Y43"/>
    <mergeCell ref="L42:L43"/>
    <mergeCell ref="M42:M43"/>
    <mergeCell ref="N42:N43"/>
    <mergeCell ref="O42:O43"/>
    <mergeCell ref="P42:P43"/>
    <mergeCell ref="Q42:Q43"/>
    <mergeCell ref="F42:F43"/>
    <mergeCell ref="G42:G43"/>
    <mergeCell ref="H42:H43"/>
    <mergeCell ref="I42:I43"/>
    <mergeCell ref="J42:J43"/>
    <mergeCell ref="K42:K43"/>
    <mergeCell ref="W39:W40"/>
    <mergeCell ref="X39:X40"/>
    <mergeCell ref="Y39:Y40"/>
    <mergeCell ref="A42:A43"/>
    <mergeCell ref="B42:B43"/>
    <mergeCell ref="C42:C43"/>
    <mergeCell ref="D42:D43"/>
    <mergeCell ref="E42:E43"/>
    <mergeCell ref="M39:M40"/>
    <mergeCell ref="N39:N40"/>
    <mergeCell ref="O39:O40"/>
    <mergeCell ref="P39:P40"/>
    <mergeCell ref="Q39:Q40"/>
    <mergeCell ref="R39:R40"/>
    <mergeCell ref="G39:G40"/>
    <mergeCell ref="H39:H40"/>
    <mergeCell ref="I39:I40"/>
    <mergeCell ref="J39:J40"/>
    <mergeCell ref="K39:K40"/>
    <mergeCell ref="L39:L40"/>
    <mergeCell ref="A39:A40"/>
    <mergeCell ref="B39:B40"/>
    <mergeCell ref="C39:C40"/>
    <mergeCell ref="D39:D40"/>
    <mergeCell ref="E39:E40"/>
    <mergeCell ref="F39:F40"/>
    <mergeCell ref="R42:R43"/>
    <mergeCell ref="W32:W33"/>
    <mergeCell ref="X32:X33"/>
    <mergeCell ref="Y32:Y33"/>
    <mergeCell ref="L32:L33"/>
    <mergeCell ref="M32:M33"/>
    <mergeCell ref="N32:N33"/>
    <mergeCell ref="O32:O33"/>
    <mergeCell ref="P32:P33"/>
    <mergeCell ref="Q32:Q33"/>
    <mergeCell ref="F32:F33"/>
    <mergeCell ref="G32:G33"/>
    <mergeCell ref="H32:H33"/>
    <mergeCell ref="I32:I33"/>
    <mergeCell ref="J32:J33"/>
    <mergeCell ref="K32:K33"/>
    <mergeCell ref="W28:W29"/>
    <mergeCell ref="X28:X29"/>
    <mergeCell ref="Y28:Y29"/>
    <mergeCell ref="A32:A33"/>
    <mergeCell ref="B32:B33"/>
    <mergeCell ref="C32:C33"/>
    <mergeCell ref="D32:D33"/>
    <mergeCell ref="E32:E33"/>
    <mergeCell ref="M28:M29"/>
    <mergeCell ref="N28:N29"/>
    <mergeCell ref="O28:O29"/>
    <mergeCell ref="P28:P29"/>
    <mergeCell ref="Q28:Q29"/>
    <mergeCell ref="R28:R29"/>
    <mergeCell ref="G28:G29"/>
    <mergeCell ref="H28:H29"/>
    <mergeCell ref="I28:I29"/>
    <mergeCell ref="J28:J29"/>
    <mergeCell ref="K28:K29"/>
    <mergeCell ref="L28:L29"/>
    <mergeCell ref="A28:A29"/>
    <mergeCell ref="B28:B29"/>
    <mergeCell ref="C28:C29"/>
    <mergeCell ref="D28:D29"/>
    <mergeCell ref="E28:E29"/>
    <mergeCell ref="F28:F29"/>
    <mergeCell ref="R32:R33"/>
    <mergeCell ref="W26:W27"/>
    <mergeCell ref="X26:X27"/>
    <mergeCell ref="Y26:Y27"/>
    <mergeCell ref="L26:L27"/>
    <mergeCell ref="M26:M27"/>
    <mergeCell ref="N26:N27"/>
    <mergeCell ref="O26:O27"/>
    <mergeCell ref="P26:P27"/>
    <mergeCell ref="Q26:Q27"/>
    <mergeCell ref="F26:F27"/>
    <mergeCell ref="G26:G27"/>
    <mergeCell ref="H26:H27"/>
    <mergeCell ref="I26:I27"/>
    <mergeCell ref="J26:J27"/>
    <mergeCell ref="K26:K27"/>
    <mergeCell ref="W19:W20"/>
    <mergeCell ref="X19:X20"/>
    <mergeCell ref="Y19:Y20"/>
    <mergeCell ref="A26:A27"/>
    <mergeCell ref="B26:B27"/>
    <mergeCell ref="C26:C27"/>
    <mergeCell ref="D26:D27"/>
    <mergeCell ref="E26:E27"/>
    <mergeCell ref="M19:M20"/>
    <mergeCell ref="N19:N20"/>
    <mergeCell ref="O19:O20"/>
    <mergeCell ref="P19:P20"/>
    <mergeCell ref="Q19:Q20"/>
    <mergeCell ref="R19:R20"/>
    <mergeCell ref="G19:G20"/>
    <mergeCell ref="H19:H20"/>
    <mergeCell ref="I19:I20"/>
    <mergeCell ref="J19:J20"/>
    <mergeCell ref="K19:K20"/>
    <mergeCell ref="L19:L20"/>
    <mergeCell ref="A19:A20"/>
    <mergeCell ref="B19:B20"/>
    <mergeCell ref="C19:C20"/>
    <mergeCell ref="D19:D20"/>
    <mergeCell ref="E19:E20"/>
    <mergeCell ref="F19:F20"/>
    <mergeCell ref="R26:R27"/>
    <mergeCell ref="F6:F7"/>
    <mergeCell ref="R14:R15"/>
    <mergeCell ref="W14:W15"/>
    <mergeCell ref="X14:X15"/>
    <mergeCell ref="Y14:Y15"/>
    <mergeCell ref="L14:L15"/>
    <mergeCell ref="M14:M15"/>
    <mergeCell ref="N14:N15"/>
    <mergeCell ref="O14:O15"/>
    <mergeCell ref="P14:P15"/>
    <mergeCell ref="Q14:Q15"/>
    <mergeCell ref="F14:F15"/>
    <mergeCell ref="G14:G15"/>
    <mergeCell ref="H14:H15"/>
    <mergeCell ref="I14:I15"/>
    <mergeCell ref="J14:J15"/>
    <mergeCell ref="K14:K15"/>
    <mergeCell ref="W6:W7"/>
    <mergeCell ref="X6:X7"/>
    <mergeCell ref="Y6:Y7"/>
    <mergeCell ref="Q4:Q5"/>
    <mergeCell ref="F4:F5"/>
    <mergeCell ref="G4:G5"/>
    <mergeCell ref="H4:H5"/>
    <mergeCell ref="I4:I5"/>
    <mergeCell ref="J4:J5"/>
    <mergeCell ref="K4:K5"/>
    <mergeCell ref="W2:W3"/>
    <mergeCell ref="X2:X3"/>
    <mergeCell ref="Y2:Y3"/>
    <mergeCell ref="A14:A15"/>
    <mergeCell ref="B14:B15"/>
    <mergeCell ref="C14:C15"/>
    <mergeCell ref="D14:D15"/>
    <mergeCell ref="E14:E15"/>
    <mergeCell ref="M6:M7"/>
    <mergeCell ref="N6:N7"/>
    <mergeCell ref="O6:O7"/>
    <mergeCell ref="P6:P7"/>
    <mergeCell ref="Q6:Q7"/>
    <mergeCell ref="R6:R7"/>
    <mergeCell ref="G6:G7"/>
    <mergeCell ref="H6:H7"/>
    <mergeCell ref="I6:I7"/>
    <mergeCell ref="J6:J7"/>
    <mergeCell ref="K6:K7"/>
    <mergeCell ref="L6:L7"/>
    <mergeCell ref="A6:A7"/>
    <mergeCell ref="B6:B7"/>
    <mergeCell ref="C6:C7"/>
    <mergeCell ref="D6:D7"/>
    <mergeCell ref="E6:E7"/>
    <mergeCell ref="W4:W5"/>
    <mergeCell ref="X4:X5"/>
    <mergeCell ref="Y4:Y5"/>
    <mergeCell ref="A4:A5"/>
    <mergeCell ref="B4:B5"/>
    <mergeCell ref="C4:C5"/>
    <mergeCell ref="D4:D5"/>
    <mergeCell ref="E4:E5"/>
    <mergeCell ref="M2:M3"/>
    <mergeCell ref="N2:N3"/>
    <mergeCell ref="O2:O3"/>
    <mergeCell ref="P2:P3"/>
    <mergeCell ref="Q2:Q3"/>
    <mergeCell ref="R2:R3"/>
    <mergeCell ref="G2:G3"/>
    <mergeCell ref="H2:H3"/>
    <mergeCell ref="I2:I3"/>
    <mergeCell ref="J2:J3"/>
    <mergeCell ref="K2:K3"/>
    <mergeCell ref="L2:L3"/>
    <mergeCell ref="A2:A3"/>
    <mergeCell ref="B2:B3"/>
    <mergeCell ref="C2:C3"/>
    <mergeCell ref="D2:D3"/>
    <mergeCell ref="E2:E3"/>
    <mergeCell ref="F2:F3"/>
    <mergeCell ref="R4:R5"/>
    <mergeCell ref="L4:L5"/>
    <mergeCell ref="M4:M5"/>
    <mergeCell ref="N4:N5"/>
    <mergeCell ref="O4:O5"/>
    <mergeCell ref="P4:P5"/>
  </mergeCells>
  <pageMargins left="0.70866141732283472" right="0.70866141732283472" top="0.59055118110236227" bottom="0.59055118110236227" header="0.31496062992125984" footer="0.31496062992125984"/>
  <pageSetup paperSize="9" scale="38" fitToHeight="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Výkaz výměr</vt:lpstr>
    </vt:vector>
  </TitlesOfParts>
  <Company>Povodí Labe, státní podnik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Věra Šumová</dc:creator>
  <cp:lastModifiedBy>Ing. Věra Šumová</cp:lastModifiedBy>
  <cp:lastPrinted>2025-06-20T09:59:31Z</cp:lastPrinted>
  <dcterms:created xsi:type="dcterms:W3CDTF">2024-04-08T12:08:48Z</dcterms:created>
  <dcterms:modified xsi:type="dcterms:W3CDTF">2025-08-12T11:06:22Z</dcterms:modified>
</cp:coreProperties>
</file>