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▲ VEŘEJNÉ ZAKÁZKY 2025\29-2025 Oprava střešního pláště, seník Kolesa\Výzva\"/>
    </mc:Choice>
  </mc:AlternateContent>
  <xr:revisionPtr revIDLastSave="0" documentId="13_ncr:1_{C85E00DD-CCFE-435E-9C88-52343DD1CD9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tavební rozpočet" sheetId="1" r:id="rId1"/>
    <sheet name="Stavební rozpočet - součet" sheetId="2" r:id="rId2"/>
    <sheet name="Krycí list rozpočtu" sheetId="3" r:id="rId3"/>
    <sheet name="VORN" sheetId="4" r:id="rId4"/>
  </sheets>
  <definedNames>
    <definedName name="vorn_sum">VORN!$I$36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I35" i="4"/>
  <c r="I36" i="4" s="1"/>
  <c r="I24" i="3" s="1"/>
  <c r="I26" i="4"/>
  <c r="I25" i="4"/>
  <c r="I18" i="3" s="1"/>
  <c r="I24" i="4"/>
  <c r="I17" i="3" s="1"/>
  <c r="I23" i="4"/>
  <c r="I16" i="3" s="1"/>
  <c r="I22" i="4"/>
  <c r="I17" i="4"/>
  <c r="I16" i="4"/>
  <c r="F15" i="3" s="1"/>
  <c r="I15" i="4"/>
  <c r="I10" i="4"/>
  <c r="F10" i="4"/>
  <c r="C10" i="4"/>
  <c r="F8" i="4"/>
  <c r="C8" i="4"/>
  <c r="F6" i="4"/>
  <c r="C6" i="4"/>
  <c r="F4" i="4"/>
  <c r="C4" i="4"/>
  <c r="F2" i="4"/>
  <c r="C2" i="4"/>
  <c r="I19" i="3"/>
  <c r="F16" i="3"/>
  <c r="I15" i="3"/>
  <c r="I10" i="3"/>
  <c r="F10" i="3"/>
  <c r="C10" i="3"/>
  <c r="F8" i="3"/>
  <c r="C8" i="3"/>
  <c r="F6" i="3"/>
  <c r="C6" i="3"/>
  <c r="F4" i="3"/>
  <c r="C4" i="3"/>
  <c r="F2" i="3"/>
  <c r="C2" i="3"/>
  <c r="G8" i="2"/>
  <c r="C8" i="2"/>
  <c r="G6" i="2"/>
  <c r="G4" i="2"/>
  <c r="C4" i="2"/>
  <c r="G2" i="2"/>
  <c r="C2" i="2"/>
  <c r="BW63" i="1"/>
  <c r="BJ63" i="1"/>
  <c r="BD63" i="1"/>
  <c r="AP63" i="1"/>
  <c r="AX63" i="1" s="1"/>
  <c r="AO63" i="1"/>
  <c r="BH63" i="1" s="1"/>
  <c r="AK63" i="1"/>
  <c r="AJ63" i="1"/>
  <c r="AH63" i="1"/>
  <c r="AG63" i="1"/>
  <c r="AF63" i="1"/>
  <c r="AE63" i="1"/>
  <c r="AD63" i="1"/>
  <c r="AC63" i="1"/>
  <c r="AB63" i="1"/>
  <c r="Z63" i="1"/>
  <c r="N63" i="1"/>
  <c r="BF63" i="1" s="1"/>
  <c r="K63" i="1"/>
  <c r="L63" i="1" s="1"/>
  <c r="J63" i="1"/>
  <c r="I63" i="1"/>
  <c r="BW62" i="1"/>
  <c r="BJ62" i="1"/>
  <c r="BD62" i="1"/>
  <c r="AP62" i="1"/>
  <c r="BI62" i="1" s="1"/>
  <c r="AO62" i="1"/>
  <c r="BH62" i="1" s="1"/>
  <c r="AK62" i="1"/>
  <c r="AJ62" i="1"/>
  <c r="AH62" i="1"/>
  <c r="AG62" i="1"/>
  <c r="AF62" i="1"/>
  <c r="AE62" i="1"/>
  <c r="AD62" i="1"/>
  <c r="AC62" i="1"/>
  <c r="AB62" i="1"/>
  <c r="Z62" i="1"/>
  <c r="N62" i="1"/>
  <c r="BF62" i="1" s="1"/>
  <c r="K62" i="1"/>
  <c r="AL62" i="1" s="1"/>
  <c r="BW61" i="1"/>
  <c r="BJ61" i="1"/>
  <c r="Z61" i="1" s="1"/>
  <c r="BD61" i="1"/>
  <c r="AP61" i="1"/>
  <c r="BI61" i="1" s="1"/>
  <c r="AO61" i="1"/>
  <c r="AW61" i="1" s="1"/>
  <c r="AK61" i="1"/>
  <c r="AJ61" i="1"/>
  <c r="AH61" i="1"/>
  <c r="AG61" i="1"/>
  <c r="AF61" i="1"/>
  <c r="AE61" i="1"/>
  <c r="AD61" i="1"/>
  <c r="AC61" i="1"/>
  <c r="AB61" i="1"/>
  <c r="N61" i="1"/>
  <c r="BF61" i="1" s="1"/>
  <c r="K61" i="1"/>
  <c r="I61" i="1"/>
  <c r="BW59" i="1"/>
  <c r="BJ59" i="1"/>
  <c r="BD59" i="1"/>
  <c r="AP59" i="1"/>
  <c r="BI59" i="1" s="1"/>
  <c r="AO59" i="1"/>
  <c r="BH59" i="1" s="1"/>
  <c r="AK59" i="1"/>
  <c r="AJ59" i="1"/>
  <c r="AH59" i="1"/>
  <c r="AG59" i="1"/>
  <c r="AF59" i="1"/>
  <c r="AE59" i="1"/>
  <c r="AD59" i="1"/>
  <c r="AC59" i="1"/>
  <c r="AB59" i="1"/>
  <c r="Z59" i="1"/>
  <c r="N59" i="1"/>
  <c r="BF59" i="1" s="1"/>
  <c r="K59" i="1"/>
  <c r="AL59" i="1" s="1"/>
  <c r="BW58" i="1"/>
  <c r="BJ58" i="1"/>
  <c r="Z58" i="1" s="1"/>
  <c r="BD58" i="1"/>
  <c r="AP58" i="1"/>
  <c r="BI58" i="1" s="1"/>
  <c r="AO58" i="1"/>
  <c r="AW58" i="1" s="1"/>
  <c r="AK58" i="1"/>
  <c r="AJ58" i="1"/>
  <c r="AH58" i="1"/>
  <c r="AG58" i="1"/>
  <c r="AF58" i="1"/>
  <c r="AE58" i="1"/>
  <c r="AD58" i="1"/>
  <c r="AC58" i="1"/>
  <c r="AB58" i="1"/>
  <c r="N58" i="1"/>
  <c r="BF58" i="1" s="1"/>
  <c r="K58" i="1"/>
  <c r="BW55" i="1"/>
  <c r="BJ55" i="1"/>
  <c r="Z55" i="1" s="1"/>
  <c r="BD55" i="1"/>
  <c r="AP55" i="1"/>
  <c r="BI55" i="1" s="1"/>
  <c r="AO55" i="1"/>
  <c r="BH55" i="1" s="1"/>
  <c r="AK55" i="1"/>
  <c r="AJ55" i="1"/>
  <c r="AH55" i="1"/>
  <c r="AG55" i="1"/>
  <c r="AF55" i="1"/>
  <c r="AE55" i="1"/>
  <c r="AD55" i="1"/>
  <c r="AC55" i="1"/>
  <c r="AB55" i="1"/>
  <c r="N55" i="1"/>
  <c r="BF55" i="1" s="1"/>
  <c r="K55" i="1"/>
  <c r="AL55" i="1" s="1"/>
  <c r="BW52" i="1"/>
  <c r="BJ52" i="1"/>
  <c r="BD52" i="1"/>
  <c r="AP52" i="1"/>
  <c r="BI52" i="1" s="1"/>
  <c r="AG52" i="1" s="1"/>
  <c r="AO52" i="1"/>
  <c r="AW52" i="1" s="1"/>
  <c r="AK52" i="1"/>
  <c r="AJ52" i="1"/>
  <c r="AH52" i="1"/>
  <c r="AE52" i="1"/>
  <c r="AD52" i="1"/>
  <c r="AC52" i="1"/>
  <c r="AB52" i="1"/>
  <c r="Z52" i="1"/>
  <c r="N52" i="1"/>
  <c r="BF52" i="1" s="1"/>
  <c r="K52" i="1"/>
  <c r="L52" i="1" s="1"/>
  <c r="J52" i="1"/>
  <c r="BW51" i="1"/>
  <c r="BJ51" i="1"/>
  <c r="BD51" i="1"/>
  <c r="AP51" i="1"/>
  <c r="BI51" i="1" s="1"/>
  <c r="AG51" i="1" s="1"/>
  <c r="AO51" i="1"/>
  <c r="BH51" i="1" s="1"/>
  <c r="AF51" i="1" s="1"/>
  <c r="AK51" i="1"/>
  <c r="AT50" i="1" s="1"/>
  <c r="AJ51" i="1"/>
  <c r="AH51" i="1"/>
  <c r="AE51" i="1"/>
  <c r="AD51" i="1"/>
  <c r="AC51" i="1"/>
  <c r="AB51" i="1"/>
  <c r="Z51" i="1"/>
  <c r="N51" i="1"/>
  <c r="BF51" i="1" s="1"/>
  <c r="K51" i="1"/>
  <c r="AL51" i="1" s="1"/>
  <c r="BW49" i="1"/>
  <c r="BJ49" i="1"/>
  <c r="BD49" i="1"/>
  <c r="AP49" i="1"/>
  <c r="BI49" i="1" s="1"/>
  <c r="AG49" i="1" s="1"/>
  <c r="AO49" i="1"/>
  <c r="AW49" i="1" s="1"/>
  <c r="AK49" i="1"/>
  <c r="AJ49" i="1"/>
  <c r="AS48" i="1" s="1"/>
  <c r="AH49" i="1"/>
  <c r="AE49" i="1"/>
  <c r="AD49" i="1"/>
  <c r="AC49" i="1"/>
  <c r="AB49" i="1"/>
  <c r="Z49" i="1"/>
  <c r="N49" i="1"/>
  <c r="BF49" i="1" s="1"/>
  <c r="K49" i="1"/>
  <c r="K48" i="1" s="1"/>
  <c r="F15" i="2" s="1"/>
  <c r="I15" i="2" s="1"/>
  <c r="J49" i="1"/>
  <c r="J48" i="1" s="1"/>
  <c r="E15" i="2" s="1"/>
  <c r="AT48" i="1"/>
  <c r="BW47" i="1"/>
  <c r="BJ47" i="1"/>
  <c r="BD47" i="1"/>
  <c r="AP47" i="1"/>
  <c r="BI47" i="1" s="1"/>
  <c r="AC47" i="1" s="1"/>
  <c r="AO47" i="1"/>
  <c r="BH47" i="1" s="1"/>
  <c r="AB47" i="1" s="1"/>
  <c r="AK47" i="1"/>
  <c r="AT46" i="1" s="1"/>
  <c r="AJ47" i="1"/>
  <c r="AH47" i="1"/>
  <c r="AG47" i="1"/>
  <c r="AF47" i="1"/>
  <c r="AE47" i="1"/>
  <c r="AD47" i="1"/>
  <c r="Z47" i="1"/>
  <c r="N47" i="1"/>
  <c r="BF47" i="1" s="1"/>
  <c r="K47" i="1"/>
  <c r="AL47" i="1" s="1"/>
  <c r="AU46" i="1" s="1"/>
  <c r="J47" i="1"/>
  <c r="J46" i="1" s="1"/>
  <c r="E14" i="2" s="1"/>
  <c r="I47" i="1"/>
  <c r="I46" i="1" s="1"/>
  <c r="D14" i="2" s="1"/>
  <c r="AS46" i="1"/>
  <c r="BW45" i="1"/>
  <c r="BJ45" i="1"/>
  <c r="BD45" i="1"/>
  <c r="AP45" i="1"/>
  <c r="BI45" i="1" s="1"/>
  <c r="AE45" i="1" s="1"/>
  <c r="AO45" i="1"/>
  <c r="AW45" i="1" s="1"/>
  <c r="AK45" i="1"/>
  <c r="AJ45" i="1"/>
  <c r="AH45" i="1"/>
  <c r="AG45" i="1"/>
  <c r="AF45" i="1"/>
  <c r="AC45" i="1"/>
  <c r="AB45" i="1"/>
  <c r="Z45" i="1"/>
  <c r="N45" i="1"/>
  <c r="BF45" i="1" s="1"/>
  <c r="K45" i="1"/>
  <c r="J45" i="1"/>
  <c r="BW40" i="1"/>
  <c r="BJ40" i="1"/>
  <c r="BD40" i="1"/>
  <c r="AP40" i="1"/>
  <c r="BI40" i="1" s="1"/>
  <c r="AE40" i="1" s="1"/>
  <c r="AO40" i="1"/>
  <c r="BH40" i="1" s="1"/>
  <c r="AD40" i="1" s="1"/>
  <c r="AK40" i="1"/>
  <c r="AJ40" i="1"/>
  <c r="AH40" i="1"/>
  <c r="AG40" i="1"/>
  <c r="AF40" i="1"/>
  <c r="AC40" i="1"/>
  <c r="AB40" i="1"/>
  <c r="Z40" i="1"/>
  <c r="N40" i="1"/>
  <c r="BF40" i="1" s="1"/>
  <c r="K40" i="1"/>
  <c r="AL40" i="1" s="1"/>
  <c r="I40" i="1"/>
  <c r="BW38" i="1"/>
  <c r="BJ38" i="1"/>
  <c r="Z38" i="1" s="1"/>
  <c r="BD38" i="1"/>
  <c r="AP38" i="1"/>
  <c r="BI38" i="1" s="1"/>
  <c r="AO38" i="1"/>
  <c r="AW38" i="1" s="1"/>
  <c r="AK38" i="1"/>
  <c r="AJ38" i="1"/>
  <c r="AH38" i="1"/>
  <c r="AG38" i="1"/>
  <c r="AF38" i="1"/>
  <c r="AE38" i="1"/>
  <c r="AD38" i="1"/>
  <c r="AC38" i="1"/>
  <c r="AB38" i="1"/>
  <c r="N38" i="1"/>
  <c r="BF38" i="1" s="1"/>
  <c r="K38" i="1"/>
  <c r="BW36" i="1"/>
  <c r="BJ36" i="1"/>
  <c r="BD36" i="1"/>
  <c r="AP36" i="1"/>
  <c r="BI36" i="1" s="1"/>
  <c r="AE36" i="1" s="1"/>
  <c r="AO36" i="1"/>
  <c r="BH36" i="1" s="1"/>
  <c r="AD36" i="1" s="1"/>
  <c r="AK36" i="1"/>
  <c r="AJ36" i="1"/>
  <c r="AH36" i="1"/>
  <c r="AG36" i="1"/>
  <c r="AF36" i="1"/>
  <c r="AC36" i="1"/>
  <c r="AB36" i="1"/>
  <c r="Z36" i="1"/>
  <c r="N36" i="1"/>
  <c r="BF36" i="1" s="1"/>
  <c r="K36" i="1"/>
  <c r="AL36" i="1" s="1"/>
  <c r="BW34" i="1"/>
  <c r="BJ34" i="1"/>
  <c r="BD34" i="1"/>
  <c r="AP34" i="1"/>
  <c r="BI34" i="1" s="1"/>
  <c r="AE34" i="1" s="1"/>
  <c r="AO34" i="1"/>
  <c r="AW34" i="1" s="1"/>
  <c r="AK34" i="1"/>
  <c r="AJ34" i="1"/>
  <c r="AH34" i="1"/>
  <c r="AG34" i="1"/>
  <c r="AF34" i="1"/>
  <c r="AC34" i="1"/>
  <c r="AB34" i="1"/>
  <c r="Z34" i="1"/>
  <c r="N34" i="1"/>
  <c r="BF34" i="1" s="1"/>
  <c r="K34" i="1"/>
  <c r="J34" i="1"/>
  <c r="BW33" i="1"/>
  <c r="BJ33" i="1"/>
  <c r="Z33" i="1" s="1"/>
  <c r="BD33" i="1"/>
  <c r="AP33" i="1"/>
  <c r="BI33" i="1" s="1"/>
  <c r="AO33" i="1"/>
  <c r="BH33" i="1" s="1"/>
  <c r="AK33" i="1"/>
  <c r="AJ33" i="1"/>
  <c r="AH33" i="1"/>
  <c r="AG33" i="1"/>
  <c r="AF33" i="1"/>
  <c r="AE33" i="1"/>
  <c r="AD33" i="1"/>
  <c r="AC33" i="1"/>
  <c r="AB33" i="1"/>
  <c r="N33" i="1"/>
  <c r="BF33" i="1" s="1"/>
  <c r="K33" i="1"/>
  <c r="AL33" i="1" s="1"/>
  <c r="BW31" i="1"/>
  <c r="BJ31" i="1"/>
  <c r="BD31" i="1"/>
  <c r="AP31" i="1"/>
  <c r="BI31" i="1" s="1"/>
  <c r="AE31" i="1" s="1"/>
  <c r="AO31" i="1"/>
  <c r="AW31" i="1" s="1"/>
  <c r="AK31" i="1"/>
  <c r="AJ31" i="1"/>
  <c r="AH31" i="1"/>
  <c r="AG31" i="1"/>
  <c r="AF31" i="1"/>
  <c r="AC31" i="1"/>
  <c r="AB31" i="1"/>
  <c r="Z31" i="1"/>
  <c r="N31" i="1"/>
  <c r="BF31" i="1" s="1"/>
  <c r="K31" i="1"/>
  <c r="BW28" i="1"/>
  <c r="BJ28" i="1"/>
  <c r="BD28" i="1"/>
  <c r="AP28" i="1"/>
  <c r="BI28" i="1" s="1"/>
  <c r="AE28" i="1" s="1"/>
  <c r="AO28" i="1"/>
  <c r="BH28" i="1" s="1"/>
  <c r="AD28" i="1" s="1"/>
  <c r="AK28" i="1"/>
  <c r="AJ28" i="1"/>
  <c r="AH28" i="1"/>
  <c r="AG28" i="1"/>
  <c r="AF28" i="1"/>
  <c r="AC28" i="1"/>
  <c r="AB28" i="1"/>
  <c r="Z28" i="1"/>
  <c r="N28" i="1"/>
  <c r="BF28" i="1" s="1"/>
  <c r="K28" i="1"/>
  <c r="AL28" i="1" s="1"/>
  <c r="I28" i="1"/>
  <c r="BW26" i="1"/>
  <c r="BJ26" i="1"/>
  <c r="BD26" i="1"/>
  <c r="AP26" i="1"/>
  <c r="BI26" i="1" s="1"/>
  <c r="AE26" i="1" s="1"/>
  <c r="AO26" i="1"/>
  <c r="AW26" i="1" s="1"/>
  <c r="AK26" i="1"/>
  <c r="AJ26" i="1"/>
  <c r="AH26" i="1"/>
  <c r="AG26" i="1"/>
  <c r="AF26" i="1"/>
  <c r="AC26" i="1"/>
  <c r="AB26" i="1"/>
  <c r="Z26" i="1"/>
  <c r="N26" i="1"/>
  <c r="BF26" i="1" s="1"/>
  <c r="K26" i="1"/>
  <c r="BW25" i="1"/>
  <c r="BJ25" i="1"/>
  <c r="BD25" i="1"/>
  <c r="AP25" i="1"/>
  <c r="BI25" i="1" s="1"/>
  <c r="AE25" i="1" s="1"/>
  <c r="AO25" i="1"/>
  <c r="BH25" i="1" s="1"/>
  <c r="AD25" i="1" s="1"/>
  <c r="AK25" i="1"/>
  <c r="AJ25" i="1"/>
  <c r="AH25" i="1"/>
  <c r="AG25" i="1"/>
  <c r="AF25" i="1"/>
  <c r="AC25" i="1"/>
  <c r="AB25" i="1"/>
  <c r="Z25" i="1"/>
  <c r="N25" i="1"/>
  <c r="BF25" i="1" s="1"/>
  <c r="K25" i="1"/>
  <c r="AL25" i="1" s="1"/>
  <c r="BW22" i="1"/>
  <c r="BJ22" i="1"/>
  <c r="BD22" i="1"/>
  <c r="AP22" i="1"/>
  <c r="BI22" i="1" s="1"/>
  <c r="AE22" i="1" s="1"/>
  <c r="AO22" i="1"/>
  <c r="AW22" i="1" s="1"/>
  <c r="AK22" i="1"/>
  <c r="AJ22" i="1"/>
  <c r="AH22" i="1"/>
  <c r="AG22" i="1"/>
  <c r="AF22" i="1"/>
  <c r="AC22" i="1"/>
  <c r="AB22" i="1"/>
  <c r="Z22" i="1"/>
  <c r="N22" i="1"/>
  <c r="BF22" i="1" s="1"/>
  <c r="K22" i="1"/>
  <c r="BW20" i="1"/>
  <c r="BJ20" i="1"/>
  <c r="BD20" i="1"/>
  <c r="AP20" i="1"/>
  <c r="BI20" i="1" s="1"/>
  <c r="AE20" i="1" s="1"/>
  <c r="AO20" i="1"/>
  <c r="BH20" i="1" s="1"/>
  <c r="AD20" i="1" s="1"/>
  <c r="AK20" i="1"/>
  <c r="AJ20" i="1"/>
  <c r="AH20" i="1"/>
  <c r="AG20" i="1"/>
  <c r="AF20" i="1"/>
  <c r="AC20" i="1"/>
  <c r="AB20" i="1"/>
  <c r="Z20" i="1"/>
  <c r="N20" i="1"/>
  <c r="BF20" i="1" s="1"/>
  <c r="K20" i="1"/>
  <c r="AL20" i="1" s="1"/>
  <c r="BW19" i="1"/>
  <c r="BJ19" i="1"/>
  <c r="BD19" i="1"/>
  <c r="AP19" i="1"/>
  <c r="BI19" i="1" s="1"/>
  <c r="AE19" i="1" s="1"/>
  <c r="AO19" i="1"/>
  <c r="AW19" i="1" s="1"/>
  <c r="AK19" i="1"/>
  <c r="AJ19" i="1"/>
  <c r="AH19" i="1"/>
  <c r="AG19" i="1"/>
  <c r="AF19" i="1"/>
  <c r="AC19" i="1"/>
  <c r="AB19" i="1"/>
  <c r="Z19" i="1"/>
  <c r="N19" i="1"/>
  <c r="BF19" i="1" s="1"/>
  <c r="K19" i="1"/>
  <c r="BW17" i="1"/>
  <c r="BJ17" i="1"/>
  <c r="BD17" i="1"/>
  <c r="AP17" i="1"/>
  <c r="BI17" i="1" s="1"/>
  <c r="AE17" i="1" s="1"/>
  <c r="AO17" i="1"/>
  <c r="BH17" i="1" s="1"/>
  <c r="AD17" i="1" s="1"/>
  <c r="AK17" i="1"/>
  <c r="AJ17" i="1"/>
  <c r="AH17" i="1"/>
  <c r="AG17" i="1"/>
  <c r="AF17" i="1"/>
  <c r="AC17" i="1"/>
  <c r="AB17" i="1"/>
  <c r="Z17" i="1"/>
  <c r="N17" i="1"/>
  <c r="BF17" i="1" s="1"/>
  <c r="K17" i="1"/>
  <c r="AL17" i="1" s="1"/>
  <c r="BW15" i="1"/>
  <c r="BJ15" i="1"/>
  <c r="BD15" i="1"/>
  <c r="AP15" i="1"/>
  <c r="BI15" i="1" s="1"/>
  <c r="AE15" i="1" s="1"/>
  <c r="AO15" i="1"/>
  <c r="AW15" i="1" s="1"/>
  <c r="AK15" i="1"/>
  <c r="AJ15" i="1"/>
  <c r="AH15" i="1"/>
  <c r="AG15" i="1"/>
  <c r="AF15" i="1"/>
  <c r="AC15" i="1"/>
  <c r="AB15" i="1"/>
  <c r="Z15" i="1"/>
  <c r="N15" i="1"/>
  <c r="BF15" i="1" s="1"/>
  <c r="K15" i="1"/>
  <c r="BW13" i="1"/>
  <c r="BJ13" i="1"/>
  <c r="BD13" i="1"/>
  <c r="AP13" i="1"/>
  <c r="J13" i="1" s="1"/>
  <c r="AO13" i="1"/>
  <c r="BH13" i="1" s="1"/>
  <c r="AD13" i="1" s="1"/>
  <c r="AK13" i="1"/>
  <c r="AJ13" i="1"/>
  <c r="AH13" i="1"/>
  <c r="AG13" i="1"/>
  <c r="AF13" i="1"/>
  <c r="AC13" i="1"/>
  <c r="AB13" i="1"/>
  <c r="Z13" i="1"/>
  <c r="N13" i="1"/>
  <c r="BF13" i="1" s="1"/>
  <c r="K13" i="1"/>
  <c r="AL13" i="1" s="1"/>
  <c r="AU1" i="1"/>
  <c r="AT1" i="1"/>
  <c r="AS1" i="1"/>
  <c r="I34" i="1" l="1"/>
  <c r="I62" i="1"/>
  <c r="J40" i="1"/>
  <c r="I45" i="1"/>
  <c r="I39" i="1" s="1"/>
  <c r="D13" i="2" s="1"/>
  <c r="N48" i="1"/>
  <c r="G15" i="2" s="1"/>
  <c r="AT35" i="1"/>
  <c r="I49" i="1"/>
  <c r="I48" i="1" s="1"/>
  <c r="D15" i="2" s="1"/>
  <c r="I51" i="1"/>
  <c r="I19" i="1"/>
  <c r="J19" i="1"/>
  <c r="J20" i="1"/>
  <c r="I22" i="1"/>
  <c r="J26" i="1"/>
  <c r="J51" i="1"/>
  <c r="J50" i="1" s="1"/>
  <c r="E16" i="2" s="1"/>
  <c r="I52" i="1"/>
  <c r="I50" i="1" s="1"/>
  <c r="D16" i="2" s="1"/>
  <c r="L19" i="1"/>
  <c r="J22" i="1"/>
  <c r="J28" i="1"/>
  <c r="I31" i="1"/>
  <c r="I55" i="1"/>
  <c r="J31" i="1"/>
  <c r="I33" i="1"/>
  <c r="L58" i="1"/>
  <c r="L45" i="1"/>
  <c r="K46" i="1"/>
  <c r="F14" i="2" s="1"/>
  <c r="I14" i="2" s="1"/>
  <c r="I18" i="4"/>
  <c r="AT54" i="1"/>
  <c r="AS50" i="1"/>
  <c r="AX52" i="1"/>
  <c r="AV52" i="1" s="1"/>
  <c r="J39" i="1"/>
  <c r="E13" i="2" s="1"/>
  <c r="J55" i="1"/>
  <c r="AT39" i="1"/>
  <c r="AS35" i="1"/>
  <c r="I36" i="1"/>
  <c r="I38" i="1"/>
  <c r="C19" i="3"/>
  <c r="AX19" i="1"/>
  <c r="BC19" i="1" s="1"/>
  <c r="C14" i="3"/>
  <c r="AX15" i="1"/>
  <c r="AX22" i="1"/>
  <c r="BC22" i="1" s="1"/>
  <c r="L31" i="1"/>
  <c r="AX38" i="1"/>
  <c r="BC38" i="1" s="1"/>
  <c r="C28" i="3"/>
  <c r="F28" i="3" s="1"/>
  <c r="L38" i="1"/>
  <c r="AS39" i="1"/>
  <c r="AX45" i="1"/>
  <c r="AV45" i="1" s="1"/>
  <c r="J58" i="1"/>
  <c r="J59" i="1"/>
  <c r="L61" i="1"/>
  <c r="F14" i="3"/>
  <c r="F22" i="3" s="1"/>
  <c r="AW63" i="1"/>
  <c r="BC63" i="1" s="1"/>
  <c r="C21" i="3"/>
  <c r="I13" i="1"/>
  <c r="C20" i="3"/>
  <c r="L15" i="1"/>
  <c r="I17" i="1"/>
  <c r="L22" i="1"/>
  <c r="I25" i="1"/>
  <c r="AX31" i="1"/>
  <c r="BC31" i="1" s="1"/>
  <c r="L34" i="1"/>
  <c r="AX34" i="1"/>
  <c r="AV34" i="1" s="1"/>
  <c r="J36" i="1"/>
  <c r="AX61" i="1"/>
  <c r="C15" i="3"/>
  <c r="AS12" i="1"/>
  <c r="AT12" i="1"/>
  <c r="L26" i="1"/>
  <c r="AX26" i="1"/>
  <c r="BC26" i="1" s="1"/>
  <c r="J33" i="1"/>
  <c r="J38" i="1"/>
  <c r="N46" i="1"/>
  <c r="G14" i="2" s="1"/>
  <c r="L49" i="1"/>
  <c r="L48" i="1" s="1"/>
  <c r="AX49" i="1"/>
  <c r="AV49" i="1" s="1"/>
  <c r="K54" i="1"/>
  <c r="F17" i="2" s="1"/>
  <c r="I17" i="2" s="1"/>
  <c r="I58" i="1"/>
  <c r="AS54" i="1"/>
  <c r="AX58" i="1"/>
  <c r="BC58" i="1" s="1"/>
  <c r="I59" i="1"/>
  <c r="J61" i="1"/>
  <c r="J62" i="1"/>
  <c r="BC61" i="1"/>
  <c r="AV61" i="1"/>
  <c r="AV19" i="1"/>
  <c r="BC15" i="1"/>
  <c r="AV15" i="1"/>
  <c r="AV63" i="1"/>
  <c r="C27" i="3"/>
  <c r="BI13" i="1"/>
  <c r="AE13" i="1" s="1"/>
  <c r="C17" i="3" s="1"/>
  <c r="BI63" i="1"/>
  <c r="N12" i="1"/>
  <c r="G11" i="2" s="1"/>
  <c r="AX13" i="1"/>
  <c r="I15" i="1"/>
  <c r="BH19" i="1"/>
  <c r="AD19" i="1" s="1"/>
  <c r="AX25" i="1"/>
  <c r="I26" i="1"/>
  <c r="BH26" i="1"/>
  <c r="AD26" i="1" s="1"/>
  <c r="AX28" i="1"/>
  <c r="BH31" i="1"/>
  <c r="AD31" i="1" s="1"/>
  <c r="AX33" i="1"/>
  <c r="BH34" i="1"/>
  <c r="AD34" i="1" s="1"/>
  <c r="N35" i="1"/>
  <c r="G12" i="2" s="1"/>
  <c r="AX36" i="1"/>
  <c r="BH38" i="1"/>
  <c r="N39" i="1"/>
  <c r="G13" i="2" s="1"/>
  <c r="AX40" i="1"/>
  <c r="BH45" i="1"/>
  <c r="AD45" i="1" s="1"/>
  <c r="AX47" i="1"/>
  <c r="BH49" i="1"/>
  <c r="AF49" i="1" s="1"/>
  <c r="C18" i="3" s="1"/>
  <c r="N50" i="1"/>
  <c r="G16" i="2" s="1"/>
  <c r="AX51" i="1"/>
  <c r="BH52" i="1"/>
  <c r="AF52" i="1" s="1"/>
  <c r="N54" i="1"/>
  <c r="G17" i="2" s="1"/>
  <c r="AX55" i="1"/>
  <c r="BH58" i="1"/>
  <c r="AX59" i="1"/>
  <c r="BH61" i="1"/>
  <c r="AX62" i="1"/>
  <c r="J15" i="1"/>
  <c r="BH15" i="1"/>
  <c r="AD15" i="1" s="1"/>
  <c r="AX17" i="1"/>
  <c r="AX20" i="1"/>
  <c r="BH22" i="1"/>
  <c r="AD22" i="1" s="1"/>
  <c r="L13" i="1"/>
  <c r="AW13" i="1"/>
  <c r="AL15" i="1"/>
  <c r="L17" i="1"/>
  <c r="AW17" i="1"/>
  <c r="AL19" i="1"/>
  <c r="L20" i="1"/>
  <c r="AW20" i="1"/>
  <c r="AL22" i="1"/>
  <c r="L25" i="1"/>
  <c r="AW25" i="1"/>
  <c r="AL26" i="1"/>
  <c r="L28" i="1"/>
  <c r="AW28" i="1"/>
  <c r="AL31" i="1"/>
  <c r="L33" i="1"/>
  <c r="AW33" i="1"/>
  <c r="AL34" i="1"/>
  <c r="L36" i="1"/>
  <c r="AW36" i="1"/>
  <c r="AL38" i="1"/>
  <c r="AU35" i="1" s="1"/>
  <c r="L40" i="1"/>
  <c r="L39" i="1" s="1"/>
  <c r="AW40" i="1"/>
  <c r="AL45" i="1"/>
  <c r="AU39" i="1" s="1"/>
  <c r="L47" i="1"/>
  <c r="L46" i="1" s="1"/>
  <c r="AW47" i="1"/>
  <c r="AL49" i="1"/>
  <c r="AU48" i="1" s="1"/>
  <c r="L51" i="1"/>
  <c r="L50" i="1" s="1"/>
  <c r="AW51" i="1"/>
  <c r="AL52" i="1"/>
  <c r="AU50" i="1" s="1"/>
  <c r="L55" i="1"/>
  <c r="AW55" i="1"/>
  <c r="AL58" i="1"/>
  <c r="L59" i="1"/>
  <c r="AW59" i="1"/>
  <c r="AL61" i="1"/>
  <c r="L62" i="1"/>
  <c r="AW62" i="1"/>
  <c r="AL63" i="1"/>
  <c r="K35" i="1"/>
  <c r="F12" i="2" s="1"/>
  <c r="I12" i="2" s="1"/>
  <c r="K39" i="1"/>
  <c r="F13" i="2" s="1"/>
  <c r="I13" i="2" s="1"/>
  <c r="K50" i="1"/>
  <c r="F16" i="2" s="1"/>
  <c r="I16" i="2" s="1"/>
  <c r="J17" i="1"/>
  <c r="J25" i="1"/>
  <c r="I20" i="1"/>
  <c r="K12" i="1"/>
  <c r="AV31" i="1" l="1"/>
  <c r="BC52" i="1"/>
  <c r="L35" i="1"/>
  <c r="BC49" i="1"/>
  <c r="BC45" i="1"/>
  <c r="BC34" i="1"/>
  <c r="I54" i="1"/>
  <c r="D17" i="2" s="1"/>
  <c r="I35" i="1"/>
  <c r="D12" i="2" s="1"/>
  <c r="AV38" i="1"/>
  <c r="AV26" i="1"/>
  <c r="C16" i="3"/>
  <c r="C22" i="3" s="1"/>
  <c r="H21" i="4" s="1"/>
  <c r="I21" i="4" s="1"/>
  <c r="J12" i="1"/>
  <c r="E11" i="2" s="1"/>
  <c r="AV22" i="1"/>
  <c r="L54" i="1"/>
  <c r="AU12" i="1"/>
  <c r="AV58" i="1"/>
  <c r="I12" i="1"/>
  <c r="D11" i="2" s="1"/>
  <c r="J54" i="1"/>
  <c r="E17" i="2" s="1"/>
  <c r="AU54" i="1"/>
  <c r="J35" i="1"/>
  <c r="E12" i="2" s="1"/>
  <c r="AV47" i="1"/>
  <c r="BC47" i="1"/>
  <c r="BC13" i="1"/>
  <c r="AV13" i="1"/>
  <c r="AV20" i="1"/>
  <c r="BC20" i="1"/>
  <c r="AV55" i="1"/>
  <c r="BC55" i="1"/>
  <c r="AV33" i="1"/>
  <c r="BC33" i="1"/>
  <c r="AV25" i="1"/>
  <c r="BC25" i="1"/>
  <c r="AV36" i="1"/>
  <c r="BC36" i="1"/>
  <c r="AV40" i="1"/>
  <c r="BC40" i="1"/>
  <c r="AV59" i="1"/>
  <c r="BC59" i="1"/>
  <c r="AV51" i="1"/>
  <c r="BC51" i="1"/>
  <c r="AV17" i="1"/>
  <c r="BC17" i="1"/>
  <c r="K64" i="1"/>
  <c r="F11" i="2"/>
  <c r="I11" i="2" s="1"/>
  <c r="F18" i="2" s="1"/>
  <c r="AV62" i="1"/>
  <c r="BC62" i="1"/>
  <c r="AV28" i="1"/>
  <c r="BC28" i="1"/>
  <c r="L12" i="1"/>
  <c r="L64" i="1" l="1"/>
  <c r="I27" i="4"/>
  <c r="F29" i="4" s="1"/>
  <c r="I14" i="3"/>
  <c r="I22" i="3" s="1"/>
  <c r="C29" i="3" s="1"/>
  <c r="F29" i="3" l="1"/>
  <c r="I28" i="3"/>
  <c r="I29" i="3" l="1"/>
</calcChain>
</file>

<file path=xl/sharedStrings.xml><?xml version="1.0" encoding="utf-8"?>
<sst xmlns="http://schemas.openxmlformats.org/spreadsheetml/2006/main" count="696" uniqueCount="252">
  <si>
    <t>Název stavby:</t>
  </si>
  <si>
    <t>Oprava střeš. pláště Kladruby</t>
  </si>
  <si>
    <t>Doba výstavby:</t>
  </si>
  <si>
    <t xml:space="preserve"> </t>
  </si>
  <si>
    <t>Objednatel:</t>
  </si>
  <si>
    <t> </t>
  </si>
  <si>
    <t>Druh stavby:</t>
  </si>
  <si>
    <t>Rekonstrukce</t>
  </si>
  <si>
    <t>Začátek výstavby:</t>
  </si>
  <si>
    <t>Projektant:</t>
  </si>
  <si>
    <t>Lokalita:</t>
  </si>
  <si>
    <t>Konec výstavby:</t>
  </si>
  <si>
    <t>Zhotovitel:</t>
  </si>
  <si>
    <t>JKSO:</t>
  </si>
  <si>
    <t>Zpracováno dne:</t>
  </si>
  <si>
    <t>Zpracoval:</t>
  </si>
  <si>
    <t>Č</t>
  </si>
  <si>
    <t>Kód</t>
  </si>
  <si>
    <t>Zkrácený popis</t>
  </si>
  <si>
    <t>MJ</t>
  </si>
  <si>
    <t>Množství</t>
  </si>
  <si>
    <t>Cena/MJ</t>
  </si>
  <si>
    <t>Sazba DPH</t>
  </si>
  <si>
    <t>Náklady (Kč)</t>
  </si>
  <si>
    <t>Hmotnost (t)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</si>
  <si>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</si>
  <si>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</si>
  <si>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</si>
  <si>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</si>
  <si>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</si>
  <si>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</si>
  <si>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</si>
  <si>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</si>
  <si>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</si>
  <si>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Celkem vč. DPH</t>
  </si>
  <si>
    <t>Jednot.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</si>
  <si>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</si>
  <si>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</si>
  <si>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</si>
  <si>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</si>
  <si>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</si>
  <si>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</si>
  <si>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</si>
  <si>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</si>
  <si>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</si>
  <si>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</si>
  <si>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</si>
  <si>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</si>
  <si>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</si>
  <si>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</si>
  <si>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712</t>
  </si>
  <si>
    <t>Izolace střech (živičné krytiny)</t>
  </si>
  <si>
    <t>1</t>
  </si>
  <si>
    <t>712300951RT2</t>
  </si>
  <si>
    <t>Oprava boulí na povlakové krytině střech do 10°, asfaltové pásy přitavením</t>
  </si>
  <si>
    <t>m2</t>
  </si>
  <si>
    <t>RTS I / 2025</t>
  </si>
  <si>
    <t>7</t>
  </si>
  <si>
    <t>712_</t>
  </si>
  <si>
    <t>71_</t>
  </si>
  <si>
    <t>_</t>
  </si>
  <si>
    <t>P</t>
  </si>
  <si>
    <t>35</t>
  </si>
  <si>
    <t>vč. dod. těžký pás</t>
  </si>
  <si>
    <t>2</t>
  </si>
  <si>
    <t>712300841RT1</t>
  </si>
  <si>
    <t>Odstranění mechu ze střech plochých do 10°, povlaková krytina</t>
  </si>
  <si>
    <t>60,38*(9,625*2)</t>
  </si>
  <si>
    <t>3</t>
  </si>
  <si>
    <t>712310901RZ1</t>
  </si>
  <si>
    <t>Provedení údržby povlakové krytiny střech do 10°, asfaltový penetrační nátěr</t>
  </si>
  <si>
    <t>1162,32</t>
  </si>
  <si>
    <t>4</t>
  </si>
  <si>
    <t>712310900VD</t>
  </si>
  <si>
    <t>Vyčištění stáv. lepenkové krytiny, odstranění nánosu</t>
  </si>
  <si>
    <t>5</t>
  </si>
  <si>
    <t>712341559RV1</t>
  </si>
  <si>
    <t>Provedení povlakové krytiny střech do 10°, asfaltovými pásy, přitavení celoplošně</t>
  </si>
  <si>
    <t>vč. lep. Elastek 40 s.d.</t>
  </si>
  <si>
    <t>6</t>
  </si>
  <si>
    <t>712811101RZ1</t>
  </si>
  <si>
    <t>Provedení povlakové krytiny střech, samostatné vytažení povlaku, asfaltový penetrační nátěr</t>
  </si>
  <si>
    <t>19,25*0,2*2</t>
  </si>
  <si>
    <t>(6,23+3,38)*0,2*2</t>
  </si>
  <si>
    <t>712841559RT1</t>
  </si>
  <si>
    <t>Provedení povlakové krytiny střech, samostatné vytažení povlaku, asfaltové pásy přitavením</t>
  </si>
  <si>
    <t>8</t>
  </si>
  <si>
    <t>628522501</t>
  </si>
  <si>
    <t>Pás asfaltový modifikovaný ELASTEK 40 SPECIAL dekor modrošedý, natavovací</t>
  </si>
  <si>
    <t>M</t>
  </si>
  <si>
    <t>11,54*1,15</t>
  </si>
  <si>
    <t>9</t>
  </si>
  <si>
    <t>712997003R00</t>
  </si>
  <si>
    <t>Přilepení atikových klínů do polyuretanového lepidla</t>
  </si>
  <si>
    <t>m</t>
  </si>
  <si>
    <t>19,25*2</t>
  </si>
  <si>
    <t>(6,23+3,38)*2</t>
  </si>
  <si>
    <t>10</t>
  </si>
  <si>
    <t>63152902</t>
  </si>
  <si>
    <t>Klín atikový MW, ISOVER AK 50 x 50 mm</t>
  </si>
  <si>
    <t>57,72*1,05</t>
  </si>
  <si>
    <t>11</t>
  </si>
  <si>
    <t>998712102R00</t>
  </si>
  <si>
    <t>Přesun hmot pro povlakové krytiny, výšky do 12 m</t>
  </si>
  <si>
    <t>t</t>
  </si>
  <si>
    <t>12</t>
  </si>
  <si>
    <t>712990900VD</t>
  </si>
  <si>
    <t>Jeřábové práce-příplatek</t>
  </si>
  <si>
    <t>kompl</t>
  </si>
  <si>
    <t>764</t>
  </si>
  <si>
    <t>Konstrukce klempířské</t>
  </si>
  <si>
    <t>13</t>
  </si>
  <si>
    <t>764813916R00</t>
  </si>
  <si>
    <t>Krycí a stěnová lišta z Pz plechu s povrchovou úpravou, rš 160 + 80 mm, k uchycení krytiny ke stěně</t>
  </si>
  <si>
    <t>764_</t>
  </si>
  <si>
    <t>76_</t>
  </si>
  <si>
    <t>57,72</t>
  </si>
  <si>
    <t>14</t>
  </si>
  <si>
    <t>998764102R00</t>
  </si>
  <si>
    <t>Přesun hmot pro klempířské konstr., výšky do 12 m</t>
  </si>
  <si>
    <t>783</t>
  </si>
  <si>
    <t>Nátěry</t>
  </si>
  <si>
    <t>15</t>
  </si>
  <si>
    <t>783522900RT1</t>
  </si>
  <si>
    <t>Údržba, nátěr syntet. klempířských konstr. Z + 2 x</t>
  </si>
  <si>
    <t>783_</t>
  </si>
  <si>
    <t>78_</t>
  </si>
  <si>
    <t>19,25*0,47*2</t>
  </si>
  <si>
    <t>atiky</t>
  </si>
  <si>
    <t>60,38*0,25*2</t>
  </si>
  <si>
    <t>okapní plech</t>
  </si>
  <si>
    <t>6,23*0,25</t>
  </si>
  <si>
    <t>(3,38+6,23+3,38)*0,25</t>
  </si>
  <si>
    <t>závětrná lišta vent. šachta</t>
  </si>
  <si>
    <t>16</t>
  </si>
  <si>
    <t>783103811R00</t>
  </si>
  <si>
    <t>Odstranění nátěrů z ocel.konstrukcí  oškrábáním,odmaštěním</t>
  </si>
  <si>
    <t>97</t>
  </si>
  <si>
    <t>Prorážení otvorů a ostatní bourací práce</t>
  </si>
  <si>
    <t>17</t>
  </si>
  <si>
    <t>979011321R00</t>
  </si>
  <si>
    <t>Montáž a demontáž shozu za 2.NP</t>
  </si>
  <si>
    <t>kus</t>
  </si>
  <si>
    <t>97_</t>
  </si>
  <si>
    <t>9_</t>
  </si>
  <si>
    <t>M65</t>
  </si>
  <si>
    <t>Elektroinstalace</t>
  </si>
  <si>
    <t>18</t>
  </si>
  <si>
    <t>650110999VD</t>
  </si>
  <si>
    <t>Revize a měření odporu hromosvod</t>
  </si>
  <si>
    <t>M65_</t>
  </si>
  <si>
    <t>M65001</t>
  </si>
  <si>
    <t>Vedení elektroinstalační</t>
  </si>
  <si>
    <t>19</t>
  </si>
  <si>
    <t>650020100VD</t>
  </si>
  <si>
    <t>Demontáže stáv. hromosvod. soustavy pl. střechy pro další použití</t>
  </si>
  <si>
    <t>M65001_</t>
  </si>
  <si>
    <t>20</t>
  </si>
  <si>
    <t>650020101VD</t>
  </si>
  <si>
    <t>Znovumontáž hromosvodu pl. střecha</t>
  </si>
  <si>
    <t>s případným doplněním poškoz. prvků</t>
  </si>
  <si>
    <t>S</t>
  </si>
  <si>
    <t>Přesuny sutí</t>
  </si>
  <si>
    <t>21</t>
  </si>
  <si>
    <t>979011311RT1</t>
  </si>
  <si>
    <t>Svislá doprava suti a vybouraných hmot shozem</t>
  </si>
  <si>
    <t>S_</t>
  </si>
  <si>
    <t>2,325</t>
  </si>
  <si>
    <t>0,5</t>
  </si>
  <si>
    <t>22</t>
  </si>
  <si>
    <t>979081111R00</t>
  </si>
  <si>
    <t>Odvoz suti a vybour. hmot na skládku do 1 km</t>
  </si>
  <si>
    <t>23</t>
  </si>
  <si>
    <t>979081121R00</t>
  </si>
  <si>
    <t>Příplatek k odvozu za každý další 1 km</t>
  </si>
  <si>
    <t>2,83*14</t>
  </si>
  <si>
    <t>celkem 15 km</t>
  </si>
  <si>
    <t>24</t>
  </si>
  <si>
    <t>979086112R00</t>
  </si>
  <si>
    <t>Nakládání nebo překládání suti a vybouraných hmot</t>
  </si>
  <si>
    <t>25</t>
  </si>
  <si>
    <t>979990121R00</t>
  </si>
  <si>
    <t>Poplatek za uložení suti - asfaltové pásy, skupina odpadu 170302</t>
  </si>
  <si>
    <t>26</t>
  </si>
  <si>
    <t>979990107R00</t>
  </si>
  <si>
    <t>Poplatek za uložení suti - směs betonu, cihel, dřeva, skupina odpadu 170904</t>
  </si>
  <si>
    <t>Celkem:</t>
  </si>
  <si>
    <t>Poznámka:</t>
  </si>
  <si>
    <t>Stavební rozpočet - rekapitulace</t>
  </si>
  <si>
    <t>Náklady (Kč) - dodávka</t>
  </si>
  <si>
    <t>Náklady (Kč) - Montáž</t>
  </si>
  <si>
    <t>Náklady (Kč) - celkem</t>
  </si>
  <si>
    <t>Celková hmotnost (t)</t>
  </si>
  <si>
    <t>T</t>
  </si>
  <si>
    <t>Krycí list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</si>
  <si>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</si>
  <si>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</si>
  <si>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</si>
  <si>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</si>
  <si>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</si>
  <si>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</si>
  <si>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</si>
  <si>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</si>
  <si>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</si>
  <si>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</si>
  <si>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</si>
  <si>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</si>
  <si>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</si>
  <si>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</si>
  <si>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</si>
  <si>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</si>
  <si>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</si>
  <si>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</si>
  <si>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</si>
  <si>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</si>
  <si>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</si>
  <si>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</si>
  <si>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</si>
  <si>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</si>
  <si>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</si>
  <si>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</si>
  <si>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</si>
  <si>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</si>
  <si>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</si>
  <si>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</si>
  <si>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</si>
  <si>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</si>
  <si>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</si>
  <si>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</si>
  <si>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</si>
  <si>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</si>
  <si>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</si>
  <si>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</si>
  <si>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</si>
  <si>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</si>
  <si>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</si>
  <si>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</si>
  <si>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</si>
  <si>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</si>
  <si>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</si>
  <si>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</si>
  <si>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</si>
  <si>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</si>
  <si>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</si>
  <si>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</si>
  <si>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</si>
  <si>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</si>
  <si>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</si>
  <si>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</si>
  <si>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</si>
  <si>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t>Příloha č. 5 výzvy VZ 29/2025 - Položkový soupis prací a dodávek</t>
  </si>
  <si>
    <t>p.č.60, k. ú. Kolesa, obec Kladruby n. Labem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</si>
</sst>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8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800000"/>
      <name val="Arial"/>
      <charset val="238"/>
    </font>
    <font>
      <sz val="10"/>
      <color rgb="FF000000"/>
      <name val="Arial"/>
      <charset val="238"/>
    </font>
    <font>
      <i/>
      <sz val="10"/>
      <color rgb="FF800000"/>
      <name val="Arial"/>
      <charset val="238"/>
    </font>
    <font>
      <i/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</fonts>
  <fills count="6">
    <fill>
      <patternFill patternType="none"/>
    </fill>
    <fill>
      <patternFill patternType="gray125"/>
    </fill>
    <fill>
      <patternFill patternType="solid">
        <fgColor rgb="FFA6CAF0"/>
        <bgColor rgb="FFA6CAF0"/>
      </patternFill>
    </fill>
    <fill>
      <patternFill patternType="solid">
        <fgColor rgb="FFC0C0C0"/>
        <bgColor rgb="FFC0C0C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66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4" fontId="14" fillId="0" borderId="36" xfId="0" applyNumberFormat="1" applyFont="1" applyBorder="1" applyAlignment="1">
      <alignment horizontal="right" vertical="center"/>
    </xf>
    <xf numFmtId="0" fontId="13" fillId="0" borderId="39" xfId="0" applyFont="1" applyBorder="1" applyAlignment="1">
      <alignment horizontal="left" vertical="center"/>
    </xf>
    <xf numFmtId="0" fontId="14" fillId="0" borderId="36" xfId="0" applyFont="1" applyBorder="1" applyAlignment="1">
      <alignment horizontal="right" vertical="center"/>
    </xf>
    <xf numFmtId="4" fontId="14" fillId="0" borderId="43" xfId="0" applyNumberFormat="1" applyFont="1" applyBorder="1" applyAlignment="1">
      <alignment horizontal="right" vertical="center"/>
    </xf>
    <xf numFmtId="0" fontId="14" fillId="0" borderId="43" xfId="0" applyFont="1" applyBorder="1" applyAlignment="1">
      <alignment horizontal="right" vertical="center"/>
    </xf>
    <xf numFmtId="4" fontId="14" fillId="0" borderId="34" xfId="0" applyNumberFormat="1" applyFont="1" applyBorder="1" applyAlignment="1">
      <alignment horizontal="right" vertical="center"/>
    </xf>
    <xf numFmtId="4" fontId="14" fillId="0" borderId="23" xfId="0" applyNumberFormat="1" applyFont="1" applyBorder="1" applyAlignment="1">
      <alignment horizontal="right" vertical="center"/>
    </xf>
    <xf numFmtId="4" fontId="13" fillId="3" borderId="33" xfId="0" applyNumberFormat="1" applyFont="1" applyFill="1" applyBorder="1" applyAlignment="1">
      <alignment horizontal="right" vertical="center"/>
    </xf>
    <xf numFmtId="4" fontId="13" fillId="3" borderId="38" xfId="0" applyNumberFormat="1" applyFont="1" applyFill="1" applyBorder="1" applyAlignment="1">
      <alignment horizontal="right" vertical="center"/>
    </xf>
    <xf numFmtId="0" fontId="9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right" vertical="center"/>
    </xf>
    <xf numFmtId="4" fontId="3" fillId="0" borderId="36" xfId="0" applyNumberFormat="1" applyFont="1" applyBorder="1" applyAlignment="1">
      <alignment horizontal="right" vertical="center"/>
    </xf>
    <xf numFmtId="0" fontId="3" fillId="0" borderId="36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4" fontId="3" fillId="0" borderId="62" xfId="0" applyNumberFormat="1" applyFont="1" applyBorder="1" applyAlignment="1">
      <alignment horizontal="right" vertical="center"/>
    </xf>
    <xf numFmtId="0" fontId="3" fillId="0" borderId="62" xfId="0" applyFont="1" applyBorder="1" applyAlignment="1">
      <alignment horizontal="left" vertical="center"/>
    </xf>
    <xf numFmtId="0" fontId="4" fillId="0" borderId="65" xfId="0" applyFont="1" applyBorder="1" applyAlignment="1">
      <alignment horizontal="left" vertical="center"/>
    </xf>
    <xf numFmtId="0" fontId="4" fillId="0" borderId="65" xfId="0" applyFont="1" applyBorder="1" applyAlignment="1">
      <alignment horizontal="right" vertical="center"/>
    </xf>
    <xf numFmtId="4" fontId="4" fillId="0" borderId="65" xfId="0" applyNumberFormat="1" applyFont="1" applyBorder="1" applyAlignment="1">
      <alignment horizontal="right" vertical="center"/>
    </xf>
    <xf numFmtId="0" fontId="3" fillId="0" borderId="35" xfId="0" applyFont="1" applyBorder="1" applyAlignment="1">
      <alignment horizontal="left" vertical="center"/>
    </xf>
    <xf numFmtId="0" fontId="4" fillId="0" borderId="60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5" fillId="2" borderId="67" xfId="0" applyFont="1" applyFill="1" applyBorder="1" applyAlignment="1">
      <alignment horizontal="left" vertical="center"/>
    </xf>
    <xf numFmtId="0" fontId="2" fillId="2" borderId="67" xfId="0" applyFont="1" applyFill="1" applyBorder="1" applyAlignment="1">
      <alignment horizontal="left" vertical="center"/>
    </xf>
    <xf numFmtId="4" fontId="2" fillId="2" borderId="67" xfId="0" applyNumberFormat="1" applyFont="1" applyFill="1" applyBorder="1" applyAlignment="1">
      <alignment horizontal="right" vertical="center"/>
    </xf>
    <xf numFmtId="0" fontId="2" fillId="2" borderId="67" xfId="0" applyFont="1" applyFill="1" applyBorder="1" applyAlignment="1">
      <alignment horizontal="right" vertical="center"/>
    </xf>
    <xf numFmtId="0" fontId="6" fillId="0" borderId="67" xfId="0" applyFont="1" applyBorder="1" applyAlignment="1">
      <alignment horizontal="left" vertical="center"/>
    </xf>
    <xf numFmtId="4" fontId="6" fillId="0" borderId="67" xfId="0" applyNumberFormat="1" applyFont="1" applyBorder="1" applyAlignment="1">
      <alignment horizontal="right" vertical="center"/>
    </xf>
    <xf numFmtId="1" fontId="6" fillId="0" borderId="67" xfId="0" applyNumberFormat="1" applyFont="1" applyBorder="1" applyAlignment="1">
      <alignment horizontal="right" vertical="center"/>
    </xf>
    <xf numFmtId="0" fontId="6" fillId="0" borderId="67" xfId="0" applyFont="1" applyBorder="1" applyAlignment="1">
      <alignment horizontal="right" vertical="center"/>
    </xf>
    <xf numFmtId="0" fontId="0" fillId="0" borderId="67" xfId="0" applyBorder="1"/>
    <xf numFmtId="0" fontId="7" fillId="0" borderId="67" xfId="0" applyFont="1" applyBorder="1" applyAlignment="1">
      <alignment horizontal="left" vertical="center"/>
    </xf>
    <xf numFmtId="0" fontId="8" fillId="0" borderId="67" xfId="0" applyFont="1" applyBorder="1" applyAlignment="1">
      <alignment horizontal="left" vertical="center"/>
    </xf>
    <xf numFmtId="4" fontId="7" fillId="0" borderId="67" xfId="0" applyNumberFormat="1" applyFont="1" applyBorder="1" applyAlignment="1">
      <alignment horizontal="right" vertical="center"/>
    </xf>
    <xf numFmtId="0" fontId="3" fillId="0" borderId="67" xfId="0" applyFont="1" applyBorder="1" applyAlignment="1">
      <alignment horizontal="left" vertical="center"/>
    </xf>
    <xf numFmtId="4" fontId="3" fillId="0" borderId="67" xfId="0" applyNumberFormat="1" applyFont="1" applyBorder="1" applyAlignment="1">
      <alignment horizontal="right" vertical="center"/>
    </xf>
    <xf numFmtId="1" fontId="3" fillId="0" borderId="67" xfId="0" applyNumberFormat="1" applyFont="1" applyBorder="1" applyAlignment="1">
      <alignment horizontal="right" vertical="center"/>
    </xf>
    <xf numFmtId="0" fontId="3" fillId="0" borderId="67" xfId="0" applyFont="1" applyBorder="1" applyAlignment="1">
      <alignment horizontal="right" vertical="center"/>
    </xf>
    <xf numFmtId="4" fontId="4" fillId="0" borderId="67" xfId="0" applyNumberFormat="1" applyFont="1" applyBorder="1" applyAlignment="1">
      <alignment horizontal="right" vertical="center"/>
    </xf>
    <xf numFmtId="0" fontId="9" fillId="0" borderId="67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67" xfId="0" applyFont="1" applyBorder="1" applyAlignment="1">
      <alignment horizontal="left" vertical="center"/>
    </xf>
    <xf numFmtId="4" fontId="6" fillId="4" borderId="67" xfId="0" applyNumberFormat="1" applyFont="1" applyFill="1" applyBorder="1" applyAlignment="1">
      <alignment horizontal="right" vertical="center"/>
    </xf>
    <xf numFmtId="0" fontId="0" fillId="4" borderId="67" xfId="0" applyFill="1" applyBorder="1"/>
    <xf numFmtId="4" fontId="3" fillId="4" borderId="67" xfId="0" applyNumberFormat="1" applyFont="1" applyFill="1" applyBorder="1" applyAlignment="1">
      <alignment horizontal="right" vertical="center"/>
    </xf>
    <xf numFmtId="4" fontId="6" fillId="5" borderId="67" xfId="0" applyNumberFormat="1" applyFont="1" applyFill="1" applyBorder="1" applyAlignment="1">
      <alignment horizontal="right" vertical="center"/>
    </xf>
    <xf numFmtId="0" fontId="0" fillId="5" borderId="67" xfId="0" applyFill="1" applyBorder="1"/>
    <xf numFmtId="0" fontId="6" fillId="0" borderId="67" xfId="0" applyFont="1" applyBorder="1" applyAlignment="1">
      <alignment horizontal="left" vertical="center" wrapText="1"/>
    </xf>
    <xf numFmtId="0" fontId="6" fillId="0" borderId="67" xfId="0" applyFont="1" applyBorder="1" applyAlignment="1">
      <alignment horizontal="left" vertical="center"/>
    </xf>
    <xf numFmtId="0" fontId="4" fillId="0" borderId="67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67" xfId="0" applyFont="1" applyFill="1" applyBorder="1" applyAlignment="1">
      <alignment horizontal="left" vertical="center" wrapText="1"/>
    </xf>
    <xf numFmtId="0" fontId="2" fillId="2" borderId="67" xfId="0" applyFont="1" applyFill="1" applyBorder="1" applyAlignment="1">
      <alignment horizontal="left" vertical="center"/>
    </xf>
    <xf numFmtId="0" fontId="3" fillId="0" borderId="67" xfId="0" applyFont="1" applyBorder="1" applyAlignment="1">
      <alignment horizontal="left" vertical="center" wrapText="1"/>
    </xf>
    <xf numFmtId="0" fontId="3" fillId="0" borderId="67" xfId="0" applyFont="1" applyBorder="1" applyAlignment="1">
      <alignment horizontal="left" vertical="center"/>
    </xf>
    <xf numFmtId="0" fontId="4" fillId="0" borderId="60" xfId="0" applyFont="1" applyBorder="1" applyAlignment="1">
      <alignment horizontal="left" vertical="center"/>
    </xf>
    <xf numFmtId="0" fontId="4" fillId="0" borderId="62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/>
    </xf>
    <xf numFmtId="0" fontId="14" fillId="0" borderId="51" xfId="0" applyFont="1" applyBorder="1" applyAlignment="1">
      <alignment horizontal="left" vertical="center"/>
    </xf>
    <xf numFmtId="0" fontId="14" fillId="0" borderId="49" xfId="0" applyFont="1" applyBorder="1" applyAlignment="1">
      <alignment horizontal="left" vertical="center"/>
    </xf>
    <xf numFmtId="0" fontId="14" fillId="0" borderId="50" xfId="0" applyFont="1" applyBorder="1" applyAlignment="1">
      <alignment horizontal="left" vertical="center"/>
    </xf>
    <xf numFmtId="0" fontId="14" fillId="0" borderId="5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53" xfId="0" applyFont="1" applyBorder="1" applyAlignment="1">
      <alignment horizontal="left" vertical="center"/>
    </xf>
    <xf numFmtId="0" fontId="14" fillId="0" borderId="58" xfId="0" applyFont="1" applyBorder="1" applyAlignment="1">
      <alignment horizontal="left" vertical="center"/>
    </xf>
    <xf numFmtId="0" fontId="14" fillId="0" borderId="56" xfId="0" applyFont="1" applyBorder="1" applyAlignment="1">
      <alignment horizontal="left" vertical="center"/>
    </xf>
    <xf numFmtId="0" fontId="14" fillId="0" borderId="57" xfId="0" applyFont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0" fontId="14" fillId="0" borderId="52" xfId="0" applyFont="1" applyBorder="1" applyAlignment="1">
      <alignment horizontal="left" vertical="center"/>
    </xf>
    <xf numFmtId="0" fontId="14" fillId="0" borderId="55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13" fillId="3" borderId="45" xfId="0" applyFont="1" applyFill="1" applyBorder="1" applyAlignment="1">
      <alignment horizontal="left" vertical="center"/>
    </xf>
    <xf numFmtId="0" fontId="13" fillId="3" borderId="46" xfId="0" applyFont="1" applyFill="1" applyBorder="1" applyAlignment="1">
      <alignment horizontal="left" vertical="center"/>
    </xf>
    <xf numFmtId="0" fontId="13" fillId="3" borderId="40" xfId="0" applyFont="1" applyFill="1" applyBorder="1" applyAlignment="1">
      <alignment horizontal="left" vertical="center"/>
    </xf>
    <xf numFmtId="0" fontId="13" fillId="3" borderId="47" xfId="0" applyFont="1" applyFill="1" applyBorder="1" applyAlignment="1">
      <alignment horizontal="left" vertical="center"/>
    </xf>
    <xf numFmtId="0" fontId="13" fillId="3" borderId="32" xfId="0" applyFont="1" applyFill="1" applyBorder="1" applyAlignment="1">
      <alignment horizontal="left" vertical="center"/>
    </xf>
    <xf numFmtId="0" fontId="13" fillId="3" borderId="37" xfId="0" applyFont="1" applyFill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44" xfId="0" applyFont="1" applyBorder="1" applyAlignment="1">
      <alignment horizontal="left" vertical="center"/>
    </xf>
    <xf numFmtId="0" fontId="14" fillId="0" borderId="42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3" fillId="0" borderId="41" xfId="0" applyFont="1" applyBorder="1" applyAlignment="1">
      <alignment horizontal="left" vertical="center"/>
    </xf>
    <xf numFmtId="0" fontId="13" fillId="0" borderId="42" xfId="0" applyFont="1" applyBorder="1" applyAlignment="1">
      <alignment horizontal="left" vertical="center"/>
    </xf>
    <xf numFmtId="0" fontId="13" fillId="0" borderId="4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10" fillId="0" borderId="30" xfId="0" applyFont="1" applyBorder="1" applyAlignment="1">
      <alignment horizontal="center" vertical="center"/>
    </xf>
    <xf numFmtId="0" fontId="12" fillId="0" borderId="32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4" fillId="0" borderId="64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63" xfId="0" applyFont="1" applyBorder="1" applyAlignment="1">
      <alignment horizontal="left" vertical="center"/>
    </xf>
    <xf numFmtId="0" fontId="13" fillId="0" borderId="64" xfId="0" applyFont="1" applyBorder="1" applyAlignment="1">
      <alignment horizontal="left" vertical="center"/>
    </xf>
    <xf numFmtId="4" fontId="13" fillId="0" borderId="66" xfId="0" applyNumberFormat="1" applyFont="1" applyBorder="1" applyAlignment="1">
      <alignment horizontal="right" vertical="center"/>
    </xf>
    <xf numFmtId="0" fontId="13" fillId="0" borderId="63" xfId="0" applyFont="1" applyBorder="1" applyAlignment="1">
      <alignment horizontal="right" vertical="center"/>
    </xf>
    <xf numFmtId="0" fontId="13" fillId="0" borderId="64" xfId="0" applyFont="1" applyBorder="1" applyAlignment="1">
      <alignment horizontal="right" vertical="center"/>
    </xf>
    <xf numFmtId="0" fontId="13" fillId="0" borderId="8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429496729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429496729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429496729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429496729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66"/>
  <sheetViews>
    <sheetView workbookViewId="0">
      <pane ySplit="11" topLeftCell="A24" activePane="bottomLeft" state="frozen"/>
      <selection pane="bottomLeft" activeCell="C6" sqref="C6:D7"/>
    </sheetView>
  </sheetViews>
  <sheetFormatPr defaultColWidth="12.140625" defaultRowHeight="15" customHeight="1" x14ac:dyDescent="0.25"/>
  <cols>
    <col min="1" max="1" width="4" customWidth="1"/>
    <col min="2" max="2" width="17.85546875" customWidth="1"/>
    <col min="3" max="3" width="42.85546875" customWidth="1"/>
    <col min="4" max="4" width="35.7109375" customWidth="1"/>
    <col min="5" max="5" width="5.85546875" customWidth="1"/>
    <col min="6" max="6" width="12.85546875" customWidth="1"/>
    <col min="7" max="7" width="12" customWidth="1"/>
    <col min="8" max="8" width="11.140625" customWidth="1"/>
    <col min="9" max="12" width="15.7109375" customWidth="1"/>
    <col min="13" max="14" width="11.7109375" customWidth="1"/>
    <col min="15" max="15" width="13.42578125" customWidth="1"/>
    <col min="25" max="75" width="12.140625" hidden="1"/>
    <col min="76" max="76" width="78.5703125" hidden="1" customWidth="1"/>
    <col min="77" max="78" width="12.140625" hidden="1"/>
  </cols>
  <sheetData>
    <row r="1" spans="1:76" ht="54.75" customHeight="1" x14ac:dyDescent="0.25">
      <c r="A1" s="97" t="s">
        <v>250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98" t="s">
        <v>0</v>
      </c>
      <c r="B2" s="89"/>
      <c r="C2" s="103" t="s">
        <v>1</v>
      </c>
      <c r="D2" s="104"/>
      <c r="E2" s="89" t="s">
        <v>2</v>
      </c>
      <c r="F2" s="89"/>
      <c r="G2" s="89" t="s">
        <v>3</v>
      </c>
      <c r="H2" s="102" t="s">
        <v>4</v>
      </c>
      <c r="I2" s="89" t="s">
        <v>5</v>
      </c>
      <c r="J2" s="89"/>
      <c r="K2" s="89"/>
      <c r="L2" s="89"/>
      <c r="M2" s="89"/>
      <c r="N2" s="89"/>
      <c r="O2" s="90"/>
    </row>
    <row r="3" spans="1:76" x14ac:dyDescent="0.25">
      <c r="A3" s="99"/>
      <c r="B3" s="77"/>
      <c r="C3" s="105"/>
      <c r="D3" s="105"/>
      <c r="E3" s="77"/>
      <c r="F3" s="77"/>
      <c r="G3" s="77"/>
      <c r="H3" s="77"/>
      <c r="I3" s="77"/>
      <c r="J3" s="77"/>
      <c r="K3" s="77"/>
      <c r="L3" s="77"/>
      <c r="M3" s="77"/>
      <c r="N3" s="77"/>
      <c r="O3" s="91"/>
    </row>
    <row r="4" spans="1:76" x14ac:dyDescent="0.25">
      <c r="A4" s="100" t="s">
        <v>6</v>
      </c>
      <c r="B4" s="77"/>
      <c r="C4" s="76" t="s">
        <v>7</v>
      </c>
      <c r="D4" s="77"/>
      <c r="E4" s="77" t="s">
        <v>8</v>
      </c>
      <c r="F4" s="77"/>
      <c r="G4" s="77" t="s">
        <v>3</v>
      </c>
      <c r="H4" s="76" t="s">
        <v>9</v>
      </c>
      <c r="I4" s="77" t="s">
        <v>5</v>
      </c>
      <c r="J4" s="77"/>
      <c r="K4" s="77"/>
      <c r="L4" s="77"/>
      <c r="M4" s="77"/>
      <c r="N4" s="77"/>
      <c r="O4" s="91"/>
    </row>
    <row r="5" spans="1:76" x14ac:dyDescent="0.25">
      <c r="A5" s="99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91"/>
    </row>
    <row r="6" spans="1:76" x14ac:dyDescent="0.25">
      <c r="A6" s="100" t="s">
        <v>10</v>
      </c>
      <c r="B6" s="77"/>
      <c r="C6" s="76" t="s">
        <v>251</v>
      </c>
      <c r="D6" s="77"/>
      <c r="E6" s="77" t="s">
        <v>11</v>
      </c>
      <c r="F6" s="77"/>
      <c r="G6" s="77" t="s">
        <v>3</v>
      </c>
      <c r="H6" s="76" t="s">
        <v>12</v>
      </c>
      <c r="I6" s="77" t="s">
        <v>5</v>
      </c>
      <c r="J6" s="77"/>
      <c r="K6" s="77"/>
      <c r="L6" s="77"/>
      <c r="M6" s="77"/>
      <c r="N6" s="77"/>
      <c r="O6" s="91"/>
    </row>
    <row r="7" spans="1:76" x14ac:dyDescent="0.25">
      <c r="A7" s="99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1"/>
    </row>
    <row r="8" spans="1:76" x14ac:dyDescent="0.25">
      <c r="A8" s="100" t="s">
        <v>13</v>
      </c>
      <c r="B8" s="77"/>
      <c r="C8" s="76" t="s">
        <v>3</v>
      </c>
      <c r="D8" s="77"/>
      <c r="E8" s="77" t="s">
        <v>14</v>
      </c>
      <c r="F8" s="77"/>
      <c r="G8" s="96">
        <v>45901</v>
      </c>
      <c r="H8" s="76" t="s">
        <v>15</v>
      </c>
      <c r="I8" s="76"/>
      <c r="J8" s="77"/>
      <c r="K8" s="77"/>
      <c r="L8" s="77"/>
      <c r="M8" s="77"/>
      <c r="N8" s="77"/>
      <c r="O8" s="91"/>
    </row>
    <row r="9" spans="1:76" x14ac:dyDescent="0.25">
      <c r="A9" s="10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3"/>
    </row>
    <row r="10" spans="1:76" x14ac:dyDescent="0.25">
      <c r="A10" s="3" t="s">
        <v>16</v>
      </c>
      <c r="B10" s="4" t="s">
        <v>17</v>
      </c>
      <c r="C10" s="94" t="s">
        <v>18</v>
      </c>
      <c r="D10" s="95"/>
      <c r="E10" s="4" t="s">
        <v>19</v>
      </c>
      <c r="F10" s="6" t="s">
        <v>20</v>
      </c>
      <c r="G10" s="7" t="s">
        <v>21</v>
      </c>
      <c r="H10" s="8" t="s">
        <v>22</v>
      </c>
      <c r="I10" s="84" t="s">
        <v>23</v>
      </c>
      <c r="J10" s="85"/>
      <c r="K10" s="86"/>
      <c r="L10" s="9" t="s">
        <v>23</v>
      </c>
      <c r="M10" s="87" t="s">
        <v>24</v>
      </c>
      <c r="N10" s="88"/>
      <c r="O10" s="10" t="s">
        <v>25</v>
      </c>
      <c r="BK10" s="11" t="s">
        <v>26</v>
      </c>
      <c r="BL10" s="12" t="s">
        <v>27</v>
      </c>
      <c r="BW10" s="12" t="s">
        <v>28</v>
      </c>
    </row>
    <row r="11" spans="1:76" x14ac:dyDescent="0.25">
      <c r="A11" s="42" t="s">
        <v>3</v>
      </c>
      <c r="B11" s="38" t="s">
        <v>3</v>
      </c>
      <c r="C11" s="82" t="s">
        <v>29</v>
      </c>
      <c r="D11" s="83"/>
      <c r="E11" s="38" t="s">
        <v>3</v>
      </c>
      <c r="F11" s="38" t="s">
        <v>3</v>
      </c>
      <c r="G11" s="43" t="s">
        <v>30</v>
      </c>
      <c r="H11" s="36" t="s">
        <v>3</v>
      </c>
      <c r="I11" s="44" t="s">
        <v>31</v>
      </c>
      <c r="J11" s="45" t="s">
        <v>32</v>
      </c>
      <c r="K11" s="46" t="s">
        <v>33</v>
      </c>
      <c r="L11" s="46" t="s">
        <v>34</v>
      </c>
      <c r="M11" s="45" t="s">
        <v>35</v>
      </c>
      <c r="N11" s="43" t="s">
        <v>33</v>
      </c>
      <c r="O11" s="44" t="s">
        <v>36</v>
      </c>
      <c r="Z11" s="11" t="s">
        <v>37</v>
      </c>
      <c r="AA11" s="11" t="s">
        <v>38</v>
      </c>
      <c r="AB11" s="11" t="s">
        <v>39</v>
      </c>
      <c r="AC11" s="11" t="s">
        <v>40</v>
      </c>
      <c r="AD11" s="11" t="s">
        <v>41</v>
      </c>
      <c r="AE11" s="11" t="s">
        <v>42</v>
      </c>
      <c r="AF11" s="11" t="s">
        <v>43</v>
      </c>
      <c r="AG11" s="11" t="s">
        <v>44</v>
      </c>
      <c r="AH11" s="11" t="s">
        <v>45</v>
      </c>
      <c r="BH11" s="11" t="s">
        <v>46</v>
      </c>
      <c r="BI11" s="11" t="s">
        <v>47</v>
      </c>
      <c r="BJ11" s="11" t="s">
        <v>48</v>
      </c>
    </row>
    <row r="12" spans="1:76" x14ac:dyDescent="0.25">
      <c r="A12" s="47" t="s">
        <v>49</v>
      </c>
      <c r="B12" s="48" t="s">
        <v>50</v>
      </c>
      <c r="C12" s="78" t="s">
        <v>51</v>
      </c>
      <c r="D12" s="79"/>
      <c r="E12" s="47" t="s">
        <v>3</v>
      </c>
      <c r="F12" s="47" t="s">
        <v>3</v>
      </c>
      <c r="G12" s="47" t="s">
        <v>3</v>
      </c>
      <c r="H12" s="47" t="s">
        <v>3</v>
      </c>
      <c r="I12" s="49">
        <f>SUM(I13:I34)</f>
        <v>0</v>
      </c>
      <c r="J12" s="49">
        <f>SUM(J13:J34)</f>
        <v>0</v>
      </c>
      <c r="K12" s="49">
        <f>SUM(K13:K34)</f>
        <v>0</v>
      </c>
      <c r="L12" s="49">
        <f>SUM(L13:L34)</f>
        <v>0</v>
      </c>
      <c r="M12" s="50" t="s">
        <v>49</v>
      </c>
      <c r="N12" s="49">
        <f>SUM(N13:N34)</f>
        <v>10.3278786</v>
      </c>
      <c r="O12" s="50" t="s">
        <v>49</v>
      </c>
      <c r="AI12" s="11" t="s">
        <v>49</v>
      </c>
      <c r="AS12" s="1">
        <f>SUM(AJ13:AJ34)</f>
        <v>0</v>
      </c>
      <c r="AT12" s="1">
        <f>SUM(AK13:AK34)</f>
        <v>0</v>
      </c>
      <c r="AU12" s="1">
        <f>SUM(AL13:AL34)</f>
        <v>0</v>
      </c>
    </row>
    <row r="13" spans="1:76" x14ac:dyDescent="0.25">
      <c r="A13" s="51" t="s">
        <v>52</v>
      </c>
      <c r="B13" s="51" t="s">
        <v>53</v>
      </c>
      <c r="C13" s="73" t="s">
        <v>54</v>
      </c>
      <c r="D13" s="74"/>
      <c r="E13" s="51" t="s">
        <v>55</v>
      </c>
      <c r="F13" s="52">
        <v>35</v>
      </c>
      <c r="G13" s="68"/>
      <c r="H13" s="53">
        <v>21</v>
      </c>
      <c r="I13" s="52">
        <f>ROUND(F13*AO13,2)</f>
        <v>0</v>
      </c>
      <c r="J13" s="52">
        <f>ROUND(F13*AP13,2)</f>
        <v>0</v>
      </c>
      <c r="K13" s="52">
        <f>ROUND(F13*G13,2)</f>
        <v>0</v>
      </c>
      <c r="L13" s="52">
        <f>K13*(1+BW13/100)</f>
        <v>0</v>
      </c>
      <c r="M13" s="52">
        <v>1.9650000000000001E-2</v>
      </c>
      <c r="N13" s="52">
        <f>F13*M13</f>
        <v>0.68775000000000008</v>
      </c>
      <c r="O13" s="54" t="s">
        <v>56</v>
      </c>
      <c r="Z13" s="15">
        <f>ROUND(IF(AQ13="5",BJ13,0),2)</f>
        <v>0</v>
      </c>
      <c r="AB13" s="15">
        <f>ROUND(IF(AQ13="1",BH13,0),2)</f>
        <v>0</v>
      </c>
      <c r="AC13" s="15">
        <f>ROUND(IF(AQ13="1",BI13,0),2)</f>
        <v>0</v>
      </c>
      <c r="AD13" s="15">
        <f>ROUND(IF(AQ13="7",BH13,0),2)</f>
        <v>0</v>
      </c>
      <c r="AE13" s="15">
        <f>ROUND(IF(AQ13="7",BI13,0),2)</f>
        <v>0</v>
      </c>
      <c r="AF13" s="15">
        <f>ROUND(IF(AQ13="2",BH13,0),2)</f>
        <v>0</v>
      </c>
      <c r="AG13" s="15">
        <f>ROUND(IF(AQ13="2",BI13,0),2)</f>
        <v>0</v>
      </c>
      <c r="AH13" s="15">
        <f>ROUND(IF(AQ13="0",BJ13,0),2)</f>
        <v>0</v>
      </c>
      <c r="AI13" s="11" t="s">
        <v>49</v>
      </c>
      <c r="AJ13" s="14">
        <f>IF(AN13=0,K13,0)</f>
        <v>0</v>
      </c>
      <c r="AK13" s="14">
        <f>IF(AN13=12,K13,0)</f>
        <v>0</v>
      </c>
      <c r="AL13" s="14">
        <f>IF(AN13=21,K13,0)</f>
        <v>0</v>
      </c>
      <c r="AN13" s="15">
        <v>21</v>
      </c>
      <c r="AO13" s="15">
        <f>G13*0.642260184</f>
        <v>0</v>
      </c>
      <c r="AP13" s="15">
        <f>G13*(1-0.642260184)</f>
        <v>0</v>
      </c>
      <c r="AQ13" s="16" t="s">
        <v>57</v>
      </c>
      <c r="AV13" s="15">
        <f>ROUND(AW13+AX13,2)</f>
        <v>0</v>
      </c>
      <c r="AW13" s="15">
        <f>ROUND(F13*AO13,2)</f>
        <v>0</v>
      </c>
      <c r="AX13" s="15">
        <f>ROUND(F13*AP13,2)</f>
        <v>0</v>
      </c>
      <c r="AY13" s="17" t="s">
        <v>58</v>
      </c>
      <c r="AZ13" s="17" t="s">
        <v>59</v>
      </c>
      <c r="BA13" s="11" t="s">
        <v>60</v>
      </c>
      <c r="BC13" s="15">
        <f>AW13+AX13</f>
        <v>0</v>
      </c>
      <c r="BD13" s="15">
        <f>G13/(100-BE13)*100</f>
        <v>0</v>
      </c>
      <c r="BE13" s="15">
        <v>0</v>
      </c>
      <c r="BF13" s="15">
        <f>N13</f>
        <v>0.68775000000000008</v>
      </c>
      <c r="BH13" s="14">
        <f>F13*AO13</f>
        <v>0</v>
      </c>
      <c r="BI13" s="14">
        <f>F13*AP13</f>
        <v>0</v>
      </c>
      <c r="BJ13" s="14">
        <f>F13*G13</f>
        <v>0</v>
      </c>
      <c r="BK13" s="16" t="s">
        <v>61</v>
      </c>
      <c r="BL13" s="15">
        <v>712</v>
      </c>
      <c r="BW13" s="15">
        <f>H13</f>
        <v>21</v>
      </c>
      <c r="BX13" s="13" t="s">
        <v>54</v>
      </c>
    </row>
    <row r="14" spans="1:76" x14ac:dyDescent="0.25">
      <c r="A14" s="55"/>
      <c r="B14" s="55"/>
      <c r="C14" s="56" t="s">
        <v>62</v>
      </c>
      <c r="D14" s="57" t="s">
        <v>63</v>
      </c>
      <c r="E14" s="55"/>
      <c r="F14" s="58">
        <v>35</v>
      </c>
      <c r="G14" s="72"/>
      <c r="H14" s="55"/>
      <c r="I14" s="55"/>
      <c r="J14" s="55"/>
      <c r="K14" s="55"/>
      <c r="L14" s="55"/>
      <c r="M14" s="55"/>
      <c r="N14" s="55"/>
      <c r="O14" s="55"/>
    </row>
    <row r="15" spans="1:76" x14ac:dyDescent="0.25">
      <c r="A15" s="51" t="s">
        <v>64</v>
      </c>
      <c r="B15" s="51" t="s">
        <v>65</v>
      </c>
      <c r="C15" s="73" t="s">
        <v>66</v>
      </c>
      <c r="D15" s="74"/>
      <c r="E15" s="51" t="s">
        <v>55</v>
      </c>
      <c r="F15" s="52">
        <v>1162.32</v>
      </c>
      <c r="G15" s="68"/>
      <c r="H15" s="53">
        <v>21</v>
      </c>
      <c r="I15" s="52">
        <f>ROUND(F15*AO15,2)</f>
        <v>0</v>
      </c>
      <c r="J15" s="52">
        <f>ROUND(F15*AP15,2)</f>
        <v>0</v>
      </c>
      <c r="K15" s="52">
        <f>ROUND(F15*G15,2)</f>
        <v>0</v>
      </c>
      <c r="L15" s="52">
        <f>K15*(1+BW15/100)</f>
        <v>0</v>
      </c>
      <c r="M15" s="52">
        <v>2E-3</v>
      </c>
      <c r="N15" s="52">
        <f>F15*M15</f>
        <v>2.32464</v>
      </c>
      <c r="O15" s="54" t="s">
        <v>56</v>
      </c>
      <c r="Z15" s="15">
        <f>ROUND(IF(AQ15="5",BJ15,0),2)</f>
        <v>0</v>
      </c>
      <c r="AB15" s="15">
        <f>ROUND(IF(AQ15="1",BH15,0),2)</f>
        <v>0</v>
      </c>
      <c r="AC15" s="15">
        <f>ROUND(IF(AQ15="1",BI15,0),2)</f>
        <v>0</v>
      </c>
      <c r="AD15" s="15">
        <f>ROUND(IF(AQ15="7",BH15,0),2)</f>
        <v>0</v>
      </c>
      <c r="AE15" s="15">
        <f>ROUND(IF(AQ15="7",BI15,0),2)</f>
        <v>0</v>
      </c>
      <c r="AF15" s="15">
        <f>ROUND(IF(AQ15="2",BH15,0),2)</f>
        <v>0</v>
      </c>
      <c r="AG15" s="15">
        <f>ROUND(IF(AQ15="2",BI15,0),2)</f>
        <v>0</v>
      </c>
      <c r="AH15" s="15">
        <f>ROUND(IF(AQ15="0",BJ15,0),2)</f>
        <v>0</v>
      </c>
      <c r="AI15" s="11" t="s">
        <v>49</v>
      </c>
      <c r="AJ15" s="14">
        <f>IF(AN15=0,K15,0)</f>
        <v>0</v>
      </c>
      <c r="AK15" s="14">
        <f>IF(AN15=12,K15,0)</f>
        <v>0</v>
      </c>
      <c r="AL15" s="14">
        <f>IF(AN15=21,K15,0)</f>
        <v>0</v>
      </c>
      <c r="AN15" s="15">
        <v>21</v>
      </c>
      <c r="AO15" s="15">
        <f>G15*0</f>
        <v>0</v>
      </c>
      <c r="AP15" s="15">
        <f>G15*(1-0)</f>
        <v>0</v>
      </c>
      <c r="AQ15" s="16" t="s">
        <v>57</v>
      </c>
      <c r="AV15" s="15">
        <f>ROUND(AW15+AX15,2)</f>
        <v>0</v>
      </c>
      <c r="AW15" s="15">
        <f>ROUND(F15*AO15,2)</f>
        <v>0</v>
      </c>
      <c r="AX15" s="15">
        <f>ROUND(F15*AP15,2)</f>
        <v>0</v>
      </c>
      <c r="AY15" s="17" t="s">
        <v>58</v>
      </c>
      <c r="AZ15" s="17" t="s">
        <v>59</v>
      </c>
      <c r="BA15" s="11" t="s">
        <v>60</v>
      </c>
      <c r="BC15" s="15">
        <f>AW15+AX15</f>
        <v>0</v>
      </c>
      <c r="BD15" s="15">
        <f>G15/(100-BE15)*100</f>
        <v>0</v>
      </c>
      <c r="BE15" s="15">
        <v>0</v>
      </c>
      <c r="BF15" s="15">
        <f>N15</f>
        <v>2.32464</v>
      </c>
      <c r="BH15" s="14">
        <f>F15*AO15</f>
        <v>0</v>
      </c>
      <c r="BI15" s="14">
        <f>F15*AP15</f>
        <v>0</v>
      </c>
      <c r="BJ15" s="14">
        <f>F15*G15</f>
        <v>0</v>
      </c>
      <c r="BK15" s="16" t="s">
        <v>61</v>
      </c>
      <c r="BL15" s="15">
        <v>712</v>
      </c>
      <c r="BW15" s="15">
        <f>H15</f>
        <v>21</v>
      </c>
      <c r="BX15" s="13" t="s">
        <v>66</v>
      </c>
    </row>
    <row r="16" spans="1:76" x14ac:dyDescent="0.25">
      <c r="A16" s="55"/>
      <c r="B16" s="55"/>
      <c r="C16" s="56" t="s">
        <v>67</v>
      </c>
      <c r="D16" s="57" t="s">
        <v>49</v>
      </c>
      <c r="E16" s="55"/>
      <c r="F16" s="58">
        <v>1162.32</v>
      </c>
      <c r="G16" s="72"/>
      <c r="H16" s="55"/>
      <c r="I16" s="55"/>
      <c r="J16" s="55"/>
      <c r="K16" s="55"/>
      <c r="L16" s="55"/>
      <c r="M16" s="55"/>
      <c r="N16" s="55"/>
      <c r="O16" s="55"/>
    </row>
    <row r="17" spans="1:76" x14ac:dyDescent="0.25">
      <c r="A17" s="51" t="s">
        <v>68</v>
      </c>
      <c r="B17" s="51" t="s">
        <v>69</v>
      </c>
      <c r="C17" s="73" t="s">
        <v>70</v>
      </c>
      <c r="D17" s="74"/>
      <c r="E17" s="51" t="s">
        <v>55</v>
      </c>
      <c r="F17" s="52">
        <v>1162.32</v>
      </c>
      <c r="G17" s="68"/>
      <c r="H17" s="53">
        <v>21</v>
      </c>
      <c r="I17" s="52">
        <f>ROUND(F17*AO17,2)</f>
        <v>0</v>
      </c>
      <c r="J17" s="52">
        <f>ROUND(F17*AP17,2)</f>
        <v>0</v>
      </c>
      <c r="K17" s="52">
        <f>ROUND(F17*G17,2)</f>
        <v>0</v>
      </c>
      <c r="L17" s="52">
        <f>K17*(1+BW17/100)</f>
        <v>0</v>
      </c>
      <c r="M17" s="52">
        <v>3.5E-4</v>
      </c>
      <c r="N17" s="52">
        <f>F17*M17</f>
        <v>0.40681199999999995</v>
      </c>
      <c r="O17" s="54" t="s">
        <v>56</v>
      </c>
      <c r="Z17" s="15">
        <f>ROUND(IF(AQ17="5",BJ17,0),2)</f>
        <v>0</v>
      </c>
      <c r="AB17" s="15">
        <f>ROUND(IF(AQ17="1",BH17,0),2)</f>
        <v>0</v>
      </c>
      <c r="AC17" s="15">
        <f>ROUND(IF(AQ17="1",BI17,0),2)</f>
        <v>0</v>
      </c>
      <c r="AD17" s="15">
        <f>ROUND(IF(AQ17="7",BH17,0),2)</f>
        <v>0</v>
      </c>
      <c r="AE17" s="15">
        <f>ROUND(IF(AQ17="7",BI17,0),2)</f>
        <v>0</v>
      </c>
      <c r="AF17" s="15">
        <f>ROUND(IF(AQ17="2",BH17,0),2)</f>
        <v>0</v>
      </c>
      <c r="AG17" s="15">
        <f>ROUND(IF(AQ17="2",BI17,0),2)</f>
        <v>0</v>
      </c>
      <c r="AH17" s="15">
        <f>ROUND(IF(AQ17="0",BJ17,0),2)</f>
        <v>0</v>
      </c>
      <c r="AI17" s="11" t="s">
        <v>49</v>
      </c>
      <c r="AJ17" s="14">
        <f>IF(AN17=0,K17,0)</f>
        <v>0</v>
      </c>
      <c r="AK17" s="14">
        <f>IF(AN17=12,K17,0)</f>
        <v>0</v>
      </c>
      <c r="AL17" s="14">
        <f>IF(AN17=21,K17,0)</f>
        <v>0</v>
      </c>
      <c r="AN17" s="15">
        <v>21</v>
      </c>
      <c r="AO17" s="15">
        <f>G17*0.771352094</f>
        <v>0</v>
      </c>
      <c r="AP17" s="15">
        <f>G17*(1-0.771352094)</f>
        <v>0</v>
      </c>
      <c r="AQ17" s="16" t="s">
        <v>57</v>
      </c>
      <c r="AV17" s="15">
        <f>ROUND(AW17+AX17,2)</f>
        <v>0</v>
      </c>
      <c r="AW17" s="15">
        <f>ROUND(F17*AO17,2)</f>
        <v>0</v>
      </c>
      <c r="AX17" s="15">
        <f>ROUND(F17*AP17,2)</f>
        <v>0</v>
      </c>
      <c r="AY17" s="17" t="s">
        <v>58</v>
      </c>
      <c r="AZ17" s="17" t="s">
        <v>59</v>
      </c>
      <c r="BA17" s="11" t="s">
        <v>60</v>
      </c>
      <c r="BC17" s="15">
        <f>AW17+AX17</f>
        <v>0</v>
      </c>
      <c r="BD17" s="15">
        <f>G17/(100-BE17)*100</f>
        <v>0</v>
      </c>
      <c r="BE17" s="15">
        <v>0</v>
      </c>
      <c r="BF17" s="15">
        <f>N17</f>
        <v>0.40681199999999995</v>
      </c>
      <c r="BH17" s="14">
        <f>F17*AO17</f>
        <v>0</v>
      </c>
      <c r="BI17" s="14">
        <f>F17*AP17</f>
        <v>0</v>
      </c>
      <c r="BJ17" s="14">
        <f>F17*G17</f>
        <v>0</v>
      </c>
      <c r="BK17" s="16" t="s">
        <v>61</v>
      </c>
      <c r="BL17" s="15">
        <v>712</v>
      </c>
      <c r="BW17" s="15">
        <f>H17</f>
        <v>21</v>
      </c>
      <c r="BX17" s="13" t="s">
        <v>70</v>
      </c>
    </row>
    <row r="18" spans="1:76" x14ac:dyDescent="0.25">
      <c r="A18" s="55"/>
      <c r="B18" s="55"/>
      <c r="C18" s="56" t="s">
        <v>71</v>
      </c>
      <c r="D18" s="57" t="s">
        <v>49</v>
      </c>
      <c r="E18" s="55"/>
      <c r="F18" s="58">
        <v>1162.32</v>
      </c>
      <c r="G18" s="72"/>
      <c r="H18" s="55"/>
      <c r="I18" s="55"/>
      <c r="J18" s="55"/>
      <c r="K18" s="55"/>
      <c r="L18" s="55"/>
      <c r="M18" s="55"/>
      <c r="N18" s="55"/>
      <c r="O18" s="55"/>
    </row>
    <row r="19" spans="1:76" x14ac:dyDescent="0.25">
      <c r="A19" s="51" t="s">
        <v>72</v>
      </c>
      <c r="B19" s="51" t="s">
        <v>73</v>
      </c>
      <c r="C19" s="73" t="s">
        <v>74</v>
      </c>
      <c r="D19" s="74"/>
      <c r="E19" s="51" t="s">
        <v>55</v>
      </c>
      <c r="F19" s="52">
        <v>1162.32</v>
      </c>
      <c r="G19" s="68"/>
      <c r="H19" s="53">
        <v>21</v>
      </c>
      <c r="I19" s="52">
        <f>ROUND(F19*AO19,2)</f>
        <v>0</v>
      </c>
      <c r="J19" s="52">
        <f>ROUND(F19*AP19,2)</f>
        <v>0</v>
      </c>
      <c r="K19" s="52">
        <f>ROUND(F19*G19,2)</f>
        <v>0</v>
      </c>
      <c r="L19" s="52">
        <f>K19*(1+BW19/100)</f>
        <v>0</v>
      </c>
      <c r="M19" s="52">
        <v>0</v>
      </c>
      <c r="N19" s="52">
        <f>F19*M19</f>
        <v>0</v>
      </c>
      <c r="O19" s="54" t="s">
        <v>56</v>
      </c>
      <c r="Z19" s="15">
        <f>ROUND(IF(AQ19="5",BJ19,0),2)</f>
        <v>0</v>
      </c>
      <c r="AB19" s="15">
        <f>ROUND(IF(AQ19="1",BH19,0),2)</f>
        <v>0</v>
      </c>
      <c r="AC19" s="15">
        <f>ROUND(IF(AQ19="1",BI19,0),2)</f>
        <v>0</v>
      </c>
      <c r="AD19" s="15">
        <f>ROUND(IF(AQ19="7",BH19,0),2)</f>
        <v>0</v>
      </c>
      <c r="AE19" s="15">
        <f>ROUND(IF(AQ19="7",BI19,0),2)</f>
        <v>0</v>
      </c>
      <c r="AF19" s="15">
        <f>ROUND(IF(AQ19="2",BH19,0),2)</f>
        <v>0</v>
      </c>
      <c r="AG19" s="15">
        <f>ROUND(IF(AQ19="2",BI19,0),2)</f>
        <v>0</v>
      </c>
      <c r="AH19" s="15">
        <f>ROUND(IF(AQ19="0",BJ19,0),2)</f>
        <v>0</v>
      </c>
      <c r="AI19" s="11" t="s">
        <v>49</v>
      </c>
      <c r="AJ19" s="14">
        <f>IF(AN19=0,K19,0)</f>
        <v>0</v>
      </c>
      <c r="AK19" s="14">
        <f>IF(AN19=12,K19,0)</f>
        <v>0</v>
      </c>
      <c r="AL19" s="14">
        <f>IF(AN19=21,K19,0)</f>
        <v>0</v>
      </c>
      <c r="AN19" s="15">
        <v>21</v>
      </c>
      <c r="AO19" s="15">
        <f>G19*0</f>
        <v>0</v>
      </c>
      <c r="AP19" s="15">
        <f>G19*(1-0)</f>
        <v>0</v>
      </c>
      <c r="AQ19" s="16" t="s">
        <v>57</v>
      </c>
      <c r="AV19" s="15">
        <f>ROUND(AW19+AX19,2)</f>
        <v>0</v>
      </c>
      <c r="AW19" s="15">
        <f>ROUND(F19*AO19,2)</f>
        <v>0</v>
      </c>
      <c r="AX19" s="15">
        <f>ROUND(F19*AP19,2)</f>
        <v>0</v>
      </c>
      <c r="AY19" s="17" t="s">
        <v>58</v>
      </c>
      <c r="AZ19" s="17" t="s">
        <v>59</v>
      </c>
      <c r="BA19" s="11" t="s">
        <v>60</v>
      </c>
      <c r="BC19" s="15">
        <f>AW19+AX19</f>
        <v>0</v>
      </c>
      <c r="BD19" s="15">
        <f>G19/(100-BE19)*100</f>
        <v>0</v>
      </c>
      <c r="BE19" s="15">
        <v>0</v>
      </c>
      <c r="BF19" s="15">
        <f>N19</f>
        <v>0</v>
      </c>
      <c r="BH19" s="14">
        <f>F19*AO19</f>
        <v>0</v>
      </c>
      <c r="BI19" s="14">
        <f>F19*AP19</f>
        <v>0</v>
      </c>
      <c r="BJ19" s="14">
        <f>F19*G19</f>
        <v>0</v>
      </c>
      <c r="BK19" s="16" t="s">
        <v>61</v>
      </c>
      <c r="BL19" s="15">
        <v>712</v>
      </c>
      <c r="BW19" s="15">
        <f>H19</f>
        <v>21</v>
      </c>
      <c r="BX19" s="13" t="s">
        <v>74</v>
      </c>
    </row>
    <row r="20" spans="1:76" x14ac:dyDescent="0.25">
      <c r="A20" s="51" t="s">
        <v>75</v>
      </c>
      <c r="B20" s="51" t="s">
        <v>76</v>
      </c>
      <c r="C20" s="73" t="s">
        <v>77</v>
      </c>
      <c r="D20" s="74"/>
      <c r="E20" s="51" t="s">
        <v>55</v>
      </c>
      <c r="F20" s="52">
        <v>1162.32</v>
      </c>
      <c r="G20" s="68"/>
      <c r="H20" s="53">
        <v>21</v>
      </c>
      <c r="I20" s="52">
        <f>ROUND(F20*AO20,2)</f>
        <v>0</v>
      </c>
      <c r="J20" s="52">
        <f>ROUND(F20*AP20,2)</f>
        <v>0</v>
      </c>
      <c r="K20" s="52">
        <f>ROUND(F20*G20,2)</f>
        <v>0</v>
      </c>
      <c r="L20" s="52">
        <f>K20*(1+BW20/100)</f>
        <v>0</v>
      </c>
      <c r="M20" s="52">
        <v>5.8700000000000002E-3</v>
      </c>
      <c r="N20" s="52">
        <f>F20*M20</f>
        <v>6.8228184000000001</v>
      </c>
      <c r="O20" s="54" t="s">
        <v>56</v>
      </c>
      <c r="Z20" s="15">
        <f>ROUND(IF(AQ20="5",BJ20,0),2)</f>
        <v>0</v>
      </c>
      <c r="AB20" s="15">
        <f>ROUND(IF(AQ20="1",BH20,0),2)</f>
        <v>0</v>
      </c>
      <c r="AC20" s="15">
        <f>ROUND(IF(AQ20="1",BI20,0),2)</f>
        <v>0</v>
      </c>
      <c r="AD20" s="15">
        <f>ROUND(IF(AQ20="7",BH20,0),2)</f>
        <v>0</v>
      </c>
      <c r="AE20" s="15">
        <f>ROUND(IF(AQ20="7",BI20,0),2)</f>
        <v>0</v>
      </c>
      <c r="AF20" s="15">
        <f>ROUND(IF(AQ20="2",BH20,0),2)</f>
        <v>0</v>
      </c>
      <c r="AG20" s="15">
        <f>ROUND(IF(AQ20="2",BI20,0),2)</f>
        <v>0</v>
      </c>
      <c r="AH20" s="15">
        <f>ROUND(IF(AQ20="0",BJ20,0),2)</f>
        <v>0</v>
      </c>
      <c r="AI20" s="11" t="s">
        <v>49</v>
      </c>
      <c r="AJ20" s="14">
        <f>IF(AN20=0,K20,0)</f>
        <v>0</v>
      </c>
      <c r="AK20" s="14">
        <f>IF(AN20=12,K20,0)</f>
        <v>0</v>
      </c>
      <c r="AL20" s="14">
        <f>IF(AN20=21,K20,0)</f>
        <v>0</v>
      </c>
      <c r="AN20" s="15">
        <v>21</v>
      </c>
      <c r="AO20" s="15">
        <f>G20*0.749196435</f>
        <v>0</v>
      </c>
      <c r="AP20" s="15">
        <f>G20*(1-0.749196435)</f>
        <v>0</v>
      </c>
      <c r="AQ20" s="16" t="s">
        <v>57</v>
      </c>
      <c r="AV20" s="15">
        <f>ROUND(AW20+AX20,2)</f>
        <v>0</v>
      </c>
      <c r="AW20" s="15">
        <f>ROUND(F20*AO20,2)</f>
        <v>0</v>
      </c>
      <c r="AX20" s="15">
        <f>ROUND(F20*AP20,2)</f>
        <v>0</v>
      </c>
      <c r="AY20" s="17" t="s">
        <v>58</v>
      </c>
      <c r="AZ20" s="17" t="s">
        <v>59</v>
      </c>
      <c r="BA20" s="11" t="s">
        <v>60</v>
      </c>
      <c r="BC20" s="15">
        <f>AW20+AX20</f>
        <v>0</v>
      </c>
      <c r="BD20" s="15">
        <f>G20/(100-BE20)*100</f>
        <v>0</v>
      </c>
      <c r="BE20" s="15">
        <v>0</v>
      </c>
      <c r="BF20" s="15">
        <f>N20</f>
        <v>6.8228184000000001</v>
      </c>
      <c r="BH20" s="14">
        <f>F20*AO20</f>
        <v>0</v>
      </c>
      <c r="BI20" s="14">
        <f>F20*AP20</f>
        <v>0</v>
      </c>
      <c r="BJ20" s="14">
        <f>F20*G20</f>
        <v>0</v>
      </c>
      <c r="BK20" s="16" t="s">
        <v>61</v>
      </c>
      <c r="BL20" s="15">
        <v>712</v>
      </c>
      <c r="BW20" s="15">
        <f>H20</f>
        <v>21</v>
      </c>
      <c r="BX20" s="13" t="s">
        <v>77</v>
      </c>
    </row>
    <row r="21" spans="1:76" x14ac:dyDescent="0.25">
      <c r="A21" s="55"/>
      <c r="B21" s="55"/>
      <c r="C21" s="56" t="s">
        <v>71</v>
      </c>
      <c r="D21" s="57" t="s">
        <v>78</v>
      </c>
      <c r="E21" s="55"/>
      <c r="F21" s="58">
        <v>1162.32</v>
      </c>
      <c r="G21" s="72"/>
      <c r="H21" s="55"/>
      <c r="I21" s="55"/>
      <c r="J21" s="55"/>
      <c r="K21" s="55"/>
      <c r="L21" s="55"/>
      <c r="M21" s="55"/>
      <c r="N21" s="55"/>
      <c r="O21" s="55"/>
    </row>
    <row r="22" spans="1:76" x14ac:dyDescent="0.25">
      <c r="A22" s="51" t="s">
        <v>79</v>
      </c>
      <c r="B22" s="51" t="s">
        <v>80</v>
      </c>
      <c r="C22" s="73" t="s">
        <v>81</v>
      </c>
      <c r="D22" s="74"/>
      <c r="E22" s="51" t="s">
        <v>55</v>
      </c>
      <c r="F22" s="52">
        <v>11.54</v>
      </c>
      <c r="G22" s="68"/>
      <c r="H22" s="53">
        <v>21</v>
      </c>
      <c r="I22" s="52">
        <f>ROUND(F22*AO22,2)</f>
        <v>0</v>
      </c>
      <c r="J22" s="52">
        <f>ROUND(F22*AP22,2)</f>
        <v>0</v>
      </c>
      <c r="K22" s="52">
        <f>ROUND(F22*G22,2)</f>
        <v>0</v>
      </c>
      <c r="L22" s="52">
        <f>K22*(1+BW22/100)</f>
        <v>0</v>
      </c>
      <c r="M22" s="52">
        <v>3.5E-4</v>
      </c>
      <c r="N22" s="52">
        <f>F22*M22</f>
        <v>4.0390000000000001E-3</v>
      </c>
      <c r="O22" s="54" t="s">
        <v>56</v>
      </c>
      <c r="Z22" s="15">
        <f>ROUND(IF(AQ22="5",BJ22,0),2)</f>
        <v>0</v>
      </c>
      <c r="AB22" s="15">
        <f>ROUND(IF(AQ22="1",BH22,0),2)</f>
        <v>0</v>
      </c>
      <c r="AC22" s="15">
        <f>ROUND(IF(AQ22="1",BI22,0),2)</f>
        <v>0</v>
      </c>
      <c r="AD22" s="15">
        <f>ROUND(IF(AQ22="7",BH22,0),2)</f>
        <v>0</v>
      </c>
      <c r="AE22" s="15">
        <f>ROUND(IF(AQ22="7",BI22,0),2)</f>
        <v>0</v>
      </c>
      <c r="AF22" s="15">
        <f>ROUND(IF(AQ22="2",BH22,0),2)</f>
        <v>0</v>
      </c>
      <c r="AG22" s="15">
        <f>ROUND(IF(AQ22="2",BI22,0),2)</f>
        <v>0</v>
      </c>
      <c r="AH22" s="15">
        <f>ROUND(IF(AQ22="0",BJ22,0),2)</f>
        <v>0</v>
      </c>
      <c r="AI22" s="11" t="s">
        <v>49</v>
      </c>
      <c r="AJ22" s="14">
        <f>IF(AN22=0,K22,0)</f>
        <v>0</v>
      </c>
      <c r="AK22" s="14">
        <f>IF(AN22=12,K22,0)</f>
        <v>0</v>
      </c>
      <c r="AL22" s="14">
        <f>IF(AN22=21,K22,0)</f>
        <v>0</v>
      </c>
      <c r="AN22" s="15">
        <v>21</v>
      </c>
      <c r="AO22" s="15">
        <f>G22*0.652274208</f>
        <v>0</v>
      </c>
      <c r="AP22" s="15">
        <f>G22*(1-0.652274208)</f>
        <v>0</v>
      </c>
      <c r="AQ22" s="16" t="s">
        <v>57</v>
      </c>
      <c r="AV22" s="15">
        <f>ROUND(AW22+AX22,2)</f>
        <v>0</v>
      </c>
      <c r="AW22" s="15">
        <f>ROUND(F22*AO22,2)</f>
        <v>0</v>
      </c>
      <c r="AX22" s="15">
        <f>ROUND(F22*AP22,2)</f>
        <v>0</v>
      </c>
      <c r="AY22" s="17" t="s">
        <v>58</v>
      </c>
      <c r="AZ22" s="17" t="s">
        <v>59</v>
      </c>
      <c r="BA22" s="11" t="s">
        <v>60</v>
      </c>
      <c r="BC22" s="15">
        <f>AW22+AX22</f>
        <v>0</v>
      </c>
      <c r="BD22" s="15">
        <f>G22/(100-BE22)*100</f>
        <v>0</v>
      </c>
      <c r="BE22" s="15">
        <v>0</v>
      </c>
      <c r="BF22" s="15">
        <f>N22</f>
        <v>4.0390000000000001E-3</v>
      </c>
      <c r="BH22" s="14">
        <f>F22*AO22</f>
        <v>0</v>
      </c>
      <c r="BI22" s="14">
        <f>F22*AP22</f>
        <v>0</v>
      </c>
      <c r="BJ22" s="14">
        <f>F22*G22</f>
        <v>0</v>
      </c>
      <c r="BK22" s="16" t="s">
        <v>61</v>
      </c>
      <c r="BL22" s="15">
        <v>712</v>
      </c>
      <c r="BW22" s="15">
        <f>H22</f>
        <v>21</v>
      </c>
      <c r="BX22" s="13" t="s">
        <v>81</v>
      </c>
    </row>
    <row r="23" spans="1:76" x14ac:dyDescent="0.25">
      <c r="A23" s="55"/>
      <c r="B23" s="55"/>
      <c r="C23" s="56" t="s">
        <v>82</v>
      </c>
      <c r="D23" s="57" t="s">
        <v>49</v>
      </c>
      <c r="E23" s="55"/>
      <c r="F23" s="58">
        <v>7.7</v>
      </c>
      <c r="G23" s="72"/>
      <c r="H23" s="55"/>
      <c r="I23" s="55"/>
      <c r="J23" s="55"/>
      <c r="K23" s="55"/>
      <c r="L23" s="55"/>
      <c r="M23" s="55"/>
      <c r="N23" s="55"/>
      <c r="O23" s="55"/>
    </row>
    <row r="24" spans="1:76" x14ac:dyDescent="0.25">
      <c r="A24" s="55"/>
      <c r="B24" s="55"/>
      <c r="C24" s="56" t="s">
        <v>83</v>
      </c>
      <c r="D24" s="57" t="s">
        <v>49</v>
      </c>
      <c r="E24" s="55"/>
      <c r="F24" s="58">
        <v>3.84</v>
      </c>
      <c r="G24" s="72"/>
      <c r="H24" s="55"/>
      <c r="I24" s="55"/>
      <c r="J24" s="55"/>
      <c r="K24" s="55"/>
      <c r="L24" s="55"/>
      <c r="M24" s="55"/>
      <c r="N24" s="55"/>
      <c r="O24" s="55"/>
    </row>
    <row r="25" spans="1:76" x14ac:dyDescent="0.25">
      <c r="A25" s="51" t="s">
        <v>57</v>
      </c>
      <c r="B25" s="51" t="s">
        <v>84</v>
      </c>
      <c r="C25" s="73" t="s">
        <v>85</v>
      </c>
      <c r="D25" s="74"/>
      <c r="E25" s="51" t="s">
        <v>55</v>
      </c>
      <c r="F25" s="52">
        <v>11.54</v>
      </c>
      <c r="G25" s="68"/>
      <c r="H25" s="53">
        <v>21</v>
      </c>
      <c r="I25" s="52">
        <f>ROUND(F25*AO25,2)</f>
        <v>0</v>
      </c>
      <c r="J25" s="52">
        <f>ROUND(F25*AP25,2)</f>
        <v>0</v>
      </c>
      <c r="K25" s="52">
        <f>ROUND(F25*G25,2)</f>
        <v>0</v>
      </c>
      <c r="L25" s="52">
        <f>K25*(1+BW25/100)</f>
        <v>0</v>
      </c>
      <c r="M25" s="52">
        <v>4.2000000000000002E-4</v>
      </c>
      <c r="N25" s="52">
        <f>F25*M25</f>
        <v>4.8468000000000001E-3</v>
      </c>
      <c r="O25" s="54" t="s">
        <v>56</v>
      </c>
      <c r="Z25" s="15">
        <f>ROUND(IF(AQ25="5",BJ25,0),2)</f>
        <v>0</v>
      </c>
      <c r="AB25" s="15">
        <f>ROUND(IF(AQ25="1",BH25,0),2)</f>
        <v>0</v>
      </c>
      <c r="AC25" s="15">
        <f>ROUND(IF(AQ25="1",BI25,0),2)</f>
        <v>0</v>
      </c>
      <c r="AD25" s="15">
        <f>ROUND(IF(AQ25="7",BH25,0),2)</f>
        <v>0</v>
      </c>
      <c r="AE25" s="15">
        <f>ROUND(IF(AQ25="7",BI25,0),2)</f>
        <v>0</v>
      </c>
      <c r="AF25" s="15">
        <f>ROUND(IF(AQ25="2",BH25,0),2)</f>
        <v>0</v>
      </c>
      <c r="AG25" s="15">
        <f>ROUND(IF(AQ25="2",BI25,0),2)</f>
        <v>0</v>
      </c>
      <c r="AH25" s="15">
        <f>ROUND(IF(AQ25="0",BJ25,0),2)</f>
        <v>0</v>
      </c>
      <c r="AI25" s="11" t="s">
        <v>49</v>
      </c>
      <c r="AJ25" s="14">
        <f>IF(AN25=0,K25,0)</f>
        <v>0</v>
      </c>
      <c r="AK25" s="14">
        <f>IF(AN25=12,K25,0)</f>
        <v>0</v>
      </c>
      <c r="AL25" s="14">
        <f>IF(AN25=21,K25,0)</f>
        <v>0</v>
      </c>
      <c r="AN25" s="15">
        <v>21</v>
      </c>
      <c r="AO25" s="15">
        <f>G25*0.049373788</f>
        <v>0</v>
      </c>
      <c r="AP25" s="15">
        <f>G25*(1-0.049373788)</f>
        <v>0</v>
      </c>
      <c r="AQ25" s="16" t="s">
        <v>57</v>
      </c>
      <c r="AV25" s="15">
        <f>ROUND(AW25+AX25,2)</f>
        <v>0</v>
      </c>
      <c r="AW25" s="15">
        <f>ROUND(F25*AO25,2)</f>
        <v>0</v>
      </c>
      <c r="AX25" s="15">
        <f>ROUND(F25*AP25,2)</f>
        <v>0</v>
      </c>
      <c r="AY25" s="17" t="s">
        <v>58</v>
      </c>
      <c r="AZ25" s="17" t="s">
        <v>59</v>
      </c>
      <c r="BA25" s="11" t="s">
        <v>60</v>
      </c>
      <c r="BC25" s="15">
        <f>AW25+AX25</f>
        <v>0</v>
      </c>
      <c r="BD25" s="15">
        <f>G25/(100-BE25)*100</f>
        <v>0</v>
      </c>
      <c r="BE25" s="15">
        <v>0</v>
      </c>
      <c r="BF25" s="15">
        <f>N25</f>
        <v>4.8468000000000001E-3</v>
      </c>
      <c r="BH25" s="14">
        <f>F25*AO25</f>
        <v>0</v>
      </c>
      <c r="BI25" s="14">
        <f>F25*AP25</f>
        <v>0</v>
      </c>
      <c r="BJ25" s="14">
        <f>F25*G25</f>
        <v>0</v>
      </c>
      <c r="BK25" s="16" t="s">
        <v>61</v>
      </c>
      <c r="BL25" s="15">
        <v>712</v>
      </c>
      <c r="BW25" s="15">
        <f>H25</f>
        <v>21</v>
      </c>
      <c r="BX25" s="13" t="s">
        <v>85</v>
      </c>
    </row>
    <row r="26" spans="1:76" x14ac:dyDescent="0.25">
      <c r="A26" s="59" t="s">
        <v>86</v>
      </c>
      <c r="B26" s="59" t="s">
        <v>87</v>
      </c>
      <c r="C26" s="80" t="s">
        <v>88</v>
      </c>
      <c r="D26" s="81"/>
      <c r="E26" s="59" t="s">
        <v>55</v>
      </c>
      <c r="F26" s="60">
        <v>13.27</v>
      </c>
      <c r="G26" s="70"/>
      <c r="H26" s="61">
        <v>21</v>
      </c>
      <c r="I26" s="60">
        <f>ROUND(F26*AO26,2)</f>
        <v>0</v>
      </c>
      <c r="J26" s="60">
        <f>ROUND(F26*AP26,2)</f>
        <v>0</v>
      </c>
      <c r="K26" s="60">
        <f>ROUND(F26*G26,2)</f>
        <v>0</v>
      </c>
      <c r="L26" s="60">
        <f>K26*(1+BW26/100)</f>
        <v>0</v>
      </c>
      <c r="M26" s="60">
        <v>4.7999999999999996E-3</v>
      </c>
      <c r="N26" s="60">
        <f>F26*M26</f>
        <v>6.3695999999999989E-2</v>
      </c>
      <c r="O26" s="62" t="s">
        <v>56</v>
      </c>
      <c r="Z26" s="15">
        <f>ROUND(IF(AQ26="5",BJ26,0),2)</f>
        <v>0</v>
      </c>
      <c r="AB26" s="15">
        <f>ROUND(IF(AQ26="1",BH26,0),2)</f>
        <v>0</v>
      </c>
      <c r="AC26" s="15">
        <f>ROUND(IF(AQ26="1",BI26,0),2)</f>
        <v>0</v>
      </c>
      <c r="AD26" s="15">
        <f>ROUND(IF(AQ26="7",BH26,0),2)</f>
        <v>0</v>
      </c>
      <c r="AE26" s="15">
        <f>ROUND(IF(AQ26="7",BI26,0),2)</f>
        <v>0</v>
      </c>
      <c r="AF26" s="15">
        <f>ROUND(IF(AQ26="2",BH26,0),2)</f>
        <v>0</v>
      </c>
      <c r="AG26" s="15">
        <f>ROUND(IF(AQ26="2",BI26,0),2)</f>
        <v>0</v>
      </c>
      <c r="AH26" s="15">
        <f>ROUND(IF(AQ26="0",BJ26,0),2)</f>
        <v>0</v>
      </c>
      <c r="AI26" s="11" t="s">
        <v>49</v>
      </c>
      <c r="AJ26" s="15">
        <f>IF(AN26=0,K26,0)</f>
        <v>0</v>
      </c>
      <c r="AK26" s="15">
        <f>IF(AN26=12,K26,0)</f>
        <v>0</v>
      </c>
      <c r="AL26" s="15">
        <f>IF(AN26=21,K26,0)</f>
        <v>0</v>
      </c>
      <c r="AN26" s="15">
        <v>21</v>
      </c>
      <c r="AO26" s="15">
        <f>G26*1</f>
        <v>0</v>
      </c>
      <c r="AP26" s="15">
        <f>G26*(1-1)</f>
        <v>0</v>
      </c>
      <c r="AQ26" s="17" t="s">
        <v>57</v>
      </c>
      <c r="AV26" s="15">
        <f>ROUND(AW26+AX26,2)</f>
        <v>0</v>
      </c>
      <c r="AW26" s="15">
        <f>ROUND(F26*AO26,2)</f>
        <v>0</v>
      </c>
      <c r="AX26" s="15">
        <f>ROUND(F26*AP26,2)</f>
        <v>0</v>
      </c>
      <c r="AY26" s="17" t="s">
        <v>58</v>
      </c>
      <c r="AZ26" s="17" t="s">
        <v>59</v>
      </c>
      <c r="BA26" s="11" t="s">
        <v>60</v>
      </c>
      <c r="BC26" s="15">
        <f>AW26+AX26</f>
        <v>0</v>
      </c>
      <c r="BD26" s="15">
        <f>G26/(100-BE26)*100</f>
        <v>0</v>
      </c>
      <c r="BE26" s="15">
        <v>0</v>
      </c>
      <c r="BF26" s="15">
        <f>N26</f>
        <v>6.3695999999999989E-2</v>
      </c>
      <c r="BH26" s="15">
        <f>F26*AO26</f>
        <v>0</v>
      </c>
      <c r="BI26" s="15">
        <f>F26*AP26</f>
        <v>0</v>
      </c>
      <c r="BJ26" s="15">
        <f>F26*G26</f>
        <v>0</v>
      </c>
      <c r="BK26" s="17" t="s">
        <v>89</v>
      </c>
      <c r="BL26" s="15">
        <v>712</v>
      </c>
      <c r="BW26" s="15">
        <f>H26</f>
        <v>21</v>
      </c>
      <c r="BX26" s="2" t="s">
        <v>88</v>
      </c>
    </row>
    <row r="27" spans="1:76" x14ac:dyDescent="0.25">
      <c r="A27" s="55"/>
      <c r="B27" s="55"/>
      <c r="C27" s="56" t="s">
        <v>90</v>
      </c>
      <c r="D27" s="57" t="s">
        <v>49</v>
      </c>
      <c r="E27" s="55"/>
      <c r="F27" s="58">
        <v>13.27</v>
      </c>
      <c r="G27" s="72"/>
      <c r="H27" s="55"/>
      <c r="I27" s="55"/>
      <c r="J27" s="55"/>
      <c r="K27" s="55"/>
      <c r="L27" s="55"/>
      <c r="M27" s="55"/>
      <c r="N27" s="55"/>
      <c r="O27" s="55"/>
    </row>
    <row r="28" spans="1:76" x14ac:dyDescent="0.25">
      <c r="A28" s="51" t="s">
        <v>91</v>
      </c>
      <c r="B28" s="51" t="s">
        <v>92</v>
      </c>
      <c r="C28" s="73" t="s">
        <v>93</v>
      </c>
      <c r="D28" s="74"/>
      <c r="E28" s="51" t="s">
        <v>94</v>
      </c>
      <c r="F28" s="52">
        <v>57.72</v>
      </c>
      <c r="G28" s="68"/>
      <c r="H28" s="53">
        <v>21</v>
      </c>
      <c r="I28" s="52">
        <f>ROUND(F28*AO28,2)</f>
        <v>0</v>
      </c>
      <c r="J28" s="52">
        <f>ROUND(F28*AP28,2)</f>
        <v>0</v>
      </c>
      <c r="K28" s="52">
        <f>ROUND(F28*G28,2)</f>
        <v>0</v>
      </c>
      <c r="L28" s="52">
        <f>K28*(1+BW28/100)</f>
        <v>0</v>
      </c>
      <c r="M28" s="52">
        <v>2.0000000000000002E-5</v>
      </c>
      <c r="N28" s="52">
        <f>F28*M28</f>
        <v>1.1544000000000001E-3</v>
      </c>
      <c r="O28" s="54" t="s">
        <v>56</v>
      </c>
      <c r="Z28" s="15">
        <f>ROUND(IF(AQ28="5",BJ28,0),2)</f>
        <v>0</v>
      </c>
      <c r="AB28" s="15">
        <f>ROUND(IF(AQ28="1",BH28,0),2)</f>
        <v>0</v>
      </c>
      <c r="AC28" s="15">
        <f>ROUND(IF(AQ28="1",BI28,0),2)</f>
        <v>0</v>
      </c>
      <c r="AD28" s="15">
        <f>ROUND(IF(AQ28="7",BH28,0),2)</f>
        <v>0</v>
      </c>
      <c r="AE28" s="15">
        <f>ROUND(IF(AQ28="7",BI28,0),2)</f>
        <v>0</v>
      </c>
      <c r="AF28" s="15">
        <f>ROUND(IF(AQ28="2",BH28,0),2)</f>
        <v>0</v>
      </c>
      <c r="AG28" s="15">
        <f>ROUND(IF(AQ28="2",BI28,0),2)</f>
        <v>0</v>
      </c>
      <c r="AH28" s="15">
        <f>ROUND(IF(AQ28="0",BJ28,0),2)</f>
        <v>0</v>
      </c>
      <c r="AI28" s="11" t="s">
        <v>49</v>
      </c>
      <c r="AJ28" s="14">
        <f>IF(AN28=0,K28,0)</f>
        <v>0</v>
      </c>
      <c r="AK28" s="14">
        <f>IF(AN28=12,K28,0)</f>
        <v>0</v>
      </c>
      <c r="AL28" s="14">
        <f>IF(AN28=21,K28,0)</f>
        <v>0</v>
      </c>
      <c r="AN28" s="15">
        <v>21</v>
      </c>
      <c r="AO28" s="15">
        <f>G28*0.191913041</f>
        <v>0</v>
      </c>
      <c r="AP28" s="15">
        <f>G28*(1-0.191913041)</f>
        <v>0</v>
      </c>
      <c r="AQ28" s="16" t="s">
        <v>57</v>
      </c>
      <c r="AV28" s="15">
        <f>ROUND(AW28+AX28,2)</f>
        <v>0</v>
      </c>
      <c r="AW28" s="15">
        <f>ROUND(F28*AO28,2)</f>
        <v>0</v>
      </c>
      <c r="AX28" s="15">
        <f>ROUND(F28*AP28,2)</f>
        <v>0</v>
      </c>
      <c r="AY28" s="17" t="s">
        <v>58</v>
      </c>
      <c r="AZ28" s="17" t="s">
        <v>59</v>
      </c>
      <c r="BA28" s="11" t="s">
        <v>60</v>
      </c>
      <c r="BC28" s="15">
        <f>AW28+AX28</f>
        <v>0</v>
      </c>
      <c r="BD28" s="15">
        <f>G28/(100-BE28)*100</f>
        <v>0</v>
      </c>
      <c r="BE28" s="15">
        <v>0</v>
      </c>
      <c r="BF28" s="15">
        <f>N28</f>
        <v>1.1544000000000001E-3</v>
      </c>
      <c r="BH28" s="14">
        <f>F28*AO28</f>
        <v>0</v>
      </c>
      <c r="BI28" s="14">
        <f>F28*AP28</f>
        <v>0</v>
      </c>
      <c r="BJ28" s="14">
        <f>F28*G28</f>
        <v>0</v>
      </c>
      <c r="BK28" s="16" t="s">
        <v>61</v>
      </c>
      <c r="BL28" s="15">
        <v>712</v>
      </c>
      <c r="BW28" s="15">
        <f>H28</f>
        <v>21</v>
      </c>
      <c r="BX28" s="13" t="s">
        <v>93</v>
      </c>
    </row>
    <row r="29" spans="1:76" x14ac:dyDescent="0.25">
      <c r="A29" s="55"/>
      <c r="B29" s="55"/>
      <c r="C29" s="56" t="s">
        <v>95</v>
      </c>
      <c r="D29" s="57" t="s">
        <v>49</v>
      </c>
      <c r="E29" s="55"/>
      <c r="F29" s="58">
        <v>38.5</v>
      </c>
      <c r="G29" s="72"/>
      <c r="H29" s="55"/>
      <c r="I29" s="55"/>
      <c r="J29" s="55"/>
      <c r="K29" s="55"/>
      <c r="L29" s="55"/>
      <c r="M29" s="55"/>
      <c r="N29" s="55"/>
      <c r="O29" s="55"/>
    </row>
    <row r="30" spans="1:76" x14ac:dyDescent="0.25">
      <c r="A30" s="55"/>
      <c r="B30" s="55"/>
      <c r="C30" s="56" t="s">
        <v>96</v>
      </c>
      <c r="D30" s="57" t="s">
        <v>49</v>
      </c>
      <c r="E30" s="55"/>
      <c r="F30" s="58">
        <v>19.22</v>
      </c>
      <c r="G30" s="72"/>
      <c r="H30" s="55"/>
      <c r="I30" s="55"/>
      <c r="J30" s="55"/>
      <c r="K30" s="55"/>
      <c r="L30" s="55"/>
      <c r="M30" s="55"/>
      <c r="N30" s="55"/>
      <c r="O30" s="55"/>
    </row>
    <row r="31" spans="1:76" x14ac:dyDescent="0.25">
      <c r="A31" s="59" t="s">
        <v>97</v>
      </c>
      <c r="B31" s="59" t="s">
        <v>98</v>
      </c>
      <c r="C31" s="80" t="s">
        <v>99</v>
      </c>
      <c r="D31" s="81"/>
      <c r="E31" s="59" t="s">
        <v>94</v>
      </c>
      <c r="F31" s="60">
        <v>60.61</v>
      </c>
      <c r="G31" s="70"/>
      <c r="H31" s="61">
        <v>21</v>
      </c>
      <c r="I31" s="60">
        <f>ROUND(F31*AO31,2)</f>
        <v>0</v>
      </c>
      <c r="J31" s="60">
        <f>ROUND(F31*AP31,2)</f>
        <v>0</v>
      </c>
      <c r="K31" s="60">
        <f>ROUND(F31*G31,2)</f>
        <v>0</v>
      </c>
      <c r="L31" s="60">
        <f>K31*(1+BW31/100)</f>
        <v>0</v>
      </c>
      <c r="M31" s="60">
        <v>2.0000000000000001E-4</v>
      </c>
      <c r="N31" s="60">
        <f>F31*M31</f>
        <v>1.2122000000000001E-2</v>
      </c>
      <c r="O31" s="62" t="s">
        <v>56</v>
      </c>
      <c r="Z31" s="15">
        <f>ROUND(IF(AQ31="5",BJ31,0),2)</f>
        <v>0</v>
      </c>
      <c r="AB31" s="15">
        <f>ROUND(IF(AQ31="1",BH31,0),2)</f>
        <v>0</v>
      </c>
      <c r="AC31" s="15">
        <f>ROUND(IF(AQ31="1",BI31,0),2)</f>
        <v>0</v>
      </c>
      <c r="AD31" s="15">
        <f>ROUND(IF(AQ31="7",BH31,0),2)</f>
        <v>0</v>
      </c>
      <c r="AE31" s="15">
        <f>ROUND(IF(AQ31="7",BI31,0),2)</f>
        <v>0</v>
      </c>
      <c r="AF31" s="15">
        <f>ROUND(IF(AQ31="2",BH31,0),2)</f>
        <v>0</v>
      </c>
      <c r="AG31" s="15">
        <f>ROUND(IF(AQ31="2",BI31,0),2)</f>
        <v>0</v>
      </c>
      <c r="AH31" s="15">
        <f>ROUND(IF(AQ31="0",BJ31,0),2)</f>
        <v>0</v>
      </c>
      <c r="AI31" s="11" t="s">
        <v>49</v>
      </c>
      <c r="AJ31" s="15">
        <f>IF(AN31=0,K31,0)</f>
        <v>0</v>
      </c>
      <c r="AK31" s="15">
        <f>IF(AN31=12,K31,0)</f>
        <v>0</v>
      </c>
      <c r="AL31" s="15">
        <f>IF(AN31=21,K31,0)</f>
        <v>0</v>
      </c>
      <c r="AN31" s="15">
        <v>21</v>
      </c>
      <c r="AO31" s="15">
        <f>G31*1</f>
        <v>0</v>
      </c>
      <c r="AP31" s="15">
        <f>G31*(1-1)</f>
        <v>0</v>
      </c>
      <c r="AQ31" s="17" t="s">
        <v>57</v>
      </c>
      <c r="AV31" s="15">
        <f>ROUND(AW31+AX31,2)</f>
        <v>0</v>
      </c>
      <c r="AW31" s="15">
        <f>ROUND(F31*AO31,2)</f>
        <v>0</v>
      </c>
      <c r="AX31" s="15">
        <f>ROUND(F31*AP31,2)</f>
        <v>0</v>
      </c>
      <c r="AY31" s="17" t="s">
        <v>58</v>
      </c>
      <c r="AZ31" s="17" t="s">
        <v>59</v>
      </c>
      <c r="BA31" s="11" t="s">
        <v>60</v>
      </c>
      <c r="BC31" s="15">
        <f>AW31+AX31</f>
        <v>0</v>
      </c>
      <c r="BD31" s="15">
        <f>G31/(100-BE31)*100</f>
        <v>0</v>
      </c>
      <c r="BE31" s="15">
        <v>0</v>
      </c>
      <c r="BF31" s="15">
        <f>N31</f>
        <v>1.2122000000000001E-2</v>
      </c>
      <c r="BH31" s="15">
        <f>F31*AO31</f>
        <v>0</v>
      </c>
      <c r="BI31" s="15">
        <f>F31*AP31</f>
        <v>0</v>
      </c>
      <c r="BJ31" s="15">
        <f>F31*G31</f>
        <v>0</v>
      </c>
      <c r="BK31" s="17" t="s">
        <v>89</v>
      </c>
      <c r="BL31" s="15">
        <v>712</v>
      </c>
      <c r="BW31" s="15">
        <f>H31</f>
        <v>21</v>
      </c>
      <c r="BX31" s="2" t="s">
        <v>99</v>
      </c>
    </row>
    <row r="32" spans="1:76" x14ac:dyDescent="0.25">
      <c r="A32" s="55"/>
      <c r="B32" s="55"/>
      <c r="C32" s="56" t="s">
        <v>100</v>
      </c>
      <c r="D32" s="57" t="s">
        <v>49</v>
      </c>
      <c r="E32" s="55"/>
      <c r="F32" s="58">
        <v>60.61</v>
      </c>
      <c r="G32" s="72"/>
      <c r="H32" s="55"/>
      <c r="I32" s="55"/>
      <c r="J32" s="55"/>
      <c r="K32" s="55"/>
      <c r="L32" s="55"/>
      <c r="M32" s="55"/>
      <c r="N32" s="55"/>
      <c r="O32" s="55"/>
    </row>
    <row r="33" spans="1:76" x14ac:dyDescent="0.25">
      <c r="A33" s="51" t="s">
        <v>101</v>
      </c>
      <c r="B33" s="51" t="s">
        <v>102</v>
      </c>
      <c r="C33" s="73" t="s">
        <v>103</v>
      </c>
      <c r="D33" s="74"/>
      <c r="E33" s="51" t="s">
        <v>104</v>
      </c>
      <c r="F33" s="52">
        <v>10.33</v>
      </c>
      <c r="G33" s="68"/>
      <c r="H33" s="53">
        <v>21</v>
      </c>
      <c r="I33" s="52">
        <f>ROUND(F33*AO33,2)</f>
        <v>0</v>
      </c>
      <c r="J33" s="52">
        <f>ROUND(F33*AP33,2)</f>
        <v>0</v>
      </c>
      <c r="K33" s="52">
        <f>ROUND(F33*G33,2)</f>
        <v>0</v>
      </c>
      <c r="L33" s="52">
        <f>K33*(1+BW33/100)</f>
        <v>0</v>
      </c>
      <c r="M33" s="52">
        <v>0</v>
      </c>
      <c r="N33" s="52">
        <f>F33*M33</f>
        <v>0</v>
      </c>
      <c r="O33" s="54" t="s">
        <v>56</v>
      </c>
      <c r="Z33" s="15">
        <f>ROUND(IF(AQ33="5",BJ33,0),2)</f>
        <v>0</v>
      </c>
      <c r="AB33" s="15">
        <f>ROUND(IF(AQ33="1",BH33,0),2)</f>
        <v>0</v>
      </c>
      <c r="AC33" s="15">
        <f>ROUND(IF(AQ33="1",BI33,0),2)</f>
        <v>0</v>
      </c>
      <c r="AD33" s="15">
        <f>ROUND(IF(AQ33="7",BH33,0),2)</f>
        <v>0</v>
      </c>
      <c r="AE33" s="15">
        <f>ROUND(IF(AQ33="7",BI33,0),2)</f>
        <v>0</v>
      </c>
      <c r="AF33" s="15">
        <f>ROUND(IF(AQ33="2",BH33,0),2)</f>
        <v>0</v>
      </c>
      <c r="AG33" s="15">
        <f>ROUND(IF(AQ33="2",BI33,0),2)</f>
        <v>0</v>
      </c>
      <c r="AH33" s="15">
        <f>ROUND(IF(AQ33="0",BJ33,0),2)</f>
        <v>0</v>
      </c>
      <c r="AI33" s="11" t="s">
        <v>49</v>
      </c>
      <c r="AJ33" s="14">
        <f>IF(AN33=0,K33,0)</f>
        <v>0</v>
      </c>
      <c r="AK33" s="14">
        <f>IF(AN33=12,K33,0)</f>
        <v>0</v>
      </c>
      <c r="AL33" s="14">
        <f>IF(AN33=21,K33,0)</f>
        <v>0</v>
      </c>
      <c r="AN33" s="15">
        <v>21</v>
      </c>
      <c r="AO33" s="15">
        <f>G33*0</f>
        <v>0</v>
      </c>
      <c r="AP33" s="15">
        <f>G33*(1-0)</f>
        <v>0</v>
      </c>
      <c r="AQ33" s="16" t="s">
        <v>75</v>
      </c>
      <c r="AV33" s="15">
        <f>ROUND(AW33+AX33,2)</f>
        <v>0</v>
      </c>
      <c r="AW33" s="15">
        <f>ROUND(F33*AO33,2)</f>
        <v>0</v>
      </c>
      <c r="AX33" s="15">
        <f>ROUND(F33*AP33,2)</f>
        <v>0</v>
      </c>
      <c r="AY33" s="17" t="s">
        <v>58</v>
      </c>
      <c r="AZ33" s="17" t="s">
        <v>59</v>
      </c>
      <c r="BA33" s="11" t="s">
        <v>60</v>
      </c>
      <c r="BC33" s="15">
        <f>AW33+AX33</f>
        <v>0</v>
      </c>
      <c r="BD33" s="15">
        <f>G33/(100-BE33)*100</f>
        <v>0</v>
      </c>
      <c r="BE33" s="15">
        <v>0</v>
      </c>
      <c r="BF33" s="15">
        <f>N33</f>
        <v>0</v>
      </c>
      <c r="BH33" s="14">
        <f>F33*AO33</f>
        <v>0</v>
      </c>
      <c r="BI33" s="14">
        <f>F33*AP33</f>
        <v>0</v>
      </c>
      <c r="BJ33" s="14">
        <f>F33*G33</f>
        <v>0</v>
      </c>
      <c r="BK33" s="16" t="s">
        <v>61</v>
      </c>
      <c r="BL33" s="15">
        <v>712</v>
      </c>
      <c r="BW33" s="15">
        <f>H33</f>
        <v>21</v>
      </c>
      <c r="BX33" s="13" t="s">
        <v>103</v>
      </c>
    </row>
    <row r="34" spans="1:76" x14ac:dyDescent="0.25">
      <c r="A34" s="51" t="s">
        <v>105</v>
      </c>
      <c r="B34" s="51" t="s">
        <v>106</v>
      </c>
      <c r="C34" s="73" t="s">
        <v>107</v>
      </c>
      <c r="D34" s="74"/>
      <c r="E34" s="51" t="s">
        <v>108</v>
      </c>
      <c r="F34" s="52">
        <v>1</v>
      </c>
      <c r="G34" s="68"/>
      <c r="H34" s="53">
        <v>21</v>
      </c>
      <c r="I34" s="52">
        <f>ROUND(F34*AO34,2)</f>
        <v>0</v>
      </c>
      <c r="J34" s="52">
        <f>ROUND(F34*AP34,2)</f>
        <v>0</v>
      </c>
      <c r="K34" s="52">
        <f>ROUND(F34*G34,2)</f>
        <v>0</v>
      </c>
      <c r="L34" s="52">
        <f>K34*(1+BW34/100)</f>
        <v>0</v>
      </c>
      <c r="M34" s="52">
        <v>0</v>
      </c>
      <c r="N34" s="52">
        <f>F34*M34</f>
        <v>0</v>
      </c>
      <c r="O34" s="54" t="s">
        <v>49</v>
      </c>
      <c r="Z34" s="15">
        <f>ROUND(IF(AQ34="5",BJ34,0),2)</f>
        <v>0</v>
      </c>
      <c r="AB34" s="15">
        <f>ROUND(IF(AQ34="1",BH34,0),2)</f>
        <v>0</v>
      </c>
      <c r="AC34" s="15">
        <f>ROUND(IF(AQ34="1",BI34,0),2)</f>
        <v>0</v>
      </c>
      <c r="AD34" s="15">
        <f>ROUND(IF(AQ34="7",BH34,0),2)</f>
        <v>0</v>
      </c>
      <c r="AE34" s="15">
        <f>ROUND(IF(AQ34="7",BI34,0),2)</f>
        <v>0</v>
      </c>
      <c r="AF34" s="15">
        <f>ROUND(IF(AQ34="2",BH34,0),2)</f>
        <v>0</v>
      </c>
      <c r="AG34" s="15">
        <f>ROUND(IF(AQ34="2",BI34,0),2)</f>
        <v>0</v>
      </c>
      <c r="AH34" s="15">
        <f>ROUND(IF(AQ34="0",BJ34,0),2)</f>
        <v>0</v>
      </c>
      <c r="AI34" s="11" t="s">
        <v>49</v>
      </c>
      <c r="AJ34" s="14">
        <f>IF(AN34=0,K34,0)</f>
        <v>0</v>
      </c>
      <c r="AK34" s="14">
        <f>IF(AN34=12,K34,0)</f>
        <v>0</v>
      </c>
      <c r="AL34" s="14">
        <f>IF(AN34=21,K34,0)</f>
        <v>0</v>
      </c>
      <c r="AN34" s="15">
        <v>21</v>
      </c>
      <c r="AO34" s="15">
        <f>G34*0</f>
        <v>0</v>
      </c>
      <c r="AP34" s="15">
        <f>G34*(1-0)</f>
        <v>0</v>
      </c>
      <c r="AQ34" s="16" t="s">
        <v>57</v>
      </c>
      <c r="AV34" s="15">
        <f>ROUND(AW34+AX34,2)</f>
        <v>0</v>
      </c>
      <c r="AW34" s="15">
        <f>ROUND(F34*AO34,2)</f>
        <v>0</v>
      </c>
      <c r="AX34" s="15">
        <f>ROUND(F34*AP34,2)</f>
        <v>0</v>
      </c>
      <c r="AY34" s="17" t="s">
        <v>58</v>
      </c>
      <c r="AZ34" s="17" t="s">
        <v>59</v>
      </c>
      <c r="BA34" s="11" t="s">
        <v>60</v>
      </c>
      <c r="BC34" s="15">
        <f>AW34+AX34</f>
        <v>0</v>
      </c>
      <c r="BD34" s="15">
        <f>G34/(100-BE34)*100</f>
        <v>0</v>
      </c>
      <c r="BE34" s="15">
        <v>0</v>
      </c>
      <c r="BF34" s="15">
        <f>N34</f>
        <v>0</v>
      </c>
      <c r="BH34" s="14">
        <f>F34*AO34</f>
        <v>0</v>
      </c>
      <c r="BI34" s="14">
        <f>F34*AP34</f>
        <v>0</v>
      </c>
      <c r="BJ34" s="14">
        <f>F34*G34</f>
        <v>0</v>
      </c>
      <c r="BK34" s="16" t="s">
        <v>61</v>
      </c>
      <c r="BL34" s="15">
        <v>712</v>
      </c>
      <c r="BW34" s="15">
        <f>H34</f>
        <v>21</v>
      </c>
      <c r="BX34" s="13" t="s">
        <v>107</v>
      </c>
    </row>
    <row r="35" spans="1:76" x14ac:dyDescent="0.25">
      <c r="A35" s="47" t="s">
        <v>49</v>
      </c>
      <c r="B35" s="48" t="s">
        <v>109</v>
      </c>
      <c r="C35" s="78" t="s">
        <v>110</v>
      </c>
      <c r="D35" s="79"/>
      <c r="E35" s="47" t="s">
        <v>3</v>
      </c>
      <c r="F35" s="47" t="s">
        <v>3</v>
      </c>
      <c r="G35" s="47"/>
      <c r="H35" s="47" t="s">
        <v>3</v>
      </c>
      <c r="I35" s="49">
        <f>SUM(I36:I38)</f>
        <v>0</v>
      </c>
      <c r="J35" s="49">
        <f>SUM(J36:J38)</f>
        <v>0</v>
      </c>
      <c r="K35" s="49">
        <f>SUM(K36:K38)</f>
        <v>0</v>
      </c>
      <c r="L35" s="49">
        <f>SUM(L36:L38)</f>
        <v>0</v>
      </c>
      <c r="M35" s="50" t="s">
        <v>49</v>
      </c>
      <c r="N35" s="49">
        <f>SUM(N36:N38)</f>
        <v>6.0605999999999993E-2</v>
      </c>
      <c r="O35" s="50" t="s">
        <v>49</v>
      </c>
      <c r="AI35" s="11" t="s">
        <v>49</v>
      </c>
      <c r="AS35" s="1">
        <f>SUM(AJ36:AJ38)</f>
        <v>0</v>
      </c>
      <c r="AT35" s="1">
        <f>SUM(AK36:AK38)</f>
        <v>0</v>
      </c>
      <c r="AU35" s="1">
        <f>SUM(AL36:AL38)</f>
        <v>0</v>
      </c>
    </row>
    <row r="36" spans="1:76" ht="25.5" x14ac:dyDescent="0.25">
      <c r="A36" s="51" t="s">
        <v>111</v>
      </c>
      <c r="B36" s="51" t="s">
        <v>112</v>
      </c>
      <c r="C36" s="73" t="s">
        <v>113</v>
      </c>
      <c r="D36" s="74"/>
      <c r="E36" s="51" t="s">
        <v>94</v>
      </c>
      <c r="F36" s="52">
        <v>57.72</v>
      </c>
      <c r="G36" s="68"/>
      <c r="H36" s="53">
        <v>21</v>
      </c>
      <c r="I36" s="52">
        <f>ROUND(F36*AO36,2)</f>
        <v>0</v>
      </c>
      <c r="J36" s="52">
        <f>ROUND(F36*AP36,2)</f>
        <v>0</v>
      </c>
      <c r="K36" s="52">
        <f>ROUND(F36*G36,2)</f>
        <v>0</v>
      </c>
      <c r="L36" s="52">
        <f>K36*(1+BW36/100)</f>
        <v>0</v>
      </c>
      <c r="M36" s="52">
        <v>1.0499999999999999E-3</v>
      </c>
      <c r="N36" s="52">
        <f>F36*M36</f>
        <v>6.0605999999999993E-2</v>
      </c>
      <c r="O36" s="54" t="s">
        <v>56</v>
      </c>
      <c r="Z36" s="15">
        <f>ROUND(IF(AQ36="5",BJ36,0),2)</f>
        <v>0</v>
      </c>
      <c r="AB36" s="15">
        <f>ROUND(IF(AQ36="1",BH36,0),2)</f>
        <v>0</v>
      </c>
      <c r="AC36" s="15">
        <f>ROUND(IF(AQ36="1",BI36,0),2)</f>
        <v>0</v>
      </c>
      <c r="AD36" s="15">
        <f>ROUND(IF(AQ36="7",BH36,0),2)</f>
        <v>0</v>
      </c>
      <c r="AE36" s="15">
        <f>ROUND(IF(AQ36="7",BI36,0),2)</f>
        <v>0</v>
      </c>
      <c r="AF36" s="15">
        <f>ROUND(IF(AQ36="2",BH36,0),2)</f>
        <v>0</v>
      </c>
      <c r="AG36" s="15">
        <f>ROUND(IF(AQ36="2",BI36,0),2)</f>
        <v>0</v>
      </c>
      <c r="AH36" s="15">
        <f>ROUND(IF(AQ36="0",BJ36,0),2)</f>
        <v>0</v>
      </c>
      <c r="AI36" s="11" t="s">
        <v>49</v>
      </c>
      <c r="AJ36" s="14">
        <f>IF(AN36=0,K36,0)</f>
        <v>0</v>
      </c>
      <c r="AK36" s="14">
        <f>IF(AN36=12,K36,0)</f>
        <v>0</v>
      </c>
      <c r="AL36" s="14">
        <f>IF(AN36=21,K36,0)</f>
        <v>0</v>
      </c>
      <c r="AN36" s="15">
        <v>21</v>
      </c>
      <c r="AO36" s="15">
        <f>G36*0.505963812</f>
        <v>0</v>
      </c>
      <c r="AP36" s="15">
        <f>G36*(1-0.505963812)</f>
        <v>0</v>
      </c>
      <c r="AQ36" s="16" t="s">
        <v>57</v>
      </c>
      <c r="AV36" s="15">
        <f>ROUND(AW36+AX36,2)</f>
        <v>0</v>
      </c>
      <c r="AW36" s="15">
        <f>ROUND(F36*AO36,2)</f>
        <v>0</v>
      </c>
      <c r="AX36" s="15">
        <f>ROUND(F36*AP36,2)</f>
        <v>0</v>
      </c>
      <c r="AY36" s="17" t="s">
        <v>114</v>
      </c>
      <c r="AZ36" s="17" t="s">
        <v>115</v>
      </c>
      <c r="BA36" s="11" t="s">
        <v>60</v>
      </c>
      <c r="BC36" s="15">
        <f>AW36+AX36</f>
        <v>0</v>
      </c>
      <c r="BD36" s="15">
        <f>G36/(100-BE36)*100</f>
        <v>0</v>
      </c>
      <c r="BE36" s="15">
        <v>0</v>
      </c>
      <c r="BF36" s="15">
        <f>N36</f>
        <v>6.0605999999999993E-2</v>
      </c>
      <c r="BH36" s="14">
        <f>F36*AO36</f>
        <v>0</v>
      </c>
      <c r="BI36" s="14">
        <f>F36*AP36</f>
        <v>0</v>
      </c>
      <c r="BJ36" s="14">
        <f>F36*G36</f>
        <v>0</v>
      </c>
      <c r="BK36" s="16" t="s">
        <v>61</v>
      </c>
      <c r="BL36" s="15">
        <v>764</v>
      </c>
      <c r="BW36" s="15">
        <f>H36</f>
        <v>21</v>
      </c>
      <c r="BX36" s="13" t="s">
        <v>113</v>
      </c>
    </row>
    <row r="37" spans="1:76" x14ac:dyDescent="0.25">
      <c r="A37" s="55"/>
      <c r="B37" s="55"/>
      <c r="C37" s="56" t="s">
        <v>116</v>
      </c>
      <c r="D37" s="57" t="s">
        <v>49</v>
      </c>
      <c r="E37" s="55"/>
      <c r="F37" s="58">
        <v>57.72</v>
      </c>
      <c r="G37" s="55"/>
      <c r="H37" s="55"/>
      <c r="I37" s="55"/>
      <c r="J37" s="55"/>
      <c r="K37" s="55"/>
      <c r="L37" s="55"/>
      <c r="M37" s="55"/>
      <c r="N37" s="55"/>
      <c r="O37" s="55"/>
    </row>
    <row r="38" spans="1:76" x14ac:dyDescent="0.25">
      <c r="A38" s="51" t="s">
        <v>117</v>
      </c>
      <c r="B38" s="51" t="s">
        <v>118</v>
      </c>
      <c r="C38" s="73" t="s">
        <v>119</v>
      </c>
      <c r="D38" s="74"/>
      <c r="E38" s="51" t="s">
        <v>104</v>
      </c>
      <c r="F38" s="52">
        <v>0.06</v>
      </c>
      <c r="G38" s="68"/>
      <c r="H38" s="53">
        <v>21</v>
      </c>
      <c r="I38" s="52">
        <f>ROUND(F38*AO38,2)</f>
        <v>0</v>
      </c>
      <c r="J38" s="52">
        <f>ROUND(F38*AP38,2)</f>
        <v>0</v>
      </c>
      <c r="K38" s="52">
        <f>ROUND(F38*G38,2)</f>
        <v>0</v>
      </c>
      <c r="L38" s="52">
        <f>K38*(1+BW38/100)</f>
        <v>0</v>
      </c>
      <c r="M38" s="52">
        <v>0</v>
      </c>
      <c r="N38" s="52">
        <f>F38*M38</f>
        <v>0</v>
      </c>
      <c r="O38" s="54" t="s">
        <v>56</v>
      </c>
      <c r="Z38" s="15">
        <f>ROUND(IF(AQ38="5",BJ38,0),2)</f>
        <v>0</v>
      </c>
      <c r="AB38" s="15">
        <f>ROUND(IF(AQ38="1",BH38,0),2)</f>
        <v>0</v>
      </c>
      <c r="AC38" s="15">
        <f>ROUND(IF(AQ38="1",BI38,0),2)</f>
        <v>0</v>
      </c>
      <c r="AD38" s="15">
        <f>ROUND(IF(AQ38="7",BH38,0),2)</f>
        <v>0</v>
      </c>
      <c r="AE38" s="15">
        <f>ROUND(IF(AQ38="7",BI38,0),2)</f>
        <v>0</v>
      </c>
      <c r="AF38" s="15">
        <f>ROUND(IF(AQ38="2",BH38,0),2)</f>
        <v>0</v>
      </c>
      <c r="AG38" s="15">
        <f>ROUND(IF(AQ38="2",BI38,0),2)</f>
        <v>0</v>
      </c>
      <c r="AH38" s="15">
        <f>ROUND(IF(AQ38="0",BJ38,0),2)</f>
        <v>0</v>
      </c>
      <c r="AI38" s="11" t="s">
        <v>49</v>
      </c>
      <c r="AJ38" s="14">
        <f>IF(AN38=0,K38,0)</f>
        <v>0</v>
      </c>
      <c r="AK38" s="14">
        <f>IF(AN38=12,K38,0)</f>
        <v>0</v>
      </c>
      <c r="AL38" s="14">
        <f>IF(AN38=21,K38,0)</f>
        <v>0</v>
      </c>
      <c r="AN38" s="15">
        <v>21</v>
      </c>
      <c r="AO38" s="15">
        <f>G38*0</f>
        <v>0</v>
      </c>
      <c r="AP38" s="15">
        <f>G38*(1-0)</f>
        <v>0</v>
      </c>
      <c r="AQ38" s="16" t="s">
        <v>75</v>
      </c>
      <c r="AV38" s="15">
        <f>ROUND(AW38+AX38,2)</f>
        <v>0</v>
      </c>
      <c r="AW38" s="15">
        <f>ROUND(F38*AO38,2)</f>
        <v>0</v>
      </c>
      <c r="AX38" s="15">
        <f>ROUND(F38*AP38,2)</f>
        <v>0</v>
      </c>
      <c r="AY38" s="17" t="s">
        <v>114</v>
      </c>
      <c r="AZ38" s="17" t="s">
        <v>115</v>
      </c>
      <c r="BA38" s="11" t="s">
        <v>60</v>
      </c>
      <c r="BC38" s="15">
        <f>AW38+AX38</f>
        <v>0</v>
      </c>
      <c r="BD38" s="15">
        <f>G38/(100-BE38)*100</f>
        <v>0</v>
      </c>
      <c r="BE38" s="15">
        <v>0</v>
      </c>
      <c r="BF38" s="15">
        <f>N38</f>
        <v>0</v>
      </c>
      <c r="BH38" s="14">
        <f>F38*AO38</f>
        <v>0</v>
      </c>
      <c r="BI38" s="14">
        <f>F38*AP38</f>
        <v>0</v>
      </c>
      <c r="BJ38" s="14">
        <f>F38*G38</f>
        <v>0</v>
      </c>
      <c r="BK38" s="16" t="s">
        <v>61</v>
      </c>
      <c r="BL38" s="15">
        <v>764</v>
      </c>
      <c r="BW38" s="15">
        <f>H38</f>
        <v>21</v>
      </c>
      <c r="BX38" s="13" t="s">
        <v>119</v>
      </c>
    </row>
    <row r="39" spans="1:76" x14ac:dyDescent="0.25">
      <c r="A39" s="47" t="s">
        <v>49</v>
      </c>
      <c r="B39" s="48" t="s">
        <v>120</v>
      </c>
      <c r="C39" s="78" t="s">
        <v>121</v>
      </c>
      <c r="D39" s="79"/>
      <c r="E39" s="47" t="s">
        <v>3</v>
      </c>
      <c r="F39" s="47" t="s">
        <v>3</v>
      </c>
      <c r="G39" s="47"/>
      <c r="H39" s="47" t="s">
        <v>3</v>
      </c>
      <c r="I39" s="49">
        <f>SUM(I40:I45)</f>
        <v>0</v>
      </c>
      <c r="J39" s="49">
        <f>SUM(J40:J45)</f>
        <v>0</v>
      </c>
      <c r="K39" s="49">
        <f>SUM(K40:K45)</f>
        <v>0</v>
      </c>
      <c r="L39" s="49">
        <f>SUM(L40:L45)</f>
        <v>0</v>
      </c>
      <c r="M39" s="50" t="s">
        <v>49</v>
      </c>
      <c r="N39" s="49">
        <f>SUM(N40:N45)</f>
        <v>2.3359600000000001E-2</v>
      </c>
      <c r="O39" s="50" t="s">
        <v>49</v>
      </c>
      <c r="AI39" s="11" t="s">
        <v>49</v>
      </c>
      <c r="AS39" s="1">
        <f>SUM(AJ40:AJ45)</f>
        <v>0</v>
      </c>
      <c r="AT39" s="1">
        <f>SUM(AK40:AK45)</f>
        <v>0</v>
      </c>
      <c r="AU39" s="1">
        <f>SUM(AL40:AL45)</f>
        <v>0</v>
      </c>
    </row>
    <row r="40" spans="1:76" x14ac:dyDescent="0.25">
      <c r="A40" s="51" t="s">
        <v>122</v>
      </c>
      <c r="B40" s="51" t="s">
        <v>123</v>
      </c>
      <c r="C40" s="73" t="s">
        <v>124</v>
      </c>
      <c r="D40" s="74"/>
      <c r="E40" s="51" t="s">
        <v>55</v>
      </c>
      <c r="F40" s="52">
        <v>53.09</v>
      </c>
      <c r="G40" s="68"/>
      <c r="H40" s="53">
        <v>21</v>
      </c>
      <c r="I40" s="52">
        <f>ROUND(F40*AO40,2)</f>
        <v>0</v>
      </c>
      <c r="J40" s="52">
        <f>ROUND(F40*AP40,2)</f>
        <v>0</v>
      </c>
      <c r="K40" s="52">
        <f>ROUND(F40*G40,2)</f>
        <v>0</v>
      </c>
      <c r="L40" s="52">
        <f>K40*(1+BW40/100)</f>
        <v>0</v>
      </c>
      <c r="M40" s="52">
        <v>4.2999999999999999E-4</v>
      </c>
      <c r="N40" s="52">
        <f>F40*M40</f>
        <v>2.28287E-2</v>
      </c>
      <c r="O40" s="54" t="s">
        <v>56</v>
      </c>
      <c r="Z40" s="15">
        <f>ROUND(IF(AQ40="5",BJ40,0),2)</f>
        <v>0</v>
      </c>
      <c r="AB40" s="15">
        <f>ROUND(IF(AQ40="1",BH40,0),2)</f>
        <v>0</v>
      </c>
      <c r="AC40" s="15">
        <f>ROUND(IF(AQ40="1",BI40,0),2)</f>
        <v>0</v>
      </c>
      <c r="AD40" s="15">
        <f>ROUND(IF(AQ40="7",BH40,0),2)</f>
        <v>0</v>
      </c>
      <c r="AE40" s="15">
        <f>ROUND(IF(AQ40="7",BI40,0),2)</f>
        <v>0</v>
      </c>
      <c r="AF40" s="15">
        <f>ROUND(IF(AQ40="2",BH40,0),2)</f>
        <v>0</v>
      </c>
      <c r="AG40" s="15">
        <f>ROUND(IF(AQ40="2",BI40,0),2)</f>
        <v>0</v>
      </c>
      <c r="AH40" s="15">
        <f>ROUND(IF(AQ40="0",BJ40,0),2)</f>
        <v>0</v>
      </c>
      <c r="AI40" s="11" t="s">
        <v>49</v>
      </c>
      <c r="AJ40" s="14">
        <f>IF(AN40=0,K40,0)</f>
        <v>0</v>
      </c>
      <c r="AK40" s="14">
        <f>IF(AN40=12,K40,0)</f>
        <v>0</v>
      </c>
      <c r="AL40" s="14">
        <f>IF(AN40=21,K40,0)</f>
        <v>0</v>
      </c>
      <c r="AN40" s="15">
        <v>21</v>
      </c>
      <c r="AO40" s="15">
        <f>G40*0.30939526</f>
        <v>0</v>
      </c>
      <c r="AP40" s="15">
        <f>G40*(1-0.30939526)</f>
        <v>0</v>
      </c>
      <c r="AQ40" s="16" t="s">
        <v>57</v>
      </c>
      <c r="AV40" s="15">
        <f>ROUND(AW40+AX40,2)</f>
        <v>0</v>
      </c>
      <c r="AW40" s="15">
        <f>ROUND(F40*AO40,2)</f>
        <v>0</v>
      </c>
      <c r="AX40" s="15">
        <f>ROUND(F40*AP40,2)</f>
        <v>0</v>
      </c>
      <c r="AY40" s="17" t="s">
        <v>125</v>
      </c>
      <c r="AZ40" s="17" t="s">
        <v>126</v>
      </c>
      <c r="BA40" s="11" t="s">
        <v>60</v>
      </c>
      <c r="BC40" s="15">
        <f>AW40+AX40</f>
        <v>0</v>
      </c>
      <c r="BD40" s="15">
        <f>G40/(100-BE40)*100</f>
        <v>0</v>
      </c>
      <c r="BE40" s="15">
        <v>0</v>
      </c>
      <c r="BF40" s="15">
        <f>N40</f>
        <v>2.28287E-2</v>
      </c>
      <c r="BH40" s="14">
        <f>F40*AO40</f>
        <v>0</v>
      </c>
      <c r="BI40" s="14">
        <f>F40*AP40</f>
        <v>0</v>
      </c>
      <c r="BJ40" s="14">
        <f>F40*G40</f>
        <v>0</v>
      </c>
      <c r="BK40" s="16" t="s">
        <v>61</v>
      </c>
      <c r="BL40" s="15">
        <v>783</v>
      </c>
      <c r="BW40" s="15">
        <f>H40</f>
        <v>21</v>
      </c>
      <c r="BX40" s="13" t="s">
        <v>124</v>
      </c>
    </row>
    <row r="41" spans="1:76" x14ac:dyDescent="0.25">
      <c r="A41" s="55"/>
      <c r="B41" s="55"/>
      <c r="C41" s="56" t="s">
        <v>127</v>
      </c>
      <c r="D41" s="57" t="s">
        <v>128</v>
      </c>
      <c r="E41" s="55"/>
      <c r="F41" s="58">
        <v>18.09</v>
      </c>
      <c r="G41" s="69"/>
      <c r="H41" s="55"/>
      <c r="I41" s="55"/>
      <c r="J41" s="55"/>
      <c r="K41" s="55"/>
      <c r="L41" s="55"/>
      <c r="M41" s="55"/>
      <c r="N41" s="55"/>
      <c r="O41" s="55"/>
    </row>
    <row r="42" spans="1:76" x14ac:dyDescent="0.25">
      <c r="A42" s="55"/>
      <c r="B42" s="55"/>
      <c r="C42" s="56" t="s">
        <v>129</v>
      </c>
      <c r="D42" s="57" t="s">
        <v>130</v>
      </c>
      <c r="E42" s="55"/>
      <c r="F42" s="58">
        <v>30.19</v>
      </c>
      <c r="G42" s="69"/>
      <c r="H42" s="55"/>
      <c r="I42" s="55"/>
      <c r="J42" s="55"/>
      <c r="K42" s="55"/>
      <c r="L42" s="55"/>
      <c r="M42" s="55"/>
      <c r="N42" s="55"/>
      <c r="O42" s="55"/>
    </row>
    <row r="43" spans="1:76" x14ac:dyDescent="0.25">
      <c r="A43" s="55"/>
      <c r="B43" s="55"/>
      <c r="C43" s="56" t="s">
        <v>131</v>
      </c>
      <c r="D43" s="57" t="s">
        <v>49</v>
      </c>
      <c r="E43" s="55"/>
      <c r="F43" s="58">
        <v>1.56</v>
      </c>
      <c r="G43" s="69"/>
      <c r="H43" s="55"/>
      <c r="I43" s="55"/>
      <c r="J43" s="55"/>
      <c r="K43" s="55"/>
      <c r="L43" s="55"/>
      <c r="M43" s="55"/>
      <c r="N43" s="55"/>
      <c r="O43" s="55"/>
    </row>
    <row r="44" spans="1:76" x14ac:dyDescent="0.25">
      <c r="A44" s="55"/>
      <c r="B44" s="55"/>
      <c r="C44" s="56" t="s">
        <v>132</v>
      </c>
      <c r="D44" s="57" t="s">
        <v>133</v>
      </c>
      <c r="E44" s="55"/>
      <c r="F44" s="58">
        <v>3.25</v>
      </c>
      <c r="G44" s="69"/>
      <c r="H44" s="55"/>
      <c r="I44" s="55"/>
      <c r="J44" s="55"/>
      <c r="K44" s="55"/>
      <c r="L44" s="55"/>
      <c r="M44" s="55"/>
      <c r="N44" s="55"/>
      <c r="O44" s="55"/>
    </row>
    <row r="45" spans="1:76" x14ac:dyDescent="0.25">
      <c r="A45" s="51" t="s">
        <v>134</v>
      </c>
      <c r="B45" s="51" t="s">
        <v>135</v>
      </c>
      <c r="C45" s="73" t="s">
        <v>136</v>
      </c>
      <c r="D45" s="74"/>
      <c r="E45" s="51" t="s">
        <v>55</v>
      </c>
      <c r="F45" s="52">
        <v>53.09</v>
      </c>
      <c r="G45" s="68"/>
      <c r="H45" s="53">
        <v>21</v>
      </c>
      <c r="I45" s="52">
        <f>ROUND(F45*AO45,2)</f>
        <v>0</v>
      </c>
      <c r="J45" s="52">
        <f>ROUND(F45*AP45,2)</f>
        <v>0</v>
      </c>
      <c r="K45" s="52">
        <f>ROUND(F45*G45,2)</f>
        <v>0</v>
      </c>
      <c r="L45" s="52">
        <f>K45*(1+BW45/100)</f>
        <v>0</v>
      </c>
      <c r="M45" s="52">
        <v>1.0000000000000001E-5</v>
      </c>
      <c r="N45" s="52">
        <f>F45*M45</f>
        <v>5.3090000000000006E-4</v>
      </c>
      <c r="O45" s="54" t="s">
        <v>56</v>
      </c>
      <c r="Z45" s="15">
        <f>ROUND(IF(AQ45="5",BJ45,0),2)</f>
        <v>0</v>
      </c>
      <c r="AB45" s="15">
        <f>ROUND(IF(AQ45="1",BH45,0),2)</f>
        <v>0</v>
      </c>
      <c r="AC45" s="15">
        <f>ROUND(IF(AQ45="1",BI45,0),2)</f>
        <v>0</v>
      </c>
      <c r="AD45" s="15">
        <f>ROUND(IF(AQ45="7",BH45,0),2)</f>
        <v>0</v>
      </c>
      <c r="AE45" s="15">
        <f>ROUND(IF(AQ45="7",BI45,0),2)</f>
        <v>0</v>
      </c>
      <c r="AF45" s="15">
        <f>ROUND(IF(AQ45="2",BH45,0),2)</f>
        <v>0</v>
      </c>
      <c r="AG45" s="15">
        <f>ROUND(IF(AQ45="2",BI45,0),2)</f>
        <v>0</v>
      </c>
      <c r="AH45" s="15">
        <f>ROUND(IF(AQ45="0",BJ45,0),2)</f>
        <v>0</v>
      </c>
      <c r="AI45" s="11" t="s">
        <v>49</v>
      </c>
      <c r="AJ45" s="14">
        <f>IF(AN45=0,K45,0)</f>
        <v>0</v>
      </c>
      <c r="AK45" s="14">
        <f>IF(AN45=12,K45,0)</f>
        <v>0</v>
      </c>
      <c r="AL45" s="14">
        <f>IF(AN45=21,K45,0)</f>
        <v>0</v>
      </c>
      <c r="AN45" s="15">
        <v>21</v>
      </c>
      <c r="AO45" s="15">
        <f>G45*0.041798942</f>
        <v>0</v>
      </c>
      <c r="AP45" s="15">
        <f>G45*(1-0.041798942)</f>
        <v>0</v>
      </c>
      <c r="AQ45" s="16" t="s">
        <v>57</v>
      </c>
      <c r="AV45" s="15">
        <f>ROUND(AW45+AX45,2)</f>
        <v>0</v>
      </c>
      <c r="AW45" s="15">
        <f>ROUND(F45*AO45,2)</f>
        <v>0</v>
      </c>
      <c r="AX45" s="15">
        <f>ROUND(F45*AP45,2)</f>
        <v>0</v>
      </c>
      <c r="AY45" s="17" t="s">
        <v>125</v>
      </c>
      <c r="AZ45" s="17" t="s">
        <v>126</v>
      </c>
      <c r="BA45" s="11" t="s">
        <v>60</v>
      </c>
      <c r="BC45" s="15">
        <f>AW45+AX45</f>
        <v>0</v>
      </c>
      <c r="BD45" s="15">
        <f>G45/(100-BE45)*100</f>
        <v>0</v>
      </c>
      <c r="BE45" s="15">
        <v>0</v>
      </c>
      <c r="BF45" s="15">
        <f>N45</f>
        <v>5.3090000000000006E-4</v>
      </c>
      <c r="BH45" s="14">
        <f>F45*AO45</f>
        <v>0</v>
      </c>
      <c r="BI45" s="14">
        <f>F45*AP45</f>
        <v>0</v>
      </c>
      <c r="BJ45" s="14">
        <f>F45*G45</f>
        <v>0</v>
      </c>
      <c r="BK45" s="16" t="s">
        <v>61</v>
      </c>
      <c r="BL45" s="15">
        <v>783</v>
      </c>
      <c r="BW45" s="15">
        <f>H45</f>
        <v>21</v>
      </c>
      <c r="BX45" s="13" t="s">
        <v>136</v>
      </c>
    </row>
    <row r="46" spans="1:76" x14ac:dyDescent="0.25">
      <c r="A46" s="47" t="s">
        <v>49</v>
      </c>
      <c r="B46" s="48" t="s">
        <v>137</v>
      </c>
      <c r="C46" s="78" t="s">
        <v>138</v>
      </c>
      <c r="D46" s="79"/>
      <c r="E46" s="47" t="s">
        <v>3</v>
      </c>
      <c r="F46" s="47" t="s">
        <v>3</v>
      </c>
      <c r="G46" s="47"/>
      <c r="H46" s="47" t="s">
        <v>3</v>
      </c>
      <c r="I46" s="49">
        <f>SUM(I47:I47)</f>
        <v>0</v>
      </c>
      <c r="J46" s="49">
        <f>SUM(J47:J47)</f>
        <v>0</v>
      </c>
      <c r="K46" s="49">
        <f>SUM(K47:K47)</f>
        <v>0</v>
      </c>
      <c r="L46" s="49">
        <f>SUM(L47:L47)</f>
        <v>0</v>
      </c>
      <c r="M46" s="50" t="s">
        <v>49</v>
      </c>
      <c r="N46" s="49">
        <f>SUM(N47:N47)</f>
        <v>0</v>
      </c>
      <c r="O46" s="50" t="s">
        <v>49</v>
      </c>
      <c r="AI46" s="11" t="s">
        <v>49</v>
      </c>
      <c r="AS46" s="1">
        <f>SUM(AJ47:AJ47)</f>
        <v>0</v>
      </c>
      <c r="AT46" s="1">
        <f>SUM(AK47:AK47)</f>
        <v>0</v>
      </c>
      <c r="AU46" s="1">
        <f>SUM(AL47:AL47)</f>
        <v>0</v>
      </c>
    </row>
    <row r="47" spans="1:76" x14ac:dyDescent="0.25">
      <c r="A47" s="51" t="s">
        <v>139</v>
      </c>
      <c r="B47" s="51" t="s">
        <v>140</v>
      </c>
      <c r="C47" s="73" t="s">
        <v>141</v>
      </c>
      <c r="D47" s="74"/>
      <c r="E47" s="51" t="s">
        <v>142</v>
      </c>
      <c r="F47" s="52">
        <v>1</v>
      </c>
      <c r="G47" s="68"/>
      <c r="H47" s="53">
        <v>21</v>
      </c>
      <c r="I47" s="52">
        <f>ROUND(F47*AO47,2)</f>
        <v>0</v>
      </c>
      <c r="J47" s="52">
        <f>ROUND(F47*AP47,2)</f>
        <v>0</v>
      </c>
      <c r="K47" s="52">
        <f>ROUND(F47*G47,2)</f>
        <v>0</v>
      </c>
      <c r="L47" s="52">
        <f>K47*(1+BW47/100)</f>
        <v>0</v>
      </c>
      <c r="M47" s="52">
        <v>0</v>
      </c>
      <c r="N47" s="52">
        <f>F47*M47</f>
        <v>0</v>
      </c>
      <c r="O47" s="54" t="s">
        <v>56</v>
      </c>
      <c r="Z47" s="15">
        <f>ROUND(IF(AQ47="5",BJ47,0),2)</f>
        <v>0</v>
      </c>
      <c r="AB47" s="15">
        <f>ROUND(IF(AQ47="1",BH47,0),2)</f>
        <v>0</v>
      </c>
      <c r="AC47" s="15">
        <f>ROUND(IF(AQ47="1",BI47,0),2)</f>
        <v>0</v>
      </c>
      <c r="AD47" s="15">
        <f>ROUND(IF(AQ47="7",BH47,0),2)</f>
        <v>0</v>
      </c>
      <c r="AE47" s="15">
        <f>ROUND(IF(AQ47="7",BI47,0),2)</f>
        <v>0</v>
      </c>
      <c r="AF47" s="15">
        <f>ROUND(IF(AQ47="2",BH47,0),2)</f>
        <v>0</v>
      </c>
      <c r="AG47" s="15">
        <f>ROUND(IF(AQ47="2",BI47,0),2)</f>
        <v>0</v>
      </c>
      <c r="AH47" s="15">
        <f>ROUND(IF(AQ47="0",BJ47,0),2)</f>
        <v>0</v>
      </c>
      <c r="AI47" s="11" t="s">
        <v>49</v>
      </c>
      <c r="AJ47" s="14">
        <f>IF(AN47=0,K47,0)</f>
        <v>0</v>
      </c>
      <c r="AK47" s="14">
        <f>IF(AN47=12,K47,0)</f>
        <v>0</v>
      </c>
      <c r="AL47" s="14">
        <f>IF(AN47=21,K47,0)</f>
        <v>0</v>
      </c>
      <c r="AN47" s="15">
        <v>21</v>
      </c>
      <c r="AO47" s="15">
        <f>G47*0</f>
        <v>0</v>
      </c>
      <c r="AP47" s="15">
        <f>G47*(1-0)</f>
        <v>0</v>
      </c>
      <c r="AQ47" s="16" t="s">
        <v>52</v>
      </c>
      <c r="AV47" s="15">
        <f>ROUND(AW47+AX47,2)</f>
        <v>0</v>
      </c>
      <c r="AW47" s="15">
        <f>ROUND(F47*AO47,2)</f>
        <v>0</v>
      </c>
      <c r="AX47" s="15">
        <f>ROUND(F47*AP47,2)</f>
        <v>0</v>
      </c>
      <c r="AY47" s="17" t="s">
        <v>143</v>
      </c>
      <c r="AZ47" s="17" t="s">
        <v>144</v>
      </c>
      <c r="BA47" s="11" t="s">
        <v>60</v>
      </c>
      <c r="BC47" s="15">
        <f>AW47+AX47</f>
        <v>0</v>
      </c>
      <c r="BD47" s="15">
        <f>G47/(100-BE47)*100</f>
        <v>0</v>
      </c>
      <c r="BE47" s="15">
        <v>0</v>
      </c>
      <c r="BF47" s="15">
        <f>N47</f>
        <v>0</v>
      </c>
      <c r="BH47" s="14">
        <f>F47*AO47</f>
        <v>0</v>
      </c>
      <c r="BI47" s="14">
        <f>F47*AP47</f>
        <v>0</v>
      </c>
      <c r="BJ47" s="14">
        <f>F47*G47</f>
        <v>0</v>
      </c>
      <c r="BK47" s="16" t="s">
        <v>61</v>
      </c>
      <c r="BL47" s="15">
        <v>97</v>
      </c>
      <c r="BW47" s="15">
        <f>H47</f>
        <v>21</v>
      </c>
      <c r="BX47" s="13" t="s">
        <v>141</v>
      </c>
    </row>
    <row r="48" spans="1:76" x14ac:dyDescent="0.25">
      <c r="A48" s="47" t="s">
        <v>49</v>
      </c>
      <c r="B48" s="48" t="s">
        <v>145</v>
      </c>
      <c r="C48" s="78" t="s">
        <v>146</v>
      </c>
      <c r="D48" s="79"/>
      <c r="E48" s="47" t="s">
        <v>3</v>
      </c>
      <c r="F48" s="47" t="s">
        <v>3</v>
      </c>
      <c r="G48" s="47"/>
      <c r="H48" s="47" t="s">
        <v>3</v>
      </c>
      <c r="I48" s="49">
        <f>SUM(I49:I49)</f>
        <v>0</v>
      </c>
      <c r="J48" s="49">
        <f>SUM(J49:J49)</f>
        <v>0</v>
      </c>
      <c r="K48" s="49">
        <f>SUM(K49:K49)</f>
        <v>0</v>
      </c>
      <c r="L48" s="49">
        <f>SUM(L49:L49)</f>
        <v>0</v>
      </c>
      <c r="M48" s="50" t="s">
        <v>49</v>
      </c>
      <c r="N48" s="49">
        <f>SUM(N49:N49)</f>
        <v>0</v>
      </c>
      <c r="O48" s="50" t="s">
        <v>49</v>
      </c>
      <c r="AI48" s="11" t="s">
        <v>49</v>
      </c>
      <c r="AS48" s="1">
        <f>SUM(AJ49:AJ49)</f>
        <v>0</v>
      </c>
      <c r="AT48" s="1">
        <f>SUM(AK49:AK49)</f>
        <v>0</v>
      </c>
      <c r="AU48" s="1">
        <f>SUM(AL49:AL49)</f>
        <v>0</v>
      </c>
    </row>
    <row r="49" spans="1:76" x14ac:dyDescent="0.25">
      <c r="A49" s="51" t="s">
        <v>147</v>
      </c>
      <c r="B49" s="51" t="s">
        <v>148</v>
      </c>
      <c r="C49" s="73" t="s">
        <v>149</v>
      </c>
      <c r="D49" s="74"/>
      <c r="E49" s="51" t="s">
        <v>108</v>
      </c>
      <c r="F49" s="52">
        <v>1</v>
      </c>
      <c r="G49" s="68"/>
      <c r="H49" s="53">
        <v>21</v>
      </c>
      <c r="I49" s="52">
        <f>ROUND(F49*AO49,2)</f>
        <v>0</v>
      </c>
      <c r="J49" s="52">
        <f>ROUND(F49*AP49,2)</f>
        <v>0</v>
      </c>
      <c r="K49" s="52">
        <f>ROUND(F49*G49,2)</f>
        <v>0</v>
      </c>
      <c r="L49" s="52">
        <f>K49*(1+BW49/100)</f>
        <v>0</v>
      </c>
      <c r="M49" s="52">
        <v>0</v>
      </c>
      <c r="N49" s="52">
        <f>F49*M49</f>
        <v>0</v>
      </c>
      <c r="O49" s="54" t="s">
        <v>49</v>
      </c>
      <c r="Z49" s="15">
        <f>ROUND(IF(AQ49="5",BJ49,0),2)</f>
        <v>0</v>
      </c>
      <c r="AB49" s="15">
        <f>ROUND(IF(AQ49="1",BH49,0),2)</f>
        <v>0</v>
      </c>
      <c r="AC49" s="15">
        <f>ROUND(IF(AQ49="1",BI49,0),2)</f>
        <v>0</v>
      </c>
      <c r="AD49" s="15">
        <f>ROUND(IF(AQ49="7",BH49,0),2)</f>
        <v>0</v>
      </c>
      <c r="AE49" s="15">
        <f>ROUND(IF(AQ49="7",BI49,0),2)</f>
        <v>0</v>
      </c>
      <c r="AF49" s="15">
        <f>ROUND(IF(AQ49="2",BH49,0),2)</f>
        <v>0</v>
      </c>
      <c r="AG49" s="15">
        <f>ROUND(IF(AQ49="2",BI49,0),2)</f>
        <v>0</v>
      </c>
      <c r="AH49" s="15">
        <f>ROUND(IF(AQ49="0",BJ49,0),2)</f>
        <v>0</v>
      </c>
      <c r="AI49" s="11" t="s">
        <v>49</v>
      </c>
      <c r="AJ49" s="14">
        <f>IF(AN49=0,K49,0)</f>
        <v>0</v>
      </c>
      <c r="AK49" s="14">
        <f>IF(AN49=12,K49,0)</f>
        <v>0</v>
      </c>
      <c r="AL49" s="14">
        <f>IF(AN49=21,K49,0)</f>
        <v>0</v>
      </c>
      <c r="AN49" s="15">
        <v>21</v>
      </c>
      <c r="AO49" s="15">
        <f>G49*0</f>
        <v>0</v>
      </c>
      <c r="AP49" s="15">
        <f>G49*(1-0)</f>
        <v>0</v>
      </c>
      <c r="AQ49" s="16" t="s">
        <v>64</v>
      </c>
      <c r="AV49" s="15">
        <f>ROUND(AW49+AX49,2)</f>
        <v>0</v>
      </c>
      <c r="AW49" s="15">
        <f>ROUND(F49*AO49,2)</f>
        <v>0</v>
      </c>
      <c r="AX49" s="15">
        <f>ROUND(F49*AP49,2)</f>
        <v>0</v>
      </c>
      <c r="AY49" s="17" t="s">
        <v>150</v>
      </c>
      <c r="AZ49" s="17" t="s">
        <v>144</v>
      </c>
      <c r="BA49" s="11" t="s">
        <v>60</v>
      </c>
      <c r="BC49" s="15">
        <f>AW49+AX49</f>
        <v>0</v>
      </c>
      <c r="BD49" s="15">
        <f>G49/(100-BE49)*100</f>
        <v>0</v>
      </c>
      <c r="BE49" s="15">
        <v>0</v>
      </c>
      <c r="BF49" s="15">
        <f>N49</f>
        <v>0</v>
      </c>
      <c r="BH49" s="14">
        <f>F49*AO49</f>
        <v>0</v>
      </c>
      <c r="BI49" s="14">
        <f>F49*AP49</f>
        <v>0</v>
      </c>
      <c r="BJ49" s="14">
        <f>F49*G49</f>
        <v>0</v>
      </c>
      <c r="BK49" s="16" t="s">
        <v>61</v>
      </c>
      <c r="BL49" s="15"/>
      <c r="BW49" s="15">
        <f>H49</f>
        <v>21</v>
      </c>
      <c r="BX49" s="13" t="s">
        <v>149</v>
      </c>
    </row>
    <row r="50" spans="1:76" x14ac:dyDescent="0.25">
      <c r="A50" s="47" t="s">
        <v>49</v>
      </c>
      <c r="B50" s="48" t="s">
        <v>151</v>
      </c>
      <c r="C50" s="78" t="s">
        <v>152</v>
      </c>
      <c r="D50" s="79"/>
      <c r="E50" s="47" t="s">
        <v>3</v>
      </c>
      <c r="F50" s="47" t="s">
        <v>3</v>
      </c>
      <c r="G50" s="47"/>
      <c r="H50" s="47" t="s">
        <v>3</v>
      </c>
      <c r="I50" s="49">
        <f>SUM(I51:I52)</f>
        <v>0</v>
      </c>
      <c r="J50" s="49">
        <f>SUM(J51:J52)</f>
        <v>0</v>
      </c>
      <c r="K50" s="49">
        <f>SUM(K51:K52)</f>
        <v>0</v>
      </c>
      <c r="L50" s="49">
        <f>SUM(L51:L52)</f>
        <v>0</v>
      </c>
      <c r="M50" s="50" t="s">
        <v>49</v>
      </c>
      <c r="N50" s="49">
        <f>SUM(N51:N52)</f>
        <v>0</v>
      </c>
      <c r="O50" s="50" t="s">
        <v>49</v>
      </c>
      <c r="AI50" s="11" t="s">
        <v>49</v>
      </c>
      <c r="AS50" s="1">
        <f>SUM(AJ51:AJ52)</f>
        <v>0</v>
      </c>
      <c r="AT50" s="1">
        <f>SUM(AK51:AK52)</f>
        <v>0</v>
      </c>
      <c r="AU50" s="1">
        <f>SUM(AL51:AL52)</f>
        <v>0</v>
      </c>
    </row>
    <row r="51" spans="1:76" x14ac:dyDescent="0.25">
      <c r="A51" s="51" t="s">
        <v>153</v>
      </c>
      <c r="B51" s="51" t="s">
        <v>154</v>
      </c>
      <c r="C51" s="73" t="s">
        <v>155</v>
      </c>
      <c r="D51" s="74"/>
      <c r="E51" s="51" t="s">
        <v>108</v>
      </c>
      <c r="F51" s="52">
        <v>1</v>
      </c>
      <c r="G51" s="68"/>
      <c r="H51" s="53">
        <v>21</v>
      </c>
      <c r="I51" s="52">
        <f>ROUND(F51*AO51,2)</f>
        <v>0</v>
      </c>
      <c r="J51" s="52">
        <f>ROUND(F51*AP51,2)</f>
        <v>0</v>
      </c>
      <c r="K51" s="52">
        <f>ROUND(F51*G51,2)</f>
        <v>0</v>
      </c>
      <c r="L51" s="52">
        <f>K51*(1+BW51/100)</f>
        <v>0</v>
      </c>
      <c r="M51" s="52">
        <v>0</v>
      </c>
      <c r="N51" s="52">
        <f>F51*M51</f>
        <v>0</v>
      </c>
      <c r="O51" s="54" t="s">
        <v>49</v>
      </c>
      <c r="Z51" s="15">
        <f>ROUND(IF(AQ51="5",BJ51,0),2)</f>
        <v>0</v>
      </c>
      <c r="AB51" s="15">
        <f>ROUND(IF(AQ51="1",BH51,0),2)</f>
        <v>0</v>
      </c>
      <c r="AC51" s="15">
        <f>ROUND(IF(AQ51="1",BI51,0),2)</f>
        <v>0</v>
      </c>
      <c r="AD51" s="15">
        <f>ROUND(IF(AQ51="7",BH51,0),2)</f>
        <v>0</v>
      </c>
      <c r="AE51" s="15">
        <f>ROUND(IF(AQ51="7",BI51,0),2)</f>
        <v>0</v>
      </c>
      <c r="AF51" s="15">
        <f>ROUND(IF(AQ51="2",BH51,0),2)</f>
        <v>0</v>
      </c>
      <c r="AG51" s="15">
        <f>ROUND(IF(AQ51="2",BI51,0),2)</f>
        <v>0</v>
      </c>
      <c r="AH51" s="15">
        <f>ROUND(IF(AQ51="0",BJ51,0),2)</f>
        <v>0</v>
      </c>
      <c r="AI51" s="11" t="s">
        <v>49</v>
      </c>
      <c r="AJ51" s="14">
        <f>IF(AN51=0,K51,0)</f>
        <v>0</v>
      </c>
      <c r="AK51" s="14">
        <f>IF(AN51=12,K51,0)</f>
        <v>0</v>
      </c>
      <c r="AL51" s="14">
        <f>IF(AN51=21,K51,0)</f>
        <v>0</v>
      </c>
      <c r="AN51" s="15">
        <v>21</v>
      </c>
      <c r="AO51" s="15">
        <f>G51*0</f>
        <v>0</v>
      </c>
      <c r="AP51" s="15">
        <f>G51*(1-0)</f>
        <v>0</v>
      </c>
      <c r="AQ51" s="16" t="s">
        <v>64</v>
      </c>
      <c r="AV51" s="15">
        <f>ROUND(AW51+AX51,2)</f>
        <v>0</v>
      </c>
      <c r="AW51" s="15">
        <f>ROUND(F51*AO51,2)</f>
        <v>0</v>
      </c>
      <c r="AX51" s="15">
        <f>ROUND(F51*AP51,2)</f>
        <v>0</v>
      </c>
      <c r="AY51" s="17" t="s">
        <v>156</v>
      </c>
      <c r="AZ51" s="17" t="s">
        <v>144</v>
      </c>
      <c r="BA51" s="11" t="s">
        <v>60</v>
      </c>
      <c r="BC51" s="15">
        <f>AW51+AX51</f>
        <v>0</v>
      </c>
      <c r="BD51" s="15">
        <f>G51/(100-BE51)*100</f>
        <v>0</v>
      </c>
      <c r="BE51" s="15">
        <v>0</v>
      </c>
      <c r="BF51" s="15">
        <f>N51</f>
        <v>0</v>
      </c>
      <c r="BH51" s="14">
        <f>F51*AO51</f>
        <v>0</v>
      </c>
      <c r="BI51" s="14">
        <f>F51*AP51</f>
        <v>0</v>
      </c>
      <c r="BJ51" s="14">
        <f>F51*G51</f>
        <v>0</v>
      </c>
      <c r="BK51" s="16" t="s">
        <v>61</v>
      </c>
      <c r="BL51" s="15"/>
      <c r="BW51" s="15">
        <f>H51</f>
        <v>21</v>
      </c>
      <c r="BX51" s="13" t="s">
        <v>155</v>
      </c>
    </row>
    <row r="52" spans="1:76" x14ac:dyDescent="0.25">
      <c r="A52" s="51" t="s">
        <v>157</v>
      </c>
      <c r="B52" s="51" t="s">
        <v>158</v>
      </c>
      <c r="C52" s="73" t="s">
        <v>159</v>
      </c>
      <c r="D52" s="74"/>
      <c r="E52" s="51" t="s">
        <v>108</v>
      </c>
      <c r="F52" s="52">
        <v>1</v>
      </c>
      <c r="G52" s="68"/>
      <c r="H52" s="53">
        <v>21</v>
      </c>
      <c r="I52" s="52">
        <f>ROUND(F52*AO52,2)</f>
        <v>0</v>
      </c>
      <c r="J52" s="52">
        <f>ROUND(F52*AP52,2)</f>
        <v>0</v>
      </c>
      <c r="K52" s="52">
        <f>ROUND(F52*G52,2)</f>
        <v>0</v>
      </c>
      <c r="L52" s="52">
        <f>K52*(1+BW52/100)</f>
        <v>0</v>
      </c>
      <c r="M52" s="52">
        <v>0</v>
      </c>
      <c r="N52" s="52">
        <f>F52*M52</f>
        <v>0</v>
      </c>
      <c r="O52" s="54" t="s">
        <v>49</v>
      </c>
      <c r="Z52" s="15">
        <f>ROUND(IF(AQ52="5",BJ52,0),2)</f>
        <v>0</v>
      </c>
      <c r="AB52" s="15">
        <f>ROUND(IF(AQ52="1",BH52,0),2)</f>
        <v>0</v>
      </c>
      <c r="AC52" s="15">
        <f>ROUND(IF(AQ52="1",BI52,0),2)</f>
        <v>0</v>
      </c>
      <c r="AD52" s="15">
        <f>ROUND(IF(AQ52="7",BH52,0),2)</f>
        <v>0</v>
      </c>
      <c r="AE52" s="15">
        <f>ROUND(IF(AQ52="7",BI52,0),2)</f>
        <v>0</v>
      </c>
      <c r="AF52" s="15">
        <f>ROUND(IF(AQ52="2",BH52,0),2)</f>
        <v>0</v>
      </c>
      <c r="AG52" s="15">
        <f>ROUND(IF(AQ52="2",BI52,0),2)</f>
        <v>0</v>
      </c>
      <c r="AH52" s="15">
        <f>ROUND(IF(AQ52="0",BJ52,0),2)</f>
        <v>0</v>
      </c>
      <c r="AI52" s="11" t="s">
        <v>49</v>
      </c>
      <c r="AJ52" s="14">
        <f>IF(AN52=0,K52,0)</f>
        <v>0</v>
      </c>
      <c r="AK52" s="14">
        <f>IF(AN52=12,K52,0)</f>
        <v>0</v>
      </c>
      <c r="AL52" s="14">
        <f>IF(AN52=21,K52,0)</f>
        <v>0</v>
      </c>
      <c r="AN52" s="15">
        <v>21</v>
      </c>
      <c r="AO52" s="15">
        <f>G52*0</f>
        <v>0</v>
      </c>
      <c r="AP52" s="15">
        <f>G52*(1-0)</f>
        <v>0</v>
      </c>
      <c r="AQ52" s="16" t="s">
        <v>64</v>
      </c>
      <c r="AV52" s="15">
        <f>ROUND(AW52+AX52,2)</f>
        <v>0</v>
      </c>
      <c r="AW52" s="15">
        <f>ROUND(F52*AO52,2)</f>
        <v>0</v>
      </c>
      <c r="AX52" s="15">
        <f>ROUND(F52*AP52,2)</f>
        <v>0</v>
      </c>
      <c r="AY52" s="17" t="s">
        <v>156</v>
      </c>
      <c r="AZ52" s="17" t="s">
        <v>144</v>
      </c>
      <c r="BA52" s="11" t="s">
        <v>60</v>
      </c>
      <c r="BC52" s="15">
        <f>AW52+AX52</f>
        <v>0</v>
      </c>
      <c r="BD52" s="15">
        <f>G52/(100-BE52)*100</f>
        <v>0</v>
      </c>
      <c r="BE52" s="15">
        <v>0</v>
      </c>
      <c r="BF52" s="15">
        <f>N52</f>
        <v>0</v>
      </c>
      <c r="BH52" s="14">
        <f>F52*AO52</f>
        <v>0</v>
      </c>
      <c r="BI52" s="14">
        <f>F52*AP52</f>
        <v>0</v>
      </c>
      <c r="BJ52" s="14">
        <f>F52*G52</f>
        <v>0</v>
      </c>
      <c r="BK52" s="16" t="s">
        <v>61</v>
      </c>
      <c r="BL52" s="15"/>
      <c r="BW52" s="15">
        <f>H52</f>
        <v>21</v>
      </c>
      <c r="BX52" s="13" t="s">
        <v>159</v>
      </c>
    </row>
    <row r="53" spans="1:76" x14ac:dyDescent="0.25">
      <c r="A53" s="55"/>
      <c r="B53" s="55"/>
      <c r="C53" s="56" t="s">
        <v>52</v>
      </c>
      <c r="D53" s="57" t="s">
        <v>160</v>
      </c>
      <c r="E53" s="55"/>
      <c r="F53" s="58">
        <v>1</v>
      </c>
      <c r="G53" s="55"/>
      <c r="H53" s="55"/>
      <c r="I53" s="55"/>
      <c r="J53" s="55"/>
      <c r="K53" s="55"/>
      <c r="L53" s="55"/>
      <c r="M53" s="55"/>
      <c r="N53" s="55"/>
      <c r="O53" s="55"/>
    </row>
    <row r="54" spans="1:76" x14ac:dyDescent="0.25">
      <c r="A54" s="47" t="s">
        <v>49</v>
      </c>
      <c r="B54" s="48" t="s">
        <v>161</v>
      </c>
      <c r="C54" s="78" t="s">
        <v>162</v>
      </c>
      <c r="D54" s="79"/>
      <c r="E54" s="47" t="s">
        <v>3</v>
      </c>
      <c r="F54" s="47" t="s">
        <v>3</v>
      </c>
      <c r="G54" s="47"/>
      <c r="H54" s="47" t="s">
        <v>3</v>
      </c>
      <c r="I54" s="49">
        <f>SUM(I55:I63)</f>
        <v>0</v>
      </c>
      <c r="J54" s="49">
        <f>SUM(J55:J63)</f>
        <v>0</v>
      </c>
      <c r="K54" s="49">
        <f>SUM(K55:K63)</f>
        <v>0</v>
      </c>
      <c r="L54" s="49">
        <f>SUM(L55:L63)</f>
        <v>0</v>
      </c>
      <c r="M54" s="50" t="s">
        <v>49</v>
      </c>
      <c r="N54" s="49">
        <f>SUM(N55:N63)</f>
        <v>0</v>
      </c>
      <c r="O54" s="50" t="s">
        <v>49</v>
      </c>
      <c r="AI54" s="11" t="s">
        <v>49</v>
      </c>
      <c r="AS54" s="1">
        <f>SUM(AJ55:AJ63)</f>
        <v>0</v>
      </c>
      <c r="AT54" s="1">
        <f>SUM(AK55:AK63)</f>
        <v>0</v>
      </c>
      <c r="AU54" s="1">
        <f>SUM(AL55:AL63)</f>
        <v>0</v>
      </c>
    </row>
    <row r="55" spans="1:76" x14ac:dyDescent="0.25">
      <c r="A55" s="51" t="s">
        <v>163</v>
      </c>
      <c r="B55" s="51" t="s">
        <v>164</v>
      </c>
      <c r="C55" s="73" t="s">
        <v>165</v>
      </c>
      <c r="D55" s="74"/>
      <c r="E55" s="51" t="s">
        <v>104</v>
      </c>
      <c r="F55" s="52">
        <v>2.83</v>
      </c>
      <c r="G55" s="71"/>
      <c r="H55" s="53">
        <v>21</v>
      </c>
      <c r="I55" s="52">
        <f>ROUND(F55*AO55,2)</f>
        <v>0</v>
      </c>
      <c r="J55" s="52">
        <f>ROUND(F55*AP55,2)</f>
        <v>0</v>
      </c>
      <c r="K55" s="52">
        <f>ROUND(F55*G55,2)</f>
        <v>0</v>
      </c>
      <c r="L55" s="52">
        <f>K55*(1+BW55/100)</f>
        <v>0</v>
      </c>
      <c r="M55" s="52">
        <v>0</v>
      </c>
      <c r="N55" s="52">
        <f>F55*M55</f>
        <v>0</v>
      </c>
      <c r="O55" s="54" t="s">
        <v>56</v>
      </c>
      <c r="Z55" s="15">
        <f>ROUND(IF(AQ55="5",BJ55,0),2)</f>
        <v>0</v>
      </c>
      <c r="AB55" s="15">
        <f>ROUND(IF(AQ55="1",BH55,0),2)</f>
        <v>0</v>
      </c>
      <c r="AC55" s="15">
        <f>ROUND(IF(AQ55="1",BI55,0),2)</f>
        <v>0</v>
      </c>
      <c r="AD55" s="15">
        <f>ROUND(IF(AQ55="7",BH55,0),2)</f>
        <v>0</v>
      </c>
      <c r="AE55" s="15">
        <f>ROUND(IF(AQ55="7",BI55,0),2)</f>
        <v>0</v>
      </c>
      <c r="AF55" s="15">
        <f>ROUND(IF(AQ55="2",BH55,0),2)</f>
        <v>0</v>
      </c>
      <c r="AG55" s="15">
        <f>ROUND(IF(AQ55="2",BI55,0),2)</f>
        <v>0</v>
      </c>
      <c r="AH55" s="15">
        <f>ROUND(IF(AQ55="0",BJ55,0),2)</f>
        <v>0</v>
      </c>
      <c r="AI55" s="11" t="s">
        <v>49</v>
      </c>
      <c r="AJ55" s="14">
        <f>IF(AN55=0,K55,0)</f>
        <v>0</v>
      </c>
      <c r="AK55" s="14">
        <f>IF(AN55=12,K55,0)</f>
        <v>0</v>
      </c>
      <c r="AL55" s="14">
        <f>IF(AN55=21,K55,0)</f>
        <v>0</v>
      </c>
      <c r="AN55" s="15">
        <v>21</v>
      </c>
      <c r="AO55" s="15">
        <f>G55*0</f>
        <v>0</v>
      </c>
      <c r="AP55" s="15">
        <f>G55*(1-0)</f>
        <v>0</v>
      </c>
      <c r="AQ55" s="16" t="s">
        <v>75</v>
      </c>
      <c r="AV55" s="15">
        <f>ROUND(AW55+AX55,2)</f>
        <v>0</v>
      </c>
      <c r="AW55" s="15">
        <f>ROUND(F55*AO55,2)</f>
        <v>0</v>
      </c>
      <c r="AX55" s="15">
        <f>ROUND(F55*AP55,2)</f>
        <v>0</v>
      </c>
      <c r="AY55" s="17" t="s">
        <v>166</v>
      </c>
      <c r="AZ55" s="17" t="s">
        <v>144</v>
      </c>
      <c r="BA55" s="11" t="s">
        <v>60</v>
      </c>
      <c r="BC55" s="15">
        <f>AW55+AX55</f>
        <v>0</v>
      </c>
      <c r="BD55" s="15">
        <f>G55/(100-BE55)*100</f>
        <v>0</v>
      </c>
      <c r="BE55" s="15">
        <v>0</v>
      </c>
      <c r="BF55" s="15">
        <f>N55</f>
        <v>0</v>
      </c>
      <c r="BH55" s="14">
        <f>F55*AO55</f>
        <v>0</v>
      </c>
      <c r="BI55" s="14">
        <f>F55*AP55</f>
        <v>0</v>
      </c>
      <c r="BJ55" s="14">
        <f>F55*G55</f>
        <v>0</v>
      </c>
      <c r="BK55" s="16" t="s">
        <v>61</v>
      </c>
      <c r="BL55" s="15"/>
      <c r="BW55" s="15">
        <f>H55</f>
        <v>21</v>
      </c>
      <c r="BX55" s="13" t="s">
        <v>165</v>
      </c>
    </row>
    <row r="56" spans="1:76" x14ac:dyDescent="0.25">
      <c r="A56" s="55"/>
      <c r="B56" s="55"/>
      <c r="C56" s="56" t="s">
        <v>167</v>
      </c>
      <c r="D56" s="57" t="s">
        <v>49</v>
      </c>
      <c r="E56" s="55"/>
      <c r="F56" s="58">
        <v>2.33</v>
      </c>
      <c r="G56" s="55"/>
      <c r="H56" s="55"/>
      <c r="I56" s="55"/>
      <c r="J56" s="55"/>
      <c r="K56" s="55"/>
      <c r="L56" s="55"/>
      <c r="M56" s="55"/>
      <c r="N56" s="55"/>
      <c r="O56" s="55"/>
    </row>
    <row r="57" spans="1:76" x14ac:dyDescent="0.25">
      <c r="A57" s="55"/>
      <c r="B57" s="55"/>
      <c r="C57" s="56" t="s">
        <v>168</v>
      </c>
      <c r="D57" s="57" t="s">
        <v>49</v>
      </c>
      <c r="E57" s="55"/>
      <c r="F57" s="58">
        <v>0.5</v>
      </c>
      <c r="G57" s="55"/>
      <c r="H57" s="55"/>
      <c r="I57" s="55"/>
      <c r="J57" s="55"/>
      <c r="K57" s="55"/>
      <c r="L57" s="55"/>
      <c r="M57" s="55"/>
      <c r="N57" s="55"/>
      <c r="O57" s="55"/>
    </row>
    <row r="58" spans="1:76" x14ac:dyDescent="0.25">
      <c r="A58" s="51" t="s">
        <v>169</v>
      </c>
      <c r="B58" s="51" t="s">
        <v>170</v>
      </c>
      <c r="C58" s="73" t="s">
        <v>171</v>
      </c>
      <c r="D58" s="74"/>
      <c r="E58" s="51" t="s">
        <v>104</v>
      </c>
      <c r="F58" s="52">
        <v>2.83</v>
      </c>
      <c r="G58" s="71"/>
      <c r="H58" s="53">
        <v>21</v>
      </c>
      <c r="I58" s="52">
        <f>ROUND(F58*AO58,2)</f>
        <v>0</v>
      </c>
      <c r="J58" s="52">
        <f>ROUND(F58*AP58,2)</f>
        <v>0</v>
      </c>
      <c r="K58" s="52">
        <f>ROUND(F58*G58,2)</f>
        <v>0</v>
      </c>
      <c r="L58" s="52">
        <f>K58*(1+BW58/100)</f>
        <v>0</v>
      </c>
      <c r="M58" s="52">
        <v>0</v>
      </c>
      <c r="N58" s="52">
        <f>F58*M58</f>
        <v>0</v>
      </c>
      <c r="O58" s="54" t="s">
        <v>56</v>
      </c>
      <c r="Z58" s="15">
        <f>ROUND(IF(AQ58="5",BJ58,0),2)</f>
        <v>0</v>
      </c>
      <c r="AB58" s="15">
        <f>ROUND(IF(AQ58="1",BH58,0),2)</f>
        <v>0</v>
      </c>
      <c r="AC58" s="15">
        <f>ROUND(IF(AQ58="1",BI58,0),2)</f>
        <v>0</v>
      </c>
      <c r="AD58" s="15">
        <f>ROUND(IF(AQ58="7",BH58,0),2)</f>
        <v>0</v>
      </c>
      <c r="AE58" s="15">
        <f>ROUND(IF(AQ58="7",BI58,0),2)</f>
        <v>0</v>
      </c>
      <c r="AF58" s="15">
        <f>ROUND(IF(AQ58="2",BH58,0),2)</f>
        <v>0</v>
      </c>
      <c r="AG58" s="15">
        <f>ROUND(IF(AQ58="2",BI58,0),2)</f>
        <v>0</v>
      </c>
      <c r="AH58" s="15">
        <f>ROUND(IF(AQ58="0",BJ58,0),2)</f>
        <v>0</v>
      </c>
      <c r="AI58" s="11" t="s">
        <v>49</v>
      </c>
      <c r="AJ58" s="14">
        <f>IF(AN58=0,K58,0)</f>
        <v>0</v>
      </c>
      <c r="AK58" s="14">
        <f>IF(AN58=12,K58,0)</f>
        <v>0</v>
      </c>
      <c r="AL58" s="14">
        <f>IF(AN58=21,K58,0)</f>
        <v>0</v>
      </c>
      <c r="AN58" s="15">
        <v>21</v>
      </c>
      <c r="AO58" s="15">
        <f>G58*0</f>
        <v>0</v>
      </c>
      <c r="AP58" s="15">
        <f>G58*(1-0)</f>
        <v>0</v>
      </c>
      <c r="AQ58" s="16" t="s">
        <v>75</v>
      </c>
      <c r="AV58" s="15">
        <f>ROUND(AW58+AX58,2)</f>
        <v>0</v>
      </c>
      <c r="AW58" s="15">
        <f>ROUND(F58*AO58,2)</f>
        <v>0</v>
      </c>
      <c r="AX58" s="15">
        <f>ROUND(F58*AP58,2)</f>
        <v>0</v>
      </c>
      <c r="AY58" s="17" t="s">
        <v>166</v>
      </c>
      <c r="AZ58" s="17" t="s">
        <v>144</v>
      </c>
      <c r="BA58" s="11" t="s">
        <v>60</v>
      </c>
      <c r="BC58" s="15">
        <f>AW58+AX58</f>
        <v>0</v>
      </c>
      <c r="BD58" s="15">
        <f>G58/(100-BE58)*100</f>
        <v>0</v>
      </c>
      <c r="BE58" s="15">
        <v>0</v>
      </c>
      <c r="BF58" s="15">
        <f>N58</f>
        <v>0</v>
      </c>
      <c r="BH58" s="14">
        <f>F58*AO58</f>
        <v>0</v>
      </c>
      <c r="BI58" s="14">
        <f>F58*AP58</f>
        <v>0</v>
      </c>
      <c r="BJ58" s="14">
        <f>F58*G58</f>
        <v>0</v>
      </c>
      <c r="BK58" s="16" t="s">
        <v>61</v>
      </c>
      <c r="BL58" s="15"/>
      <c r="BW58" s="15">
        <f>H58</f>
        <v>21</v>
      </c>
      <c r="BX58" s="13" t="s">
        <v>171</v>
      </c>
    </row>
    <row r="59" spans="1:76" x14ac:dyDescent="0.25">
      <c r="A59" s="51" t="s">
        <v>172</v>
      </c>
      <c r="B59" s="51" t="s">
        <v>173</v>
      </c>
      <c r="C59" s="73" t="s">
        <v>174</v>
      </c>
      <c r="D59" s="74"/>
      <c r="E59" s="51" t="s">
        <v>104</v>
      </c>
      <c r="F59" s="52">
        <v>39.619999999999997</v>
      </c>
      <c r="G59" s="71"/>
      <c r="H59" s="53">
        <v>21</v>
      </c>
      <c r="I59" s="52">
        <f>ROUND(F59*AO59,2)</f>
        <v>0</v>
      </c>
      <c r="J59" s="52">
        <f>ROUND(F59*AP59,2)</f>
        <v>0</v>
      </c>
      <c r="K59" s="52">
        <f>ROUND(F59*G59,2)</f>
        <v>0</v>
      </c>
      <c r="L59" s="52">
        <f>K59*(1+BW59/100)</f>
        <v>0</v>
      </c>
      <c r="M59" s="52">
        <v>0</v>
      </c>
      <c r="N59" s="52">
        <f>F59*M59</f>
        <v>0</v>
      </c>
      <c r="O59" s="54" t="s">
        <v>56</v>
      </c>
      <c r="Z59" s="15">
        <f>ROUND(IF(AQ59="5",BJ59,0),2)</f>
        <v>0</v>
      </c>
      <c r="AB59" s="15">
        <f>ROUND(IF(AQ59="1",BH59,0),2)</f>
        <v>0</v>
      </c>
      <c r="AC59" s="15">
        <f>ROUND(IF(AQ59="1",BI59,0),2)</f>
        <v>0</v>
      </c>
      <c r="AD59" s="15">
        <f>ROUND(IF(AQ59="7",BH59,0),2)</f>
        <v>0</v>
      </c>
      <c r="AE59" s="15">
        <f>ROUND(IF(AQ59="7",BI59,0),2)</f>
        <v>0</v>
      </c>
      <c r="AF59" s="15">
        <f>ROUND(IF(AQ59="2",BH59,0),2)</f>
        <v>0</v>
      </c>
      <c r="AG59" s="15">
        <f>ROUND(IF(AQ59="2",BI59,0),2)</f>
        <v>0</v>
      </c>
      <c r="AH59" s="15">
        <f>ROUND(IF(AQ59="0",BJ59,0),2)</f>
        <v>0</v>
      </c>
      <c r="AI59" s="11" t="s">
        <v>49</v>
      </c>
      <c r="AJ59" s="14">
        <f>IF(AN59=0,K59,0)</f>
        <v>0</v>
      </c>
      <c r="AK59" s="14">
        <f>IF(AN59=12,K59,0)</f>
        <v>0</v>
      </c>
      <c r="AL59" s="14">
        <f>IF(AN59=21,K59,0)</f>
        <v>0</v>
      </c>
      <c r="AN59" s="15">
        <v>21</v>
      </c>
      <c r="AO59" s="15">
        <f>G59*0</f>
        <v>0</v>
      </c>
      <c r="AP59" s="15">
        <f>G59*(1-0)</f>
        <v>0</v>
      </c>
      <c r="AQ59" s="16" t="s">
        <v>75</v>
      </c>
      <c r="AV59" s="15">
        <f>ROUND(AW59+AX59,2)</f>
        <v>0</v>
      </c>
      <c r="AW59" s="15">
        <f>ROUND(F59*AO59,2)</f>
        <v>0</v>
      </c>
      <c r="AX59" s="15">
        <f>ROUND(F59*AP59,2)</f>
        <v>0</v>
      </c>
      <c r="AY59" s="17" t="s">
        <v>166</v>
      </c>
      <c r="AZ59" s="17" t="s">
        <v>144</v>
      </c>
      <c r="BA59" s="11" t="s">
        <v>60</v>
      </c>
      <c r="BC59" s="15">
        <f>AW59+AX59</f>
        <v>0</v>
      </c>
      <c r="BD59" s="15">
        <f>G59/(100-BE59)*100</f>
        <v>0</v>
      </c>
      <c r="BE59" s="15">
        <v>0</v>
      </c>
      <c r="BF59" s="15">
        <f>N59</f>
        <v>0</v>
      </c>
      <c r="BH59" s="14">
        <f>F59*AO59</f>
        <v>0</v>
      </c>
      <c r="BI59" s="14">
        <f>F59*AP59</f>
        <v>0</v>
      </c>
      <c r="BJ59" s="14">
        <f>F59*G59</f>
        <v>0</v>
      </c>
      <c r="BK59" s="16" t="s">
        <v>61</v>
      </c>
      <c r="BL59" s="15"/>
      <c r="BW59" s="15">
        <f>H59</f>
        <v>21</v>
      </c>
      <c r="BX59" s="13" t="s">
        <v>174</v>
      </c>
    </row>
    <row r="60" spans="1:76" x14ac:dyDescent="0.25">
      <c r="A60" s="55"/>
      <c r="B60" s="55"/>
      <c r="C60" s="56" t="s">
        <v>175</v>
      </c>
      <c r="D60" s="57" t="s">
        <v>176</v>
      </c>
      <c r="E60" s="55"/>
      <c r="F60" s="58">
        <v>39.619999999999997</v>
      </c>
      <c r="G60" s="55"/>
      <c r="H60" s="55"/>
      <c r="I60" s="55"/>
      <c r="J60" s="55"/>
      <c r="K60" s="55"/>
      <c r="L60" s="55"/>
      <c r="M60" s="55"/>
      <c r="N60" s="55"/>
      <c r="O60" s="55"/>
    </row>
    <row r="61" spans="1:76" x14ac:dyDescent="0.25">
      <c r="A61" s="51" t="s">
        <v>177</v>
      </c>
      <c r="B61" s="51" t="s">
        <v>178</v>
      </c>
      <c r="C61" s="73" t="s">
        <v>179</v>
      </c>
      <c r="D61" s="74"/>
      <c r="E61" s="51" t="s">
        <v>104</v>
      </c>
      <c r="F61" s="52">
        <v>2.83</v>
      </c>
      <c r="G61" s="71"/>
      <c r="H61" s="53">
        <v>21</v>
      </c>
      <c r="I61" s="52">
        <f>ROUND(F61*AO61,2)</f>
        <v>0</v>
      </c>
      <c r="J61" s="52">
        <f>ROUND(F61*AP61,2)</f>
        <v>0</v>
      </c>
      <c r="K61" s="52">
        <f>ROUND(F61*G61,2)</f>
        <v>0</v>
      </c>
      <c r="L61" s="52">
        <f>K61*(1+BW61/100)</f>
        <v>0</v>
      </c>
      <c r="M61" s="52">
        <v>0</v>
      </c>
      <c r="N61" s="52">
        <f>F61*M61</f>
        <v>0</v>
      </c>
      <c r="O61" s="54" t="s">
        <v>56</v>
      </c>
      <c r="Z61" s="15">
        <f>ROUND(IF(AQ61="5",BJ61,0),2)</f>
        <v>0</v>
      </c>
      <c r="AB61" s="15">
        <f>ROUND(IF(AQ61="1",BH61,0),2)</f>
        <v>0</v>
      </c>
      <c r="AC61" s="15">
        <f>ROUND(IF(AQ61="1",BI61,0),2)</f>
        <v>0</v>
      </c>
      <c r="AD61" s="15">
        <f>ROUND(IF(AQ61="7",BH61,0),2)</f>
        <v>0</v>
      </c>
      <c r="AE61" s="15">
        <f>ROUND(IF(AQ61="7",BI61,0),2)</f>
        <v>0</v>
      </c>
      <c r="AF61" s="15">
        <f>ROUND(IF(AQ61="2",BH61,0),2)</f>
        <v>0</v>
      </c>
      <c r="AG61" s="15">
        <f>ROUND(IF(AQ61="2",BI61,0),2)</f>
        <v>0</v>
      </c>
      <c r="AH61" s="15">
        <f>ROUND(IF(AQ61="0",BJ61,0),2)</f>
        <v>0</v>
      </c>
      <c r="AI61" s="11" t="s">
        <v>49</v>
      </c>
      <c r="AJ61" s="14">
        <f>IF(AN61=0,K61,0)</f>
        <v>0</v>
      </c>
      <c r="AK61" s="14">
        <f>IF(AN61=12,K61,0)</f>
        <v>0</v>
      </c>
      <c r="AL61" s="14">
        <f>IF(AN61=21,K61,0)</f>
        <v>0</v>
      </c>
      <c r="AN61" s="15">
        <v>21</v>
      </c>
      <c r="AO61" s="15">
        <f>G61*0</f>
        <v>0</v>
      </c>
      <c r="AP61" s="15">
        <f>G61*(1-0)</f>
        <v>0</v>
      </c>
      <c r="AQ61" s="16" t="s">
        <v>75</v>
      </c>
      <c r="AV61" s="15">
        <f>ROUND(AW61+AX61,2)</f>
        <v>0</v>
      </c>
      <c r="AW61" s="15">
        <f>ROUND(F61*AO61,2)</f>
        <v>0</v>
      </c>
      <c r="AX61" s="15">
        <f>ROUND(F61*AP61,2)</f>
        <v>0</v>
      </c>
      <c r="AY61" s="17" t="s">
        <v>166</v>
      </c>
      <c r="AZ61" s="17" t="s">
        <v>144</v>
      </c>
      <c r="BA61" s="11" t="s">
        <v>60</v>
      </c>
      <c r="BC61" s="15">
        <f>AW61+AX61</f>
        <v>0</v>
      </c>
      <c r="BD61" s="15">
        <f>G61/(100-BE61)*100</f>
        <v>0</v>
      </c>
      <c r="BE61" s="15">
        <v>0</v>
      </c>
      <c r="BF61" s="15">
        <f>N61</f>
        <v>0</v>
      </c>
      <c r="BH61" s="14">
        <f>F61*AO61</f>
        <v>0</v>
      </c>
      <c r="BI61" s="14">
        <f>F61*AP61</f>
        <v>0</v>
      </c>
      <c r="BJ61" s="14">
        <f>F61*G61</f>
        <v>0</v>
      </c>
      <c r="BK61" s="16" t="s">
        <v>61</v>
      </c>
      <c r="BL61" s="15"/>
      <c r="BW61" s="15">
        <f>H61</f>
        <v>21</v>
      </c>
      <c r="BX61" s="13" t="s">
        <v>179</v>
      </c>
    </row>
    <row r="62" spans="1:76" x14ac:dyDescent="0.25">
      <c r="A62" s="51" t="s">
        <v>180</v>
      </c>
      <c r="B62" s="51" t="s">
        <v>181</v>
      </c>
      <c r="C62" s="73" t="s">
        <v>182</v>
      </c>
      <c r="D62" s="74"/>
      <c r="E62" s="51" t="s">
        <v>104</v>
      </c>
      <c r="F62" s="52">
        <v>0.5</v>
      </c>
      <c r="G62" s="71"/>
      <c r="H62" s="53">
        <v>21</v>
      </c>
      <c r="I62" s="52">
        <f>ROUND(F62*AO62,2)</f>
        <v>0</v>
      </c>
      <c r="J62" s="52">
        <f>ROUND(F62*AP62,2)</f>
        <v>0</v>
      </c>
      <c r="K62" s="52">
        <f>ROUND(F62*G62,2)</f>
        <v>0</v>
      </c>
      <c r="L62" s="52">
        <f>K62*(1+BW62/100)</f>
        <v>0</v>
      </c>
      <c r="M62" s="52">
        <v>0</v>
      </c>
      <c r="N62" s="52">
        <f>F62*M62</f>
        <v>0</v>
      </c>
      <c r="O62" s="54" t="s">
        <v>56</v>
      </c>
      <c r="Z62" s="15">
        <f>ROUND(IF(AQ62="5",BJ62,0),2)</f>
        <v>0</v>
      </c>
      <c r="AB62" s="15">
        <f>ROUND(IF(AQ62="1",BH62,0),2)</f>
        <v>0</v>
      </c>
      <c r="AC62" s="15">
        <f>ROUND(IF(AQ62="1",BI62,0),2)</f>
        <v>0</v>
      </c>
      <c r="AD62" s="15">
        <f>ROUND(IF(AQ62="7",BH62,0),2)</f>
        <v>0</v>
      </c>
      <c r="AE62" s="15">
        <f>ROUND(IF(AQ62="7",BI62,0),2)</f>
        <v>0</v>
      </c>
      <c r="AF62" s="15">
        <f>ROUND(IF(AQ62="2",BH62,0),2)</f>
        <v>0</v>
      </c>
      <c r="AG62" s="15">
        <f>ROUND(IF(AQ62="2",BI62,0),2)</f>
        <v>0</v>
      </c>
      <c r="AH62" s="15">
        <f>ROUND(IF(AQ62="0",BJ62,0),2)</f>
        <v>0</v>
      </c>
      <c r="AI62" s="11" t="s">
        <v>49</v>
      </c>
      <c r="AJ62" s="14">
        <f>IF(AN62=0,K62,0)</f>
        <v>0</v>
      </c>
      <c r="AK62" s="14">
        <f>IF(AN62=12,K62,0)</f>
        <v>0</v>
      </c>
      <c r="AL62" s="14">
        <f>IF(AN62=21,K62,0)</f>
        <v>0</v>
      </c>
      <c r="AN62" s="15">
        <v>21</v>
      </c>
      <c r="AO62" s="15">
        <f>G62*0</f>
        <v>0</v>
      </c>
      <c r="AP62" s="15">
        <f>G62*(1-0)</f>
        <v>0</v>
      </c>
      <c r="AQ62" s="16" t="s">
        <v>75</v>
      </c>
      <c r="AV62" s="15">
        <f>ROUND(AW62+AX62,2)</f>
        <v>0</v>
      </c>
      <c r="AW62" s="15">
        <f>ROUND(F62*AO62,2)</f>
        <v>0</v>
      </c>
      <c r="AX62" s="15">
        <f>ROUND(F62*AP62,2)</f>
        <v>0</v>
      </c>
      <c r="AY62" s="17" t="s">
        <v>166</v>
      </c>
      <c r="AZ62" s="17" t="s">
        <v>144</v>
      </c>
      <c r="BA62" s="11" t="s">
        <v>60</v>
      </c>
      <c r="BC62" s="15">
        <f>AW62+AX62</f>
        <v>0</v>
      </c>
      <c r="BD62" s="15">
        <f>G62/(100-BE62)*100</f>
        <v>0</v>
      </c>
      <c r="BE62" s="15">
        <v>0</v>
      </c>
      <c r="BF62" s="15">
        <f>N62</f>
        <v>0</v>
      </c>
      <c r="BH62" s="14">
        <f>F62*AO62</f>
        <v>0</v>
      </c>
      <c r="BI62" s="14">
        <f>F62*AP62</f>
        <v>0</v>
      </c>
      <c r="BJ62" s="14">
        <f>F62*G62</f>
        <v>0</v>
      </c>
      <c r="BK62" s="16" t="s">
        <v>61</v>
      </c>
      <c r="BL62" s="15"/>
      <c r="BW62" s="15">
        <f>H62</f>
        <v>21</v>
      </c>
      <c r="BX62" s="13" t="s">
        <v>182</v>
      </c>
    </row>
    <row r="63" spans="1:76" x14ac:dyDescent="0.25">
      <c r="A63" s="51" t="s">
        <v>183</v>
      </c>
      <c r="B63" s="51" t="s">
        <v>184</v>
      </c>
      <c r="C63" s="73" t="s">
        <v>185</v>
      </c>
      <c r="D63" s="74"/>
      <c r="E63" s="51" t="s">
        <v>104</v>
      </c>
      <c r="F63" s="52">
        <v>2.33</v>
      </c>
      <c r="G63" s="71"/>
      <c r="H63" s="53">
        <v>21</v>
      </c>
      <c r="I63" s="52">
        <f>ROUND(F63*AO63,2)</f>
        <v>0</v>
      </c>
      <c r="J63" s="52">
        <f>ROUND(F63*AP63,2)</f>
        <v>0</v>
      </c>
      <c r="K63" s="52">
        <f>ROUND(F63*G63,2)</f>
        <v>0</v>
      </c>
      <c r="L63" s="52">
        <f>K63*(1+BW63/100)</f>
        <v>0</v>
      </c>
      <c r="M63" s="52">
        <v>0</v>
      </c>
      <c r="N63" s="52">
        <f>F63*M63</f>
        <v>0</v>
      </c>
      <c r="O63" s="54" t="s">
        <v>56</v>
      </c>
      <c r="Z63" s="15">
        <f>ROUND(IF(AQ63="5",BJ63,0),2)</f>
        <v>0</v>
      </c>
      <c r="AB63" s="15">
        <f>ROUND(IF(AQ63="1",BH63,0),2)</f>
        <v>0</v>
      </c>
      <c r="AC63" s="15">
        <f>ROUND(IF(AQ63="1",BI63,0),2)</f>
        <v>0</v>
      </c>
      <c r="AD63" s="15">
        <f>ROUND(IF(AQ63="7",BH63,0),2)</f>
        <v>0</v>
      </c>
      <c r="AE63" s="15">
        <f>ROUND(IF(AQ63="7",BI63,0),2)</f>
        <v>0</v>
      </c>
      <c r="AF63" s="15">
        <f>ROUND(IF(AQ63="2",BH63,0),2)</f>
        <v>0</v>
      </c>
      <c r="AG63" s="15">
        <f>ROUND(IF(AQ63="2",BI63,0),2)</f>
        <v>0</v>
      </c>
      <c r="AH63" s="15">
        <f>ROUND(IF(AQ63="0",BJ63,0),2)</f>
        <v>0</v>
      </c>
      <c r="AI63" s="11" t="s">
        <v>49</v>
      </c>
      <c r="AJ63" s="14">
        <f>IF(AN63=0,K63,0)</f>
        <v>0</v>
      </c>
      <c r="AK63" s="14">
        <f>IF(AN63=12,K63,0)</f>
        <v>0</v>
      </c>
      <c r="AL63" s="14">
        <f>IF(AN63=21,K63,0)</f>
        <v>0</v>
      </c>
      <c r="AN63" s="15">
        <v>21</v>
      </c>
      <c r="AO63" s="15">
        <f>G63*0</f>
        <v>0</v>
      </c>
      <c r="AP63" s="15">
        <f>G63*(1-0)</f>
        <v>0</v>
      </c>
      <c r="AQ63" s="16" t="s">
        <v>75</v>
      </c>
      <c r="AV63" s="15">
        <f>ROUND(AW63+AX63,2)</f>
        <v>0</v>
      </c>
      <c r="AW63" s="15">
        <f>ROUND(F63*AO63,2)</f>
        <v>0</v>
      </c>
      <c r="AX63" s="15">
        <f>ROUND(F63*AP63,2)</f>
        <v>0</v>
      </c>
      <c r="AY63" s="17" t="s">
        <v>166</v>
      </c>
      <c r="AZ63" s="17" t="s">
        <v>144</v>
      </c>
      <c r="BA63" s="11" t="s">
        <v>60</v>
      </c>
      <c r="BC63" s="15">
        <f>AW63+AX63</f>
        <v>0</v>
      </c>
      <c r="BD63" s="15">
        <f>G63/(100-BE63)*100</f>
        <v>0</v>
      </c>
      <c r="BE63" s="15">
        <v>0</v>
      </c>
      <c r="BF63" s="15">
        <f>N63</f>
        <v>0</v>
      </c>
      <c r="BH63" s="14">
        <f>F63*AO63</f>
        <v>0</v>
      </c>
      <c r="BI63" s="14">
        <f>F63*AP63</f>
        <v>0</v>
      </c>
      <c r="BJ63" s="14">
        <f>F63*G63</f>
        <v>0</v>
      </c>
      <c r="BK63" s="16" t="s">
        <v>61</v>
      </c>
      <c r="BL63" s="15"/>
      <c r="BW63" s="15">
        <f>H63</f>
        <v>21</v>
      </c>
      <c r="BX63" s="13" t="s">
        <v>185</v>
      </c>
    </row>
    <row r="64" spans="1:76" x14ac:dyDescent="0.25">
      <c r="A64" s="55"/>
      <c r="B64" s="55"/>
      <c r="C64" s="55"/>
      <c r="D64" s="55"/>
      <c r="E64" s="55"/>
      <c r="F64" s="55"/>
      <c r="G64" s="55"/>
      <c r="H64" s="55"/>
      <c r="I64" s="75" t="s">
        <v>186</v>
      </c>
      <c r="J64" s="75"/>
      <c r="K64" s="63">
        <f>ROUND(K12+K35+K39+K46+K48+K50+K54,0)</f>
        <v>0</v>
      </c>
      <c r="L64" s="63">
        <f>ROUND(L12+L35+L39+L46+L48+L50+L54,0)</f>
        <v>0</v>
      </c>
      <c r="M64" s="55"/>
      <c r="N64" s="55"/>
      <c r="O64" s="55"/>
    </row>
    <row r="65" spans="1:15" x14ac:dyDescent="0.25">
      <c r="A65" s="64" t="s">
        <v>187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</row>
    <row r="66" spans="1:15" ht="12.75" customHeight="1" x14ac:dyDescent="0.25">
      <c r="A66" s="76" t="s">
        <v>49</v>
      </c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</row>
  </sheetData>
  <mergeCells count="64">
    <mergeCell ref="A1:O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  <mergeCell ref="I2:O3"/>
    <mergeCell ref="I4:O5"/>
    <mergeCell ref="I6:O7"/>
    <mergeCell ref="I8:O9"/>
    <mergeCell ref="C10:D10"/>
    <mergeCell ref="C8:D9"/>
    <mergeCell ref="G2:G3"/>
    <mergeCell ref="G4:G5"/>
    <mergeCell ref="G6:G7"/>
    <mergeCell ref="G8:G9"/>
    <mergeCell ref="C11:D11"/>
    <mergeCell ref="I10:K10"/>
    <mergeCell ref="M10:N10"/>
    <mergeCell ref="C12:D12"/>
    <mergeCell ref="C13:D13"/>
    <mergeCell ref="C15:D15"/>
    <mergeCell ref="C17:D17"/>
    <mergeCell ref="C19:D19"/>
    <mergeCell ref="C20:D20"/>
    <mergeCell ref="C22:D22"/>
    <mergeCell ref="C25:D25"/>
    <mergeCell ref="C26:D26"/>
    <mergeCell ref="C28:D28"/>
    <mergeCell ref="C31:D31"/>
    <mergeCell ref="C33:D33"/>
    <mergeCell ref="C34:D34"/>
    <mergeCell ref="C35:D35"/>
    <mergeCell ref="C36:D36"/>
    <mergeCell ref="C38:D38"/>
    <mergeCell ref="C39:D39"/>
    <mergeCell ref="C40:D40"/>
    <mergeCell ref="C45:D45"/>
    <mergeCell ref="C46:D46"/>
    <mergeCell ref="C47:D47"/>
    <mergeCell ref="C48:D48"/>
    <mergeCell ref="C49:D49"/>
    <mergeCell ref="C50:D50"/>
    <mergeCell ref="C51:D51"/>
    <mergeCell ref="C52:D52"/>
    <mergeCell ref="C54:D54"/>
    <mergeCell ref="C63:D63"/>
    <mergeCell ref="I64:J64"/>
    <mergeCell ref="A66:O66"/>
    <mergeCell ref="C55:D55"/>
    <mergeCell ref="C58:D58"/>
    <mergeCell ref="C59:D59"/>
    <mergeCell ref="C61:D61"/>
    <mergeCell ref="C62:D62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9"/>
  <sheetViews>
    <sheetView workbookViewId="0">
      <pane ySplit="11" topLeftCell="A15" activePane="bottomLeft" state="frozen"/>
      <selection pane="bottomLeft" activeCell="C28" sqref="C28"/>
    </sheetView>
  </sheetViews>
  <sheetFormatPr defaultColWidth="12.140625" defaultRowHeight="15" customHeight="1" x14ac:dyDescent="0.25"/>
  <cols>
    <col min="1" max="2" width="4.28515625" customWidth="1"/>
    <col min="3" max="3" width="71.42578125" customWidth="1"/>
    <col min="4" max="6" width="27.85546875" customWidth="1"/>
    <col min="7" max="7" width="37.140625" customWidth="1"/>
    <col min="8" max="9" width="0" hidden="1" customWidth="1"/>
  </cols>
  <sheetData>
    <row r="1" spans="1:9" ht="54.75" customHeight="1" x14ac:dyDescent="0.25">
      <c r="A1" s="97" t="s">
        <v>188</v>
      </c>
      <c r="B1" s="97"/>
      <c r="C1" s="97"/>
      <c r="D1" s="97"/>
      <c r="E1" s="97"/>
      <c r="F1" s="97"/>
      <c r="G1" s="97"/>
    </row>
    <row r="2" spans="1:9" x14ac:dyDescent="0.25">
      <c r="A2" s="98" t="s">
        <v>0</v>
      </c>
      <c r="B2" s="89"/>
      <c r="C2" s="103" t="str">
        <f>'Stavební rozpočet'!C2</f>
        <v>Oprava střeš. pláště Kladruby</v>
      </c>
      <c r="D2" s="89" t="s">
        <v>2</v>
      </c>
      <c r="E2" s="89" t="s">
        <v>3</v>
      </c>
      <c r="F2" s="102" t="s">
        <v>4</v>
      </c>
      <c r="G2" s="106" t="str">
        <f>'Stavební rozpočet'!I2</f>
        <v> </v>
      </c>
    </row>
    <row r="3" spans="1:9" ht="15" customHeight="1" x14ac:dyDescent="0.25">
      <c r="A3" s="99"/>
      <c r="B3" s="77"/>
      <c r="C3" s="105"/>
      <c r="D3" s="77"/>
      <c r="E3" s="77"/>
      <c r="F3" s="77"/>
      <c r="G3" s="91"/>
    </row>
    <row r="4" spans="1:9" x14ac:dyDescent="0.25">
      <c r="A4" s="100" t="s">
        <v>6</v>
      </c>
      <c r="B4" s="77"/>
      <c r="C4" s="76" t="str">
        <f>'Stavební rozpočet'!C4</f>
        <v>Rekonstrukce</v>
      </c>
      <c r="D4" s="77" t="s">
        <v>8</v>
      </c>
      <c r="E4" s="77" t="s">
        <v>3</v>
      </c>
      <c r="F4" s="76" t="s">
        <v>9</v>
      </c>
      <c r="G4" s="107" t="str">
        <f>'Stavební rozpočet'!I4</f>
        <v> </v>
      </c>
    </row>
    <row r="5" spans="1:9" ht="15" customHeight="1" x14ac:dyDescent="0.25">
      <c r="A5" s="99"/>
      <c r="B5" s="77"/>
      <c r="C5" s="77"/>
      <c r="D5" s="77"/>
      <c r="E5" s="77"/>
      <c r="F5" s="77"/>
      <c r="G5" s="91"/>
    </row>
    <row r="6" spans="1:9" x14ac:dyDescent="0.25">
      <c r="A6" s="100" t="s">
        <v>10</v>
      </c>
      <c r="B6" s="77"/>
      <c r="C6" s="76" t="str">
        <f>'Stavební rozpočet'!C6</f>
        <v>p.č.60, k. ú. Kolesa, obec Kladruby n. Labem</v>
      </c>
      <c r="D6" s="77" t="s">
        <v>11</v>
      </c>
      <c r="E6" s="77" t="s">
        <v>3</v>
      </c>
      <c r="F6" s="76" t="s">
        <v>12</v>
      </c>
      <c r="G6" s="107" t="str">
        <f>'Stavební rozpočet'!I6</f>
        <v> </v>
      </c>
    </row>
    <row r="7" spans="1:9" ht="15" customHeight="1" x14ac:dyDescent="0.25">
      <c r="A7" s="99"/>
      <c r="B7" s="77"/>
      <c r="C7" s="77"/>
      <c r="D7" s="77"/>
      <c r="E7" s="77"/>
      <c r="F7" s="77"/>
      <c r="G7" s="91"/>
    </row>
    <row r="8" spans="1:9" x14ac:dyDescent="0.25">
      <c r="A8" s="100" t="s">
        <v>15</v>
      </c>
      <c r="B8" s="77"/>
      <c r="C8" s="76">
        <f>'Stavební rozpočet'!I8</f>
        <v>0</v>
      </c>
      <c r="D8" s="77" t="s">
        <v>14</v>
      </c>
      <c r="E8" s="96">
        <v>45901</v>
      </c>
      <c r="F8" s="77" t="s">
        <v>14</v>
      </c>
      <c r="G8" s="107">
        <f>'Stavební rozpočet'!G8</f>
        <v>45901</v>
      </c>
    </row>
    <row r="9" spans="1:9" ht="15.75" thickBot="1" x14ac:dyDescent="0.3">
      <c r="A9" s="101"/>
      <c r="B9" s="92"/>
      <c r="C9" s="92"/>
      <c r="D9" s="92"/>
      <c r="E9" s="92"/>
      <c r="F9" s="92"/>
      <c r="G9" s="93"/>
    </row>
    <row r="10" spans="1:9" x14ac:dyDescent="0.25">
      <c r="A10" s="108" t="s">
        <v>17</v>
      </c>
      <c r="B10" s="95"/>
      <c r="C10" s="5" t="s">
        <v>18</v>
      </c>
      <c r="D10" s="65" t="s">
        <v>189</v>
      </c>
      <c r="E10" s="65" t="s">
        <v>190</v>
      </c>
      <c r="F10" s="65" t="s">
        <v>191</v>
      </c>
      <c r="G10" s="66" t="s">
        <v>192</v>
      </c>
    </row>
    <row r="11" spans="1:9" x14ac:dyDescent="0.25">
      <c r="A11" s="81" t="s">
        <v>50</v>
      </c>
      <c r="B11" s="81"/>
      <c r="C11" s="59" t="s">
        <v>51</v>
      </c>
      <c r="D11" s="60">
        <f>ROUND('Stavební rozpočet'!I12,2)</f>
        <v>0</v>
      </c>
      <c r="E11" s="60">
        <f>ROUND('Stavební rozpočet'!J12,2)</f>
        <v>0</v>
      </c>
      <c r="F11" s="60">
        <f>ROUND('Stavební rozpočet'!K12,2)</f>
        <v>0</v>
      </c>
      <c r="G11" s="60">
        <f>'Stavební rozpočet'!N12</f>
        <v>10.3278786</v>
      </c>
      <c r="H11" s="18" t="s">
        <v>193</v>
      </c>
      <c r="I11" s="15">
        <f t="shared" ref="I11:I17" si="0">IF(H11="F",0,F11)</f>
        <v>0</v>
      </c>
    </row>
    <row r="12" spans="1:9" x14ac:dyDescent="0.25">
      <c r="A12" s="81" t="s">
        <v>109</v>
      </c>
      <c r="B12" s="81"/>
      <c r="C12" s="59" t="s">
        <v>110</v>
      </c>
      <c r="D12" s="60">
        <f>ROUND('Stavební rozpočet'!I35,2)</f>
        <v>0</v>
      </c>
      <c r="E12" s="60">
        <f>ROUND('Stavební rozpočet'!J35,2)</f>
        <v>0</v>
      </c>
      <c r="F12" s="60">
        <f>ROUND('Stavební rozpočet'!K35,2)</f>
        <v>0</v>
      </c>
      <c r="G12" s="60">
        <f>'Stavební rozpočet'!N35</f>
        <v>6.0605999999999993E-2</v>
      </c>
      <c r="H12" s="18" t="s">
        <v>193</v>
      </c>
      <c r="I12" s="15">
        <f t="shared" si="0"/>
        <v>0</v>
      </c>
    </row>
    <row r="13" spans="1:9" x14ac:dyDescent="0.25">
      <c r="A13" s="81" t="s">
        <v>120</v>
      </c>
      <c r="B13" s="81"/>
      <c r="C13" s="59" t="s">
        <v>121</v>
      </c>
      <c r="D13" s="60">
        <f>ROUND('Stavební rozpočet'!I39,2)</f>
        <v>0</v>
      </c>
      <c r="E13" s="60">
        <f>ROUND('Stavební rozpočet'!J39,2)</f>
        <v>0</v>
      </c>
      <c r="F13" s="60">
        <f>ROUND('Stavební rozpočet'!K39,2)</f>
        <v>0</v>
      </c>
      <c r="G13" s="60">
        <f>'Stavební rozpočet'!N39</f>
        <v>2.3359600000000001E-2</v>
      </c>
      <c r="H13" s="18" t="s">
        <v>193</v>
      </c>
      <c r="I13" s="15">
        <f t="shared" si="0"/>
        <v>0</v>
      </c>
    </row>
    <row r="14" spans="1:9" x14ac:dyDescent="0.25">
      <c r="A14" s="81" t="s">
        <v>137</v>
      </c>
      <c r="B14" s="81"/>
      <c r="C14" s="59" t="s">
        <v>138</v>
      </c>
      <c r="D14" s="60">
        <f>ROUND('Stavební rozpočet'!I46,2)</f>
        <v>0</v>
      </c>
      <c r="E14" s="60">
        <f>ROUND('Stavební rozpočet'!J46,2)</f>
        <v>0</v>
      </c>
      <c r="F14" s="60">
        <f>ROUND('Stavební rozpočet'!K46,2)</f>
        <v>0</v>
      </c>
      <c r="G14" s="60">
        <f>'Stavební rozpočet'!N46</f>
        <v>0</v>
      </c>
      <c r="H14" s="18" t="s">
        <v>193</v>
      </c>
      <c r="I14" s="15">
        <f t="shared" si="0"/>
        <v>0</v>
      </c>
    </row>
    <row r="15" spans="1:9" x14ac:dyDescent="0.25">
      <c r="A15" s="81" t="s">
        <v>145</v>
      </c>
      <c r="B15" s="81"/>
      <c r="C15" s="59" t="s">
        <v>146</v>
      </c>
      <c r="D15" s="60">
        <f>ROUND('Stavební rozpočet'!I48,2)</f>
        <v>0</v>
      </c>
      <c r="E15" s="60">
        <f>ROUND('Stavební rozpočet'!J48,2)</f>
        <v>0</v>
      </c>
      <c r="F15" s="60">
        <f>ROUND('Stavební rozpočet'!K48,2)</f>
        <v>0</v>
      </c>
      <c r="G15" s="60">
        <f>'Stavební rozpočet'!N48</f>
        <v>0</v>
      </c>
      <c r="H15" s="18" t="s">
        <v>193</v>
      </c>
      <c r="I15" s="15">
        <f t="shared" si="0"/>
        <v>0</v>
      </c>
    </row>
    <row r="16" spans="1:9" x14ac:dyDescent="0.25">
      <c r="A16" s="81" t="s">
        <v>151</v>
      </c>
      <c r="B16" s="81"/>
      <c r="C16" s="59" t="s">
        <v>152</v>
      </c>
      <c r="D16" s="60">
        <f>ROUND('Stavební rozpočet'!I50,2)</f>
        <v>0</v>
      </c>
      <c r="E16" s="60">
        <f>ROUND('Stavební rozpočet'!J50,2)</f>
        <v>0</v>
      </c>
      <c r="F16" s="60">
        <f>ROUND('Stavební rozpočet'!K50,2)</f>
        <v>0</v>
      </c>
      <c r="G16" s="60">
        <f>'Stavební rozpočet'!N50</f>
        <v>0</v>
      </c>
      <c r="H16" s="18" t="s">
        <v>193</v>
      </c>
      <c r="I16" s="15">
        <f t="shared" si="0"/>
        <v>0</v>
      </c>
    </row>
    <row r="17" spans="1:9" x14ac:dyDescent="0.25">
      <c r="A17" s="81" t="s">
        <v>161</v>
      </c>
      <c r="B17" s="81"/>
      <c r="C17" s="59" t="s">
        <v>162</v>
      </c>
      <c r="D17" s="60">
        <f>ROUND('Stavební rozpočet'!I54,2)</f>
        <v>0</v>
      </c>
      <c r="E17" s="60">
        <f>ROUND('Stavební rozpočet'!J54,2)</f>
        <v>0</v>
      </c>
      <c r="F17" s="60">
        <f>ROUND('Stavební rozpočet'!K54,2)</f>
        <v>0</v>
      </c>
      <c r="G17" s="60">
        <f>'Stavební rozpočet'!N54</f>
        <v>0</v>
      </c>
      <c r="H17" s="18" t="s">
        <v>193</v>
      </c>
      <c r="I17" s="15">
        <f t="shared" si="0"/>
        <v>0</v>
      </c>
    </row>
    <row r="18" spans="1:9" x14ac:dyDescent="0.25">
      <c r="A18" s="55"/>
      <c r="B18" s="55"/>
      <c r="C18" s="55"/>
      <c r="D18" s="55"/>
      <c r="E18" s="67" t="s">
        <v>186</v>
      </c>
      <c r="F18" s="63">
        <f>ROUND(SUM(I11:I17),0)</f>
        <v>0</v>
      </c>
      <c r="G18" s="55"/>
    </row>
    <row r="19" spans="1:9" ht="15" customHeight="1" x14ac:dyDescent="0.25">
      <c r="A19" s="55"/>
      <c r="B19" s="55"/>
      <c r="C19" s="55"/>
      <c r="D19" s="55"/>
      <c r="E19" s="55"/>
      <c r="F19" s="55"/>
      <c r="G19" s="55"/>
    </row>
  </sheetData>
  <mergeCells count="33">
    <mergeCell ref="A1:G1"/>
    <mergeCell ref="A2:B3"/>
    <mergeCell ref="A4:B5"/>
    <mergeCell ref="A6:B7"/>
    <mergeCell ref="A8:B9"/>
    <mergeCell ref="D2:D3"/>
    <mergeCell ref="D4:D5"/>
    <mergeCell ref="D6:D7"/>
    <mergeCell ref="D8:D9"/>
    <mergeCell ref="F2:F3"/>
    <mergeCell ref="F4:F5"/>
    <mergeCell ref="F6:F7"/>
    <mergeCell ref="F8:F9"/>
    <mergeCell ref="C2:C3"/>
    <mergeCell ref="C4:C5"/>
    <mergeCell ref="C6:C7"/>
    <mergeCell ref="G2:G3"/>
    <mergeCell ref="G4:G5"/>
    <mergeCell ref="G6:G7"/>
    <mergeCell ref="G8:G9"/>
    <mergeCell ref="A10:B10"/>
    <mergeCell ref="C8:C9"/>
    <mergeCell ref="E2:E3"/>
    <mergeCell ref="E4:E5"/>
    <mergeCell ref="E6:E7"/>
    <mergeCell ref="E8:E9"/>
    <mergeCell ref="A16:B16"/>
    <mergeCell ref="A17:B17"/>
    <mergeCell ref="A11:B11"/>
    <mergeCell ref="A12:B12"/>
    <mergeCell ref="A13:B13"/>
    <mergeCell ref="A14:B14"/>
    <mergeCell ref="A15:B15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7"/>
  <sheetViews>
    <sheetView workbookViewId="0">
      <selection activeCell="F10" sqref="F10:G11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145" t="s">
        <v>194</v>
      </c>
      <c r="B1" s="97"/>
      <c r="C1" s="97"/>
      <c r="D1" s="97"/>
      <c r="E1" s="97"/>
      <c r="F1" s="97"/>
      <c r="G1" s="97"/>
      <c r="H1" s="97"/>
      <c r="I1" s="97"/>
    </row>
    <row r="2" spans="1:9" x14ac:dyDescent="0.25">
      <c r="A2" s="98" t="s">
        <v>0</v>
      </c>
      <c r="B2" s="89"/>
      <c r="C2" s="103" t="str">
        <f>'Stavební rozpočet'!C2</f>
        <v>Oprava střeš. pláště Kladruby</v>
      </c>
      <c r="D2" s="104"/>
      <c r="E2" s="102" t="s">
        <v>4</v>
      </c>
      <c r="F2" s="102" t="str">
        <f>'Stavební rozpočet'!I2</f>
        <v> </v>
      </c>
      <c r="G2" s="89"/>
      <c r="H2" s="102" t="s">
        <v>195</v>
      </c>
      <c r="I2" s="90" t="s">
        <v>49</v>
      </c>
    </row>
    <row r="3" spans="1:9" ht="15" customHeight="1" x14ac:dyDescent="0.25">
      <c r="A3" s="99"/>
      <c r="B3" s="77"/>
      <c r="C3" s="105"/>
      <c r="D3" s="105"/>
      <c r="E3" s="77"/>
      <c r="F3" s="77"/>
      <c r="G3" s="77"/>
      <c r="H3" s="77"/>
      <c r="I3" s="91"/>
    </row>
    <row r="4" spans="1:9" x14ac:dyDescent="0.25">
      <c r="A4" s="100" t="s">
        <v>6</v>
      </c>
      <c r="B4" s="77"/>
      <c r="C4" s="76" t="str">
        <f>'Stavební rozpočet'!C4</f>
        <v>Rekonstrukce</v>
      </c>
      <c r="D4" s="77"/>
      <c r="E4" s="76" t="s">
        <v>9</v>
      </c>
      <c r="F4" s="76" t="str">
        <f>'Stavební rozpočet'!I4</f>
        <v> </v>
      </c>
      <c r="G4" s="77"/>
      <c r="H4" s="76" t="s">
        <v>195</v>
      </c>
      <c r="I4" s="91" t="s">
        <v>49</v>
      </c>
    </row>
    <row r="5" spans="1:9" ht="15" customHeight="1" x14ac:dyDescent="0.25">
      <c r="A5" s="99"/>
      <c r="B5" s="77"/>
      <c r="C5" s="77"/>
      <c r="D5" s="77"/>
      <c r="E5" s="77"/>
      <c r="F5" s="77"/>
      <c r="G5" s="77"/>
      <c r="H5" s="77"/>
      <c r="I5" s="91"/>
    </row>
    <row r="6" spans="1:9" x14ac:dyDescent="0.25">
      <c r="A6" s="100" t="s">
        <v>10</v>
      </c>
      <c r="B6" s="77"/>
      <c r="C6" s="76" t="str">
        <f>'Stavební rozpočet'!C6</f>
        <v>p.č.60, k. ú. Kolesa, obec Kladruby n. Labem</v>
      </c>
      <c r="D6" s="77"/>
      <c r="E6" s="76" t="s">
        <v>12</v>
      </c>
      <c r="F6" s="76" t="str">
        <f>'Stavební rozpočet'!I6</f>
        <v> </v>
      </c>
      <c r="G6" s="77"/>
      <c r="H6" s="76" t="s">
        <v>195</v>
      </c>
      <c r="I6" s="91" t="s">
        <v>49</v>
      </c>
    </row>
    <row r="7" spans="1:9" ht="15" customHeight="1" x14ac:dyDescent="0.25">
      <c r="A7" s="99"/>
      <c r="B7" s="77"/>
      <c r="C7" s="77"/>
      <c r="D7" s="77"/>
      <c r="E7" s="77"/>
      <c r="F7" s="77"/>
      <c r="G7" s="77"/>
      <c r="H7" s="77"/>
      <c r="I7" s="91"/>
    </row>
    <row r="8" spans="1:9" x14ac:dyDescent="0.25">
      <c r="A8" s="100" t="s">
        <v>8</v>
      </c>
      <c r="B8" s="77"/>
      <c r="C8" s="76" t="str">
        <f>'Stavební rozpočet'!G4</f>
        <v xml:space="preserve"> </v>
      </c>
      <c r="D8" s="77"/>
      <c r="E8" s="76" t="s">
        <v>11</v>
      </c>
      <c r="F8" s="76" t="str">
        <f>'Stavební rozpočet'!G6</f>
        <v xml:space="preserve"> </v>
      </c>
      <c r="G8" s="77"/>
      <c r="H8" s="77" t="s">
        <v>196</v>
      </c>
      <c r="I8" s="146">
        <v>26</v>
      </c>
    </row>
    <row r="9" spans="1:9" x14ac:dyDescent="0.25">
      <c r="A9" s="99"/>
      <c r="B9" s="77"/>
      <c r="C9" s="77"/>
      <c r="D9" s="77"/>
      <c r="E9" s="77"/>
      <c r="F9" s="77"/>
      <c r="G9" s="77"/>
      <c r="H9" s="77"/>
      <c r="I9" s="91"/>
    </row>
    <row r="10" spans="1:9" x14ac:dyDescent="0.25">
      <c r="A10" s="100" t="s">
        <v>13</v>
      </c>
      <c r="B10" s="77"/>
      <c r="C10" s="76" t="str">
        <f>'Stavební rozpočet'!C8</f>
        <v xml:space="preserve"> </v>
      </c>
      <c r="D10" s="77"/>
      <c r="E10" s="76" t="s">
        <v>15</v>
      </c>
      <c r="F10" s="76">
        <f>'Stavební rozpočet'!I8</f>
        <v>0</v>
      </c>
      <c r="G10" s="77"/>
      <c r="H10" s="77" t="s">
        <v>197</v>
      </c>
      <c r="I10" s="107">
        <f>'Stavební rozpočet'!G8</f>
        <v>45901</v>
      </c>
    </row>
    <row r="11" spans="1:9" x14ac:dyDescent="0.25">
      <c r="A11" s="144"/>
      <c r="B11" s="143"/>
      <c r="C11" s="143"/>
      <c r="D11" s="143"/>
      <c r="E11" s="143"/>
      <c r="F11" s="143"/>
      <c r="G11" s="143"/>
      <c r="H11" s="143"/>
      <c r="I11" s="139"/>
    </row>
    <row r="12" spans="1:9" ht="23.25" x14ac:dyDescent="0.25">
      <c r="A12" s="140" t="s">
        <v>198</v>
      </c>
      <c r="B12" s="140"/>
      <c r="C12" s="140"/>
      <c r="D12" s="140"/>
      <c r="E12" s="140"/>
      <c r="F12" s="140"/>
      <c r="G12" s="140"/>
      <c r="H12" s="140"/>
      <c r="I12" s="140"/>
    </row>
    <row r="13" spans="1:9" ht="26.25" customHeight="1" x14ac:dyDescent="0.25">
      <c r="A13" s="19" t="s">
        <v>199</v>
      </c>
      <c r="B13" s="141" t="s">
        <v>200</v>
      </c>
      <c r="C13" s="142"/>
      <c r="D13" s="20" t="s">
        <v>201</v>
      </c>
      <c r="E13" s="141" t="s">
        <v>202</v>
      </c>
      <c r="F13" s="142"/>
      <c r="G13" s="20" t="s">
        <v>203</v>
      </c>
      <c r="H13" s="141" t="s">
        <v>204</v>
      </c>
      <c r="I13" s="142"/>
    </row>
    <row r="14" spans="1:9" ht="15.75" x14ac:dyDescent="0.25">
      <c r="A14" s="21" t="s">
        <v>205</v>
      </c>
      <c r="B14" s="22" t="s">
        <v>206</v>
      </c>
      <c r="C14" s="23">
        <f>SUM('Stavební rozpočet'!AB12:AB126)</f>
        <v>0</v>
      </c>
      <c r="D14" s="129" t="s">
        <v>207</v>
      </c>
      <c r="E14" s="130"/>
      <c r="F14" s="23">
        <f>VORN!I15</f>
        <v>0</v>
      </c>
      <c r="G14" s="129" t="s">
        <v>208</v>
      </c>
      <c r="H14" s="130"/>
      <c r="I14" s="23">
        <f>VORN!I21</f>
        <v>0</v>
      </c>
    </row>
    <row r="15" spans="1:9" ht="15.75" x14ac:dyDescent="0.25">
      <c r="A15" s="24" t="s">
        <v>49</v>
      </c>
      <c r="B15" s="22" t="s">
        <v>32</v>
      </c>
      <c r="C15" s="23">
        <f>SUM('Stavební rozpočet'!AC12:AC126)</f>
        <v>0</v>
      </c>
      <c r="D15" s="129" t="s">
        <v>209</v>
      </c>
      <c r="E15" s="130"/>
      <c r="F15" s="23">
        <f>VORN!I16</f>
        <v>0</v>
      </c>
      <c r="G15" s="129" t="s">
        <v>210</v>
      </c>
      <c r="H15" s="130"/>
      <c r="I15" s="23">
        <f>VORN!I22</f>
        <v>0</v>
      </c>
    </row>
    <row r="16" spans="1:9" ht="15.75" x14ac:dyDescent="0.25">
      <c r="A16" s="21" t="s">
        <v>211</v>
      </c>
      <c r="B16" s="22" t="s">
        <v>206</v>
      </c>
      <c r="C16" s="23">
        <f>SUM('Stavební rozpočet'!AD12:AD126)</f>
        <v>0</v>
      </c>
      <c r="D16" s="129" t="s">
        <v>212</v>
      </c>
      <c r="E16" s="130"/>
      <c r="F16" s="23">
        <f>VORN!I17</f>
        <v>0</v>
      </c>
      <c r="G16" s="129" t="s">
        <v>213</v>
      </c>
      <c r="H16" s="130"/>
      <c r="I16" s="23">
        <f>VORN!I23</f>
        <v>0</v>
      </c>
    </row>
    <row r="17" spans="1:9" ht="15.75" x14ac:dyDescent="0.25">
      <c r="A17" s="24" t="s">
        <v>49</v>
      </c>
      <c r="B17" s="22" t="s">
        <v>32</v>
      </c>
      <c r="C17" s="23">
        <f>SUM('Stavební rozpočet'!AE12:AE126)</f>
        <v>0</v>
      </c>
      <c r="D17" s="129" t="s">
        <v>49</v>
      </c>
      <c r="E17" s="130"/>
      <c r="F17" s="25" t="s">
        <v>49</v>
      </c>
      <c r="G17" s="129" t="s">
        <v>214</v>
      </c>
      <c r="H17" s="130"/>
      <c r="I17" s="23">
        <f>VORN!I24</f>
        <v>0</v>
      </c>
    </row>
    <row r="18" spans="1:9" ht="15.75" x14ac:dyDescent="0.25">
      <c r="A18" s="21" t="s">
        <v>215</v>
      </c>
      <c r="B18" s="22" t="s">
        <v>206</v>
      </c>
      <c r="C18" s="23">
        <f>SUM('Stavební rozpočet'!AF12:AF126)</f>
        <v>0</v>
      </c>
      <c r="D18" s="129" t="s">
        <v>49</v>
      </c>
      <c r="E18" s="130"/>
      <c r="F18" s="25" t="s">
        <v>49</v>
      </c>
      <c r="G18" s="129" t="s">
        <v>216</v>
      </c>
      <c r="H18" s="130"/>
      <c r="I18" s="23">
        <f>VORN!I25</f>
        <v>0</v>
      </c>
    </row>
    <row r="19" spans="1:9" ht="15.75" x14ac:dyDescent="0.25">
      <c r="A19" s="24" t="s">
        <v>49</v>
      </c>
      <c r="B19" s="22" t="s">
        <v>32</v>
      </c>
      <c r="C19" s="23">
        <f>SUM('Stavební rozpočet'!AG12:AG126)</f>
        <v>0</v>
      </c>
      <c r="D19" s="129" t="s">
        <v>49</v>
      </c>
      <c r="E19" s="130"/>
      <c r="F19" s="25" t="s">
        <v>49</v>
      </c>
      <c r="G19" s="129" t="s">
        <v>217</v>
      </c>
      <c r="H19" s="130"/>
      <c r="I19" s="23">
        <f>VORN!I26</f>
        <v>0</v>
      </c>
    </row>
    <row r="20" spans="1:9" ht="15.75" x14ac:dyDescent="0.25">
      <c r="A20" s="121" t="s">
        <v>218</v>
      </c>
      <c r="B20" s="122"/>
      <c r="C20" s="23">
        <f>SUM('Stavební rozpočet'!AH12:AH126)</f>
        <v>0</v>
      </c>
      <c r="D20" s="129" t="s">
        <v>49</v>
      </c>
      <c r="E20" s="130"/>
      <c r="F20" s="25" t="s">
        <v>49</v>
      </c>
      <c r="G20" s="129" t="s">
        <v>49</v>
      </c>
      <c r="H20" s="130"/>
      <c r="I20" s="25" t="s">
        <v>49</v>
      </c>
    </row>
    <row r="21" spans="1:9" ht="15.75" x14ac:dyDescent="0.25">
      <c r="A21" s="136" t="s">
        <v>219</v>
      </c>
      <c r="B21" s="137"/>
      <c r="C21" s="26">
        <f>SUM('Stavební rozpočet'!Z12:Z126)</f>
        <v>0</v>
      </c>
      <c r="D21" s="131" t="s">
        <v>49</v>
      </c>
      <c r="E21" s="132"/>
      <c r="F21" s="27" t="s">
        <v>49</v>
      </c>
      <c r="G21" s="131" t="s">
        <v>49</v>
      </c>
      <c r="H21" s="132"/>
      <c r="I21" s="27" t="s">
        <v>49</v>
      </c>
    </row>
    <row r="22" spans="1:9" ht="16.5" customHeight="1" x14ac:dyDescent="0.25">
      <c r="A22" s="138" t="s">
        <v>220</v>
      </c>
      <c r="B22" s="134"/>
      <c r="C22" s="28">
        <f>ROUND(SUM(C14:C21),0)</f>
        <v>0</v>
      </c>
      <c r="D22" s="133" t="s">
        <v>221</v>
      </c>
      <c r="E22" s="134"/>
      <c r="F22" s="28">
        <f>SUM(F14:F21)</f>
        <v>0</v>
      </c>
      <c r="G22" s="133" t="s">
        <v>222</v>
      </c>
      <c r="H22" s="134"/>
      <c r="I22" s="28">
        <f>SUM(I14:I21)</f>
        <v>0</v>
      </c>
    </row>
    <row r="23" spans="1:9" ht="15.75" x14ac:dyDescent="0.25">
      <c r="D23" s="121" t="s">
        <v>223</v>
      </c>
      <c r="E23" s="122"/>
      <c r="F23" s="29">
        <v>0</v>
      </c>
      <c r="G23" s="135" t="s">
        <v>224</v>
      </c>
      <c r="H23" s="122"/>
      <c r="I23" s="23">
        <v>0</v>
      </c>
    </row>
    <row r="24" spans="1:9" ht="15.75" x14ac:dyDescent="0.25">
      <c r="G24" s="121" t="s">
        <v>225</v>
      </c>
      <c r="H24" s="122"/>
      <c r="I24" s="23">
        <f>vorn_sum</f>
        <v>0</v>
      </c>
    </row>
    <row r="25" spans="1:9" ht="15.75" x14ac:dyDescent="0.25">
      <c r="G25" s="121" t="s">
        <v>226</v>
      </c>
      <c r="H25" s="122"/>
      <c r="I25" s="23">
        <v>0</v>
      </c>
    </row>
    <row r="27" spans="1:9" ht="15.75" x14ac:dyDescent="0.25">
      <c r="A27" s="123" t="s">
        <v>227</v>
      </c>
      <c r="B27" s="124"/>
      <c r="C27" s="30">
        <f>ROUND(SUM('Stavební rozpočet'!AJ12:AJ126),0)</f>
        <v>0</v>
      </c>
    </row>
    <row r="28" spans="1:9" ht="15.75" x14ac:dyDescent="0.25">
      <c r="A28" s="125" t="s">
        <v>228</v>
      </c>
      <c r="B28" s="126"/>
      <c r="C28" s="31">
        <f>ROUND(SUM('Stavební rozpočet'!AK12:AK126),0)</f>
        <v>0</v>
      </c>
      <c r="D28" s="127" t="s">
        <v>229</v>
      </c>
      <c r="E28" s="124"/>
      <c r="F28" s="30">
        <f>ROUND(C28*(12/100),2)</f>
        <v>0</v>
      </c>
      <c r="G28" s="127" t="s">
        <v>230</v>
      </c>
      <c r="H28" s="124"/>
      <c r="I28" s="30">
        <f>ROUND(SUM(C27:C29),0)</f>
        <v>0</v>
      </c>
    </row>
    <row r="29" spans="1:9" ht="15.75" x14ac:dyDescent="0.25">
      <c r="A29" s="125" t="s">
        <v>231</v>
      </c>
      <c r="B29" s="126"/>
      <c r="C29" s="31">
        <f>ROUND(SUM('Stavební rozpočet'!AL12:AL126)+(F22+I22+F23+I23+I24+I25),0)</f>
        <v>0</v>
      </c>
      <c r="D29" s="128" t="s">
        <v>232</v>
      </c>
      <c r="E29" s="126"/>
      <c r="F29" s="31">
        <f>ROUND(C29*(21/100),2)</f>
        <v>0</v>
      </c>
      <c r="G29" s="128" t="s">
        <v>233</v>
      </c>
      <c r="H29" s="126"/>
      <c r="I29" s="31">
        <f>ROUND(SUM(F28:F29)+I28,0)</f>
        <v>0</v>
      </c>
    </row>
    <row r="31" spans="1:9" x14ac:dyDescent="0.25">
      <c r="A31" s="118" t="s">
        <v>234</v>
      </c>
      <c r="B31" s="110"/>
      <c r="C31" s="111"/>
      <c r="D31" s="109" t="s">
        <v>235</v>
      </c>
      <c r="E31" s="110"/>
      <c r="F31" s="111"/>
      <c r="G31" s="109" t="s">
        <v>236</v>
      </c>
      <c r="H31" s="110"/>
      <c r="I31" s="111"/>
    </row>
    <row r="32" spans="1:9" x14ac:dyDescent="0.25">
      <c r="A32" s="119" t="s">
        <v>49</v>
      </c>
      <c r="B32" s="113"/>
      <c r="C32" s="114"/>
      <c r="D32" s="112" t="s">
        <v>49</v>
      </c>
      <c r="E32" s="113"/>
      <c r="F32" s="114"/>
      <c r="G32" s="112" t="s">
        <v>49</v>
      </c>
      <c r="H32" s="113"/>
      <c r="I32" s="114"/>
    </row>
    <row r="33" spans="1:9" x14ac:dyDescent="0.25">
      <c r="A33" s="119" t="s">
        <v>49</v>
      </c>
      <c r="B33" s="113"/>
      <c r="C33" s="114"/>
      <c r="D33" s="112" t="s">
        <v>49</v>
      </c>
      <c r="E33" s="113"/>
      <c r="F33" s="114"/>
      <c r="G33" s="112" t="s">
        <v>49</v>
      </c>
      <c r="H33" s="113"/>
      <c r="I33" s="114"/>
    </row>
    <row r="34" spans="1:9" x14ac:dyDescent="0.25">
      <c r="A34" s="119" t="s">
        <v>49</v>
      </c>
      <c r="B34" s="113"/>
      <c r="C34" s="114"/>
      <c r="D34" s="112" t="s">
        <v>49</v>
      </c>
      <c r="E34" s="113"/>
      <c r="F34" s="114"/>
      <c r="G34" s="112" t="s">
        <v>49</v>
      </c>
      <c r="H34" s="113"/>
      <c r="I34" s="114"/>
    </row>
    <row r="35" spans="1:9" x14ac:dyDescent="0.25">
      <c r="A35" s="120" t="s">
        <v>237</v>
      </c>
      <c r="B35" s="116"/>
      <c r="C35" s="117"/>
      <c r="D35" s="115" t="s">
        <v>237</v>
      </c>
      <c r="E35" s="116"/>
      <c r="F35" s="117"/>
      <c r="G35" s="115" t="s">
        <v>237</v>
      </c>
      <c r="H35" s="116"/>
      <c r="I35" s="117"/>
    </row>
    <row r="36" spans="1:9" x14ac:dyDescent="0.25">
      <c r="A36" s="32" t="s">
        <v>187</v>
      </c>
    </row>
    <row r="37" spans="1:9" ht="12.75" customHeight="1" x14ac:dyDescent="0.25">
      <c r="A37" s="76" t="s">
        <v>49</v>
      </c>
      <c r="B37" s="77"/>
      <c r="C37" s="77"/>
      <c r="D37" s="77"/>
      <c r="E37" s="77"/>
      <c r="F37" s="77"/>
      <c r="G37" s="77"/>
      <c r="H37" s="77"/>
      <c r="I37" s="77"/>
    </row>
  </sheetData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6"/>
  <sheetViews>
    <sheetView tabSelected="1" workbookViewId="0">
      <selection activeCell="A36" sqref="A36:E36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45" t="s">
        <v>238</v>
      </c>
      <c r="B1" s="97"/>
      <c r="C1" s="97"/>
      <c r="D1" s="97"/>
      <c r="E1" s="97"/>
      <c r="F1" s="97"/>
      <c r="G1" s="97"/>
      <c r="H1" s="97"/>
      <c r="I1" s="97"/>
    </row>
    <row r="2" spans="1:9" x14ac:dyDescent="0.25">
      <c r="A2" s="98" t="s">
        <v>0</v>
      </c>
      <c r="B2" s="89"/>
      <c r="C2" s="103" t="str">
        <f>'Stavební rozpočet'!C2</f>
        <v>Oprava střeš. pláště Kladruby</v>
      </c>
      <c r="D2" s="104"/>
      <c r="E2" s="102" t="s">
        <v>4</v>
      </c>
      <c r="F2" s="102" t="str">
        <f>'Stavební rozpočet'!I2</f>
        <v> </v>
      </c>
      <c r="G2" s="89"/>
      <c r="H2" s="102" t="s">
        <v>195</v>
      </c>
      <c r="I2" s="90" t="s">
        <v>49</v>
      </c>
    </row>
    <row r="3" spans="1:9" ht="15" customHeight="1" x14ac:dyDescent="0.25">
      <c r="A3" s="99"/>
      <c r="B3" s="77"/>
      <c r="C3" s="105"/>
      <c r="D3" s="105"/>
      <c r="E3" s="77"/>
      <c r="F3" s="77"/>
      <c r="G3" s="77"/>
      <c r="H3" s="77"/>
      <c r="I3" s="91"/>
    </row>
    <row r="4" spans="1:9" x14ac:dyDescent="0.25">
      <c r="A4" s="100" t="s">
        <v>6</v>
      </c>
      <c r="B4" s="77"/>
      <c r="C4" s="76" t="str">
        <f>'Stavební rozpočet'!C4</f>
        <v>Rekonstrukce</v>
      </c>
      <c r="D4" s="77"/>
      <c r="E4" s="76" t="s">
        <v>9</v>
      </c>
      <c r="F4" s="76" t="str">
        <f>'Stavební rozpočet'!I4</f>
        <v> </v>
      </c>
      <c r="G4" s="77"/>
      <c r="H4" s="76" t="s">
        <v>195</v>
      </c>
      <c r="I4" s="91" t="s">
        <v>49</v>
      </c>
    </row>
    <row r="5" spans="1:9" ht="15" customHeight="1" x14ac:dyDescent="0.25">
      <c r="A5" s="99"/>
      <c r="B5" s="77"/>
      <c r="C5" s="77"/>
      <c r="D5" s="77"/>
      <c r="E5" s="77"/>
      <c r="F5" s="77"/>
      <c r="G5" s="77"/>
      <c r="H5" s="77"/>
      <c r="I5" s="91"/>
    </row>
    <row r="6" spans="1:9" x14ac:dyDescent="0.25">
      <c r="A6" s="100" t="s">
        <v>10</v>
      </c>
      <c r="B6" s="77"/>
      <c r="C6" s="76" t="str">
        <f>'Stavební rozpočet'!C6</f>
        <v>p.č.60, k. ú. Kolesa, obec Kladruby n. Labem</v>
      </c>
      <c r="D6" s="77"/>
      <c r="E6" s="76" t="s">
        <v>12</v>
      </c>
      <c r="F6" s="76" t="str">
        <f>'Stavební rozpočet'!I6</f>
        <v> </v>
      </c>
      <c r="G6" s="77"/>
      <c r="H6" s="76" t="s">
        <v>195</v>
      </c>
      <c r="I6" s="91" t="s">
        <v>49</v>
      </c>
    </row>
    <row r="7" spans="1:9" ht="15" customHeight="1" x14ac:dyDescent="0.25">
      <c r="A7" s="99"/>
      <c r="B7" s="77"/>
      <c r="C7" s="77"/>
      <c r="D7" s="77"/>
      <c r="E7" s="77"/>
      <c r="F7" s="77"/>
      <c r="G7" s="77"/>
      <c r="H7" s="77"/>
      <c r="I7" s="91"/>
    </row>
    <row r="8" spans="1:9" x14ac:dyDescent="0.25">
      <c r="A8" s="100" t="s">
        <v>8</v>
      </c>
      <c r="B8" s="77"/>
      <c r="C8" s="76" t="str">
        <f>'Stavební rozpočet'!G4</f>
        <v xml:space="preserve"> </v>
      </c>
      <c r="D8" s="77"/>
      <c r="E8" s="76" t="s">
        <v>11</v>
      </c>
      <c r="F8" s="76" t="str">
        <f>'Stavební rozpočet'!G6</f>
        <v xml:space="preserve"> </v>
      </c>
      <c r="G8" s="77"/>
      <c r="H8" s="77" t="s">
        <v>196</v>
      </c>
      <c r="I8" s="146">
        <v>26</v>
      </c>
    </row>
    <row r="9" spans="1:9" x14ac:dyDescent="0.25">
      <c r="A9" s="99"/>
      <c r="B9" s="77"/>
      <c r="C9" s="77"/>
      <c r="D9" s="77"/>
      <c r="E9" s="77"/>
      <c r="F9" s="77"/>
      <c r="G9" s="77"/>
      <c r="H9" s="77"/>
      <c r="I9" s="91"/>
    </row>
    <row r="10" spans="1:9" x14ac:dyDescent="0.25">
      <c r="A10" s="100" t="s">
        <v>13</v>
      </c>
      <c r="B10" s="77"/>
      <c r="C10" s="76" t="str">
        <f>'Stavební rozpočet'!C8</f>
        <v xml:space="preserve"> </v>
      </c>
      <c r="D10" s="77"/>
      <c r="E10" s="76" t="s">
        <v>15</v>
      </c>
      <c r="F10" s="76">
        <f>'Stavební rozpočet'!I8</f>
        <v>0</v>
      </c>
      <c r="G10" s="77"/>
      <c r="H10" s="77" t="s">
        <v>197</v>
      </c>
      <c r="I10" s="107">
        <f>'Stavební rozpočet'!G8</f>
        <v>45901</v>
      </c>
    </row>
    <row r="11" spans="1:9" x14ac:dyDescent="0.25">
      <c r="A11" s="144"/>
      <c r="B11" s="143"/>
      <c r="C11" s="143"/>
      <c r="D11" s="143"/>
      <c r="E11" s="143"/>
      <c r="F11" s="143"/>
      <c r="G11" s="143"/>
      <c r="H11" s="143"/>
      <c r="I11" s="139"/>
    </row>
    <row r="13" spans="1:9" ht="15.75" x14ac:dyDescent="0.25">
      <c r="A13" s="156" t="s">
        <v>239</v>
      </c>
      <c r="B13" s="156"/>
      <c r="C13" s="156"/>
      <c r="D13" s="156"/>
      <c r="E13" s="156"/>
    </row>
    <row r="14" spans="1:9" x14ac:dyDescent="0.25">
      <c r="A14" s="157" t="s">
        <v>240</v>
      </c>
      <c r="B14" s="158"/>
      <c r="C14" s="158"/>
      <c r="D14" s="158"/>
      <c r="E14" s="159"/>
      <c r="F14" s="33" t="s">
        <v>241</v>
      </c>
      <c r="G14" s="33" t="s">
        <v>242</v>
      </c>
      <c r="H14" s="33" t="s">
        <v>243</v>
      </c>
      <c r="I14" s="33" t="s">
        <v>241</v>
      </c>
    </row>
    <row r="15" spans="1:9" x14ac:dyDescent="0.25">
      <c r="A15" s="163" t="s">
        <v>207</v>
      </c>
      <c r="B15" s="164"/>
      <c r="C15" s="164"/>
      <c r="D15" s="164"/>
      <c r="E15" s="165"/>
      <c r="F15" s="34">
        <v>0</v>
      </c>
      <c r="G15" s="35" t="s">
        <v>49</v>
      </c>
      <c r="H15" s="35" t="s">
        <v>49</v>
      </c>
      <c r="I15" s="34">
        <f>F15</f>
        <v>0</v>
      </c>
    </row>
    <row r="16" spans="1:9" x14ac:dyDescent="0.25">
      <c r="A16" s="163" t="s">
        <v>209</v>
      </c>
      <c r="B16" s="164"/>
      <c r="C16" s="164"/>
      <c r="D16" s="164"/>
      <c r="E16" s="165"/>
      <c r="F16" s="34">
        <v>0</v>
      </c>
      <c r="G16" s="35" t="s">
        <v>49</v>
      </c>
      <c r="H16" s="35" t="s">
        <v>49</v>
      </c>
      <c r="I16" s="34">
        <f>F16</f>
        <v>0</v>
      </c>
    </row>
    <row r="17" spans="1:9" x14ac:dyDescent="0.25">
      <c r="A17" s="160" t="s">
        <v>212</v>
      </c>
      <c r="B17" s="161"/>
      <c r="C17" s="161"/>
      <c r="D17" s="161"/>
      <c r="E17" s="162"/>
      <c r="F17" s="37">
        <v>0</v>
      </c>
      <c r="G17" s="38" t="s">
        <v>49</v>
      </c>
      <c r="H17" s="38" t="s">
        <v>49</v>
      </c>
      <c r="I17" s="37">
        <f>F17</f>
        <v>0</v>
      </c>
    </row>
    <row r="18" spans="1:9" x14ac:dyDescent="0.25">
      <c r="A18" s="147" t="s">
        <v>244</v>
      </c>
      <c r="B18" s="148"/>
      <c r="C18" s="148"/>
      <c r="D18" s="148"/>
      <c r="E18" s="149"/>
      <c r="F18" s="39" t="s">
        <v>49</v>
      </c>
      <c r="G18" s="40" t="s">
        <v>49</v>
      </c>
      <c r="H18" s="40" t="s">
        <v>49</v>
      </c>
      <c r="I18" s="41">
        <f>SUM(I15:I17)</f>
        <v>0</v>
      </c>
    </row>
    <row r="20" spans="1:9" x14ac:dyDescent="0.25">
      <c r="A20" s="157" t="s">
        <v>204</v>
      </c>
      <c r="B20" s="158"/>
      <c r="C20" s="158"/>
      <c r="D20" s="158"/>
      <c r="E20" s="159"/>
      <c r="F20" s="33" t="s">
        <v>241</v>
      </c>
      <c r="G20" s="33" t="s">
        <v>242</v>
      </c>
      <c r="H20" s="33" t="s">
        <v>243</v>
      </c>
      <c r="I20" s="33" t="s">
        <v>241</v>
      </c>
    </row>
    <row r="21" spans="1:9" x14ac:dyDescent="0.25">
      <c r="A21" s="163" t="s">
        <v>208</v>
      </c>
      <c r="B21" s="164"/>
      <c r="C21" s="164"/>
      <c r="D21" s="164"/>
      <c r="E21" s="165"/>
      <c r="F21" s="35" t="s">
        <v>49</v>
      </c>
      <c r="G21" s="34">
        <v>1</v>
      </c>
      <c r="H21" s="34">
        <f>'Krycí list rozpočtu'!C22</f>
        <v>0</v>
      </c>
      <c r="I21" s="34">
        <f>ROUND((G21/100)*H21,2)</f>
        <v>0</v>
      </c>
    </row>
    <row r="22" spans="1:9" x14ac:dyDescent="0.25">
      <c r="A22" s="163" t="s">
        <v>210</v>
      </c>
      <c r="B22" s="164"/>
      <c r="C22" s="164"/>
      <c r="D22" s="164"/>
      <c r="E22" s="165"/>
      <c r="F22" s="34">
        <v>0</v>
      </c>
      <c r="G22" s="35" t="s">
        <v>49</v>
      </c>
      <c r="H22" s="35" t="s">
        <v>49</v>
      </c>
      <c r="I22" s="34">
        <f>F22</f>
        <v>0</v>
      </c>
    </row>
    <row r="23" spans="1:9" x14ac:dyDescent="0.25">
      <c r="A23" s="163" t="s">
        <v>213</v>
      </c>
      <c r="B23" s="164"/>
      <c r="C23" s="164"/>
      <c r="D23" s="164"/>
      <c r="E23" s="165"/>
      <c r="F23" s="34">
        <v>0</v>
      </c>
      <c r="G23" s="35" t="s">
        <v>49</v>
      </c>
      <c r="H23" s="35" t="s">
        <v>49</v>
      </c>
      <c r="I23" s="34">
        <f>F23</f>
        <v>0</v>
      </c>
    </row>
    <row r="24" spans="1:9" x14ac:dyDescent="0.25">
      <c r="A24" s="163" t="s">
        <v>214</v>
      </c>
      <c r="B24" s="164"/>
      <c r="C24" s="164"/>
      <c r="D24" s="164"/>
      <c r="E24" s="165"/>
      <c r="F24" s="34">
        <v>0</v>
      </c>
      <c r="G24" s="35" t="s">
        <v>49</v>
      </c>
      <c r="H24" s="35" t="s">
        <v>49</v>
      </c>
      <c r="I24" s="34">
        <f>F24</f>
        <v>0</v>
      </c>
    </row>
    <row r="25" spans="1:9" x14ac:dyDescent="0.25">
      <c r="A25" s="163" t="s">
        <v>216</v>
      </c>
      <c r="B25" s="164"/>
      <c r="C25" s="164"/>
      <c r="D25" s="164"/>
      <c r="E25" s="165"/>
      <c r="F25" s="34">
        <v>0</v>
      </c>
      <c r="G25" s="35" t="s">
        <v>49</v>
      </c>
      <c r="H25" s="35" t="s">
        <v>49</v>
      </c>
      <c r="I25" s="34">
        <f>F25</f>
        <v>0</v>
      </c>
    </row>
    <row r="26" spans="1:9" x14ac:dyDescent="0.25">
      <c r="A26" s="160" t="s">
        <v>217</v>
      </c>
      <c r="B26" s="161"/>
      <c r="C26" s="161"/>
      <c r="D26" s="161"/>
      <c r="E26" s="162"/>
      <c r="F26" s="37">
        <v>0</v>
      </c>
      <c r="G26" s="38" t="s">
        <v>49</v>
      </c>
      <c r="H26" s="38" t="s">
        <v>49</v>
      </c>
      <c r="I26" s="37">
        <f>F26</f>
        <v>0</v>
      </c>
    </row>
    <row r="27" spans="1:9" x14ac:dyDescent="0.25">
      <c r="A27" s="147" t="s">
        <v>245</v>
      </c>
      <c r="B27" s="148"/>
      <c r="C27" s="148"/>
      <c r="D27" s="148"/>
      <c r="E27" s="149"/>
      <c r="F27" s="39" t="s">
        <v>49</v>
      </c>
      <c r="G27" s="40" t="s">
        <v>49</v>
      </c>
      <c r="H27" s="40" t="s">
        <v>49</v>
      </c>
      <c r="I27" s="41">
        <f>SUM(I21:I26)</f>
        <v>0</v>
      </c>
    </row>
    <row r="29" spans="1:9" ht="15.75" x14ac:dyDescent="0.25">
      <c r="A29" s="150" t="s">
        <v>246</v>
      </c>
      <c r="B29" s="151"/>
      <c r="C29" s="151"/>
      <c r="D29" s="151"/>
      <c r="E29" s="152"/>
      <c r="F29" s="153">
        <f>I18+I27</f>
        <v>0</v>
      </c>
      <c r="G29" s="154"/>
      <c r="H29" s="154"/>
      <c r="I29" s="155"/>
    </row>
    <row r="33" spans="1:9" ht="15.75" x14ac:dyDescent="0.25">
      <c r="A33" s="156" t="s">
        <v>247</v>
      </c>
      <c r="B33" s="156"/>
      <c r="C33" s="156"/>
      <c r="D33" s="156"/>
      <c r="E33" s="156"/>
    </row>
    <row r="34" spans="1:9" x14ac:dyDescent="0.25">
      <c r="A34" s="157" t="s">
        <v>248</v>
      </c>
      <c r="B34" s="158"/>
      <c r="C34" s="158"/>
      <c r="D34" s="158"/>
      <c r="E34" s="159"/>
      <c r="F34" s="33" t="s">
        <v>241</v>
      </c>
      <c r="G34" s="33" t="s">
        <v>242</v>
      </c>
      <c r="H34" s="33" t="s">
        <v>243</v>
      </c>
      <c r="I34" s="33" t="s">
        <v>241</v>
      </c>
    </row>
    <row r="35" spans="1:9" x14ac:dyDescent="0.25">
      <c r="A35" s="160" t="s">
        <v>49</v>
      </c>
      <c r="B35" s="161"/>
      <c r="C35" s="161"/>
      <c r="D35" s="161"/>
      <c r="E35" s="162"/>
      <c r="F35" s="37">
        <v>0</v>
      </c>
      <c r="G35" s="38" t="s">
        <v>49</v>
      </c>
      <c r="H35" s="38" t="s">
        <v>49</v>
      </c>
      <c r="I35" s="37">
        <f>F35</f>
        <v>0</v>
      </c>
    </row>
    <row r="36" spans="1:9" x14ac:dyDescent="0.25">
      <c r="A36" s="147" t="s">
        <v>249</v>
      </c>
      <c r="B36" s="148"/>
      <c r="C36" s="148"/>
      <c r="D36" s="148"/>
      <c r="E36" s="149"/>
      <c r="F36" s="39" t="s">
        <v>49</v>
      </c>
      <c r="G36" s="40" t="s">
        <v>49</v>
      </c>
      <c r="H36" s="40" t="s">
        <v>49</v>
      </c>
      <c r="I36" s="41">
        <f>SUM(I35:I35)</f>
        <v>0</v>
      </c>
    </row>
  </sheetData>
  <mergeCells count="51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36:E36"/>
    <mergeCell ref="A29:E29"/>
    <mergeCell ref="F29:I29"/>
    <mergeCell ref="A33:E33"/>
    <mergeCell ref="A34:E34"/>
    <mergeCell ref="A35:E35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Stavební rozpočet</vt:lpstr>
      <vt:lpstr>Stavební rozpočet - součet</vt:lpstr>
      <vt:lpstr>Krycí list rozpočtu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Jiří Šlesarik</cp:lastModifiedBy>
  <dcterms:created xsi:type="dcterms:W3CDTF">2021-06-10T20:06:38Z</dcterms:created>
  <dcterms:modified xsi:type="dcterms:W3CDTF">2025-09-11T12:32:58Z</dcterms:modified>
</cp:coreProperties>
</file>