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-pec\Documents\podnikání\PMO\2025\Merta 1\PDF PD\00 prováděčka\F výkaz výměr\"/>
    </mc:Choice>
  </mc:AlternateContent>
  <xr:revisionPtr revIDLastSave="0" documentId="8_{F28DBB36-3675-414F-818B-64C4FE306C07}" xr6:coauthVersionLast="47" xr6:coauthVersionMax="47" xr10:uidLastSave="{00000000-0000-0000-0000-000000000000}"/>
  <bookViews>
    <workbookView xWindow="-108" yWindow="-108" windowWidth="23256" windowHeight="12456" xr2:uid="{D4FA6E34-FB21-43C6-9BBB-091007D4559A}"/>
  </bookViews>
  <sheets>
    <sheet name="List1" sheetId="1" r:id="rId1"/>
  </sheets>
  <definedNames>
    <definedName name="_xlnm.Print_Area" localSheetId="0">List1!$A$2:$S$32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" i="1" l="1"/>
  <c r="O5" i="1"/>
  <c r="P5" i="1"/>
  <c r="Q5" i="1"/>
  <c r="R5" i="1"/>
  <c r="S5" i="1"/>
  <c r="M32" i="1"/>
  <c r="L32" i="1"/>
  <c r="J32" i="1"/>
  <c r="H32" i="1"/>
  <c r="L31" i="1"/>
  <c r="J31" i="1"/>
  <c r="M30" i="1"/>
  <c r="L30" i="1"/>
  <c r="J30" i="1"/>
  <c r="I30" i="1" s="1"/>
  <c r="C30" i="1"/>
  <c r="C29" i="1"/>
  <c r="M29" i="1"/>
  <c r="L29" i="1"/>
  <c r="J29" i="1"/>
  <c r="H29" i="1"/>
  <c r="C28" i="1"/>
  <c r="C27" i="1"/>
  <c r="O26" i="1"/>
  <c r="N26" i="1"/>
  <c r="Q25" i="1"/>
  <c r="P25" i="1"/>
  <c r="N25" i="1"/>
  <c r="O25" i="1" s="1"/>
  <c r="L24" i="1"/>
  <c r="J24" i="1"/>
  <c r="C23" i="1"/>
  <c r="M22" i="1"/>
  <c r="L22" i="1"/>
  <c r="J22" i="1"/>
  <c r="H22" i="1"/>
  <c r="L21" i="1"/>
  <c r="J21" i="1"/>
  <c r="M21" i="1"/>
  <c r="G21" i="1"/>
  <c r="E21" i="1"/>
  <c r="F21" i="1" s="1"/>
  <c r="H21" i="1"/>
  <c r="M20" i="1"/>
  <c r="L20" i="1"/>
  <c r="J20" i="1"/>
  <c r="H20" i="1"/>
  <c r="I20" i="1"/>
  <c r="C19" i="1"/>
  <c r="C18" i="1"/>
  <c r="C17" i="1"/>
  <c r="M17" i="1"/>
  <c r="L17" i="1"/>
  <c r="J17" i="1"/>
  <c r="I17" i="1"/>
  <c r="M16" i="1"/>
  <c r="L16" i="1"/>
  <c r="J16" i="1"/>
  <c r="I16" i="1"/>
  <c r="D15" i="1"/>
  <c r="L15" i="1"/>
  <c r="J15" i="1"/>
  <c r="I15" i="1"/>
  <c r="D14" i="1"/>
  <c r="D5" i="1" s="1"/>
  <c r="M13" i="1"/>
  <c r="L12" i="1"/>
  <c r="J12" i="1"/>
  <c r="J13" i="1"/>
  <c r="H13" i="1"/>
  <c r="C13" i="1"/>
  <c r="C5" i="1" s="1"/>
  <c r="G12" i="1"/>
  <c r="E12" i="1"/>
  <c r="F12" i="1" s="1"/>
  <c r="M12" i="1"/>
  <c r="H12" i="1"/>
  <c r="L10" i="1"/>
  <c r="K10" i="1"/>
  <c r="K5" i="1" s="1"/>
  <c r="R10" i="1"/>
  <c r="I10" i="1"/>
  <c r="H9" i="1"/>
  <c r="M9" i="1"/>
  <c r="L9" i="1"/>
  <c r="J9" i="1"/>
  <c r="I9" i="1"/>
  <c r="M8" i="1"/>
  <c r="L8" i="1"/>
  <c r="J8" i="1"/>
  <c r="H8" i="1"/>
  <c r="G7" i="1"/>
  <c r="G5" i="1" s="1"/>
  <c r="F7" i="1"/>
  <c r="E7" i="1" s="1"/>
  <c r="E5" i="1" s="1"/>
  <c r="M7" i="1"/>
  <c r="M5" i="1" s="1"/>
  <c r="L7" i="1"/>
  <c r="L5" i="1" s="1"/>
  <c r="J7" i="1"/>
  <c r="J5" i="1" s="1"/>
  <c r="H7" i="1"/>
  <c r="H5" i="1" s="1"/>
  <c r="I5" i="1" l="1"/>
  <c r="F5" i="1"/>
</calcChain>
</file>

<file path=xl/sharedStrings.xml><?xml version="1.0" encoding="utf-8"?>
<sst xmlns="http://schemas.openxmlformats.org/spreadsheetml/2006/main" count="78" uniqueCount="64">
  <si>
    <t>staničení</t>
  </si>
  <si>
    <t>řez</t>
  </si>
  <si>
    <t xml:space="preserve">0,000-0,035 </t>
  </si>
  <si>
    <t>0,290-0,320</t>
  </si>
  <si>
    <t xml:space="preserve">0,610-0,625 </t>
  </si>
  <si>
    <t xml:space="preserve"> 1,185 - 1,210</t>
  </si>
  <si>
    <t xml:space="preserve"> 1,250-1,380 </t>
  </si>
  <si>
    <t xml:space="preserve"> 1,570-1,650</t>
  </si>
  <si>
    <t xml:space="preserve"> 1,860-1,900</t>
  </si>
  <si>
    <t xml:space="preserve"> 2,100-2,125 </t>
  </si>
  <si>
    <t xml:space="preserve"> 2,565-2,575 </t>
  </si>
  <si>
    <t xml:space="preserve"> 2,675-2,720 </t>
  </si>
  <si>
    <t xml:space="preserve"> 2,725-2,750 </t>
  </si>
  <si>
    <t xml:space="preserve"> 2,945-2,965 </t>
  </si>
  <si>
    <t xml:space="preserve"> 3,550-3,570 </t>
  </si>
  <si>
    <t xml:space="preserve"> 3,660-3,700  </t>
  </si>
  <si>
    <t xml:space="preserve"> 3,855-3,900 </t>
  </si>
  <si>
    <t xml:space="preserve"> 4,030-4,120 </t>
  </si>
  <si>
    <t xml:space="preserve"> 4,510-4,560 </t>
  </si>
  <si>
    <t xml:space="preserve"> 4,580-4,700</t>
  </si>
  <si>
    <t xml:space="preserve">4,755-4,765 </t>
  </si>
  <si>
    <t xml:space="preserve"> 4,825-4,860 </t>
  </si>
  <si>
    <t xml:space="preserve"> 4,870-5,110 </t>
  </si>
  <si>
    <t xml:space="preserve"> 5,435-5,4475 </t>
  </si>
  <si>
    <t xml:space="preserve">PS 1 </t>
  </si>
  <si>
    <t xml:space="preserve">PS 2 </t>
  </si>
  <si>
    <t xml:space="preserve">PS 3 </t>
  </si>
  <si>
    <t xml:space="preserve">PS 4 </t>
  </si>
  <si>
    <t xml:space="preserve">PS 5 a 6 </t>
  </si>
  <si>
    <t xml:space="preserve">PS 7 </t>
  </si>
  <si>
    <t xml:space="preserve">PS 8 </t>
  </si>
  <si>
    <t xml:space="preserve">PS 9 </t>
  </si>
  <si>
    <t xml:space="preserve">PS 10 </t>
  </si>
  <si>
    <t xml:space="preserve">PS 11 </t>
  </si>
  <si>
    <t xml:space="preserve">PS 12 </t>
  </si>
  <si>
    <t xml:space="preserve">PS 13 </t>
  </si>
  <si>
    <t>PS 14</t>
  </si>
  <si>
    <t xml:space="preserve">PS 15 </t>
  </si>
  <si>
    <t xml:space="preserve">PS 16 </t>
  </si>
  <si>
    <t xml:space="preserve">PS 17 </t>
  </si>
  <si>
    <t xml:space="preserve">PS 18 </t>
  </si>
  <si>
    <t xml:space="preserve">PS 19 </t>
  </si>
  <si>
    <t xml:space="preserve">PS 20 </t>
  </si>
  <si>
    <t xml:space="preserve">PS 21 </t>
  </si>
  <si>
    <t>odstranění sedimentu</t>
  </si>
  <si>
    <t>rozhrnutí sedimentu</t>
  </si>
  <si>
    <t>skrývka</t>
  </si>
  <si>
    <t>odstranění travin</t>
  </si>
  <si>
    <t>ohumusování a osetí</t>
  </si>
  <si>
    <t>rovnanina 200-500kg</t>
  </si>
  <si>
    <t>rovnanina 500-1000kg</t>
  </si>
  <si>
    <t>zához</t>
  </si>
  <si>
    <t>urovnání líce</t>
  </si>
  <si>
    <t>rozebrání rovnanin</t>
  </si>
  <si>
    <t>odkopávky</t>
  </si>
  <si>
    <t>čištění zdiva</t>
  </si>
  <si>
    <t>spárování</t>
  </si>
  <si>
    <t>doplnění zdiva</t>
  </si>
  <si>
    <t>m3</t>
  </si>
  <si>
    <t>m2</t>
  </si>
  <si>
    <t>bourání dřevěnných konstr</t>
  </si>
  <si>
    <t>bourání zdiva</t>
  </si>
  <si>
    <t>bourání ocel konstr</t>
  </si>
  <si>
    <t>součet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</si>
</sst>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F40BF-936C-4D96-B15E-26B09191EE92}">
  <dimension ref="A2:S32"/>
  <sheetViews>
    <sheetView tabSelected="1" zoomScale="85" zoomScaleNormal="85" workbookViewId="0">
      <selection activeCell="J20" sqref="J20"/>
    </sheetView>
  </sheetViews>
  <sheetFormatPr defaultRowHeight="14.4" x14ac:dyDescent="0.3"/>
  <cols>
    <col min="1" max="1" width="16.6640625" customWidth="1"/>
    <col min="3" max="3" width="18.88671875" customWidth="1"/>
    <col min="4" max="4" width="17.88671875" customWidth="1"/>
    <col min="6" max="6" width="14.6640625" customWidth="1"/>
    <col min="7" max="7" width="17.77734375" customWidth="1"/>
    <col min="8" max="8" width="10.6640625" customWidth="1"/>
    <col min="9" max="9" width="17.77734375" customWidth="1"/>
    <col min="10" max="10" width="18" customWidth="1"/>
    <col min="11" max="11" width="19.33203125" customWidth="1"/>
    <col min="12" max="12" width="12.44140625" customWidth="1"/>
    <col min="14" max="14" width="11.21875" customWidth="1"/>
    <col min="15" max="15" width="10.21875" customWidth="1"/>
    <col min="16" max="17" width="12.44140625" customWidth="1"/>
    <col min="18" max="18" width="16" customWidth="1"/>
  </cols>
  <sheetData>
    <row r="2" spans="1:19" x14ac:dyDescent="0.3">
      <c r="A2" s="1" t="s">
        <v>0</v>
      </c>
      <c r="B2" s="1" t="s">
        <v>1</v>
      </c>
      <c r="C2" s="2" t="s">
        <v>44</v>
      </c>
      <c r="D2" s="2" t="s">
        <v>45</v>
      </c>
      <c r="E2" s="2" t="s">
        <v>46</v>
      </c>
      <c r="F2" s="2" t="s">
        <v>47</v>
      </c>
      <c r="G2" s="2" t="s">
        <v>48</v>
      </c>
      <c r="H2" s="2" t="s">
        <v>54</v>
      </c>
      <c r="I2" s="2" t="s">
        <v>53</v>
      </c>
      <c r="J2" s="2" t="s">
        <v>49</v>
      </c>
      <c r="K2" s="2" t="s">
        <v>50</v>
      </c>
      <c r="L2" s="2" t="s">
        <v>52</v>
      </c>
      <c r="M2" s="2" t="s">
        <v>51</v>
      </c>
      <c r="N2" s="2" t="s">
        <v>55</v>
      </c>
      <c r="O2" s="2" t="s">
        <v>56</v>
      </c>
      <c r="P2" s="2" t="s">
        <v>57</v>
      </c>
      <c r="Q2" s="3" t="s">
        <v>61</v>
      </c>
      <c r="R2" s="3" t="s">
        <v>60</v>
      </c>
      <c r="S2" s="3" t="s">
        <v>62</v>
      </c>
    </row>
    <row r="3" spans="1:19" x14ac:dyDescent="0.3">
      <c r="A3" s="1"/>
      <c r="B3" s="1"/>
      <c r="C3" s="2" t="s">
        <v>58</v>
      </c>
      <c r="D3" s="2" t="s">
        <v>58</v>
      </c>
      <c r="E3" s="2" t="s">
        <v>59</v>
      </c>
      <c r="F3" s="2" t="s">
        <v>59</v>
      </c>
      <c r="G3" s="2" t="s">
        <v>59</v>
      </c>
      <c r="H3" s="2" t="s">
        <v>58</v>
      </c>
      <c r="I3" s="2" t="s">
        <v>58</v>
      </c>
      <c r="J3" s="2" t="s">
        <v>58</v>
      </c>
      <c r="K3" s="2" t="s">
        <v>58</v>
      </c>
      <c r="L3" s="2" t="s">
        <v>59</v>
      </c>
      <c r="M3" s="2" t="s">
        <v>58</v>
      </c>
      <c r="N3" s="2" t="s">
        <v>59</v>
      </c>
      <c r="O3" s="2" t="s">
        <v>59</v>
      </c>
      <c r="P3" s="2" t="s">
        <v>58</v>
      </c>
      <c r="Q3" s="3" t="s">
        <v>58</v>
      </c>
      <c r="R3" s="3" t="s">
        <v>58</v>
      </c>
    </row>
    <row r="4" spans="1:19" ht="3.6" customHeight="1" x14ac:dyDescent="0.3">
      <c r="A4" s="1"/>
      <c r="B4" s="1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4"/>
      <c r="R4" s="4"/>
    </row>
    <row r="5" spans="1:19" s="6" customFormat="1" x14ac:dyDescent="0.3">
      <c r="A5" s="5" t="s">
        <v>63</v>
      </c>
      <c r="B5" s="5"/>
      <c r="C5" s="6">
        <f t="shared" ref="C5:S5" si="0">SUM(C7:C32)</f>
        <v>465.25000000000006</v>
      </c>
      <c r="D5" s="6">
        <f t="shared" si="0"/>
        <v>97.25</v>
      </c>
      <c r="E5" s="6">
        <f t="shared" si="0"/>
        <v>280</v>
      </c>
      <c r="F5" s="6">
        <f t="shared" si="0"/>
        <v>280</v>
      </c>
      <c r="G5" s="6">
        <f t="shared" si="0"/>
        <v>205</v>
      </c>
      <c r="H5" s="6">
        <f t="shared" si="0"/>
        <v>559.07000000000005</v>
      </c>
      <c r="I5" s="6">
        <f t="shared" si="0"/>
        <v>167.77500000000001</v>
      </c>
      <c r="J5" s="6">
        <f t="shared" si="0"/>
        <v>841.94375000000002</v>
      </c>
      <c r="K5" s="6">
        <f t="shared" si="0"/>
        <v>5.6550000000000002</v>
      </c>
      <c r="L5" s="6">
        <f t="shared" si="0"/>
        <v>2063.84</v>
      </c>
      <c r="M5" s="6">
        <f t="shared" si="0"/>
        <v>55.25</v>
      </c>
      <c r="N5" s="6">
        <f t="shared" si="0"/>
        <v>123</v>
      </c>
      <c r="O5" s="6">
        <f t="shared" si="0"/>
        <v>123</v>
      </c>
      <c r="P5" s="6">
        <f t="shared" si="0"/>
        <v>5.0999999999999996</v>
      </c>
      <c r="Q5" s="6">
        <f t="shared" si="0"/>
        <v>1.75</v>
      </c>
      <c r="R5" s="6">
        <f t="shared" si="0"/>
        <v>0.52200000000000002</v>
      </c>
      <c r="S5" s="6">
        <f t="shared" si="0"/>
        <v>1</v>
      </c>
    </row>
    <row r="6" spans="1:19" ht="6" customHeight="1" x14ac:dyDescent="0.3">
      <c r="A6" s="1"/>
      <c r="B6" s="1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4"/>
      <c r="R6" s="4"/>
    </row>
    <row r="7" spans="1:19" s="9" customFormat="1" x14ac:dyDescent="0.3">
      <c r="A7" s="7" t="s">
        <v>2</v>
      </c>
      <c r="B7" s="7" t="s">
        <v>24</v>
      </c>
      <c r="C7" s="7"/>
      <c r="D7" s="7"/>
      <c r="E7" s="7">
        <f>F7</f>
        <v>70</v>
      </c>
      <c r="F7" s="7">
        <f>2*35</f>
        <v>70</v>
      </c>
      <c r="G7" s="7">
        <f>1*35</f>
        <v>35</v>
      </c>
      <c r="H7" s="7">
        <f>35*2.05</f>
        <v>71.75</v>
      </c>
      <c r="I7" s="7"/>
      <c r="J7" s="7">
        <f>35*(3.2*0.5+0.5*0.6)</f>
        <v>66.5</v>
      </c>
      <c r="K7" s="7"/>
      <c r="L7" s="7">
        <f>35*(3.2+0.6)</f>
        <v>133</v>
      </c>
      <c r="M7" s="7">
        <f>35*0.5*0.5/2</f>
        <v>4.375</v>
      </c>
      <c r="N7" s="7"/>
      <c r="O7" s="7"/>
      <c r="P7" s="7"/>
      <c r="Q7" s="8"/>
    </row>
    <row r="8" spans="1:19" s="9" customFormat="1" x14ac:dyDescent="0.3">
      <c r="A8" s="7" t="s">
        <v>3</v>
      </c>
      <c r="B8" s="7" t="s">
        <v>25</v>
      </c>
      <c r="C8" s="7"/>
      <c r="D8" s="7"/>
      <c r="E8" s="7"/>
      <c r="F8" s="7"/>
      <c r="G8" s="7"/>
      <c r="H8" s="7">
        <f>30*1*2</f>
        <v>60</v>
      </c>
      <c r="I8" s="7"/>
      <c r="J8" s="7">
        <f>30*2*0.5+30*0.5*0.6</f>
        <v>39</v>
      </c>
      <c r="K8" s="7"/>
      <c r="L8" s="7">
        <f>30*2+30*0.6</f>
        <v>78</v>
      </c>
      <c r="M8" s="7">
        <f>30*0.5*0.5/2</f>
        <v>3.75</v>
      </c>
      <c r="N8" s="7"/>
      <c r="O8" s="7"/>
      <c r="P8" s="7"/>
      <c r="Q8" s="8"/>
    </row>
    <row r="9" spans="1:19" s="9" customFormat="1" x14ac:dyDescent="0.3">
      <c r="A9" s="7" t="s">
        <v>4</v>
      </c>
      <c r="B9" s="7" t="s">
        <v>26</v>
      </c>
      <c r="C9" s="7"/>
      <c r="D9" s="7"/>
      <c r="E9" s="7"/>
      <c r="F9" s="7"/>
      <c r="G9" s="7"/>
      <c r="H9" s="7">
        <f>1.2*15</f>
        <v>18</v>
      </c>
      <c r="I9" s="7">
        <f>15*1*0.5</f>
        <v>7.5</v>
      </c>
      <c r="J9" s="7">
        <f>2.64*0.5*15+15*0.5*0.6</f>
        <v>24.3</v>
      </c>
      <c r="K9" s="7"/>
      <c r="L9" s="7">
        <f>2.64*15+15*0.6</f>
        <v>48.6</v>
      </c>
      <c r="M9" s="7">
        <f>15*0.5*0.5/2</f>
        <v>1.875</v>
      </c>
      <c r="N9" s="7"/>
      <c r="O9" s="7"/>
      <c r="P9" s="7"/>
      <c r="Q9" s="8"/>
    </row>
    <row r="10" spans="1:19" s="9" customFormat="1" x14ac:dyDescent="0.3">
      <c r="A10" s="7">
        <v>1.0680000000000001</v>
      </c>
      <c r="B10" s="7" t="s">
        <v>27</v>
      </c>
      <c r="C10" s="7"/>
      <c r="D10" s="7"/>
      <c r="E10" s="7"/>
      <c r="F10" s="7"/>
      <c r="G10" s="7"/>
      <c r="H10" s="7"/>
      <c r="I10" s="7">
        <f>5.8*(0.5+0.5)*0.5</f>
        <v>2.9</v>
      </c>
      <c r="J10" s="7"/>
      <c r="K10" s="7">
        <f>5.8*(0.5+0.3+0.5)*0.75</f>
        <v>5.6550000000000002</v>
      </c>
      <c r="L10" s="7">
        <f>5.8*(0.5+0.3+0.5)</f>
        <v>7.54</v>
      </c>
      <c r="M10" s="7"/>
      <c r="N10" s="7"/>
      <c r="O10" s="7"/>
      <c r="P10" s="7"/>
      <c r="Q10" s="8"/>
      <c r="R10" s="9">
        <f>5.8*0.3*0.3</f>
        <v>0.52200000000000002</v>
      </c>
    </row>
    <row r="11" spans="1:19" s="9" customFormat="1" x14ac:dyDescent="0.3">
      <c r="A11" s="7" t="s">
        <v>5</v>
      </c>
      <c r="B11" s="7"/>
      <c r="C11" s="7"/>
      <c r="D11" s="7">
        <v>37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8"/>
    </row>
    <row r="12" spans="1:19" s="9" customFormat="1" x14ac:dyDescent="0.3">
      <c r="A12" s="7" t="s">
        <v>6</v>
      </c>
      <c r="B12" s="7" t="s">
        <v>28</v>
      </c>
      <c r="C12" s="7"/>
      <c r="D12" s="7"/>
      <c r="E12" s="7">
        <f>130*1</f>
        <v>130</v>
      </c>
      <c r="F12" s="7">
        <f>E12</f>
        <v>130</v>
      </c>
      <c r="G12" s="7">
        <f>130*1</f>
        <v>130</v>
      </c>
      <c r="H12" s="7">
        <f>130*(1.8+1.3)/2</f>
        <v>201.5</v>
      </c>
      <c r="I12" s="7"/>
      <c r="J12" s="7">
        <f>130*(2.9+1.8)/2*0.5+130*0.5*0.6</f>
        <v>191.75</v>
      </c>
      <c r="K12" s="7"/>
      <c r="L12" s="7">
        <f>130*(2.9+1.8)/2+130*0.6</f>
        <v>383.5</v>
      </c>
      <c r="M12" s="7">
        <f>130*0.5*0.5/2</f>
        <v>16.25</v>
      </c>
      <c r="N12" s="7"/>
      <c r="O12" s="7"/>
      <c r="P12" s="7"/>
      <c r="Q12" s="8"/>
    </row>
    <row r="13" spans="1:19" s="9" customFormat="1" x14ac:dyDescent="0.3">
      <c r="A13" s="7" t="s">
        <v>7</v>
      </c>
      <c r="B13" s="7" t="s">
        <v>29</v>
      </c>
      <c r="C13" s="7">
        <f>147.5*0.5</f>
        <v>73.75</v>
      </c>
      <c r="D13" s="7"/>
      <c r="E13" s="7"/>
      <c r="F13" s="7"/>
      <c r="G13" s="7"/>
      <c r="H13" s="7">
        <f>27*1.27</f>
        <v>34.29</v>
      </c>
      <c r="I13" s="7"/>
      <c r="J13" s="7">
        <f>27*2.1*0.5+27*0.5*0.6</f>
        <v>36.450000000000003</v>
      </c>
      <c r="K13" s="7"/>
      <c r="L13" s="7"/>
      <c r="M13" s="7">
        <f>27*0.5*0.5/2</f>
        <v>3.375</v>
      </c>
      <c r="N13" s="7"/>
      <c r="O13" s="7"/>
      <c r="P13" s="7"/>
      <c r="Q13" s="8"/>
    </row>
    <row r="14" spans="1:19" s="9" customFormat="1" x14ac:dyDescent="0.3">
      <c r="A14" s="7" t="s">
        <v>8</v>
      </c>
      <c r="B14" s="7"/>
      <c r="C14" s="7"/>
      <c r="D14" s="7">
        <f>70.5*0.5</f>
        <v>35.25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8"/>
    </row>
    <row r="15" spans="1:19" s="9" customFormat="1" x14ac:dyDescent="0.3">
      <c r="A15" s="7" t="s">
        <v>9</v>
      </c>
      <c r="B15" s="7" t="s">
        <v>30</v>
      </c>
      <c r="C15" s="7"/>
      <c r="D15" s="7">
        <f>50*0.5</f>
        <v>25</v>
      </c>
      <c r="E15" s="7"/>
      <c r="F15" s="7"/>
      <c r="G15" s="7"/>
      <c r="H15" s="7"/>
      <c r="I15" s="7">
        <f>2.5*15*0.5</f>
        <v>18.75</v>
      </c>
      <c r="J15" s="7">
        <f>2.5*15*0.5+15*0.5*0.6</f>
        <v>23.25</v>
      </c>
      <c r="K15" s="7"/>
      <c r="L15" s="7">
        <f>2.5*15+15*0.6</f>
        <v>46.5</v>
      </c>
      <c r="M15" s="7"/>
      <c r="N15" s="7"/>
      <c r="O15" s="7"/>
      <c r="P15" s="7"/>
      <c r="Q15" s="8"/>
    </row>
    <row r="16" spans="1:19" s="9" customFormat="1" x14ac:dyDescent="0.3">
      <c r="A16" s="7" t="s">
        <v>10</v>
      </c>
      <c r="B16" s="7" t="s">
        <v>31</v>
      </c>
      <c r="C16" s="7"/>
      <c r="D16" s="7"/>
      <c r="E16" s="7"/>
      <c r="F16" s="7"/>
      <c r="G16" s="7"/>
      <c r="H16" s="7"/>
      <c r="I16" s="7">
        <f>10*2.5*0.5</f>
        <v>12.5</v>
      </c>
      <c r="J16" s="7">
        <f>10*2.5*0.5+10*0.5*0.6</f>
        <v>15.5</v>
      </c>
      <c r="K16" s="7"/>
      <c r="L16" s="7">
        <f>10*2.5+10*0.6</f>
        <v>31</v>
      </c>
      <c r="M16" s="7">
        <f>10*0.5*0.5/2</f>
        <v>1.25</v>
      </c>
      <c r="N16" s="7"/>
      <c r="O16" s="7"/>
      <c r="P16" s="7"/>
      <c r="Q16" s="8"/>
    </row>
    <row r="17" spans="1:19" s="9" customFormat="1" x14ac:dyDescent="0.3">
      <c r="A17" s="7" t="s">
        <v>11</v>
      </c>
      <c r="B17" s="7" t="s">
        <v>32</v>
      </c>
      <c r="C17" s="7">
        <f>165*0.3</f>
        <v>49.5</v>
      </c>
      <c r="D17" s="7"/>
      <c r="E17" s="7"/>
      <c r="F17" s="7"/>
      <c r="G17" s="7"/>
      <c r="H17" s="7"/>
      <c r="I17" s="7">
        <f>30*2.9*0.5</f>
        <v>43.5</v>
      </c>
      <c r="J17" s="7">
        <f>30*2.9*0.5+30*0.5*0.6</f>
        <v>52.5</v>
      </c>
      <c r="K17" s="7"/>
      <c r="L17" s="7">
        <f>30*2.9+30*0.6</f>
        <v>105</v>
      </c>
      <c r="M17" s="7">
        <f>30*0.5*0.5/2</f>
        <v>3.75</v>
      </c>
      <c r="N17" s="7"/>
      <c r="O17" s="7"/>
      <c r="P17" s="7"/>
      <c r="Q17" s="8"/>
    </row>
    <row r="18" spans="1:19" s="9" customFormat="1" x14ac:dyDescent="0.3">
      <c r="A18" s="7" t="s">
        <v>12</v>
      </c>
      <c r="B18" s="7" t="s">
        <v>33</v>
      </c>
      <c r="C18" s="7">
        <f>53*0.35</f>
        <v>18.549999999999997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8"/>
    </row>
    <row r="19" spans="1:19" s="9" customFormat="1" x14ac:dyDescent="0.3">
      <c r="A19" s="7" t="s">
        <v>13</v>
      </c>
      <c r="B19" s="7" t="s">
        <v>34</v>
      </c>
      <c r="C19" s="7">
        <f>23.5*0.3</f>
        <v>7.05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8"/>
    </row>
    <row r="20" spans="1:19" s="9" customFormat="1" x14ac:dyDescent="0.3">
      <c r="A20" s="7" t="s">
        <v>14</v>
      </c>
      <c r="B20" s="7" t="s">
        <v>35</v>
      </c>
      <c r="C20" s="7"/>
      <c r="D20" s="7"/>
      <c r="E20" s="7"/>
      <c r="F20" s="7"/>
      <c r="G20" s="7"/>
      <c r="H20" s="7">
        <f>20*1.4</f>
        <v>28</v>
      </c>
      <c r="I20" s="7">
        <f>20*1*0.5</f>
        <v>10</v>
      </c>
      <c r="J20" s="7">
        <f>20*2*0.5+20*0.5*0.6</f>
        <v>26</v>
      </c>
      <c r="K20" s="7"/>
      <c r="L20" s="7">
        <f>20*2+20*0.6</f>
        <v>52</v>
      </c>
      <c r="M20" s="7">
        <f>20*0.5*0.5/2</f>
        <v>2.5</v>
      </c>
      <c r="N20" s="7"/>
      <c r="O20" s="7"/>
      <c r="P20" s="7"/>
      <c r="Q20" s="8"/>
    </row>
    <row r="21" spans="1:19" s="9" customFormat="1" x14ac:dyDescent="0.3">
      <c r="A21" s="7" t="s">
        <v>15</v>
      </c>
      <c r="B21" s="7" t="s">
        <v>36</v>
      </c>
      <c r="C21" s="7"/>
      <c r="D21" s="7"/>
      <c r="E21" s="7">
        <f>40*2</f>
        <v>80</v>
      </c>
      <c r="F21" s="7">
        <f>E21</f>
        <v>80</v>
      </c>
      <c r="G21" s="7">
        <f>40*1</f>
        <v>40</v>
      </c>
      <c r="H21" s="7">
        <f>40*1.6</f>
        <v>64</v>
      </c>
      <c r="I21" s="7"/>
      <c r="J21" s="7">
        <f>3.5*0.5*40+40*0.5*0.6</f>
        <v>82</v>
      </c>
      <c r="K21" s="7"/>
      <c r="L21" s="7">
        <f>3.5*40+40*0.6</f>
        <v>164</v>
      </c>
      <c r="M21" s="7">
        <f>40*0.5*0.5/2</f>
        <v>5</v>
      </c>
      <c r="N21" s="7"/>
      <c r="O21" s="7"/>
      <c r="P21" s="7"/>
      <c r="Q21" s="8"/>
    </row>
    <row r="22" spans="1:19" s="9" customFormat="1" x14ac:dyDescent="0.3">
      <c r="A22" s="7" t="s">
        <v>16</v>
      </c>
      <c r="B22" s="7" t="s">
        <v>37</v>
      </c>
      <c r="C22" s="7"/>
      <c r="D22" s="7"/>
      <c r="E22" s="7"/>
      <c r="F22" s="7"/>
      <c r="G22" s="7"/>
      <c r="H22" s="7">
        <f>45*0.65+2*(5.5+3)*0.5*0.5</f>
        <v>33.5</v>
      </c>
      <c r="I22" s="7"/>
      <c r="J22" s="7">
        <f>45*3*0.5+2*(5.5+3)*0.5*0.5</f>
        <v>71.75</v>
      </c>
      <c r="K22" s="7"/>
      <c r="L22" s="7">
        <f>45*3+2*(5.5+3)*0.5</f>
        <v>143.5</v>
      </c>
      <c r="M22" s="7">
        <f>45*0.5*0.5/2</f>
        <v>5.625</v>
      </c>
      <c r="N22" s="7"/>
      <c r="O22" s="7"/>
      <c r="P22" s="7"/>
      <c r="Q22" s="8"/>
    </row>
    <row r="23" spans="1:19" s="9" customFormat="1" x14ac:dyDescent="0.3">
      <c r="A23" s="7" t="s">
        <v>17</v>
      </c>
      <c r="B23" s="7" t="s">
        <v>38</v>
      </c>
      <c r="C23" s="7">
        <f>243*0.5+17.5*0.3+100*0.35</f>
        <v>161.75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8"/>
    </row>
    <row r="24" spans="1:19" s="9" customFormat="1" x14ac:dyDescent="0.3">
      <c r="A24" s="7">
        <v>4.3600000000000003</v>
      </c>
      <c r="B24" s="7"/>
      <c r="C24" s="7"/>
      <c r="D24" s="7"/>
      <c r="E24" s="7"/>
      <c r="F24" s="7"/>
      <c r="G24" s="7"/>
      <c r="H24" s="7"/>
      <c r="I24" s="7"/>
      <c r="J24" s="7">
        <f>(45+7.5)*0.5</f>
        <v>26.25</v>
      </c>
      <c r="K24" s="7"/>
      <c r="L24" s="7">
        <f>42+7.5</f>
        <v>49.5</v>
      </c>
      <c r="M24" s="7"/>
      <c r="N24" s="7"/>
      <c r="O24" s="7"/>
      <c r="P24" s="7"/>
      <c r="Q24" s="8"/>
    </row>
    <row r="25" spans="1:19" s="9" customFormat="1" x14ac:dyDescent="0.3">
      <c r="A25" s="7">
        <v>4.3899999999999997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>
        <f>65.5+2*6.25*3</f>
        <v>103</v>
      </c>
      <c r="O25" s="7">
        <f>N25</f>
        <v>103</v>
      </c>
      <c r="P25" s="7">
        <f>7*1*0.3+2*0.5</f>
        <v>3.1</v>
      </c>
      <c r="Q25" s="8">
        <f>7*1*0.25</f>
        <v>1.75</v>
      </c>
    </row>
    <row r="26" spans="1:19" s="9" customFormat="1" x14ac:dyDescent="0.3">
      <c r="A26" s="7">
        <v>4.49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>
        <f>10*2</f>
        <v>20</v>
      </c>
      <c r="O26" s="7">
        <f>N26</f>
        <v>20</v>
      </c>
      <c r="P26" s="7">
        <v>2</v>
      </c>
      <c r="Q26" s="8"/>
    </row>
    <row r="27" spans="1:19" s="9" customFormat="1" x14ac:dyDescent="0.3">
      <c r="A27" s="7" t="s">
        <v>18</v>
      </c>
      <c r="B27" s="7" t="s">
        <v>39</v>
      </c>
      <c r="C27" s="7">
        <f>98*0.45</f>
        <v>44.1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8"/>
    </row>
    <row r="28" spans="1:19" s="9" customFormat="1" x14ac:dyDescent="0.3">
      <c r="A28" s="7" t="s">
        <v>19</v>
      </c>
      <c r="B28" s="7"/>
      <c r="C28" s="7">
        <f>110*0.4</f>
        <v>44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8"/>
      <c r="S28" s="9">
        <v>1</v>
      </c>
    </row>
    <row r="29" spans="1:19" s="9" customFormat="1" x14ac:dyDescent="0.3">
      <c r="A29" s="7" t="s">
        <v>20</v>
      </c>
      <c r="B29" s="7" t="s">
        <v>40</v>
      </c>
      <c r="C29" s="7">
        <f>6.5*0.45*6</f>
        <v>17.55</v>
      </c>
      <c r="D29" s="7"/>
      <c r="E29" s="7"/>
      <c r="F29" s="7"/>
      <c r="G29" s="7"/>
      <c r="H29" s="7">
        <f>6.5*2.6</f>
        <v>16.900000000000002</v>
      </c>
      <c r="I29" s="7"/>
      <c r="J29" s="7">
        <f>6.5*3.6*0.5+6.5*0.5*0.6</f>
        <v>13.65</v>
      </c>
      <c r="K29" s="7"/>
      <c r="L29" s="7">
        <f>6.5*3.6+6.5*0.6</f>
        <v>27.3</v>
      </c>
      <c r="M29" s="7">
        <f>6.5*0.5*0.5/2</f>
        <v>0.8125</v>
      </c>
      <c r="N29" s="7"/>
      <c r="O29" s="7"/>
      <c r="P29" s="7"/>
      <c r="Q29" s="8"/>
    </row>
    <row r="30" spans="1:19" s="9" customFormat="1" x14ac:dyDescent="0.3">
      <c r="A30" s="7" t="s">
        <v>21</v>
      </c>
      <c r="B30" s="7" t="s">
        <v>41</v>
      </c>
      <c r="C30" s="7">
        <f>35*2*0.7</f>
        <v>49</v>
      </c>
      <c r="D30" s="7"/>
      <c r="E30" s="7"/>
      <c r="F30" s="7"/>
      <c r="G30" s="7"/>
      <c r="H30" s="7"/>
      <c r="I30" s="7">
        <f>J30</f>
        <v>72.625</v>
      </c>
      <c r="J30" s="7">
        <f>35*3.55*0.5+35*0.5*0.6</f>
        <v>72.625</v>
      </c>
      <c r="K30" s="7"/>
      <c r="L30" s="7">
        <f>35*3.55+35*0.6</f>
        <v>145.25</v>
      </c>
      <c r="M30" s="7">
        <f>35*0.5*0.5/2</f>
        <v>4.375</v>
      </c>
      <c r="N30" s="7"/>
      <c r="O30" s="7"/>
      <c r="P30" s="7"/>
      <c r="Q30" s="8"/>
    </row>
    <row r="31" spans="1:19" s="9" customFormat="1" x14ac:dyDescent="0.3">
      <c r="A31" s="7" t="s">
        <v>22</v>
      </c>
      <c r="B31" s="7" t="s">
        <v>42</v>
      </c>
      <c r="C31" s="7"/>
      <c r="D31" s="7"/>
      <c r="E31" s="7"/>
      <c r="F31" s="7"/>
      <c r="G31" s="7"/>
      <c r="H31" s="7"/>
      <c r="I31" s="7"/>
      <c r="J31" s="7">
        <f>240*2.1*0.5*0.25+75*1.25*0.5*0.25</f>
        <v>74.71875</v>
      </c>
      <c r="K31" s="7"/>
      <c r="L31" s="7">
        <f>240*2.1+75*1.25</f>
        <v>597.75</v>
      </c>
      <c r="M31" s="7"/>
      <c r="N31" s="7"/>
      <c r="O31" s="7"/>
      <c r="P31" s="7"/>
      <c r="Q31" s="8"/>
    </row>
    <row r="32" spans="1:19" s="9" customFormat="1" x14ac:dyDescent="0.3">
      <c r="A32" s="7" t="s">
        <v>23</v>
      </c>
      <c r="B32" s="7" t="s">
        <v>43</v>
      </c>
      <c r="C32" s="7"/>
      <c r="D32" s="7"/>
      <c r="E32" s="7"/>
      <c r="F32" s="7"/>
      <c r="G32" s="7"/>
      <c r="H32" s="7">
        <f>12.5*1.9+6*1.23</f>
        <v>31.13</v>
      </c>
      <c r="I32" s="7"/>
      <c r="J32" s="7">
        <f>12.5*2*0.5+12.5*0.5*0.6+6*2.55*0.5+6*0.5*0.6</f>
        <v>25.7</v>
      </c>
      <c r="K32" s="7"/>
      <c r="L32" s="7">
        <f>12.5*2+12.5*0.6+6*2.55+6*0.6</f>
        <v>51.4</v>
      </c>
      <c r="M32" s="7">
        <f>12.5*0.5*0.5/2+6*0.5*0.5/2</f>
        <v>2.3125</v>
      </c>
      <c r="N32" s="7"/>
      <c r="O32" s="7"/>
      <c r="P32" s="7"/>
      <c r="Q32" s="8"/>
    </row>
  </sheetData>
  <pageMargins left="0.7" right="0.7" top="0.78740157499999996" bottom="0.78740157499999996" header="0.3" footer="0.3"/>
  <pageSetup paperSize="9" scale="5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Pecival</dc:creator>
  <cp:lastModifiedBy>Tomáš Pecival</cp:lastModifiedBy>
  <cp:lastPrinted>2025-09-01T20:47:55Z</cp:lastPrinted>
  <dcterms:created xsi:type="dcterms:W3CDTF">2025-08-18T20:32:18Z</dcterms:created>
  <dcterms:modified xsi:type="dcterms:W3CDTF">2025-09-02T22:52:31Z</dcterms:modified>
</cp:coreProperties>
</file>