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kretariát\Desktop\BARČA\VZMR\Stáj č. 2 - podlahy\"/>
    </mc:Choice>
  </mc:AlternateContent>
  <bookViews>
    <workbookView xWindow="0" yWindow="0" windowWidth="28800" windowHeight="12504"/>
  </bookViews>
  <sheets>
    <sheet name="Stavba" sheetId="1" r:id="rId1"/>
    <sheet name="VzorPolozky" sheetId="10" state="hidden" r:id="rId2"/>
    <sheet name="1 01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'1 01 Pol'!$6:$7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'1 01 Pol'!$A$1:$X$69</definedName>
    <definedName name="_xlnm.Print_Area" localSheetId="0">Stavba!$A$1:$J$57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E29" i="12" l="1"/>
  <c r="E30" i="12" s="1"/>
  <c r="E38" i="12"/>
  <c r="A17" i="12" l="1"/>
  <c r="A18" i="12" s="1"/>
  <c r="A19" i="12" s="1"/>
  <c r="A41" i="12" l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E59" i="12"/>
  <c r="E27" i="12"/>
  <c r="E26" i="12"/>
  <c r="E25" i="12"/>
  <c r="E24" i="12"/>
  <c r="E23" i="12"/>
  <c r="E22" i="12"/>
  <c r="E13" i="12" l="1"/>
  <c r="E16" i="12" l="1"/>
  <c r="E21" i="12"/>
  <c r="A22" i="12"/>
  <c r="A23" i="12" s="1"/>
  <c r="A24" i="12" s="1"/>
  <c r="A25" i="12" s="1"/>
  <c r="A26" i="12" s="1"/>
  <c r="A27" i="12" s="1"/>
  <c r="A28" i="12" s="1"/>
  <c r="A29" i="12" s="1"/>
  <c r="A30" i="12" s="1"/>
  <c r="A31" i="12" l="1"/>
  <c r="A32" i="12" s="1"/>
  <c r="A33" i="12" s="1"/>
  <c r="A34" i="12" s="1"/>
  <c r="A35" i="12" s="1"/>
  <c r="A36" i="12" s="1"/>
  <c r="E18" i="12"/>
  <c r="E17" i="12"/>
  <c r="E19" i="12"/>
  <c r="M38" i="12"/>
  <c r="M37" i="12" s="1"/>
  <c r="I38" i="12"/>
  <c r="I37" i="12" s="1"/>
  <c r="K38" i="12"/>
  <c r="K37" i="12" s="1"/>
  <c r="O38" i="12"/>
  <c r="O37" i="12" s="1"/>
  <c r="Q38" i="12"/>
  <c r="Q37" i="12" s="1"/>
  <c r="V38" i="12"/>
  <c r="V37" i="12" s="1"/>
  <c r="M57" i="12"/>
  <c r="I57" i="12"/>
  <c r="K57" i="12"/>
  <c r="O57" i="12"/>
  <c r="Q57" i="12"/>
  <c r="V57" i="12"/>
  <c r="K39" i="12" l="1"/>
  <c r="V39" i="12"/>
  <c r="Q39" i="12"/>
  <c r="I39" i="12"/>
  <c r="O39" i="12"/>
  <c r="M39" i="12"/>
  <c r="A62" i="12" l="1"/>
  <c r="A10" i="12"/>
  <c r="A11" i="12" s="1"/>
  <c r="A12" i="12" s="1"/>
  <c r="A13" i="12" s="1"/>
  <c r="A14" i="12" s="1"/>
  <c r="M9" i="12" l="1"/>
  <c r="I9" i="12"/>
  <c r="K9" i="12"/>
  <c r="O9" i="12"/>
  <c r="Q9" i="12"/>
  <c r="V9" i="12"/>
  <c r="I11" i="12"/>
  <c r="K11" i="12"/>
  <c r="O11" i="12"/>
  <c r="Q11" i="12"/>
  <c r="V11" i="12"/>
  <c r="M13" i="12"/>
  <c r="I13" i="12"/>
  <c r="K13" i="12"/>
  <c r="O13" i="12"/>
  <c r="Q13" i="12"/>
  <c r="V13" i="12"/>
  <c r="I21" i="12"/>
  <c r="I20" i="12" s="1"/>
  <c r="K21" i="12"/>
  <c r="K20" i="12" s="1"/>
  <c r="O21" i="12"/>
  <c r="O20" i="12" s="1"/>
  <c r="Q21" i="12"/>
  <c r="Q20" i="12" s="1"/>
  <c r="V21" i="12"/>
  <c r="V20" i="12" s="1"/>
  <c r="I59" i="12"/>
  <c r="I58" i="12" s="1"/>
  <c r="K59" i="12"/>
  <c r="K58" i="12" s="1"/>
  <c r="O59" i="12"/>
  <c r="O58" i="12" s="1"/>
  <c r="Q59" i="12"/>
  <c r="Q58" i="12" s="1"/>
  <c r="V59" i="12"/>
  <c r="V58" i="12" s="1"/>
  <c r="M61" i="12"/>
  <c r="I61" i="12"/>
  <c r="K61" i="12"/>
  <c r="O61" i="12"/>
  <c r="Q61" i="12"/>
  <c r="V61" i="12"/>
  <c r="I62" i="12"/>
  <c r="K62" i="12"/>
  <c r="O62" i="12"/>
  <c r="Q62" i="12"/>
  <c r="V62" i="12"/>
  <c r="I64" i="12"/>
  <c r="K64" i="12"/>
  <c r="O64" i="12"/>
  <c r="Q64" i="12"/>
  <c r="V64" i="12"/>
  <c r="M65" i="12"/>
  <c r="I65" i="12"/>
  <c r="K65" i="12"/>
  <c r="O65" i="12"/>
  <c r="Q65" i="12"/>
  <c r="V65" i="12"/>
  <c r="AE67" i="12"/>
  <c r="F41" i="1" s="1"/>
  <c r="I20" i="1"/>
  <c r="I18" i="1"/>
  <c r="I8" i="12" l="1"/>
  <c r="O8" i="12"/>
  <c r="V8" i="12"/>
  <c r="O63" i="12"/>
  <c r="O15" i="12"/>
  <c r="I15" i="12"/>
  <c r="M21" i="12"/>
  <c r="M20" i="12" s="1"/>
  <c r="V63" i="12"/>
  <c r="AF67" i="12"/>
  <c r="G41" i="1" s="1"/>
  <c r="H41" i="1" s="1"/>
  <c r="I41" i="1" s="1"/>
  <c r="V15" i="12"/>
  <c r="M59" i="12"/>
  <c r="M58" i="12" s="1"/>
  <c r="V60" i="12"/>
  <c r="O60" i="12"/>
  <c r="K8" i="12"/>
  <c r="Q8" i="12"/>
  <c r="K63" i="12"/>
  <c r="Q63" i="12"/>
  <c r="M64" i="12"/>
  <c r="M63" i="12" s="1"/>
  <c r="I63" i="12"/>
  <c r="K60" i="12"/>
  <c r="Q60" i="12"/>
  <c r="I60" i="12"/>
  <c r="K15" i="12"/>
  <c r="Q15" i="12"/>
  <c r="F39" i="1"/>
  <c r="F40" i="1"/>
  <c r="M62" i="12"/>
  <c r="M60" i="12" s="1"/>
  <c r="M11" i="12"/>
  <c r="M8" i="12" s="1"/>
  <c r="J28" i="1"/>
  <c r="J26" i="1"/>
  <c r="G38" i="1"/>
  <c r="F38" i="1"/>
  <c r="J23" i="1"/>
  <c r="J24" i="1"/>
  <c r="J25" i="1"/>
  <c r="J27" i="1"/>
  <c r="E24" i="1"/>
  <c r="E26" i="1"/>
  <c r="I55" i="1" l="1"/>
  <c r="M15" i="12"/>
  <c r="G39" i="1"/>
  <c r="G42" i="1" s="1"/>
  <c r="G40" i="1"/>
  <c r="H40" i="1" s="1"/>
  <c r="I40" i="1" s="1"/>
  <c r="F42" i="1"/>
  <c r="H39" i="1" l="1"/>
  <c r="H42" i="1" s="1"/>
  <c r="G25" i="1"/>
  <c r="A25" i="1" s="1"/>
  <c r="A26" i="1" s="1"/>
  <c r="I57" i="1"/>
  <c r="G23" i="1"/>
  <c r="A23" i="1" s="1"/>
  <c r="G28" i="1"/>
  <c r="I39" i="1" l="1"/>
  <c r="I42" i="1" s="1"/>
  <c r="J41" i="1" s="1"/>
  <c r="A24" i="1"/>
  <c r="G24" i="1"/>
  <c r="A27" i="1" s="1"/>
  <c r="J55" i="1"/>
  <c r="J49" i="1"/>
  <c r="J51" i="1"/>
  <c r="J50" i="1"/>
  <c r="J53" i="1"/>
  <c r="J52" i="1"/>
  <c r="J56" i="1"/>
  <c r="J54" i="1"/>
  <c r="J39" i="1" l="1"/>
  <c r="J42" i="1" s="1"/>
  <c r="J40" i="1"/>
  <c r="J57" i="1"/>
  <c r="G29" i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Aleš Novotný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<sst xmlns="http://schemas.openxmlformats.org/spreadsheetml/2006/main" count="319" uniqueCount="165">
  <si>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</si>
  <si>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</si>
  <si>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</si>
  <si>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</si>
  <si>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</si>
  <si>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</si>
  <si>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</si>
  <si>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</si>
  <si>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</si>
  <si>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</si>
  <si>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</si>
  <si>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</si>
  <si>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</si>
  <si>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</si>
  <si>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</si>
  <si>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</si>
  <si>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</si>
  <si>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</si>
  <si>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</si>
  <si>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</si>
  <si>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</si>
  <si>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</si>
  <si>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</si>
  <si>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</si>
  <si>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</si>
  <si>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</si>
  <si>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</si>
  <si>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</si>
  <si>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</si>
  <si>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</si>
  <si>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</si>
  <si>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</si>
  <si>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</si>
  <si>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</si>
  <si>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</si>
  <si>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</si>
  <si>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</si>
  <si>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</si>
  <si>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</si>
  <si>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</si>
  <si>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01</t>
  </si>
  <si>
    <t>Zateplení komory bramborárny</t>
  </si>
  <si>
    <t>1</t>
  </si>
  <si>
    <t>Bramborárna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</si>
  <si>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</si>
  <si>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</si>
  <si>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</si>
  <si>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</si>
  <si>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</si>
  <si>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</si>
  <si>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</si>
  <si>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95</t>
  </si>
  <si>
    <t>Bourání konstrukcí</t>
  </si>
  <si>
    <t>99</t>
  </si>
  <si>
    <t>Staveništní přesun hmot</t>
  </si>
  <si>
    <t>D96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</si>
  <si>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</si>
  <si>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</si>
  <si>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</si>
  <si>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</si>
  <si>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</si>
  <si>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</si>
  <si>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</si>
  <si>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</si>
  <si>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</si>
  <si>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</si>
  <si>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</si>
  <si>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</si>
  <si>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</si>
  <si>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</si>
  <si>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</si>
  <si>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</si>
  <si>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</si>
  <si>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</si>
  <si>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</si>
  <si>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</si>
  <si>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</si>
  <si>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</si>
  <si>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</si>
  <si>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</si>
  <si>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</si>
  <si>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</si>
  <si>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</si>
  <si>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</si>
  <si>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</si>
  <si>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RTS 20/ II</t>
  </si>
  <si>
    <t>Práce</t>
  </si>
  <si>
    <t>POL1_</t>
  </si>
  <si>
    <t>VV</t>
  </si>
  <si>
    <t>t</t>
  </si>
  <si>
    <t>Přesun hmot</t>
  </si>
  <si>
    <t>POL7_</t>
  </si>
  <si>
    <t>m3</t>
  </si>
  <si>
    <t>Přesun suti</t>
  </si>
  <si>
    <t>POL8_</t>
  </si>
  <si>
    <t>005121 R</t>
  </si>
  <si>
    <t>Zařízení staveniště</t>
  </si>
  <si>
    <t>Soubor</t>
  </si>
  <si>
    <t>Indiv</t>
  </si>
  <si>
    <t>VRN</t>
  </si>
  <si>
    <t>POL99_8</t>
  </si>
  <si>
    <t>005122 R</t>
  </si>
  <si>
    <t>Provozní vlivy</t>
  </si>
  <si>
    <t>SUM</t>
  </si>
  <si>
    <t>END</t>
  </si>
  <si>
    <t xml:space="preserve"> </t>
  </si>
  <si>
    <t xml:space="preserve">  </t>
  </si>
  <si>
    <t xml:space="preserve">Přesun hmot pro opravy a údržbu </t>
  </si>
  <si>
    <t>Stavební práce</t>
  </si>
  <si>
    <t xml:space="preserve">Souhrný rozpočet stavby </t>
  </si>
  <si>
    <t>Souhrný rozpočet stavby</t>
  </si>
  <si>
    <t>m2</t>
  </si>
  <si>
    <t>Dokončovací konstrukce na pozemních stavbách</t>
  </si>
  <si>
    <t>Vyčištění zemědělských budov a objektů</t>
  </si>
  <si>
    <t>Bourání žb-beton konstrukce podlah</t>
  </si>
  <si>
    <t>Betonové mazaniny podkladních betonových desek</t>
  </si>
  <si>
    <t>Vápenocementová  omítka stěn</t>
  </si>
  <si>
    <t>784</t>
  </si>
  <si>
    <t>Přesuny suti a vybouraných hmot</t>
  </si>
  <si>
    <t>96</t>
  </si>
  <si>
    <t>Odvoz suti a vybour. hmot na skládku do 1 km</t>
  </si>
  <si>
    <t>728</t>
  </si>
  <si>
    <t>Zemský hřebčínec Písek</t>
  </si>
  <si>
    <t>Zemský hřebčinec Písek s.p.o.</t>
  </si>
  <si>
    <t>U Hřebčince 479</t>
  </si>
  <si>
    <t>39701 Písek</t>
  </si>
  <si>
    <t>Bourání stávající špalíkové podlahy</t>
  </si>
  <si>
    <t>Bourání stávajících podlah v boxú</t>
  </si>
  <si>
    <t>Vybourání podkladových konstrukcí podlah</t>
  </si>
  <si>
    <t>Otlučení omítek z 30%</t>
  </si>
  <si>
    <t>Hutněné štěrkové podloží</t>
  </si>
  <si>
    <t>Železobeton podlahové bet. desky  tl.12cm</t>
  </si>
  <si>
    <t xml:space="preserve">Malba vápenná 2x </t>
  </si>
  <si>
    <t>Dřevěná špalíková dlažba 10x10, buk, zásyp křem.písek</t>
  </si>
  <si>
    <t>Stajova rohoz zamkova, protiskluzová, nepropustná</t>
  </si>
  <si>
    <t>Hydroizolace přiložená ke zdivu</t>
  </si>
  <si>
    <t>Technologie hrazení</t>
  </si>
  <si>
    <t>Neobsazeno</t>
  </si>
  <si>
    <t>Dobetononávka k hydroizolaci</t>
  </si>
  <si>
    <t>Oprava podlah a boxů ve stáji č.2 v ZH Písek s.p.o., v Písku</t>
  </si>
  <si>
    <t>Armatura - kari-síť pr.8/100/100</t>
  </si>
  <si>
    <t>Vybourání ocelových konstrukcí boxů</t>
  </si>
  <si>
    <t>soub</t>
  </si>
  <si>
    <t>vybourání pro patky k OK</t>
  </si>
  <si>
    <t xml:space="preserve">usazení ocelových patek </t>
  </si>
  <si>
    <t xml:space="preserve">výroba OK </t>
  </si>
  <si>
    <t>kg</t>
  </si>
  <si>
    <t>zinkování OK</t>
  </si>
  <si>
    <t>montáž OK</t>
  </si>
  <si>
    <t>montáž posuvných dveří vč. pojezdové dráhy a zavíračů</t>
  </si>
  <si>
    <t>ks</t>
  </si>
  <si>
    <t>dodávka hoblovaných falcovaných dubových prken 40  mm</t>
  </si>
  <si>
    <t>moření dubových prken - lněným olejem</t>
  </si>
  <si>
    <t xml:space="preserve">montáž dubových prken </t>
  </si>
  <si>
    <t>montáž háků na sloupy atyp</t>
  </si>
  <si>
    <t>dopravy montážníků</t>
  </si>
  <si>
    <t xml:space="preserve">vysokozdvižný vozík pronájem </t>
  </si>
  <si>
    <t>doprava vysokozdvižného vozíku</t>
  </si>
  <si>
    <t>spojovací a spotřební materiál</t>
  </si>
  <si>
    <t>likvidace ocelového odpadu</t>
  </si>
  <si>
    <t>vyklizení staveniště po zámečnické výrobě</t>
  </si>
  <si>
    <t>Likvidface suti, skládká</t>
  </si>
  <si>
    <t>Vnitrostaveništní doprava suti</t>
  </si>
  <si>
    <t>Odvoz suti a vybour. hmot na skládku za další kilometr 6km</t>
  </si>
  <si>
    <t xml:space="preserve"> Oprava stájových boxů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</si>
</sst>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0.000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2" borderId="37" xfId="0" applyNumberFormat="1" applyFill="1" applyBorder="1" applyAlignment="1">
      <alignment vertical="center" wrapText="1" shrinkToFit="1"/>
    </xf>
    <xf numFmtId="4" fontId="0" fillId="2" borderId="37" xfId="0" applyNumberFormat="1" applyFill="1" applyBorder="1" applyAlignment="1">
      <alignment vertical="center" shrinkToFit="1"/>
    </xf>
    <xf numFmtId="3" fontId="0" fillId="2" borderId="37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2" borderId="34" xfId="0" applyFont="1" applyFill="1" applyBorder="1" applyAlignment="1">
      <alignment vertical="center"/>
    </xf>
    <xf numFmtId="0" fontId="7" fillId="2" borderId="34" xfId="0" applyFont="1" applyFill="1" applyBorder="1" applyAlignment="1">
      <alignment vertical="center" wrapText="1"/>
    </xf>
    <xf numFmtId="0" fontId="7" fillId="2" borderId="35" xfId="0" applyFont="1" applyFill="1" applyBorder="1" applyAlignment="1">
      <alignment vertical="center" wrapText="1"/>
    </xf>
    <xf numFmtId="4" fontId="7" fillId="2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2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2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4" fontId="0" fillId="0" borderId="0" xfId="0" applyNumberFormat="1" applyAlignment="1">
      <alignment vertical="top"/>
    </xf>
    <xf numFmtId="4" fontId="16" fillId="0" borderId="0" xfId="0" applyNumberFormat="1" applyFont="1" applyAlignment="1">
      <alignment vertical="top" shrinkToFit="1"/>
    </xf>
    <xf numFmtId="4" fontId="16" fillId="3" borderId="0" xfId="0" applyNumberFormat="1" applyFont="1" applyFill="1" applyAlignment="1" applyProtection="1">
      <alignment vertical="top" shrinkToFit="1"/>
      <protection locked="0"/>
    </xf>
    <xf numFmtId="4" fontId="8" fillId="2" borderId="0" xfId="0" applyNumberFormat="1" applyFont="1" applyFill="1" applyAlignment="1">
      <alignment vertical="top" shrinkToFit="1"/>
    </xf>
    <xf numFmtId="0" fontId="8" fillId="2" borderId="27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38" xfId="0" applyNumberFormat="1" applyFont="1" applyFill="1" applyBorder="1" applyAlignment="1">
      <alignment vertical="top" shrinkToFit="1"/>
    </xf>
    <xf numFmtId="49" fontId="8" fillId="2" borderId="18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8" fillId="0" borderId="0" xfId="0" applyNumberFormat="1" applyFont="1" applyAlignment="1">
      <alignment horizontal="left" vertical="center"/>
    </xf>
    <xf numFmtId="4" fontId="8" fillId="2" borderId="39" xfId="0" applyNumberFormat="1" applyFont="1" applyFill="1" applyBorder="1" applyAlignment="1">
      <alignment vertical="top" shrinkToFit="1"/>
    </xf>
    <xf numFmtId="0" fontId="8" fillId="2" borderId="26" xfId="0" applyFont="1" applyFill="1" applyBorder="1" applyAlignment="1">
      <alignment vertical="top"/>
    </xf>
    <xf numFmtId="0" fontId="8" fillId="2" borderId="10" xfId="0" applyFont="1" applyFill="1" applyBorder="1" applyAlignment="1">
      <alignment vertical="top"/>
    </xf>
    <xf numFmtId="49" fontId="8" fillId="2" borderId="6" xfId="0" applyNumberFormat="1" applyFont="1" applyFill="1" applyBorder="1" applyAlignment="1">
      <alignment vertical="top"/>
    </xf>
    <xf numFmtId="49" fontId="8" fillId="2" borderId="6" xfId="0" applyNumberFormat="1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vertical="top"/>
    </xf>
    <xf numFmtId="4" fontId="8" fillId="2" borderId="40" xfId="0" applyNumberFormat="1" applyFont="1" applyFill="1" applyBorder="1" applyAlignment="1">
      <alignment vertical="top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right" vertical="center"/>
    </xf>
    <xf numFmtId="49" fontId="16" fillId="0" borderId="0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49" fontId="5" fillId="2" borderId="0" xfId="0" applyNumberFormat="1" applyFont="1" applyFill="1" applyBorder="1" applyAlignment="1">
      <alignment horizontal="left" vertical="top" wrapText="1"/>
    </xf>
    <xf numFmtId="0" fontId="17" fillId="0" borderId="0" xfId="0" applyFont="1" applyBorder="1" applyAlignment="1">
      <alignment horizontal="center" vertical="top" shrinkToFit="1"/>
    </xf>
    <xf numFmtId="4" fontId="17" fillId="0" borderId="0" xfId="0" applyNumberFormat="1" applyFont="1" applyFill="1" applyBorder="1" applyAlignment="1" applyProtection="1">
      <alignment vertical="top" shrinkToFit="1"/>
      <protection locked="0"/>
    </xf>
    <xf numFmtId="0" fontId="0" fillId="4" borderId="36" xfId="0" applyFill="1" applyBorder="1" applyAlignment="1">
      <alignment wrapText="1"/>
    </xf>
    <xf numFmtId="0" fontId="0" fillId="0" borderId="38" xfId="0" applyBorder="1"/>
    <xf numFmtId="0" fontId="0" fillId="0" borderId="41" xfId="0" applyBorder="1" applyAlignment="1">
      <alignment vertical="center"/>
    </xf>
    <xf numFmtId="49" fontId="0" fillId="0" borderId="35" xfId="0" applyNumberFormat="1" applyBorder="1" applyAlignment="1">
      <alignment vertical="center"/>
    </xf>
    <xf numFmtId="0" fontId="0" fillId="2" borderId="41" xfId="0" applyFill="1" applyBorder="1" applyAlignment="1">
      <alignment vertical="center"/>
    </xf>
    <xf numFmtId="49" fontId="0" fillId="2" borderId="35" xfId="0" applyNumberFormat="1" applyFill="1" applyBorder="1" applyAlignment="1">
      <alignment vertical="center"/>
    </xf>
    <xf numFmtId="0" fontId="0" fillId="0" borderId="26" xfId="0" applyBorder="1"/>
    <xf numFmtId="49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9" xfId="0" applyBorder="1"/>
    <xf numFmtId="0" fontId="0" fillId="4" borderId="41" xfId="0" applyFill="1" applyBorder="1"/>
    <xf numFmtId="49" fontId="0" fillId="4" borderId="41" xfId="0" applyNumberFormat="1" applyFill="1" applyBorder="1"/>
    <xf numFmtId="0" fontId="0" fillId="4" borderId="41" xfId="0" applyFill="1" applyBorder="1" applyAlignment="1">
      <alignment horizontal="center"/>
    </xf>
    <xf numFmtId="0" fontId="0" fillId="4" borderId="42" xfId="0" applyFill="1" applyBorder="1"/>
    <xf numFmtId="0" fontId="0" fillId="0" borderId="26" xfId="0" applyBorder="1" applyAlignment="1">
      <alignment vertical="top"/>
    </xf>
    <xf numFmtId="49" fontId="0" fillId="0" borderId="0" xfId="0" applyNumberFormat="1" applyBorder="1" applyAlignment="1">
      <alignment vertical="top"/>
    </xf>
    <xf numFmtId="0" fontId="0" fillId="0" borderId="0" xfId="0" applyBorder="1" applyAlignment="1">
      <alignment horizontal="center" vertical="top"/>
    </xf>
    <xf numFmtId="4" fontId="0" fillId="0" borderId="0" xfId="0" applyNumberFormat="1" applyBorder="1" applyAlignment="1">
      <alignment vertical="top"/>
    </xf>
    <xf numFmtId="4" fontId="0" fillId="0" borderId="39" xfId="0" applyNumberFormat="1" applyBorder="1" applyAlignment="1">
      <alignment vertical="top"/>
    </xf>
    <xf numFmtId="0" fontId="16" fillId="0" borderId="26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4" fontId="16" fillId="0" borderId="0" xfId="0" applyNumberFormat="1" applyFont="1" applyBorder="1" applyAlignment="1" applyProtection="1">
      <alignment vertical="top" shrinkToFit="1"/>
      <protection locked="0"/>
    </xf>
    <xf numFmtId="4" fontId="16" fillId="0" borderId="0" xfId="0" applyNumberFormat="1" applyFont="1" applyBorder="1" applyAlignment="1">
      <alignment vertical="top" shrinkToFit="1"/>
    </xf>
    <xf numFmtId="4" fontId="16" fillId="3" borderId="39" xfId="0" applyNumberFormat="1" applyFont="1" applyFill="1" applyBorder="1" applyAlignment="1" applyProtection="1">
      <alignment vertical="top" shrinkToFit="1"/>
      <protection locked="0"/>
    </xf>
    <xf numFmtId="164" fontId="16" fillId="0" borderId="0" xfId="0" quotePrefix="1" applyNumberFormat="1" applyFont="1" applyBorder="1" applyAlignment="1">
      <alignment horizontal="left" vertical="top" wrapText="1"/>
    </xf>
    <xf numFmtId="164" fontId="16" fillId="0" borderId="0" xfId="0" applyNumberFormat="1" applyFont="1" applyBorder="1" applyAlignment="1">
      <alignment horizontal="center" vertical="top" wrapText="1" shrinkToFit="1"/>
    </xf>
    <xf numFmtId="4" fontId="16" fillId="0" borderId="39" xfId="0" applyNumberFormat="1" applyFont="1" applyBorder="1" applyAlignment="1">
      <alignment vertical="top" shrinkToFit="1"/>
    </xf>
    <xf numFmtId="49" fontId="8" fillId="2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center" vertical="top" shrinkToFit="1"/>
    </xf>
    <xf numFmtId="2" fontId="8" fillId="2" borderId="0" xfId="0" applyNumberFormat="1" applyFont="1" applyFill="1" applyBorder="1" applyAlignment="1">
      <alignment horizontal="center" vertical="top" shrinkToFit="1"/>
    </xf>
    <xf numFmtId="4" fontId="8" fillId="2" borderId="0" xfId="0" applyNumberFormat="1" applyFont="1" applyFill="1" applyBorder="1" applyAlignment="1">
      <alignment vertical="top" shrinkToFit="1"/>
    </xf>
    <xf numFmtId="49" fontId="8" fillId="2" borderId="0" xfId="0" applyNumberFormat="1" applyFont="1" applyFill="1" applyBorder="1" applyAlignment="1">
      <alignment horizontal="left" vertical="top" wrapText="1"/>
    </xf>
    <xf numFmtId="49" fontId="0" fillId="0" borderId="0" xfId="0" applyNumberFormat="1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0" fillId="0" borderId="39" xfId="0" applyBorder="1" applyAlignment="1">
      <alignment vertical="top"/>
    </xf>
    <xf numFmtId="0" fontId="0" fillId="0" borderId="40" xfId="0" applyBorder="1" applyAlignment="1">
      <alignment vertical="top"/>
    </xf>
    <xf numFmtId="165" fontId="0" fillId="0" borderId="0" xfId="0" applyNumberFormat="1" applyBorder="1" applyAlignment="1">
      <alignment horizontal="center"/>
    </xf>
    <xf numFmtId="165" fontId="0" fillId="4" borderId="41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 vertical="top"/>
    </xf>
    <xf numFmtId="165" fontId="8" fillId="2" borderId="18" xfId="0" applyNumberFormat="1" applyFont="1" applyFill="1" applyBorder="1" applyAlignment="1">
      <alignment horizontal="center" vertical="top" shrinkToFit="1"/>
    </xf>
    <xf numFmtId="165" fontId="16" fillId="0" borderId="0" xfId="0" applyNumberFormat="1" applyFont="1" applyBorder="1" applyAlignment="1">
      <alignment horizontal="center" vertical="top" shrinkToFit="1"/>
    </xf>
    <xf numFmtId="165" fontId="8" fillId="2" borderId="0" xfId="0" applyNumberFormat="1" applyFont="1" applyFill="1" applyBorder="1" applyAlignment="1">
      <alignment horizontal="center" vertical="top" shrinkToFit="1"/>
    </xf>
    <xf numFmtId="165" fontId="8" fillId="2" borderId="6" xfId="0" applyNumberFormat="1" applyFont="1" applyFill="1" applyBorder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165" fontId="0" fillId="0" borderId="0" xfId="0" applyNumberForma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2" fontId="16" fillId="0" borderId="0" xfId="0" applyNumberFormat="1" applyFont="1" applyBorder="1" applyAlignment="1">
      <alignment horizontal="center" vertical="top" shrinkToFit="1"/>
    </xf>
    <xf numFmtId="2" fontId="16" fillId="0" borderId="0" xfId="0" applyNumberFormat="1" applyFont="1" applyBorder="1" applyAlignment="1">
      <alignment horizontal="center" vertical="top" wrapText="1" shrinkToFit="1"/>
    </xf>
    <xf numFmtId="2" fontId="16" fillId="0" borderId="0" xfId="0" applyNumberFormat="1" applyFont="1" applyBorder="1" applyAlignment="1">
      <alignment horizontal="center" vertical="center" shrinkToFit="1"/>
    </xf>
    <xf numFmtId="2" fontId="17" fillId="0" borderId="0" xfId="0" applyNumberFormat="1" applyFont="1" applyBorder="1" applyAlignment="1">
      <alignment horizontal="center" vertical="top" shrinkToFit="1"/>
    </xf>
    <xf numFmtId="49" fontId="16" fillId="0" borderId="0" xfId="0" applyNumberFormat="1" applyFont="1" applyBorder="1" applyAlignment="1">
      <alignment horizontal="left" vertical="center" wrapText="1"/>
    </xf>
    <xf numFmtId="0" fontId="16" fillId="0" borderId="26" xfId="0" applyFont="1" applyFill="1" applyBorder="1" applyAlignment="1">
      <alignment vertical="top"/>
    </xf>
    <xf numFmtId="49" fontId="16" fillId="0" borderId="0" xfId="0" applyNumberFormat="1" applyFont="1" applyFill="1" applyBorder="1" applyAlignment="1">
      <alignment vertical="top"/>
    </xf>
    <xf numFmtId="49" fontId="16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top" shrinkToFit="1"/>
    </xf>
    <xf numFmtId="2" fontId="16" fillId="0" borderId="0" xfId="0" applyNumberFormat="1" applyFont="1" applyFill="1" applyBorder="1" applyAlignment="1">
      <alignment horizontal="center" vertical="top" shrinkToFit="1"/>
    </xf>
    <xf numFmtId="2" fontId="16" fillId="0" borderId="0" xfId="0" applyNumberFormat="1" applyFont="1" applyBorder="1" applyAlignment="1">
      <alignment horizontal="right" vertical="top" shrinkToFit="1"/>
    </xf>
    <xf numFmtId="49" fontId="16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horizontal="center" vertical="top" shrinkToFit="1"/>
    </xf>
    <xf numFmtId="2" fontId="16" fillId="0" borderId="0" xfId="0" applyNumberFormat="1" applyFont="1" applyAlignment="1">
      <alignment horizontal="center" vertical="top" shrinkToFit="1"/>
    </xf>
    <xf numFmtId="2" fontId="17" fillId="0" borderId="0" xfId="0" applyNumberFormat="1" applyFont="1" applyFill="1" applyBorder="1" applyAlignment="1">
      <alignment horizontal="center" vertical="top" shrinkToFit="1"/>
    </xf>
    <xf numFmtId="4" fontId="16" fillId="0" borderId="0" xfId="0" applyNumberFormat="1" applyFont="1" applyFill="1" applyBorder="1" applyAlignment="1" applyProtection="1">
      <alignment vertical="top" shrinkToFit="1"/>
      <protection locked="0"/>
    </xf>
    <xf numFmtId="2" fontId="17" fillId="0" borderId="0" xfId="0" applyNumberFormat="1" applyFont="1" applyBorder="1" applyAlignment="1">
      <alignment vertical="top" shrinkToFi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" fontId="0" fillId="2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Alignment="1">
      <alignment wrapText="1"/>
    </xf>
    <xf numFmtId="0" fontId="9" fillId="2" borderId="2" xfId="0" applyFont="1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0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1" customWidth="1"/>
    <col min="4" max="4" width="13" style="51" customWidth="1"/>
    <col min="5" max="5" width="9.6640625" style="51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6" t="s">
        <v>37</v>
      </c>
      <c r="B1" s="266" t="s">
        <v>110</v>
      </c>
      <c r="C1" s="267"/>
      <c r="D1" s="267"/>
      <c r="E1" s="267"/>
      <c r="F1" s="267"/>
      <c r="G1" s="267"/>
      <c r="H1" s="267"/>
      <c r="I1" s="267"/>
      <c r="J1" s="268"/>
    </row>
    <row r="2" spans="1:15" ht="36" customHeight="1" x14ac:dyDescent="0.25">
      <c r="A2" s="2"/>
      <c r="B2" s="76" t="s">
        <v>23</v>
      </c>
      <c r="C2" s="77"/>
      <c r="D2" s="78" t="s">
        <v>105</v>
      </c>
      <c r="E2" s="256" t="s">
        <v>122</v>
      </c>
      <c r="F2" s="257"/>
      <c r="G2" s="257"/>
      <c r="H2" s="257"/>
      <c r="I2" s="257"/>
      <c r="J2" s="258"/>
      <c r="O2" s="1"/>
    </row>
    <row r="3" spans="1:15" ht="27" customHeight="1" x14ac:dyDescent="0.25">
      <c r="A3" s="2"/>
      <c r="B3" s="79" t="s">
        <v>44</v>
      </c>
      <c r="C3" s="77"/>
      <c r="D3" s="80" t="s">
        <v>105</v>
      </c>
      <c r="E3" s="272" t="s">
        <v>139</v>
      </c>
      <c r="F3" s="273"/>
      <c r="G3" s="273"/>
      <c r="H3" s="273"/>
      <c r="I3" s="273"/>
      <c r="J3" s="274"/>
    </row>
    <row r="4" spans="1:15" ht="23.25" customHeight="1" x14ac:dyDescent="0.25">
      <c r="A4" s="75">
        <v>3617</v>
      </c>
      <c r="B4" s="81" t="s">
        <v>45</v>
      </c>
      <c r="C4" s="82"/>
      <c r="D4" s="83" t="s">
        <v>105</v>
      </c>
      <c r="E4" s="256" t="s">
        <v>164</v>
      </c>
      <c r="F4" s="257"/>
      <c r="G4" s="257"/>
      <c r="H4" s="257"/>
      <c r="I4" s="257"/>
      <c r="J4" s="258"/>
    </row>
    <row r="5" spans="1:15" ht="24" customHeight="1" x14ac:dyDescent="0.25">
      <c r="A5" s="2"/>
      <c r="B5" s="30" t="s">
        <v>22</v>
      </c>
      <c r="D5" s="260" t="s">
        <v>123</v>
      </c>
      <c r="E5" s="261"/>
      <c r="F5" s="261"/>
      <c r="G5" s="261"/>
      <c r="H5" s="18" t="s">
        <v>39</v>
      </c>
      <c r="I5" s="151"/>
      <c r="J5" s="8"/>
    </row>
    <row r="6" spans="1:15" ht="15.75" customHeight="1" x14ac:dyDescent="0.25">
      <c r="A6" s="2"/>
      <c r="B6" s="27"/>
      <c r="C6" s="54"/>
      <c r="D6" s="262" t="s">
        <v>124</v>
      </c>
      <c r="E6" s="263"/>
      <c r="F6" s="263"/>
      <c r="G6" s="263"/>
      <c r="H6" s="18" t="s">
        <v>35</v>
      </c>
      <c r="I6" s="21"/>
      <c r="J6" s="8"/>
    </row>
    <row r="7" spans="1:15" ht="15.75" customHeight="1" x14ac:dyDescent="0.25">
      <c r="A7" s="2"/>
      <c r="B7" s="28"/>
      <c r="C7" s="55"/>
      <c r="D7" s="52" t="s">
        <v>125</v>
      </c>
      <c r="E7" s="264"/>
      <c r="F7" s="265"/>
      <c r="G7" s="265"/>
      <c r="H7" s="23"/>
      <c r="I7" s="22"/>
      <c r="J7" s="33"/>
    </row>
    <row r="8" spans="1:15" ht="24" hidden="1" customHeight="1" x14ac:dyDescent="0.25">
      <c r="A8" s="2"/>
      <c r="B8" s="30" t="s">
        <v>20</v>
      </c>
      <c r="D8" s="50"/>
      <c r="H8" s="18" t="s">
        <v>39</v>
      </c>
      <c r="I8" s="21"/>
      <c r="J8" s="8"/>
    </row>
    <row r="9" spans="1:15" ht="15.75" hidden="1" customHeight="1" x14ac:dyDescent="0.25">
      <c r="A9" s="2"/>
      <c r="B9" s="2"/>
      <c r="D9" s="50"/>
      <c r="H9" s="18" t="s">
        <v>35</v>
      </c>
      <c r="I9" s="21"/>
      <c r="J9" s="8"/>
    </row>
    <row r="10" spans="1:15" ht="15.75" hidden="1" customHeight="1" x14ac:dyDescent="0.25">
      <c r="A10" s="2"/>
      <c r="B10" s="34"/>
      <c r="C10" s="55"/>
      <c r="D10" s="52"/>
      <c r="E10" s="56"/>
      <c r="F10" s="23"/>
      <c r="G10" s="14"/>
      <c r="H10" s="14"/>
      <c r="I10" s="35"/>
      <c r="J10" s="33"/>
    </row>
    <row r="11" spans="1:15" ht="24" customHeight="1" x14ac:dyDescent="0.25">
      <c r="A11" s="2"/>
      <c r="B11" s="30" t="s">
        <v>19</v>
      </c>
      <c r="D11" s="276"/>
      <c r="E11" s="276"/>
      <c r="F11" s="276"/>
      <c r="G11" s="276"/>
      <c r="H11" s="18" t="s">
        <v>39</v>
      </c>
      <c r="I11" s="214"/>
      <c r="J11" s="8"/>
    </row>
    <row r="12" spans="1:15" ht="15.75" customHeight="1" x14ac:dyDescent="0.25">
      <c r="A12" s="2"/>
      <c r="B12" s="27"/>
      <c r="C12" s="54"/>
      <c r="D12" s="255"/>
      <c r="E12" s="255"/>
      <c r="F12" s="255"/>
      <c r="G12" s="255"/>
      <c r="H12" s="18" t="s">
        <v>35</v>
      </c>
      <c r="I12" s="214"/>
      <c r="J12" s="8"/>
    </row>
    <row r="13" spans="1:15" ht="15.75" customHeight="1" x14ac:dyDescent="0.25">
      <c r="A13" s="2"/>
      <c r="B13" s="28"/>
      <c r="C13" s="55"/>
      <c r="D13" s="160"/>
      <c r="E13" s="259"/>
      <c r="F13" s="259"/>
      <c r="G13" s="259"/>
      <c r="H13" s="161"/>
      <c r="I13" s="22"/>
      <c r="J13" s="33"/>
    </row>
    <row r="14" spans="1:15" ht="24" customHeight="1" x14ac:dyDescent="0.25">
      <c r="A14" s="2"/>
      <c r="B14" s="42" t="s">
        <v>21</v>
      </c>
      <c r="C14" s="57"/>
      <c r="D14" s="58"/>
      <c r="E14" s="59"/>
      <c r="F14" s="43"/>
      <c r="G14" s="43"/>
      <c r="H14" s="44"/>
      <c r="I14" s="43"/>
      <c r="J14" s="45"/>
    </row>
    <row r="15" spans="1:15" ht="32.25" customHeight="1" x14ac:dyDescent="0.25">
      <c r="A15" s="2"/>
      <c r="B15" s="34" t="s">
        <v>33</v>
      </c>
      <c r="C15" s="60"/>
      <c r="D15" s="53"/>
      <c r="E15" s="275"/>
      <c r="F15" s="275"/>
      <c r="G15" s="277"/>
      <c r="H15" s="277"/>
      <c r="I15" s="277" t="s">
        <v>30</v>
      </c>
      <c r="J15" s="278"/>
    </row>
    <row r="16" spans="1:15" ht="23.25" customHeight="1" x14ac:dyDescent="0.25">
      <c r="A16" s="136" t="s">
        <v>25</v>
      </c>
      <c r="B16" s="37" t="s">
        <v>25</v>
      </c>
      <c r="C16" s="61"/>
      <c r="D16" s="62"/>
      <c r="E16" s="244"/>
      <c r="F16" s="245"/>
      <c r="G16" s="244"/>
      <c r="H16" s="245"/>
      <c r="I16" s="244">
        <v>0</v>
      </c>
      <c r="J16" s="246"/>
    </row>
    <row r="17" spans="1:10" ht="23.25" customHeight="1" x14ac:dyDescent="0.25">
      <c r="A17" s="136" t="s">
        <v>26</v>
      </c>
      <c r="B17" s="37" t="s">
        <v>26</v>
      </c>
      <c r="C17" s="61"/>
      <c r="D17" s="62"/>
      <c r="E17" s="244"/>
      <c r="F17" s="245"/>
      <c r="G17" s="244"/>
      <c r="H17" s="245"/>
      <c r="I17" s="244">
        <v>0</v>
      </c>
      <c r="J17" s="246"/>
    </row>
    <row r="18" spans="1:10" ht="23.25" customHeight="1" x14ac:dyDescent="0.25">
      <c r="A18" s="136" t="s">
        <v>27</v>
      </c>
      <c r="B18" s="37" t="s">
        <v>27</v>
      </c>
      <c r="C18" s="61"/>
      <c r="D18" s="62"/>
      <c r="E18" s="244"/>
      <c r="F18" s="245"/>
      <c r="G18" s="244"/>
      <c r="H18" s="245"/>
      <c r="I18" s="244">
        <f>SUMIF(F49:F56,A18,I49:I56)</f>
        <v>0</v>
      </c>
      <c r="J18" s="246"/>
    </row>
    <row r="19" spans="1:10" ht="23.25" customHeight="1" x14ac:dyDescent="0.25">
      <c r="A19" s="136" t="s">
        <v>56</v>
      </c>
      <c r="B19" s="37" t="s">
        <v>28</v>
      </c>
      <c r="C19" s="61"/>
      <c r="D19" s="62"/>
      <c r="E19" s="244"/>
      <c r="F19" s="245"/>
      <c r="G19" s="244"/>
      <c r="H19" s="245"/>
      <c r="I19" s="244">
        <v>0</v>
      </c>
      <c r="J19" s="246"/>
    </row>
    <row r="20" spans="1:10" ht="23.25" customHeight="1" x14ac:dyDescent="0.25">
      <c r="A20" s="136" t="s">
        <v>57</v>
      </c>
      <c r="B20" s="37" t="s">
        <v>29</v>
      </c>
      <c r="C20" s="61"/>
      <c r="D20" s="62"/>
      <c r="E20" s="244"/>
      <c r="F20" s="245"/>
      <c r="G20" s="244"/>
      <c r="H20" s="245"/>
      <c r="I20" s="244">
        <f>SUMIF(F49:F56,A20,I49:I56)</f>
        <v>0</v>
      </c>
      <c r="J20" s="246"/>
    </row>
    <row r="21" spans="1:10" ht="23.25" customHeight="1" x14ac:dyDescent="0.25">
      <c r="A21" s="2"/>
      <c r="B21" s="47" t="s">
        <v>30</v>
      </c>
      <c r="C21" s="63"/>
      <c r="D21" s="64"/>
      <c r="E21" s="247"/>
      <c r="F21" s="279"/>
      <c r="G21" s="247"/>
      <c r="H21" s="279"/>
      <c r="I21" s="247">
        <v>0</v>
      </c>
      <c r="J21" s="248"/>
    </row>
    <row r="22" spans="1:10" ht="33" customHeight="1" x14ac:dyDescent="0.25">
      <c r="A22" s="2"/>
      <c r="B22" s="41" t="s">
        <v>34</v>
      </c>
      <c r="C22" s="61"/>
      <c r="D22" s="62"/>
      <c r="E22" s="65"/>
      <c r="F22" s="38"/>
      <c r="G22" s="32"/>
      <c r="H22" s="32"/>
      <c r="I22" s="32"/>
      <c r="J22" s="39"/>
    </row>
    <row r="23" spans="1:10" ht="23.25" customHeight="1" x14ac:dyDescent="0.25">
      <c r="A23" s="2">
        <f>ZakladDPHSni*SazbaDPH1/100</f>
        <v>0</v>
      </c>
      <c r="B23" s="37" t="s">
        <v>12</v>
      </c>
      <c r="C23" s="61"/>
      <c r="D23" s="62"/>
      <c r="E23" s="66">
        <v>15</v>
      </c>
      <c r="F23" s="38" t="s">
        <v>0</v>
      </c>
      <c r="G23" s="242">
        <f>ZakladDPHSniVypocet</f>
        <v>0</v>
      </c>
      <c r="H23" s="243"/>
      <c r="I23" s="243"/>
      <c r="J23" s="39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7" t="s">
        <v>13</v>
      </c>
      <c r="C24" s="61"/>
      <c r="D24" s="62"/>
      <c r="E24" s="66">
        <f>SazbaDPH1</f>
        <v>15</v>
      </c>
      <c r="F24" s="38" t="s">
        <v>0</v>
      </c>
      <c r="G24" s="240">
        <f>A23</f>
        <v>0</v>
      </c>
      <c r="H24" s="241"/>
      <c r="I24" s="241"/>
      <c r="J24" s="39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7" t="s">
        <v>14</v>
      </c>
      <c r="C25" s="61"/>
      <c r="D25" s="62"/>
      <c r="E25" s="66">
        <v>21</v>
      </c>
      <c r="F25" s="38" t="s">
        <v>0</v>
      </c>
      <c r="G25" s="242">
        <f>+I21</f>
        <v>0</v>
      </c>
      <c r="H25" s="243"/>
      <c r="I25" s="243"/>
      <c r="J25" s="39" t="str">
        <f t="shared" si="0"/>
        <v>CZK</v>
      </c>
    </row>
    <row r="26" spans="1:10" ht="23.25" customHeight="1" x14ac:dyDescent="0.25">
      <c r="A26" s="2">
        <f>(A25-INT(A25))*100</f>
        <v>0</v>
      </c>
      <c r="B26" s="31" t="s">
        <v>15</v>
      </c>
      <c r="C26" s="67"/>
      <c r="D26" s="53"/>
      <c r="E26" s="68">
        <f>SazbaDPH2</f>
        <v>21</v>
      </c>
      <c r="F26" s="29" t="s">
        <v>0</v>
      </c>
      <c r="G26" s="269">
        <v>0</v>
      </c>
      <c r="H26" s="270"/>
      <c r="I26" s="270"/>
      <c r="J26" s="36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0" t="s">
        <v>4</v>
      </c>
      <c r="C27" s="69"/>
      <c r="D27" s="70"/>
      <c r="E27" s="69"/>
      <c r="F27" s="16"/>
      <c r="G27" s="271">
        <f>CenaCelkem-(ZakladDPHSni+DPHSni+ZakladDPHZakl+DPHZakl)</f>
        <v>0</v>
      </c>
      <c r="H27" s="271"/>
      <c r="I27" s="271"/>
      <c r="J27" s="40" t="str">
        <f t="shared" si="0"/>
        <v>CZK</v>
      </c>
    </row>
    <row r="28" spans="1:10" ht="27.75" hidden="1" customHeight="1" thickBot="1" x14ac:dyDescent="0.3">
      <c r="A28" s="2"/>
      <c r="B28" s="110" t="s">
        <v>24</v>
      </c>
      <c r="C28" s="111"/>
      <c r="D28" s="111"/>
      <c r="E28" s="112"/>
      <c r="F28" s="113"/>
      <c r="G28" s="249">
        <f>ZakladDPHSniVypocet+ZakladDPHZaklVypocet</f>
        <v>0</v>
      </c>
      <c r="H28" s="250"/>
      <c r="I28" s="250"/>
      <c r="J28" s="114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0" t="s">
        <v>36</v>
      </c>
      <c r="C29" s="115"/>
      <c r="D29" s="115"/>
      <c r="E29" s="115"/>
      <c r="F29" s="116"/>
      <c r="G29" s="249">
        <f>A27</f>
        <v>0</v>
      </c>
      <c r="H29" s="249"/>
      <c r="I29" s="249"/>
      <c r="J29" s="117" t="s">
        <v>48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1" t="s">
        <v>11</v>
      </c>
      <c r="D32" s="72"/>
      <c r="E32" s="72"/>
      <c r="F32" s="15" t="s">
        <v>10</v>
      </c>
      <c r="G32" s="25"/>
      <c r="H32" s="26"/>
      <c r="I32" s="25"/>
      <c r="J32" s="9"/>
    </row>
    <row r="33" spans="1:10" ht="47.25" customHeight="1" x14ac:dyDescent="0.25">
      <c r="A33" s="2"/>
      <c r="B33" s="2"/>
      <c r="J33" s="9"/>
    </row>
    <row r="34" spans="1:10" s="20" customFormat="1" ht="18.75" customHeight="1" x14ac:dyDescent="0.25">
      <c r="A34" s="19"/>
      <c r="B34" s="19"/>
      <c r="C34" s="73"/>
      <c r="D34" s="251"/>
      <c r="E34" s="252"/>
      <c r="G34" s="253"/>
      <c r="H34" s="254"/>
      <c r="I34" s="254"/>
      <c r="J34" s="24"/>
    </row>
    <row r="35" spans="1:10" ht="12.75" customHeight="1" x14ac:dyDescent="0.25">
      <c r="A35" s="2"/>
      <c r="B35" s="2"/>
      <c r="D35" s="239" t="s">
        <v>2</v>
      </c>
      <c r="E35" s="239"/>
      <c r="H35" s="10" t="s">
        <v>3</v>
      </c>
      <c r="J35" s="9"/>
    </row>
    <row r="36" spans="1:10" ht="13.5" customHeight="1" thickBot="1" x14ac:dyDescent="0.3">
      <c r="A36" s="11"/>
      <c r="B36" s="11"/>
      <c r="C36" s="74"/>
      <c r="D36" s="74"/>
      <c r="E36" s="74"/>
      <c r="F36" s="12"/>
      <c r="G36" s="12"/>
      <c r="H36" s="12"/>
      <c r="I36" s="12"/>
      <c r="J36" s="13"/>
    </row>
    <row r="37" spans="1:10" ht="27" hidden="1" customHeight="1" x14ac:dyDescent="0.25">
      <c r="B37" s="87" t="s">
        <v>16</v>
      </c>
      <c r="C37" s="88"/>
      <c r="D37" s="88"/>
      <c r="E37" s="88"/>
      <c r="F37" s="89"/>
      <c r="G37" s="89"/>
      <c r="H37" s="89"/>
      <c r="I37" s="89"/>
      <c r="J37" s="90"/>
    </row>
    <row r="38" spans="1:10" ht="25.5" hidden="1" customHeight="1" x14ac:dyDescent="0.25">
      <c r="A38" s="86" t="s">
        <v>38</v>
      </c>
      <c r="B38" s="91" t="s">
        <v>17</v>
      </c>
      <c r="C38" s="92" t="s">
        <v>5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18</v>
      </c>
      <c r="I38" s="94" t="s">
        <v>1</v>
      </c>
      <c r="J38" s="95" t="s">
        <v>0</v>
      </c>
    </row>
    <row r="39" spans="1:10" ht="25.5" hidden="1" customHeight="1" x14ac:dyDescent="0.25">
      <c r="A39" s="86">
        <v>1</v>
      </c>
      <c r="B39" s="96" t="s">
        <v>46</v>
      </c>
      <c r="C39" s="234"/>
      <c r="D39" s="234"/>
      <c r="E39" s="234"/>
      <c r="F39" s="97">
        <f>'1 01 Pol'!AE67</f>
        <v>0</v>
      </c>
      <c r="G39" s="98">
        <f>'1 01 Pol'!AF67</f>
        <v>0</v>
      </c>
      <c r="H39" s="99">
        <f>(F39*SazbaDPH1/100)+(G39*SazbaDPH2/100)</f>
        <v>0</v>
      </c>
      <c r="I39" s="99">
        <f>F39+G39+H39</f>
        <v>0</v>
      </c>
      <c r="J39" s="100" t="str">
        <f>IF(CenaCelkemVypocet=0,"",I39/CenaCelkemVypocet*100)</f>
        <v/>
      </c>
    </row>
    <row r="40" spans="1:10" ht="25.5" hidden="1" customHeight="1" x14ac:dyDescent="0.25">
      <c r="A40" s="86">
        <v>2</v>
      </c>
      <c r="B40" s="101" t="s">
        <v>42</v>
      </c>
      <c r="C40" s="235" t="s">
        <v>43</v>
      </c>
      <c r="D40" s="235"/>
      <c r="E40" s="235"/>
      <c r="F40" s="102">
        <f>'1 01 Pol'!AE67</f>
        <v>0</v>
      </c>
      <c r="G40" s="103">
        <f>'1 01 Pol'!AF67</f>
        <v>0</v>
      </c>
      <c r="H40" s="103">
        <f>(F40*SazbaDPH1/100)+(G40*SazbaDPH2/100)</f>
        <v>0</v>
      </c>
      <c r="I40" s="103">
        <f>F40+G40+H40</f>
        <v>0</v>
      </c>
      <c r="J40" s="104" t="str">
        <f>IF(CenaCelkemVypocet=0,"",I40/CenaCelkemVypocet*100)</f>
        <v/>
      </c>
    </row>
    <row r="41" spans="1:10" ht="25.5" hidden="1" customHeight="1" x14ac:dyDescent="0.25">
      <c r="A41" s="86">
        <v>3</v>
      </c>
      <c r="B41" s="105" t="s">
        <v>40</v>
      </c>
      <c r="C41" s="234" t="s">
        <v>41</v>
      </c>
      <c r="D41" s="234"/>
      <c r="E41" s="234"/>
      <c r="F41" s="106">
        <f>'1 01 Pol'!AE67</f>
        <v>0</v>
      </c>
      <c r="G41" s="99">
        <f>'1 01 Pol'!AF67</f>
        <v>0</v>
      </c>
      <c r="H41" s="99">
        <f>(F41*SazbaDPH1/100)+(G41*SazbaDPH2/100)</f>
        <v>0</v>
      </c>
      <c r="I41" s="99">
        <f>F41+G41+H41</f>
        <v>0</v>
      </c>
      <c r="J41" s="100" t="str">
        <f>IF(CenaCelkemVypocet=0,"",I41/CenaCelkemVypocet*100)</f>
        <v/>
      </c>
    </row>
    <row r="42" spans="1:10" ht="25.5" hidden="1" customHeight="1" x14ac:dyDescent="0.25">
      <c r="A42" s="86"/>
      <c r="B42" s="236" t="s">
        <v>47</v>
      </c>
      <c r="C42" s="237"/>
      <c r="D42" s="237"/>
      <c r="E42" s="238"/>
      <c r="F42" s="107">
        <f>SUMIF(A39:A41,"=1",F39:F41)</f>
        <v>0</v>
      </c>
      <c r="G42" s="108">
        <f>SUMIF(A39:A41,"=1",G39:G41)</f>
        <v>0</v>
      </c>
      <c r="H42" s="108">
        <f>SUMIF(A39:A41,"=1",H39:H41)</f>
        <v>0</v>
      </c>
      <c r="I42" s="108">
        <f>SUMIF(A39:A41,"=1",I39:I41)</f>
        <v>0</v>
      </c>
      <c r="J42" s="109">
        <f>SUMIF(A39:A41,"=1",J39:J41)</f>
        <v>0</v>
      </c>
    </row>
    <row r="46" spans="1:10" ht="15.6" x14ac:dyDescent="0.3">
      <c r="B46" s="118" t="s">
        <v>49</v>
      </c>
    </row>
    <row r="48" spans="1:10" ht="25.5" customHeight="1" x14ac:dyDescent="0.25">
      <c r="A48" s="120"/>
      <c r="B48" s="123" t="s">
        <v>17</v>
      </c>
      <c r="C48" s="123" t="s">
        <v>5</v>
      </c>
      <c r="D48" s="124"/>
      <c r="E48" s="124"/>
      <c r="F48" s="125" t="s">
        <v>50</v>
      </c>
      <c r="G48" s="125"/>
      <c r="H48" s="125"/>
      <c r="I48" s="125" t="s">
        <v>30</v>
      </c>
      <c r="J48" s="125" t="s">
        <v>0</v>
      </c>
    </row>
    <row r="49" spans="1:10" ht="36.75" customHeight="1" x14ac:dyDescent="0.25">
      <c r="A49" s="121"/>
      <c r="B49" s="126" t="s">
        <v>119</v>
      </c>
      <c r="C49" s="232" t="s">
        <v>52</v>
      </c>
      <c r="D49" s="233"/>
      <c r="E49" s="233"/>
      <c r="F49" s="134" t="s">
        <v>25</v>
      </c>
      <c r="G49" s="127"/>
      <c r="H49" s="127"/>
      <c r="I49" s="127">
        <v>0</v>
      </c>
      <c r="J49" s="132" t="str">
        <f>IF(I57=0,"",I49/I57*100)</f>
        <v/>
      </c>
    </row>
    <row r="50" spans="1:10" ht="36.75" customHeight="1" x14ac:dyDescent="0.25">
      <c r="A50" s="121"/>
      <c r="B50" s="126" t="s">
        <v>55</v>
      </c>
      <c r="C50" s="232" t="s">
        <v>118</v>
      </c>
      <c r="D50" s="233"/>
      <c r="E50" s="233"/>
      <c r="F50" s="134" t="s">
        <v>25</v>
      </c>
      <c r="G50" s="127"/>
      <c r="H50" s="127"/>
      <c r="I50" s="127">
        <v>0</v>
      </c>
      <c r="J50" s="132" t="str">
        <f>IF(I57=0,"",I50/I57*100)</f>
        <v/>
      </c>
    </row>
    <row r="51" spans="1:10" ht="36.75" customHeight="1" x14ac:dyDescent="0.25">
      <c r="A51" s="121"/>
      <c r="B51" s="126" t="s">
        <v>51</v>
      </c>
      <c r="C51" s="232" t="s">
        <v>108</v>
      </c>
      <c r="D51" s="233"/>
      <c r="E51" s="233"/>
      <c r="F51" s="134" t="s">
        <v>25</v>
      </c>
      <c r="G51" s="127"/>
      <c r="H51" s="127"/>
      <c r="I51" s="127">
        <v>0</v>
      </c>
      <c r="J51" s="132" t="str">
        <f>IF(I57=0,"",I51/I57*100)</f>
        <v/>
      </c>
    </row>
    <row r="52" spans="1:10" ht="36.75" customHeight="1" x14ac:dyDescent="0.25">
      <c r="A52" s="121"/>
      <c r="B52" s="126" t="s">
        <v>53</v>
      </c>
      <c r="C52" s="232" t="s">
        <v>54</v>
      </c>
      <c r="D52" s="233"/>
      <c r="E52" s="233"/>
      <c r="F52" s="134" t="s">
        <v>25</v>
      </c>
      <c r="G52" s="127"/>
      <c r="H52" s="127"/>
      <c r="I52" s="127">
        <v>0</v>
      </c>
      <c r="J52" s="132" t="str">
        <f>IF(I57=0,"",I52/I57*100)</f>
        <v/>
      </c>
    </row>
    <row r="53" spans="1:10" ht="36.75" customHeight="1" x14ac:dyDescent="0.25">
      <c r="A53" s="121"/>
      <c r="B53" s="126" t="s">
        <v>121</v>
      </c>
      <c r="C53" s="232" t="s">
        <v>136</v>
      </c>
      <c r="D53" s="233"/>
      <c r="E53" s="233"/>
      <c r="F53" s="134" t="s">
        <v>25</v>
      </c>
      <c r="G53" s="127"/>
      <c r="H53" s="127"/>
      <c r="I53" s="127">
        <v>0</v>
      </c>
      <c r="J53" s="132" t="str">
        <f>IF(I57=0,"",I53/I57*100)</f>
        <v/>
      </c>
    </row>
    <row r="54" spans="1:10" ht="36.75" customHeight="1" x14ac:dyDescent="0.25">
      <c r="A54" s="121"/>
      <c r="B54" s="126" t="s">
        <v>51</v>
      </c>
      <c r="C54" s="232" t="s">
        <v>112</v>
      </c>
      <c r="D54" s="233"/>
      <c r="E54" s="233"/>
      <c r="F54" s="134" t="s">
        <v>25</v>
      </c>
      <c r="G54" s="127"/>
      <c r="H54" s="127"/>
      <c r="I54" s="127">
        <v>0</v>
      </c>
      <c r="J54" s="132" t="str">
        <f>IF(I57=0,"",I54/I57*100)</f>
        <v/>
      </c>
    </row>
    <row r="55" spans="1:10" ht="36.75" customHeight="1" x14ac:dyDescent="0.25">
      <c r="A55" s="121"/>
      <c r="B55" s="126" t="s">
        <v>117</v>
      </c>
      <c r="C55" s="232" t="s">
        <v>137</v>
      </c>
      <c r="D55" s="233"/>
      <c r="E55" s="233"/>
      <c r="F55" s="134" t="s">
        <v>26</v>
      </c>
      <c r="G55" s="127"/>
      <c r="H55" s="127"/>
      <c r="I55" s="127">
        <f>+'1 01 Pol'!G60</f>
        <v>0</v>
      </c>
      <c r="J55" s="132" t="str">
        <f>IF(I57=0,"",I55/I57*100)</f>
        <v/>
      </c>
    </row>
    <row r="56" spans="1:10" ht="36.75" customHeight="1" x14ac:dyDescent="0.25">
      <c r="A56" s="121"/>
      <c r="B56" s="126" t="s">
        <v>56</v>
      </c>
      <c r="C56" s="232" t="s">
        <v>28</v>
      </c>
      <c r="D56" s="233"/>
      <c r="E56" s="233"/>
      <c r="F56" s="134" t="s">
        <v>56</v>
      </c>
      <c r="G56" s="127"/>
      <c r="H56" s="127"/>
      <c r="I56" s="127">
        <v>0</v>
      </c>
      <c r="J56" s="132" t="str">
        <f>IF(I57=0,"",I56/I57*100)</f>
        <v/>
      </c>
    </row>
    <row r="57" spans="1:10" ht="25.5" customHeight="1" x14ac:dyDescent="0.25">
      <c r="A57" s="122"/>
      <c r="B57" s="128" t="s">
        <v>1</v>
      </c>
      <c r="C57" s="129"/>
      <c r="D57" s="130"/>
      <c r="E57" s="130"/>
      <c r="F57" s="135"/>
      <c r="G57" s="131"/>
      <c r="H57" s="131"/>
      <c r="I57" s="131">
        <f>SUM(I49:I56)</f>
        <v>0</v>
      </c>
      <c r="J57" s="133">
        <f>SUM(J49:J56)</f>
        <v>0</v>
      </c>
    </row>
    <row r="58" spans="1:10" x14ac:dyDescent="0.25">
      <c r="F58" s="84"/>
      <c r="G58" s="84"/>
      <c r="H58" s="84"/>
      <c r="I58" s="84"/>
      <c r="J58" s="85"/>
    </row>
    <row r="59" spans="1:10" x14ac:dyDescent="0.25">
      <c r="F59" s="84"/>
      <c r="G59" s="84"/>
      <c r="H59" s="84"/>
      <c r="I59" s="84"/>
      <c r="J59" s="85"/>
    </row>
    <row r="60" spans="1:10" x14ac:dyDescent="0.25">
      <c r="F60" s="84"/>
      <c r="G60" s="84"/>
      <c r="H60" s="84"/>
      <c r="I60" s="84"/>
      <c r="J60" s="8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4:E54"/>
    <mergeCell ref="C55:E55"/>
    <mergeCell ref="C56:E56"/>
    <mergeCell ref="C50:E50"/>
    <mergeCell ref="C51:E51"/>
    <mergeCell ref="C52:E52"/>
    <mergeCell ref="C53:E5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80" t="s">
        <v>6</v>
      </c>
      <c r="B1" s="280"/>
      <c r="C1" s="281"/>
      <c r="D1" s="280"/>
      <c r="E1" s="280"/>
      <c r="F1" s="280"/>
      <c r="G1" s="280"/>
    </row>
    <row r="2" spans="1:7" ht="24.9" customHeight="1" x14ac:dyDescent="0.25">
      <c r="A2" s="49" t="s">
        <v>7</v>
      </c>
      <c r="B2" s="48"/>
      <c r="C2" s="282"/>
      <c r="D2" s="282"/>
      <c r="E2" s="282"/>
      <c r="F2" s="282"/>
      <c r="G2" s="283"/>
    </row>
    <row r="3" spans="1:7" ht="24.9" customHeight="1" x14ac:dyDescent="0.25">
      <c r="A3" s="49" t="s">
        <v>8</v>
      </c>
      <c r="B3" s="48"/>
      <c r="C3" s="282"/>
      <c r="D3" s="282"/>
      <c r="E3" s="282"/>
      <c r="F3" s="282"/>
      <c r="G3" s="283"/>
    </row>
    <row r="4" spans="1:7" ht="24.9" customHeight="1" x14ac:dyDescent="0.25">
      <c r="A4" s="49" t="s">
        <v>9</v>
      </c>
      <c r="B4" s="48"/>
      <c r="C4" s="282"/>
      <c r="D4" s="282"/>
      <c r="E4" s="282"/>
      <c r="F4" s="282"/>
      <c r="G4" s="283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G5002"/>
  <sheetViews>
    <sheetView zoomScale="140" zoomScaleNormal="140" workbookViewId="0">
      <pane ySplit="7" topLeftCell="A68" activePane="bottomLeft" state="frozen"/>
      <selection pane="bottomLeft" activeCell="Z66" sqref="Z66"/>
    </sheetView>
  </sheetViews>
  <sheetFormatPr defaultRowHeight="13.2" outlineLevelRow="1" x14ac:dyDescent="0.25"/>
  <cols>
    <col min="1" max="1" width="3.44140625" customWidth="1"/>
    <col min="2" max="2" width="3.88671875" style="119" customWidth="1"/>
    <col min="3" max="3" width="38.33203125" style="119" customWidth="1"/>
    <col min="4" max="4" width="4.88671875" customWidth="1"/>
    <col min="5" max="5" width="21.44140625" style="213" customWidth="1"/>
    <col min="6" max="6" width="9.88671875" customWidth="1"/>
    <col min="7" max="7" width="12.6640625" customWidth="1"/>
    <col min="8" max="24" width="0" hidden="1" customWidth="1"/>
    <col min="26" max="26" width="26" customWidth="1"/>
    <col min="27" max="27" width="7.6640625" customWidth="1"/>
    <col min="29" max="29" width="0" hidden="1" customWidth="1"/>
    <col min="31" max="41" width="0" hidden="1" customWidth="1"/>
  </cols>
  <sheetData>
    <row r="1" spans="1:59" ht="15.75" customHeight="1" x14ac:dyDescent="0.3">
      <c r="A1" s="284" t="s">
        <v>109</v>
      </c>
      <c r="B1" s="285"/>
      <c r="C1" s="285"/>
      <c r="D1" s="285"/>
      <c r="E1" s="285"/>
      <c r="F1" s="285"/>
      <c r="G1" s="285"/>
      <c r="H1" s="168"/>
      <c r="AG1" t="s">
        <v>58</v>
      </c>
    </row>
    <row r="2" spans="1:59" ht="24.9" customHeight="1" x14ac:dyDescent="0.25">
      <c r="A2" s="169" t="s">
        <v>7</v>
      </c>
      <c r="B2" s="170" t="s">
        <v>105</v>
      </c>
      <c r="C2" s="256" t="s">
        <v>122</v>
      </c>
      <c r="D2" s="257"/>
      <c r="E2" s="257"/>
      <c r="F2" s="257"/>
      <c r="G2" s="257"/>
      <c r="H2" s="258"/>
      <c r="AG2" t="s">
        <v>59</v>
      </c>
    </row>
    <row r="3" spans="1:59" ht="24.9" customHeight="1" x14ac:dyDescent="0.25">
      <c r="A3" s="169" t="s">
        <v>8</v>
      </c>
      <c r="B3" s="170" t="s">
        <v>105</v>
      </c>
      <c r="C3" s="272" t="s">
        <v>139</v>
      </c>
      <c r="D3" s="273"/>
      <c r="E3" s="273"/>
      <c r="F3" s="273"/>
      <c r="G3" s="273"/>
      <c r="H3" s="274"/>
      <c r="AC3" s="119" t="s">
        <v>59</v>
      </c>
      <c r="AG3" t="s">
        <v>60</v>
      </c>
    </row>
    <row r="4" spans="1:59" ht="24.9" customHeight="1" x14ac:dyDescent="0.25">
      <c r="A4" s="171" t="s">
        <v>9</v>
      </c>
      <c r="B4" s="172" t="s">
        <v>105</v>
      </c>
      <c r="C4" s="256" t="s">
        <v>164</v>
      </c>
      <c r="D4" s="257"/>
      <c r="E4" s="257"/>
      <c r="F4" s="257"/>
      <c r="G4" s="257"/>
      <c r="H4" s="258"/>
      <c r="AF4" t="s">
        <v>61</v>
      </c>
    </row>
    <row r="5" spans="1:59" x14ac:dyDescent="0.25">
      <c r="A5" s="173"/>
      <c r="B5" s="174"/>
      <c r="C5" s="174"/>
      <c r="D5" s="175"/>
      <c r="E5" s="205"/>
      <c r="F5" s="176"/>
      <c r="G5" s="176"/>
      <c r="H5" s="177"/>
    </row>
    <row r="6" spans="1:59" ht="39.6" x14ac:dyDescent="0.25">
      <c r="A6" s="178" t="s">
        <v>62</v>
      </c>
      <c r="B6" s="179" t="s">
        <v>63</v>
      </c>
      <c r="C6" s="179" t="s">
        <v>64</v>
      </c>
      <c r="D6" s="180" t="s">
        <v>65</v>
      </c>
      <c r="E6" s="206" t="s">
        <v>66</v>
      </c>
      <c r="F6" s="181" t="s">
        <v>67</v>
      </c>
      <c r="G6" s="178" t="s">
        <v>30</v>
      </c>
      <c r="H6" s="167" t="s">
        <v>31</v>
      </c>
      <c r="I6" s="167" t="s">
        <v>68</v>
      </c>
      <c r="J6" s="137" t="s">
        <v>32</v>
      </c>
      <c r="K6" s="137" t="s">
        <v>69</v>
      </c>
      <c r="L6" s="137" t="s">
        <v>70</v>
      </c>
      <c r="M6" s="137" t="s">
        <v>71</v>
      </c>
      <c r="N6" s="137" t="s">
        <v>72</v>
      </c>
      <c r="O6" s="137" t="s">
        <v>73</v>
      </c>
      <c r="P6" s="137" t="s">
        <v>74</v>
      </c>
      <c r="Q6" s="137" t="s">
        <v>75</v>
      </c>
      <c r="R6" s="137" t="s">
        <v>76</v>
      </c>
      <c r="S6" s="137" t="s">
        <v>77</v>
      </c>
      <c r="T6" s="137" t="s">
        <v>78</v>
      </c>
      <c r="U6" s="137" t="s">
        <v>79</v>
      </c>
      <c r="V6" s="137" t="s">
        <v>80</v>
      </c>
      <c r="W6" s="137" t="s">
        <v>81</v>
      </c>
      <c r="X6" s="137" t="s">
        <v>82</v>
      </c>
    </row>
    <row r="7" spans="1:59" hidden="1" x14ac:dyDescent="0.25">
      <c r="A7" s="182"/>
      <c r="B7" s="183"/>
      <c r="C7" s="183"/>
      <c r="D7" s="184"/>
      <c r="E7" s="207"/>
      <c r="F7" s="185"/>
      <c r="G7" s="186"/>
      <c r="H7" s="186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</row>
    <row r="8" spans="1:59" x14ac:dyDescent="0.25">
      <c r="A8" s="143" t="s">
        <v>83</v>
      </c>
      <c r="B8" s="144" t="s">
        <v>105</v>
      </c>
      <c r="C8" s="148" t="s">
        <v>52</v>
      </c>
      <c r="D8" s="145"/>
      <c r="E8" s="208"/>
      <c r="F8" s="146"/>
      <c r="G8" s="147"/>
      <c r="H8" s="152"/>
      <c r="I8" s="142">
        <f>SUM(I9:I14)</f>
        <v>36605.32</v>
      </c>
      <c r="J8" s="142"/>
      <c r="K8" s="142">
        <f>SUM(K9:K14)</f>
        <v>43628.479999999996</v>
      </c>
      <c r="L8" s="142"/>
      <c r="M8" s="142">
        <f>SUM(M9:M14)</f>
        <v>0</v>
      </c>
      <c r="N8" s="142"/>
      <c r="O8" s="142">
        <f>SUM(O9:O14)</f>
        <v>3.8400000000000003</v>
      </c>
      <c r="P8" s="142"/>
      <c r="Q8" s="142">
        <f>SUM(Q9:Q14)</f>
        <v>0</v>
      </c>
      <c r="R8" s="142"/>
      <c r="S8" s="142"/>
      <c r="T8" s="142"/>
      <c r="U8" s="142"/>
      <c r="V8" s="142">
        <f>SUM(V9:V14)</f>
        <v>92.31</v>
      </c>
      <c r="W8" s="142"/>
      <c r="X8" s="142"/>
      <c r="AF8" t="s">
        <v>84</v>
      </c>
    </row>
    <row r="9" spans="1:59" outlineLevel="1" x14ac:dyDescent="0.25">
      <c r="A9" s="187">
        <v>1</v>
      </c>
      <c r="B9" s="188" t="s">
        <v>105</v>
      </c>
      <c r="C9" s="162" t="s">
        <v>126</v>
      </c>
      <c r="D9" s="189" t="s">
        <v>111</v>
      </c>
      <c r="E9" s="215">
        <v>112.8</v>
      </c>
      <c r="F9" s="190"/>
      <c r="G9" s="195"/>
      <c r="H9" s="192">
        <v>4.75</v>
      </c>
      <c r="I9" s="140">
        <f>ROUND(E9*H9,2)</f>
        <v>535.79999999999995</v>
      </c>
      <c r="J9" s="141">
        <v>50.05</v>
      </c>
      <c r="K9" s="140">
        <f>ROUND(E9*J9,2)</f>
        <v>5645.64</v>
      </c>
      <c r="L9" s="140">
        <v>21</v>
      </c>
      <c r="M9" s="140">
        <f>G9*(1+L9/100)</f>
        <v>0</v>
      </c>
      <c r="N9" s="140">
        <v>5.3400000000000001E-3</v>
      </c>
      <c r="O9" s="140">
        <f>ROUND(E9*N9,2)</f>
        <v>0.6</v>
      </c>
      <c r="P9" s="140">
        <v>0</v>
      </c>
      <c r="Q9" s="140">
        <f>ROUND(E9*P9,2)</f>
        <v>0</v>
      </c>
      <c r="R9" s="140"/>
      <c r="S9" s="140" t="s">
        <v>85</v>
      </c>
      <c r="T9" s="140" t="s">
        <v>85</v>
      </c>
      <c r="U9" s="140">
        <v>0.10854999999999999</v>
      </c>
      <c r="V9" s="140">
        <f>ROUND(E9*U9,2)</f>
        <v>12.24</v>
      </c>
      <c r="W9" s="140"/>
      <c r="X9" s="140" t="s">
        <v>86</v>
      </c>
      <c r="Y9" s="138"/>
      <c r="Z9" s="138"/>
      <c r="AA9" s="138"/>
      <c r="AB9" s="138"/>
      <c r="AC9" s="138"/>
      <c r="AD9" s="138"/>
      <c r="AE9" s="138"/>
      <c r="AF9" s="138" t="s">
        <v>87</v>
      </c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</row>
    <row r="10" spans="1:59" outlineLevel="1" x14ac:dyDescent="0.25">
      <c r="A10" s="187">
        <f>+A9+1</f>
        <v>2</v>
      </c>
      <c r="B10" s="188"/>
      <c r="C10" s="193" t="s">
        <v>127</v>
      </c>
      <c r="D10" s="194" t="s">
        <v>111</v>
      </c>
      <c r="E10" s="216">
        <v>257</v>
      </c>
      <c r="F10" s="191"/>
      <c r="G10" s="195"/>
      <c r="H10" s="195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38"/>
      <c r="Z10" s="138"/>
      <c r="AA10" s="138"/>
      <c r="AB10" s="138"/>
      <c r="AC10" s="138"/>
      <c r="AD10" s="138"/>
      <c r="AE10" s="138"/>
      <c r="AF10" s="138" t="s">
        <v>88</v>
      </c>
      <c r="AG10" s="138">
        <v>0</v>
      </c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</row>
    <row r="11" spans="1:59" outlineLevel="1" x14ac:dyDescent="0.25">
      <c r="A11" s="187">
        <f t="shared" ref="A11:A14" si="0">+A10+1</f>
        <v>3</v>
      </c>
      <c r="B11" s="188" t="s">
        <v>105</v>
      </c>
      <c r="C11" s="162" t="s">
        <v>129</v>
      </c>
      <c r="D11" s="189" t="s">
        <v>111</v>
      </c>
      <c r="E11" s="217">
        <v>342</v>
      </c>
      <c r="F11" s="190"/>
      <c r="G11" s="195"/>
      <c r="H11" s="192">
        <v>60.42</v>
      </c>
      <c r="I11" s="140">
        <f>ROUND(E11*H11,2)</f>
        <v>20663.64</v>
      </c>
      <c r="J11" s="141">
        <v>52.08</v>
      </c>
      <c r="K11" s="140">
        <f>ROUND(E11*J11,2)</f>
        <v>17811.36</v>
      </c>
      <c r="L11" s="140">
        <v>21</v>
      </c>
      <c r="M11" s="140">
        <f>G11*(1+L11/100)</f>
        <v>0</v>
      </c>
      <c r="N11" s="140">
        <v>8.0000000000000002E-3</v>
      </c>
      <c r="O11" s="140">
        <f>ROUND(E11*N11,2)</f>
        <v>2.74</v>
      </c>
      <c r="P11" s="140">
        <v>0</v>
      </c>
      <c r="Q11" s="140">
        <f>ROUND(E11*P11,2)</f>
        <v>0</v>
      </c>
      <c r="R11" s="140"/>
      <c r="S11" s="140" t="s">
        <v>85</v>
      </c>
      <c r="T11" s="140" t="s">
        <v>85</v>
      </c>
      <c r="U11" s="140">
        <v>0.111</v>
      </c>
      <c r="V11" s="140">
        <f>ROUND(E11*U11,2)</f>
        <v>37.96</v>
      </c>
      <c r="W11" s="140"/>
      <c r="X11" s="140" t="s">
        <v>86</v>
      </c>
      <c r="Y11" s="138"/>
      <c r="Z11" s="138"/>
      <c r="AA11" s="138"/>
      <c r="AB11" s="138"/>
      <c r="AC11" s="138"/>
      <c r="AD11" s="138"/>
      <c r="AE11" s="138"/>
      <c r="AF11" s="138" t="s">
        <v>87</v>
      </c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</row>
    <row r="12" spans="1:59" outlineLevel="1" x14ac:dyDescent="0.25">
      <c r="A12" s="187">
        <f t="shared" si="0"/>
        <v>4</v>
      </c>
      <c r="B12" s="188"/>
      <c r="C12" s="162" t="s">
        <v>114</v>
      </c>
      <c r="D12" s="189" t="s">
        <v>92</v>
      </c>
      <c r="E12" s="215">
        <v>10.5</v>
      </c>
      <c r="F12" s="190"/>
      <c r="G12" s="195"/>
      <c r="H12" s="195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38"/>
      <c r="Z12" s="138"/>
      <c r="AA12" s="138"/>
      <c r="AB12" s="138"/>
      <c r="AC12" s="138"/>
      <c r="AD12" s="138"/>
      <c r="AE12" s="138"/>
      <c r="AF12" s="138" t="s">
        <v>88</v>
      </c>
      <c r="AG12" s="138">
        <v>5</v>
      </c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</row>
    <row r="13" spans="1:59" outlineLevel="1" x14ac:dyDescent="0.25">
      <c r="A13" s="187">
        <f t="shared" si="0"/>
        <v>5</v>
      </c>
      <c r="B13" s="188" t="s">
        <v>105</v>
      </c>
      <c r="C13" s="193" t="s">
        <v>128</v>
      </c>
      <c r="D13" s="194" t="s">
        <v>92</v>
      </c>
      <c r="E13" s="216">
        <f>409.5*0.12</f>
        <v>49.14</v>
      </c>
      <c r="F13" s="191"/>
      <c r="G13" s="195"/>
      <c r="H13" s="192">
        <v>313.51</v>
      </c>
      <c r="I13" s="140">
        <f>ROUND(E13*H13,2)</f>
        <v>15405.88</v>
      </c>
      <c r="J13" s="141">
        <v>410.49</v>
      </c>
      <c r="K13" s="140">
        <f>ROUND(E13*J13,2)</f>
        <v>20171.48</v>
      </c>
      <c r="L13" s="140">
        <v>21</v>
      </c>
      <c r="M13" s="140">
        <f>G13*(1+L13/100)</f>
        <v>0</v>
      </c>
      <c r="N13" s="140">
        <v>1.018E-2</v>
      </c>
      <c r="O13" s="140">
        <f>ROUND(E13*N13,2)</f>
        <v>0.5</v>
      </c>
      <c r="P13" s="140">
        <v>0</v>
      </c>
      <c r="Q13" s="140">
        <f>ROUND(E13*P13,2)</f>
        <v>0</v>
      </c>
      <c r="R13" s="140"/>
      <c r="S13" s="140" t="s">
        <v>85</v>
      </c>
      <c r="T13" s="140" t="s">
        <v>85</v>
      </c>
      <c r="U13" s="140">
        <v>0.85699999999999998</v>
      </c>
      <c r="V13" s="140">
        <f>ROUND(E13*U13,2)</f>
        <v>42.11</v>
      </c>
      <c r="W13" s="140"/>
      <c r="X13" s="140" t="s">
        <v>86</v>
      </c>
      <c r="Y13" s="138"/>
      <c r="Z13" s="138"/>
      <c r="AA13" s="138"/>
      <c r="AB13" s="138"/>
      <c r="AC13" s="138"/>
      <c r="AD13" s="138"/>
      <c r="AE13" s="138"/>
      <c r="AF13" s="138" t="s">
        <v>87</v>
      </c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</row>
    <row r="14" spans="1:59" outlineLevel="1" x14ac:dyDescent="0.25">
      <c r="A14" s="187">
        <f t="shared" si="0"/>
        <v>6</v>
      </c>
      <c r="B14" s="188"/>
      <c r="C14" s="193" t="s">
        <v>141</v>
      </c>
      <c r="D14" s="194" t="s">
        <v>142</v>
      </c>
      <c r="E14" s="216">
        <v>18</v>
      </c>
      <c r="F14" s="191"/>
      <c r="G14" s="195"/>
      <c r="H14" s="195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38"/>
      <c r="Z14" s="138"/>
      <c r="AA14" s="138"/>
      <c r="AB14" s="138"/>
      <c r="AC14" s="138"/>
      <c r="AD14" s="138"/>
      <c r="AE14" s="138"/>
      <c r="AF14" s="138" t="s">
        <v>88</v>
      </c>
      <c r="AG14" s="138">
        <v>0</v>
      </c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</row>
    <row r="15" spans="1:59" x14ac:dyDescent="0.25">
      <c r="A15" s="153" t="s">
        <v>83</v>
      </c>
      <c r="B15" s="196" t="s">
        <v>105</v>
      </c>
      <c r="C15" s="164" t="s">
        <v>118</v>
      </c>
      <c r="D15" s="197"/>
      <c r="E15" s="210"/>
      <c r="F15" s="199"/>
      <c r="G15" s="152"/>
      <c r="H15" s="152"/>
      <c r="I15" s="142" t="e">
        <f>SUM(#REF!)</f>
        <v>#REF!</v>
      </c>
      <c r="J15" s="142"/>
      <c r="K15" s="142" t="e">
        <f>SUM(#REF!)</f>
        <v>#REF!</v>
      </c>
      <c r="L15" s="142"/>
      <c r="M15" s="142" t="e">
        <f>SUM(#REF!)</f>
        <v>#REF!</v>
      </c>
      <c r="N15" s="142"/>
      <c r="O15" s="142" t="e">
        <f>SUM(#REF!)</f>
        <v>#REF!</v>
      </c>
      <c r="P15" s="142"/>
      <c r="Q15" s="142" t="e">
        <f>SUM(#REF!)</f>
        <v>#REF!</v>
      </c>
      <c r="R15" s="142"/>
      <c r="S15" s="142"/>
      <c r="T15" s="142"/>
      <c r="U15" s="142"/>
      <c r="V15" s="142" t="e">
        <f>SUM(#REF!)</f>
        <v>#REF!</v>
      </c>
      <c r="W15" s="142"/>
      <c r="X15" s="142"/>
      <c r="AF15" t="s">
        <v>84</v>
      </c>
    </row>
    <row r="16" spans="1:59" x14ac:dyDescent="0.25">
      <c r="A16" s="187">
        <v>7</v>
      </c>
      <c r="B16" s="188" t="s">
        <v>105</v>
      </c>
      <c r="C16" s="163" t="s">
        <v>162</v>
      </c>
      <c r="D16" s="165" t="s">
        <v>89</v>
      </c>
      <c r="E16" s="218">
        <f>+E9*0.08*0.66+E10*0.12*2.25+E11*0.015*1.88*0.36+E12*2.4+E13*2.35</f>
        <v>219.496824</v>
      </c>
      <c r="F16" s="166"/>
      <c r="G16" s="195"/>
      <c r="H16" s="15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</row>
    <row r="17" spans="1:59" x14ac:dyDescent="0.25">
      <c r="A17" s="187">
        <f t="shared" ref="A17:A19" si="1">+A16+1</f>
        <v>8</v>
      </c>
      <c r="B17" s="188"/>
      <c r="C17" s="163" t="s">
        <v>120</v>
      </c>
      <c r="D17" s="165" t="s">
        <v>89</v>
      </c>
      <c r="E17" s="229">
        <f>+E16</f>
        <v>219.496824</v>
      </c>
      <c r="F17" s="166"/>
      <c r="G17" s="195"/>
      <c r="H17" s="15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</row>
    <row r="18" spans="1:59" ht="13.8" customHeight="1" x14ac:dyDescent="0.25">
      <c r="A18" s="187">
        <f t="shared" si="1"/>
        <v>9</v>
      </c>
      <c r="B18" s="188"/>
      <c r="C18" s="163" t="s">
        <v>163</v>
      </c>
      <c r="D18" s="165" t="s">
        <v>89</v>
      </c>
      <c r="E18" s="229">
        <f>+E16</f>
        <v>219.496824</v>
      </c>
      <c r="F18" s="166"/>
      <c r="G18" s="195"/>
      <c r="H18" s="15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</row>
    <row r="19" spans="1:59" ht="13.2" customHeight="1" x14ac:dyDescent="0.25">
      <c r="A19" s="187">
        <f t="shared" si="1"/>
        <v>10</v>
      </c>
      <c r="B19" s="188"/>
      <c r="C19" s="163" t="s">
        <v>161</v>
      </c>
      <c r="D19" s="165" t="s">
        <v>89</v>
      </c>
      <c r="E19" s="229">
        <f>+E16</f>
        <v>219.496824</v>
      </c>
      <c r="F19" s="166"/>
      <c r="G19" s="195"/>
      <c r="H19" s="15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</row>
    <row r="20" spans="1:59" ht="15" customHeight="1" x14ac:dyDescent="0.25">
      <c r="A20" s="153" t="s">
        <v>83</v>
      </c>
      <c r="B20" s="196" t="s">
        <v>105</v>
      </c>
      <c r="C20" s="200" t="s">
        <v>108</v>
      </c>
      <c r="D20" s="197"/>
      <c r="E20" s="210"/>
      <c r="F20" s="199"/>
      <c r="G20" s="152"/>
      <c r="H20" s="152"/>
      <c r="I20" s="142">
        <f>SUM(I21:I36)</f>
        <v>61.92</v>
      </c>
      <c r="J20" s="142"/>
      <c r="K20" s="142">
        <f>SUM(K21:K36)</f>
        <v>4901.22</v>
      </c>
      <c r="L20" s="142"/>
      <c r="M20" s="142">
        <f>SUM(M21:M36)</f>
        <v>0</v>
      </c>
      <c r="N20" s="142"/>
      <c r="O20" s="142">
        <f>SUM(O21:O36)</f>
        <v>0</v>
      </c>
      <c r="P20" s="142"/>
      <c r="Q20" s="142">
        <f>SUM(Q21:Q36)</f>
        <v>0</v>
      </c>
      <c r="R20" s="142"/>
      <c r="S20" s="142"/>
      <c r="T20" s="142"/>
      <c r="U20" s="142"/>
      <c r="V20" s="142">
        <f>SUM(V21:V36)</f>
        <v>12.92</v>
      </c>
      <c r="W20" s="142"/>
      <c r="X20" s="142"/>
      <c r="AF20" t="s">
        <v>84</v>
      </c>
    </row>
    <row r="21" spans="1:59" ht="13.2" customHeight="1" outlineLevel="1" x14ac:dyDescent="0.25">
      <c r="A21" s="187">
        <v>11</v>
      </c>
      <c r="B21" s="188" t="s">
        <v>105</v>
      </c>
      <c r="C21" s="219" t="s">
        <v>130</v>
      </c>
      <c r="D21" s="189" t="s">
        <v>92</v>
      </c>
      <c r="E21" s="215">
        <f>+E13</f>
        <v>49.14</v>
      </c>
      <c r="F21" s="190"/>
      <c r="G21" s="195"/>
      <c r="H21" s="192">
        <v>1.26</v>
      </c>
      <c r="I21" s="140">
        <f>ROUND(E21*H21,2)</f>
        <v>61.92</v>
      </c>
      <c r="J21" s="141">
        <v>99.74</v>
      </c>
      <c r="K21" s="140">
        <f>ROUND(E21*J21,2)</f>
        <v>4901.22</v>
      </c>
      <c r="L21" s="140">
        <v>21</v>
      </c>
      <c r="M21" s="140">
        <f>G21*(1+L21/100)</f>
        <v>0</v>
      </c>
      <c r="N21" s="140">
        <v>3.0000000000000001E-5</v>
      </c>
      <c r="O21" s="140">
        <f>ROUND(E21*N21,2)</f>
        <v>0</v>
      </c>
      <c r="P21" s="140">
        <v>0</v>
      </c>
      <c r="Q21" s="140">
        <f>ROUND(E21*P21,2)</f>
        <v>0</v>
      </c>
      <c r="R21" s="140"/>
      <c r="S21" s="140" t="s">
        <v>85</v>
      </c>
      <c r="T21" s="140" t="s">
        <v>85</v>
      </c>
      <c r="U21" s="140">
        <v>0.26300000000000001</v>
      </c>
      <c r="V21" s="140">
        <f>ROUND(E21*U21,2)</f>
        <v>12.92</v>
      </c>
      <c r="W21" s="140"/>
      <c r="X21" s="140" t="s">
        <v>86</v>
      </c>
      <c r="Y21" s="138"/>
      <c r="Z21" s="138"/>
      <c r="AA21" s="138"/>
      <c r="AB21" s="138"/>
      <c r="AC21" s="138"/>
      <c r="AD21" s="138"/>
      <c r="AE21" s="138"/>
      <c r="AF21" s="138" t="s">
        <v>87</v>
      </c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</row>
    <row r="22" spans="1:59" outlineLevel="1" x14ac:dyDescent="0.25">
      <c r="A22" s="187">
        <f>+A21+1</f>
        <v>12</v>
      </c>
      <c r="B22" s="188"/>
      <c r="C22" s="162" t="s">
        <v>115</v>
      </c>
      <c r="D22" s="189" t="s">
        <v>92</v>
      </c>
      <c r="E22" s="215">
        <f>+E12</f>
        <v>10.5</v>
      </c>
      <c r="F22" s="190"/>
      <c r="G22" s="195"/>
      <c r="H22" s="192"/>
      <c r="I22" s="140"/>
      <c r="J22" s="141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</row>
    <row r="23" spans="1:59" outlineLevel="1" x14ac:dyDescent="0.25">
      <c r="A23" s="187">
        <f t="shared" ref="A23:A36" si="2">+A22+1</f>
        <v>13</v>
      </c>
      <c r="B23" s="188"/>
      <c r="C23" s="162" t="s">
        <v>131</v>
      </c>
      <c r="D23" s="189" t="s">
        <v>92</v>
      </c>
      <c r="E23" s="215">
        <f>+E10*0.12</f>
        <v>30.84</v>
      </c>
      <c r="F23" s="190"/>
      <c r="G23" s="195"/>
      <c r="H23" s="192"/>
      <c r="I23" s="140"/>
      <c r="J23" s="141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</row>
    <row r="24" spans="1:59" outlineLevel="1" x14ac:dyDescent="0.25">
      <c r="A24" s="187">
        <f t="shared" si="2"/>
        <v>14</v>
      </c>
      <c r="B24" s="188"/>
      <c r="C24" s="162" t="s">
        <v>140</v>
      </c>
      <c r="D24" s="189" t="s">
        <v>111</v>
      </c>
      <c r="E24" s="215">
        <f>+E9</f>
        <v>112.8</v>
      </c>
      <c r="F24" s="230"/>
      <c r="G24" s="195"/>
      <c r="H24" s="192"/>
      <c r="I24" s="140"/>
      <c r="J24" s="141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</row>
    <row r="25" spans="1:59" outlineLevel="1" x14ac:dyDescent="0.25">
      <c r="A25" s="187">
        <f t="shared" si="2"/>
        <v>15</v>
      </c>
      <c r="B25" s="188"/>
      <c r="C25" s="162" t="s">
        <v>133</v>
      </c>
      <c r="D25" s="189" t="s">
        <v>111</v>
      </c>
      <c r="E25" s="215">
        <f>+E9</f>
        <v>112.8</v>
      </c>
      <c r="F25" s="190"/>
      <c r="G25" s="195"/>
      <c r="H25" s="192"/>
      <c r="I25" s="140"/>
      <c r="J25" s="141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</row>
    <row r="26" spans="1:59" outlineLevel="1" x14ac:dyDescent="0.25">
      <c r="A26" s="187">
        <f t="shared" si="2"/>
        <v>16</v>
      </c>
      <c r="B26" s="188"/>
      <c r="C26" s="162" t="s">
        <v>134</v>
      </c>
      <c r="D26" s="189" t="s">
        <v>111</v>
      </c>
      <c r="E26" s="215">
        <f>+E10</f>
        <v>257</v>
      </c>
      <c r="F26" s="225"/>
      <c r="G26" s="195"/>
      <c r="H26" s="192"/>
      <c r="I26" s="140"/>
      <c r="J26" s="141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</row>
    <row r="27" spans="1:59" outlineLevel="1" x14ac:dyDescent="0.25">
      <c r="A27" s="187">
        <f t="shared" si="2"/>
        <v>17</v>
      </c>
      <c r="B27" s="188"/>
      <c r="C27" s="162" t="s">
        <v>135</v>
      </c>
      <c r="D27" s="189" t="s">
        <v>111</v>
      </c>
      <c r="E27" s="215">
        <f>80+20*0.36</f>
        <v>87.2</v>
      </c>
      <c r="F27" s="190"/>
      <c r="G27" s="195"/>
      <c r="H27" s="192"/>
      <c r="I27" s="140"/>
      <c r="J27" s="141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</row>
    <row r="28" spans="1:59" outlineLevel="1" x14ac:dyDescent="0.25">
      <c r="A28" s="187">
        <f t="shared" si="2"/>
        <v>18</v>
      </c>
      <c r="B28" s="188"/>
      <c r="C28" s="162" t="s">
        <v>138</v>
      </c>
      <c r="D28" s="189" t="s">
        <v>92</v>
      </c>
      <c r="E28" s="215">
        <v>6.88</v>
      </c>
      <c r="F28" s="190"/>
      <c r="G28" s="195"/>
      <c r="H28" s="192"/>
      <c r="I28" s="140"/>
      <c r="J28" s="141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</row>
    <row r="29" spans="1:59" outlineLevel="1" x14ac:dyDescent="0.25">
      <c r="A29" s="187">
        <f t="shared" si="2"/>
        <v>19</v>
      </c>
      <c r="B29" s="188"/>
      <c r="C29" s="162" t="s">
        <v>116</v>
      </c>
      <c r="D29" s="189" t="s">
        <v>111</v>
      </c>
      <c r="E29" s="215">
        <f>+E11</f>
        <v>342</v>
      </c>
      <c r="F29" s="190"/>
      <c r="G29" s="195"/>
      <c r="H29" s="192"/>
      <c r="I29" s="140"/>
      <c r="J29" s="141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</row>
    <row r="30" spans="1:59" outlineLevel="1" x14ac:dyDescent="0.25">
      <c r="A30" s="187">
        <f t="shared" si="2"/>
        <v>20</v>
      </c>
      <c r="B30" s="188"/>
      <c r="C30" s="162" t="s">
        <v>132</v>
      </c>
      <c r="D30" s="189" t="s">
        <v>111</v>
      </c>
      <c r="E30" s="215">
        <f>+E29</f>
        <v>342</v>
      </c>
      <c r="F30" s="190"/>
      <c r="G30" s="195"/>
      <c r="H30" s="192"/>
      <c r="I30" s="140"/>
      <c r="J30" s="141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</row>
    <row r="31" spans="1:59" outlineLevel="1" x14ac:dyDescent="0.25">
      <c r="A31" s="187">
        <f t="shared" si="2"/>
        <v>21</v>
      </c>
      <c r="B31" s="188"/>
      <c r="C31" s="162"/>
      <c r="D31" s="189"/>
      <c r="E31" s="215"/>
      <c r="F31" s="190"/>
      <c r="G31" s="195"/>
      <c r="H31" s="192"/>
      <c r="I31" s="140"/>
      <c r="J31" s="141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</row>
    <row r="32" spans="1:59" outlineLevel="1" x14ac:dyDescent="0.25">
      <c r="A32" s="187">
        <f t="shared" si="2"/>
        <v>22</v>
      </c>
      <c r="B32" s="188"/>
      <c r="C32" s="162"/>
      <c r="D32" s="189"/>
      <c r="E32" s="215"/>
      <c r="F32" s="190"/>
      <c r="G32" s="195"/>
      <c r="H32" s="192"/>
      <c r="I32" s="140"/>
      <c r="J32" s="141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</row>
    <row r="33" spans="1:59" outlineLevel="1" x14ac:dyDescent="0.25">
      <c r="A33" s="187">
        <f>+A32+1</f>
        <v>23</v>
      </c>
      <c r="B33" s="188"/>
      <c r="C33" s="162"/>
      <c r="D33" s="189"/>
      <c r="E33" s="215"/>
      <c r="F33" s="190"/>
      <c r="G33" s="195"/>
      <c r="H33" s="192"/>
      <c r="I33" s="140"/>
      <c r="J33" s="141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</row>
    <row r="34" spans="1:59" outlineLevel="1" x14ac:dyDescent="0.25">
      <c r="A34" s="187">
        <f t="shared" si="2"/>
        <v>24</v>
      </c>
      <c r="B34" s="188"/>
      <c r="C34" s="162"/>
      <c r="D34" s="189"/>
      <c r="E34" s="215"/>
      <c r="F34" s="190"/>
      <c r="G34" s="195"/>
      <c r="H34" s="192"/>
      <c r="I34" s="140"/>
      <c r="J34" s="141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</row>
    <row r="35" spans="1:59" outlineLevel="1" x14ac:dyDescent="0.25">
      <c r="A35" s="187">
        <f t="shared" si="2"/>
        <v>25</v>
      </c>
      <c r="B35" s="188"/>
      <c r="C35" s="162"/>
      <c r="D35" s="189"/>
      <c r="E35" s="215"/>
      <c r="F35" s="190"/>
      <c r="G35" s="195"/>
      <c r="H35" s="192"/>
      <c r="I35" s="140"/>
      <c r="J35" s="141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</row>
    <row r="36" spans="1:59" outlineLevel="1" x14ac:dyDescent="0.25">
      <c r="A36" s="187">
        <f t="shared" si="2"/>
        <v>26</v>
      </c>
      <c r="B36" s="188"/>
      <c r="C36" s="162"/>
      <c r="D36" s="189"/>
      <c r="E36" s="215"/>
      <c r="F36" s="190"/>
      <c r="G36" s="195"/>
      <c r="H36" s="192"/>
      <c r="I36" s="140"/>
      <c r="J36" s="141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</row>
    <row r="37" spans="1:59" x14ac:dyDescent="0.25">
      <c r="A37" s="153" t="s">
        <v>83</v>
      </c>
      <c r="B37" s="196" t="s">
        <v>105</v>
      </c>
      <c r="C37" s="200" t="s">
        <v>54</v>
      </c>
      <c r="D37" s="197"/>
      <c r="E37" s="210"/>
      <c r="F37" s="199"/>
      <c r="G37" s="152"/>
      <c r="H37" s="152"/>
      <c r="I37" s="142">
        <f>SUM(I38:I38)</f>
        <v>0</v>
      </c>
      <c r="J37" s="142"/>
      <c r="K37" s="142">
        <f>SUM(K38:K38)</f>
        <v>164631.04000000001</v>
      </c>
      <c r="L37" s="142"/>
      <c r="M37" s="142">
        <f>SUM(M38:M38)</f>
        <v>0</v>
      </c>
      <c r="N37" s="142"/>
      <c r="O37" s="142">
        <f>SUM(O38:O38)</f>
        <v>0</v>
      </c>
      <c r="P37" s="142"/>
      <c r="Q37" s="142">
        <f>SUM(Q38:Q38)</f>
        <v>0</v>
      </c>
      <c r="R37" s="142"/>
      <c r="S37" s="142"/>
      <c r="T37" s="142"/>
      <c r="U37" s="142"/>
      <c r="V37" s="142">
        <f>SUM(V38:V38)</f>
        <v>408.77</v>
      </c>
      <c r="W37" s="142"/>
      <c r="X37" s="142"/>
      <c r="AF37" t="s">
        <v>84</v>
      </c>
    </row>
    <row r="38" spans="1:59" outlineLevel="1" x14ac:dyDescent="0.25">
      <c r="A38" s="187">
        <v>25</v>
      </c>
      <c r="B38" s="188" t="s">
        <v>106</v>
      </c>
      <c r="C38" s="162" t="s">
        <v>107</v>
      </c>
      <c r="D38" s="189" t="s">
        <v>89</v>
      </c>
      <c r="E38" s="215">
        <f>49.14*1.85+10.5*2.4+30.9*2.4+112.8*0.00675+112.8*0.01*0.68+257*0.03*0.88+87*0.005*2.2+6.88*2.4</f>
        <v>216.05124000000001</v>
      </c>
      <c r="F38" s="190"/>
      <c r="G38" s="195"/>
      <c r="H38" s="192">
        <v>0</v>
      </c>
      <c r="I38" s="140">
        <f>ROUND(E38*H38,2)</f>
        <v>0</v>
      </c>
      <c r="J38" s="141">
        <v>762</v>
      </c>
      <c r="K38" s="140">
        <f>ROUND(E38*J38,2)</f>
        <v>164631.04000000001</v>
      </c>
      <c r="L38" s="140">
        <v>21</v>
      </c>
      <c r="M38" s="140">
        <f>G38*(1+L38/100)</f>
        <v>0</v>
      </c>
      <c r="N38" s="140">
        <v>0</v>
      </c>
      <c r="O38" s="140">
        <f>ROUND(E38*N38,2)</f>
        <v>0</v>
      </c>
      <c r="P38" s="140">
        <v>0</v>
      </c>
      <c r="Q38" s="140">
        <f>ROUND(E38*P38,2)</f>
        <v>0</v>
      </c>
      <c r="R38" s="140"/>
      <c r="S38" s="140" t="s">
        <v>85</v>
      </c>
      <c r="T38" s="140" t="s">
        <v>85</v>
      </c>
      <c r="U38" s="140">
        <v>1.8919999999999999</v>
      </c>
      <c r="V38" s="140">
        <f>ROUND(E38*U38,2)</f>
        <v>408.77</v>
      </c>
      <c r="W38" s="140"/>
      <c r="X38" s="140" t="s">
        <v>90</v>
      </c>
      <c r="Y38" s="138"/>
      <c r="Z38" s="138"/>
      <c r="AA38" s="138"/>
      <c r="AB38" s="138"/>
      <c r="AC38" s="138"/>
      <c r="AD38" s="138"/>
      <c r="AE38" s="138"/>
      <c r="AF38" s="138" t="s">
        <v>91</v>
      </c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</row>
    <row r="39" spans="1:59" x14ac:dyDescent="0.25">
      <c r="A39" s="153" t="s">
        <v>83</v>
      </c>
      <c r="B39" s="196" t="s">
        <v>105</v>
      </c>
      <c r="C39" s="164" t="s">
        <v>136</v>
      </c>
      <c r="D39" s="197"/>
      <c r="E39" s="210"/>
      <c r="F39" s="198"/>
      <c r="G39" s="152"/>
      <c r="H39" s="152"/>
      <c r="I39" s="142">
        <f>SUM(I57:I57)</f>
        <v>0</v>
      </c>
      <c r="J39" s="142"/>
      <c r="K39" s="142">
        <f>SUM(K57:K57)</f>
        <v>0</v>
      </c>
      <c r="L39" s="142"/>
      <c r="M39" s="142">
        <f>SUM(M57:M57)</f>
        <v>0</v>
      </c>
      <c r="N39" s="142"/>
      <c r="O39" s="142">
        <f>SUM(O57:O57)</f>
        <v>0</v>
      </c>
      <c r="P39" s="142"/>
      <c r="Q39" s="142">
        <f>SUM(Q57:Q57)</f>
        <v>0</v>
      </c>
      <c r="R39" s="142"/>
      <c r="S39" s="142"/>
      <c r="T39" s="142"/>
      <c r="U39" s="142"/>
      <c r="V39" s="142">
        <f>SUM(V57:V57)</f>
        <v>0</v>
      </c>
      <c r="W39" s="142"/>
      <c r="X39" s="142"/>
      <c r="AF39" t="s">
        <v>84</v>
      </c>
    </row>
    <row r="40" spans="1:59" x14ac:dyDescent="0.25">
      <c r="A40" s="220">
        <v>26</v>
      </c>
      <c r="B40" s="221"/>
      <c r="C40" s="226" t="s">
        <v>143</v>
      </c>
      <c r="D40" s="227" t="s">
        <v>142</v>
      </c>
      <c r="E40" s="228">
        <v>1</v>
      </c>
      <c r="F40" s="228"/>
      <c r="G40" s="195"/>
      <c r="H40" s="15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</row>
    <row r="41" spans="1:59" x14ac:dyDescent="0.25">
      <c r="A41" s="220">
        <f t="shared" ref="A41:A57" si="3">+A40+1</f>
        <v>27</v>
      </c>
      <c r="B41" s="221"/>
      <c r="C41" s="226" t="s">
        <v>144</v>
      </c>
      <c r="D41" s="227" t="s">
        <v>142</v>
      </c>
      <c r="E41" s="228">
        <v>1</v>
      </c>
      <c r="F41" s="228"/>
      <c r="G41" s="195"/>
      <c r="H41" s="15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</row>
    <row r="42" spans="1:59" x14ac:dyDescent="0.25">
      <c r="A42" s="220">
        <f t="shared" si="3"/>
        <v>28</v>
      </c>
      <c r="B42" s="221"/>
      <c r="C42" s="226" t="s">
        <v>145</v>
      </c>
      <c r="D42" s="227" t="s">
        <v>146</v>
      </c>
      <c r="E42" s="228">
        <v>6220</v>
      </c>
      <c r="F42" s="228"/>
      <c r="G42" s="195"/>
      <c r="H42" s="15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</row>
    <row r="43" spans="1:59" x14ac:dyDescent="0.25">
      <c r="A43" s="220">
        <f t="shared" si="3"/>
        <v>29</v>
      </c>
      <c r="B43" s="221"/>
      <c r="C43" s="226" t="s">
        <v>147</v>
      </c>
      <c r="D43" s="227" t="s">
        <v>146</v>
      </c>
      <c r="E43" s="228">
        <v>6220</v>
      </c>
      <c r="F43" s="228"/>
      <c r="G43" s="195"/>
      <c r="H43" s="15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</row>
    <row r="44" spans="1:59" x14ac:dyDescent="0.25">
      <c r="A44" s="220">
        <f t="shared" si="3"/>
        <v>30</v>
      </c>
      <c r="B44" s="221"/>
      <c r="C44" s="226" t="s">
        <v>148</v>
      </c>
      <c r="D44" s="227" t="s">
        <v>146</v>
      </c>
      <c r="E44" s="228">
        <v>6220</v>
      </c>
      <c r="F44" s="228"/>
      <c r="G44" s="195"/>
      <c r="H44" s="15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</row>
    <row r="45" spans="1:59" x14ac:dyDescent="0.25">
      <c r="A45" s="220">
        <f t="shared" si="3"/>
        <v>31</v>
      </c>
      <c r="B45" s="221"/>
      <c r="C45" s="226" t="s">
        <v>149</v>
      </c>
      <c r="D45" s="227" t="s">
        <v>150</v>
      </c>
      <c r="E45" s="228">
        <v>18</v>
      </c>
      <c r="F45" s="228"/>
      <c r="G45" s="195"/>
      <c r="H45" s="15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</row>
    <row r="46" spans="1:59" ht="20.399999999999999" x14ac:dyDescent="0.25">
      <c r="A46" s="220">
        <f t="shared" si="3"/>
        <v>32</v>
      </c>
      <c r="B46" s="221"/>
      <c r="C46" s="226" t="s">
        <v>151</v>
      </c>
      <c r="D46" s="227" t="s">
        <v>142</v>
      </c>
      <c r="E46" s="228">
        <v>1</v>
      </c>
      <c r="F46" s="228"/>
      <c r="G46" s="195"/>
      <c r="H46" s="15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</row>
    <row r="47" spans="1:59" x14ac:dyDescent="0.25">
      <c r="A47" s="220">
        <f t="shared" si="3"/>
        <v>33</v>
      </c>
      <c r="B47" s="221"/>
      <c r="C47" s="226" t="s">
        <v>152</v>
      </c>
      <c r="D47" s="227" t="s">
        <v>142</v>
      </c>
      <c r="E47" s="228">
        <v>1</v>
      </c>
      <c r="F47" s="228"/>
      <c r="G47" s="195"/>
      <c r="H47" s="15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</row>
    <row r="48" spans="1:59" x14ac:dyDescent="0.25">
      <c r="A48" s="220">
        <f t="shared" si="3"/>
        <v>34</v>
      </c>
      <c r="B48" s="221"/>
      <c r="C48" s="226" t="s">
        <v>153</v>
      </c>
      <c r="D48" s="227" t="s">
        <v>142</v>
      </c>
      <c r="E48" s="228">
        <v>1</v>
      </c>
      <c r="F48" s="228"/>
      <c r="G48" s="195"/>
      <c r="H48" s="15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</row>
    <row r="49" spans="1:59" x14ac:dyDescent="0.25">
      <c r="A49" s="220">
        <f t="shared" si="3"/>
        <v>35</v>
      </c>
      <c r="B49" s="221"/>
      <c r="C49" s="226" t="s">
        <v>154</v>
      </c>
      <c r="D49" s="227" t="s">
        <v>150</v>
      </c>
      <c r="E49" s="228">
        <v>12</v>
      </c>
      <c r="F49" s="228"/>
      <c r="G49" s="195"/>
      <c r="H49" s="15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</row>
    <row r="50" spans="1:59" x14ac:dyDescent="0.25">
      <c r="A50" s="220">
        <f t="shared" si="3"/>
        <v>36</v>
      </c>
      <c r="B50" s="221"/>
      <c r="C50" s="226" t="s">
        <v>155</v>
      </c>
      <c r="D50" s="227" t="s">
        <v>150</v>
      </c>
      <c r="E50" s="228">
        <v>10</v>
      </c>
      <c r="F50" s="228"/>
      <c r="G50" s="195"/>
      <c r="H50" s="15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</row>
    <row r="51" spans="1:59" x14ac:dyDescent="0.25">
      <c r="A51" s="220">
        <f t="shared" si="3"/>
        <v>37</v>
      </c>
      <c r="B51" s="221"/>
      <c r="C51" s="226" t="s">
        <v>156</v>
      </c>
      <c r="D51" s="227" t="s">
        <v>142</v>
      </c>
      <c r="E51" s="228">
        <v>1</v>
      </c>
      <c r="F51" s="228"/>
      <c r="G51" s="195"/>
      <c r="H51" s="15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</row>
    <row r="52" spans="1:59" x14ac:dyDescent="0.25">
      <c r="A52" s="220">
        <f t="shared" si="3"/>
        <v>38</v>
      </c>
      <c r="B52" s="221"/>
      <c r="C52" s="226" t="s">
        <v>157</v>
      </c>
      <c r="D52" s="227" t="s">
        <v>142</v>
      </c>
      <c r="E52" s="228">
        <v>1</v>
      </c>
      <c r="F52" s="228"/>
      <c r="G52" s="195"/>
      <c r="H52" s="15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</row>
    <row r="53" spans="1:59" x14ac:dyDescent="0.25">
      <c r="A53" s="220">
        <f t="shared" si="3"/>
        <v>39</v>
      </c>
      <c r="B53" s="221"/>
      <c r="C53" s="226" t="s">
        <v>158</v>
      </c>
      <c r="D53" s="227" t="s">
        <v>142</v>
      </c>
      <c r="E53" s="228">
        <v>1</v>
      </c>
      <c r="F53" s="228"/>
      <c r="G53" s="195"/>
      <c r="H53" s="15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</row>
    <row r="54" spans="1:59" x14ac:dyDescent="0.25">
      <c r="A54" s="220">
        <f t="shared" si="3"/>
        <v>40</v>
      </c>
      <c r="B54" s="221"/>
      <c r="C54" s="226" t="s">
        <v>159</v>
      </c>
      <c r="D54" s="227" t="s">
        <v>142</v>
      </c>
      <c r="E54" s="228">
        <v>1</v>
      </c>
      <c r="F54" s="228"/>
      <c r="G54" s="195"/>
      <c r="H54" s="15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</row>
    <row r="55" spans="1:59" x14ac:dyDescent="0.25">
      <c r="A55" s="220">
        <f t="shared" si="3"/>
        <v>41</v>
      </c>
      <c r="B55" s="221"/>
      <c r="C55" s="226" t="s">
        <v>160</v>
      </c>
      <c r="D55" s="227" t="s">
        <v>142</v>
      </c>
      <c r="E55" s="228">
        <v>1</v>
      </c>
      <c r="F55" s="228"/>
      <c r="G55" s="195"/>
      <c r="H55" s="15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</row>
    <row r="56" spans="1:59" x14ac:dyDescent="0.25">
      <c r="A56" s="220">
        <f t="shared" si="3"/>
        <v>42</v>
      </c>
      <c r="B56" s="221"/>
      <c r="C56" s="222"/>
      <c r="D56" s="223"/>
      <c r="E56" s="224"/>
      <c r="F56" s="224"/>
      <c r="G56" s="195"/>
      <c r="H56" s="15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</row>
    <row r="57" spans="1:59" outlineLevel="1" x14ac:dyDescent="0.25">
      <c r="A57" s="220">
        <f t="shared" si="3"/>
        <v>43</v>
      </c>
      <c r="B57" s="188"/>
      <c r="C57" s="163"/>
      <c r="D57" s="165"/>
      <c r="E57" s="231"/>
      <c r="F57" s="166"/>
      <c r="G57" s="195"/>
      <c r="H57" s="192">
        <v>34.65</v>
      </c>
      <c r="I57" s="140">
        <f>ROUND(E57*H57,2)</f>
        <v>0</v>
      </c>
      <c r="J57" s="141">
        <v>136.35</v>
      </c>
      <c r="K57" s="140">
        <f>ROUND(E57*J57,2)</f>
        <v>0</v>
      </c>
      <c r="L57" s="140">
        <v>21</v>
      </c>
      <c r="M57" s="140">
        <f>G57*(1+L57/100)</f>
        <v>0</v>
      </c>
      <c r="N57" s="140">
        <v>3.0000000000000001E-3</v>
      </c>
      <c r="O57" s="140">
        <f>ROUND(E57*N57,2)</f>
        <v>0</v>
      </c>
      <c r="P57" s="140">
        <v>0</v>
      </c>
      <c r="Q57" s="140">
        <f>ROUND(E57*P57,2)</f>
        <v>0</v>
      </c>
      <c r="R57" s="140"/>
      <c r="S57" s="140" t="s">
        <v>85</v>
      </c>
      <c r="T57" s="140" t="s">
        <v>85</v>
      </c>
      <c r="U57" s="140">
        <v>0.28000000000000003</v>
      </c>
      <c r="V57" s="140">
        <f>ROUND(E57*U57,2)</f>
        <v>0</v>
      </c>
      <c r="W57" s="140"/>
      <c r="X57" s="140" t="s">
        <v>86</v>
      </c>
      <c r="Y57" s="138"/>
      <c r="Z57" s="138"/>
      <c r="AA57" s="138"/>
      <c r="AB57" s="138"/>
      <c r="AC57" s="138"/>
      <c r="AD57" s="138"/>
      <c r="AE57" s="138"/>
      <c r="AF57" s="138" t="s">
        <v>87</v>
      </c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</row>
    <row r="58" spans="1:59" ht="26.4" x14ac:dyDescent="0.25">
      <c r="A58" s="153" t="s">
        <v>83</v>
      </c>
      <c r="B58" s="196" t="s">
        <v>105</v>
      </c>
      <c r="C58" s="200" t="s">
        <v>112</v>
      </c>
      <c r="D58" s="197"/>
      <c r="E58" s="210" t="s">
        <v>105</v>
      </c>
      <c r="F58" s="199"/>
      <c r="G58" s="152"/>
      <c r="H58" s="152"/>
      <c r="I58" s="142">
        <f>SUM(I59:I59)</f>
        <v>33.28</v>
      </c>
      <c r="J58" s="142"/>
      <c r="K58" s="142">
        <f>SUM(K59:K59)</f>
        <v>14277.98</v>
      </c>
      <c r="L58" s="142"/>
      <c r="M58" s="142">
        <f>SUM(M59:M59)</f>
        <v>0</v>
      </c>
      <c r="N58" s="142"/>
      <c r="O58" s="142">
        <f>SUM(O59:O59)</f>
        <v>0</v>
      </c>
      <c r="P58" s="142"/>
      <c r="Q58" s="142">
        <f>SUM(Q59:Q59)</f>
        <v>0</v>
      </c>
      <c r="R58" s="142"/>
      <c r="S58" s="142"/>
      <c r="T58" s="142"/>
      <c r="U58" s="142"/>
      <c r="V58" s="142">
        <f>SUM(V59:V59)</f>
        <v>30.42</v>
      </c>
      <c r="W58" s="142"/>
      <c r="X58" s="142"/>
      <c r="AF58" t="s">
        <v>84</v>
      </c>
    </row>
    <row r="59" spans="1:59" outlineLevel="1" x14ac:dyDescent="0.25">
      <c r="A59" s="187">
        <v>44</v>
      </c>
      <c r="B59" s="188" t="s">
        <v>105</v>
      </c>
      <c r="C59" s="162" t="s">
        <v>113</v>
      </c>
      <c r="D59" s="189" t="s">
        <v>111</v>
      </c>
      <c r="E59" s="215">
        <f>+E9+E10</f>
        <v>369.8</v>
      </c>
      <c r="F59" s="190"/>
      <c r="G59" s="195"/>
      <c r="H59" s="192">
        <v>0.09</v>
      </c>
      <c r="I59" s="140">
        <f>ROUND(E59*H59,2)</f>
        <v>33.28</v>
      </c>
      <c r="J59" s="141">
        <v>38.61</v>
      </c>
      <c r="K59" s="140">
        <f>ROUND(E59*J59,2)</f>
        <v>14277.98</v>
      </c>
      <c r="L59" s="140">
        <v>21</v>
      </c>
      <c r="M59" s="140">
        <f>G59*(1+L59/100)</f>
        <v>0</v>
      </c>
      <c r="N59" s="140">
        <v>0</v>
      </c>
      <c r="O59" s="140">
        <f>ROUND(E59*N59,2)</f>
        <v>0</v>
      </c>
      <c r="P59" s="140">
        <v>0</v>
      </c>
      <c r="Q59" s="140">
        <f>ROUND(E59*P59,2)</f>
        <v>0</v>
      </c>
      <c r="R59" s="140"/>
      <c r="S59" s="140" t="s">
        <v>85</v>
      </c>
      <c r="T59" s="140" t="s">
        <v>85</v>
      </c>
      <c r="U59" s="140">
        <v>8.2250000000000004E-2</v>
      </c>
      <c r="V59" s="140">
        <f>ROUND(E59*U59,2)</f>
        <v>30.42</v>
      </c>
      <c r="W59" s="140"/>
      <c r="X59" s="140" t="s">
        <v>86</v>
      </c>
      <c r="Y59" s="138"/>
      <c r="Z59" s="138"/>
      <c r="AA59" s="138"/>
      <c r="AB59" s="138"/>
      <c r="AC59" s="138"/>
      <c r="AD59" s="138"/>
      <c r="AE59" s="138"/>
      <c r="AF59" s="138" t="s">
        <v>87</v>
      </c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</row>
    <row r="60" spans="1:59" x14ac:dyDescent="0.25">
      <c r="A60" s="153" t="s">
        <v>83</v>
      </c>
      <c r="B60" s="196" t="s">
        <v>105</v>
      </c>
      <c r="C60" s="200" t="s">
        <v>137</v>
      </c>
      <c r="D60" s="197"/>
      <c r="E60" s="210"/>
      <c r="F60" s="199"/>
      <c r="G60" s="152"/>
      <c r="H60" s="152"/>
      <c r="I60" s="142">
        <f>SUM(I61:I62)</f>
        <v>0</v>
      </c>
      <c r="J60" s="142"/>
      <c r="K60" s="142">
        <f>SUM(K61:K62)</f>
        <v>0</v>
      </c>
      <c r="L60" s="142"/>
      <c r="M60" s="142">
        <f>SUM(M61:M62)</f>
        <v>0</v>
      </c>
      <c r="N60" s="142"/>
      <c r="O60" s="142">
        <f>SUM(O61:O62)</f>
        <v>0</v>
      </c>
      <c r="P60" s="142"/>
      <c r="Q60" s="142">
        <f>SUM(Q61:Q62)</f>
        <v>0</v>
      </c>
      <c r="R60" s="142"/>
      <c r="S60" s="142"/>
      <c r="T60" s="142"/>
      <c r="U60" s="142"/>
      <c r="V60" s="142">
        <f>SUM(V61:V62)</f>
        <v>0</v>
      </c>
      <c r="W60" s="142"/>
      <c r="X60" s="142"/>
      <c r="AF60" t="s">
        <v>84</v>
      </c>
    </row>
    <row r="61" spans="1:59" outlineLevel="1" x14ac:dyDescent="0.25">
      <c r="A61" s="187">
        <v>45</v>
      </c>
      <c r="B61" s="188" t="s">
        <v>105</v>
      </c>
      <c r="C61" s="163"/>
      <c r="D61" s="189"/>
      <c r="E61" s="209"/>
      <c r="F61" s="190"/>
      <c r="G61" s="195"/>
      <c r="H61" s="192">
        <v>0</v>
      </c>
      <c r="I61" s="140">
        <f>ROUND(E61*H61,2)</f>
        <v>0</v>
      </c>
      <c r="J61" s="141">
        <v>225</v>
      </c>
      <c r="K61" s="140">
        <f>ROUND(E61*J61,2)</f>
        <v>0</v>
      </c>
      <c r="L61" s="140">
        <v>21</v>
      </c>
      <c r="M61" s="140">
        <f>G61*(1+L61/100)</f>
        <v>0</v>
      </c>
      <c r="N61" s="140">
        <v>0</v>
      </c>
      <c r="O61" s="140">
        <f>ROUND(E61*N61,2)</f>
        <v>0</v>
      </c>
      <c r="P61" s="140">
        <v>0</v>
      </c>
      <c r="Q61" s="140">
        <f>ROUND(E61*P61,2)</f>
        <v>0</v>
      </c>
      <c r="R61" s="140"/>
      <c r="S61" s="140" t="s">
        <v>85</v>
      </c>
      <c r="T61" s="140" t="s">
        <v>85</v>
      </c>
      <c r="U61" s="140">
        <v>0.49</v>
      </c>
      <c r="V61" s="140">
        <f>ROUND(E61*U61,2)</f>
        <v>0</v>
      </c>
      <c r="W61" s="140"/>
      <c r="X61" s="140" t="s">
        <v>93</v>
      </c>
      <c r="Y61" s="138"/>
      <c r="Z61" s="138"/>
      <c r="AA61" s="138"/>
      <c r="AB61" s="138"/>
      <c r="AC61" s="138"/>
      <c r="AD61" s="138"/>
      <c r="AE61" s="138"/>
      <c r="AF61" s="138" t="s">
        <v>94</v>
      </c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</row>
    <row r="62" spans="1:59" outlineLevel="1" x14ac:dyDescent="0.25">
      <c r="A62" s="187">
        <f t="shared" ref="A62" si="4">+A61+1</f>
        <v>46</v>
      </c>
      <c r="B62" s="188" t="s">
        <v>105</v>
      </c>
      <c r="C62" s="163"/>
      <c r="D62" s="189"/>
      <c r="E62" s="209"/>
      <c r="F62" s="190"/>
      <c r="G62" s="195"/>
      <c r="H62" s="192">
        <v>0</v>
      </c>
      <c r="I62" s="140">
        <f>ROUND(E62*H62,2)</f>
        <v>0</v>
      </c>
      <c r="J62" s="141">
        <v>15.7</v>
      </c>
      <c r="K62" s="140">
        <f>ROUND(E62*J62,2)</f>
        <v>0</v>
      </c>
      <c r="L62" s="140">
        <v>21</v>
      </c>
      <c r="M62" s="140">
        <f>G62*(1+L62/100)</f>
        <v>0</v>
      </c>
      <c r="N62" s="140">
        <v>0</v>
      </c>
      <c r="O62" s="140">
        <f>ROUND(E62*N62,2)</f>
        <v>0</v>
      </c>
      <c r="P62" s="140">
        <v>0</v>
      </c>
      <c r="Q62" s="140">
        <f>ROUND(E62*P62,2)</f>
        <v>0</v>
      </c>
      <c r="R62" s="140"/>
      <c r="S62" s="140" t="s">
        <v>85</v>
      </c>
      <c r="T62" s="140" t="s">
        <v>85</v>
      </c>
      <c r="U62" s="140">
        <v>0</v>
      </c>
      <c r="V62" s="140">
        <f>ROUND(E62*U62,2)</f>
        <v>0</v>
      </c>
      <c r="W62" s="140"/>
      <c r="X62" s="140" t="s">
        <v>93</v>
      </c>
      <c r="Y62" s="138"/>
      <c r="Z62" s="138"/>
      <c r="AA62" s="138"/>
      <c r="AB62" s="138"/>
      <c r="AC62" s="138"/>
      <c r="AD62" s="138"/>
      <c r="AE62" s="138"/>
      <c r="AF62" s="138" t="s">
        <v>94</v>
      </c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</row>
    <row r="63" spans="1:59" x14ac:dyDescent="0.25">
      <c r="A63" s="153" t="s">
        <v>83</v>
      </c>
      <c r="B63" s="196" t="s">
        <v>105</v>
      </c>
      <c r="C63" s="200" t="s">
        <v>28</v>
      </c>
      <c r="D63" s="197"/>
      <c r="E63" s="210"/>
      <c r="F63" s="199"/>
      <c r="G63" s="152"/>
      <c r="H63" s="152"/>
      <c r="I63" s="142">
        <f>SUM(I64:I65)</f>
        <v>0</v>
      </c>
      <c r="J63" s="142"/>
      <c r="K63" s="142">
        <f>SUM(K64:K65)</f>
        <v>14000</v>
      </c>
      <c r="L63" s="142"/>
      <c r="M63" s="142">
        <f>SUM(M64:M65)</f>
        <v>0</v>
      </c>
      <c r="N63" s="142"/>
      <c r="O63" s="142">
        <f>SUM(O64:O65)</f>
        <v>0</v>
      </c>
      <c r="P63" s="142"/>
      <c r="Q63" s="142">
        <f>SUM(Q64:Q65)</f>
        <v>0</v>
      </c>
      <c r="R63" s="142"/>
      <c r="S63" s="142"/>
      <c r="T63" s="142"/>
      <c r="U63" s="142"/>
      <c r="V63" s="142">
        <f>SUM(V64:V65)</f>
        <v>0</v>
      </c>
      <c r="W63" s="142"/>
      <c r="X63" s="142"/>
      <c r="AF63" t="s">
        <v>84</v>
      </c>
    </row>
    <row r="64" spans="1:59" outlineLevel="1" x14ac:dyDescent="0.25">
      <c r="A64" s="187">
        <v>47</v>
      </c>
      <c r="B64" s="188" t="s">
        <v>95</v>
      </c>
      <c r="C64" s="162" t="s">
        <v>96</v>
      </c>
      <c r="D64" s="189" t="s">
        <v>97</v>
      </c>
      <c r="E64" s="215">
        <v>1</v>
      </c>
      <c r="F64" s="190"/>
      <c r="G64" s="195"/>
      <c r="H64" s="192">
        <v>0</v>
      </c>
      <c r="I64" s="140">
        <f>ROUND(E64*H64,2)</f>
        <v>0</v>
      </c>
      <c r="J64" s="141">
        <v>8000</v>
      </c>
      <c r="K64" s="140">
        <f>ROUND(E64*J64,2)</f>
        <v>8000</v>
      </c>
      <c r="L64" s="140">
        <v>21</v>
      </c>
      <c r="M64" s="140">
        <f>G64*(1+L64/100)</f>
        <v>0</v>
      </c>
      <c r="N64" s="140">
        <v>0</v>
      </c>
      <c r="O64" s="140">
        <f>ROUND(E64*N64,2)</f>
        <v>0</v>
      </c>
      <c r="P64" s="140">
        <v>0</v>
      </c>
      <c r="Q64" s="140">
        <f>ROUND(E64*P64,2)</f>
        <v>0</v>
      </c>
      <c r="R64" s="140"/>
      <c r="S64" s="140" t="s">
        <v>85</v>
      </c>
      <c r="T64" s="140" t="s">
        <v>98</v>
      </c>
      <c r="U64" s="140">
        <v>0</v>
      </c>
      <c r="V64" s="140">
        <f>ROUND(E64*U64,2)</f>
        <v>0</v>
      </c>
      <c r="W64" s="140"/>
      <c r="X64" s="140" t="s">
        <v>99</v>
      </c>
      <c r="Y64" s="138"/>
      <c r="Z64" s="138"/>
      <c r="AA64" s="138"/>
      <c r="AB64" s="138"/>
      <c r="AC64" s="138"/>
      <c r="AD64" s="138"/>
      <c r="AE64" s="138"/>
      <c r="AF64" s="138" t="s">
        <v>100</v>
      </c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</row>
    <row r="65" spans="1:59" outlineLevel="1" x14ac:dyDescent="0.25">
      <c r="A65" s="187">
        <v>48</v>
      </c>
      <c r="B65" s="188" t="s">
        <v>101</v>
      </c>
      <c r="C65" s="162" t="s">
        <v>102</v>
      </c>
      <c r="D65" s="189" t="s">
        <v>97</v>
      </c>
      <c r="E65" s="215">
        <v>1</v>
      </c>
      <c r="F65" s="190"/>
      <c r="G65" s="195"/>
      <c r="H65" s="192">
        <v>0</v>
      </c>
      <c r="I65" s="140">
        <f>ROUND(E65*H65,2)</f>
        <v>0</v>
      </c>
      <c r="J65" s="141">
        <v>6000</v>
      </c>
      <c r="K65" s="140">
        <f>ROUND(E65*J65,2)</f>
        <v>6000</v>
      </c>
      <c r="L65" s="140">
        <v>21</v>
      </c>
      <c r="M65" s="140">
        <f>G65*(1+L65/100)</f>
        <v>0</v>
      </c>
      <c r="N65" s="140">
        <v>0</v>
      </c>
      <c r="O65" s="140">
        <f>ROUND(E65*N65,2)</f>
        <v>0</v>
      </c>
      <c r="P65" s="140">
        <v>0</v>
      </c>
      <c r="Q65" s="140">
        <f>ROUND(E65*P65,2)</f>
        <v>0</v>
      </c>
      <c r="R65" s="140"/>
      <c r="S65" s="140" t="s">
        <v>85</v>
      </c>
      <c r="T65" s="140" t="s">
        <v>98</v>
      </c>
      <c r="U65" s="140">
        <v>0</v>
      </c>
      <c r="V65" s="140">
        <f>ROUND(E65*U65,2)</f>
        <v>0</v>
      </c>
      <c r="W65" s="140"/>
      <c r="X65" s="140" t="s">
        <v>99</v>
      </c>
      <c r="Y65" s="138"/>
      <c r="Z65" s="138"/>
      <c r="AA65" s="138"/>
      <c r="AB65" s="138"/>
      <c r="AC65" s="138"/>
      <c r="AD65" s="138"/>
      <c r="AE65" s="138"/>
      <c r="AF65" s="138" t="s">
        <v>100</v>
      </c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</row>
    <row r="66" spans="1:59" x14ac:dyDescent="0.25">
      <c r="A66" s="187" t="s">
        <v>105</v>
      </c>
      <c r="B66" s="183"/>
      <c r="C66" s="201"/>
      <c r="D66" s="184"/>
      <c r="E66" s="207"/>
      <c r="F66" s="202"/>
      <c r="G66" s="203"/>
      <c r="H66" s="20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AD66">
        <v>15</v>
      </c>
      <c r="AE66">
        <v>21</v>
      </c>
      <c r="AF66" t="s">
        <v>70</v>
      </c>
    </row>
    <row r="67" spans="1:59" x14ac:dyDescent="0.25">
      <c r="A67" s="154"/>
      <c r="B67" s="155" t="s">
        <v>30</v>
      </c>
      <c r="C67" s="156"/>
      <c r="D67" s="157"/>
      <c r="E67" s="211"/>
      <c r="F67" s="158"/>
      <c r="G67" s="159"/>
      <c r="H67" s="204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AE67">
        <f>SUMIF(L7:L65,AD66,G7:G65)</f>
        <v>0</v>
      </c>
      <c r="AF67">
        <f>SUMIF(L7:L65,AE66,G7:G65)</f>
        <v>0</v>
      </c>
      <c r="AG67" t="s">
        <v>103</v>
      </c>
    </row>
    <row r="68" spans="1:59" x14ac:dyDescent="0.25">
      <c r="A68" s="3"/>
      <c r="B68" s="4"/>
      <c r="C68" s="149"/>
      <c r="D68" s="6"/>
      <c r="E68" s="21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59" x14ac:dyDescent="0.25">
      <c r="C69" s="150"/>
      <c r="D69" s="10"/>
      <c r="AG69" t="s">
        <v>104</v>
      </c>
    </row>
    <row r="70" spans="1:59" x14ac:dyDescent="0.25">
      <c r="C70" s="119" t="s">
        <v>105</v>
      </c>
      <c r="D70" s="10"/>
    </row>
    <row r="71" spans="1:59" x14ac:dyDescent="0.25">
      <c r="D71" s="10"/>
    </row>
    <row r="72" spans="1:59" x14ac:dyDescent="0.25">
      <c r="D72" s="10"/>
    </row>
    <row r="73" spans="1:59" x14ac:dyDescent="0.25">
      <c r="D73" s="10"/>
    </row>
    <row r="74" spans="1:59" x14ac:dyDescent="0.25">
      <c r="D74" s="10"/>
    </row>
    <row r="75" spans="1:59" x14ac:dyDescent="0.25">
      <c r="D75" s="10"/>
    </row>
    <row r="76" spans="1:59" x14ac:dyDescent="0.25">
      <c r="D76" s="10"/>
    </row>
    <row r="77" spans="1:59" x14ac:dyDescent="0.25">
      <c r="C77" s="119" t="s">
        <v>105</v>
      </c>
      <c r="D77" s="10"/>
    </row>
    <row r="78" spans="1:59" x14ac:dyDescent="0.25">
      <c r="D78" s="10"/>
    </row>
    <row r="79" spans="1:59" x14ac:dyDescent="0.25">
      <c r="D79" s="10"/>
    </row>
    <row r="80" spans="1:59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  <row r="5001" spans="4:4" x14ac:dyDescent="0.25">
      <c r="D5001" s="10"/>
    </row>
    <row r="5002" spans="4:4" x14ac:dyDescent="0.25">
      <c r="D5002" s="10"/>
    </row>
  </sheetData>
  <mergeCells count="4">
    <mergeCell ref="A1:G1"/>
    <mergeCell ref="C2:H2"/>
    <mergeCell ref="C3:H3"/>
    <mergeCell ref="C4:H4"/>
  </mergeCells>
  <pageMargins left="0.59055118110236227" right="0.19685039370078741" top="0.78740157480314965" bottom="0.78740157480314965" header="0.31496062992125984" footer="0.31496062992125984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01 Pol'!Názvy_tisku</vt:lpstr>
      <vt:lpstr>oadresa</vt:lpstr>
      <vt:lpstr>Stavba!Objednatel</vt:lpstr>
      <vt:lpstr>Stavba!Objekt</vt:lpstr>
      <vt:lpstr>'1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Novotný</dc:creator>
  <cp:lastModifiedBy>Sekretariát</cp:lastModifiedBy>
  <cp:lastPrinted>2025-08-20T21:43:43Z</cp:lastPrinted>
  <dcterms:created xsi:type="dcterms:W3CDTF">2009-04-08T07:15:50Z</dcterms:created>
  <dcterms:modified xsi:type="dcterms:W3CDTF">2026-03-12T12:27:31Z</dcterms:modified>
</cp:coreProperties>
</file>