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slepy rozpocet VPC2" sheetId="1" r:id="rId1"/>
  </sheets>
  <definedNames>
    <definedName name="_xlnm.Print_Titles" localSheetId="0">'slepy rozpocet VPC2'!$10:$11</definedName>
  </definedNames>
  <calcPr fullCalcOnLoad="1"/>
</workbook>
</file>

<file path=xl/sharedStrings.xml><?xml version="1.0" encoding="utf-8"?>
<sst xmlns="http://schemas.openxmlformats.org/spreadsheetml/2006/main" count="588" uniqueCount="301">
  <si>
    <t>Název stavby:</t>
  </si>
  <si>
    <t>Druh stavby:</t>
  </si>
  <si>
    <t>Lokalita:</t>
  </si>
  <si>
    <t>JKSO:</t>
  </si>
  <si>
    <t xml:space="preserve"> </t>
  </si>
  <si>
    <t>Č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</si>
  <si>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</si>
  <si>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</si>
  <si>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</si>
  <si>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</si>
  <si>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</si>
  <si>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</si>
  <si>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</si>
  <si>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</si>
  <si>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</si>
  <si>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</si>
  <si>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</si>
  <si>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</si>
  <si>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</si>
  <si>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</si>
  <si>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</si>
  <si>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</si>
  <si>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</si>
  <si>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</si>
  <si>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</si>
  <si>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</si>
  <si>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</si>
  <si>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</si>
  <si>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</si>
  <si>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</si>
  <si>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</si>
  <si>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</si>
  <si>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</si>
  <si>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</si>
  <si>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</si>
  <si>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</si>
  <si>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</si>
  <si>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</si>
  <si>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</si>
  <si>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</si>
  <si>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</si>
  <si>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</si>
  <si>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</si>
  <si>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</si>
  <si>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</si>
  <si>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</si>
  <si>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</si>
  <si>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</si>
  <si>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</si>
  <si>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</si>
  <si>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</si>
  <si>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</si>
  <si>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</si>
  <si>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</si>
  <si>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</si>
  <si>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</si>
  <si>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</si>
  <si>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</si>
  <si>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</si>
  <si>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</si>
  <si>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</si>
  <si>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</si>
  <si>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</si>
  <si>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</si>
  <si>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</si>
  <si>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</si>
  <si>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</si>
  <si>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</si>
  <si>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</si>
  <si>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</si>
  <si>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</si>
  <si>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</si>
  <si>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</si>
  <si>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</si>
  <si>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</si>
  <si>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</si>
  <si>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</si>
  <si>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</si>
  <si>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</si>
  <si>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Objekt</t>
  </si>
  <si>
    <t>800-1</t>
  </si>
  <si>
    <t>822-1</t>
  </si>
  <si>
    <t>827-1</t>
  </si>
  <si>
    <t>831-1</t>
  </si>
  <si>
    <t>Kód</t>
  </si>
  <si>
    <t>111101102R00</t>
  </si>
  <si>
    <t>121101103R00</t>
  </si>
  <si>
    <t>122202202R00</t>
  </si>
  <si>
    <t>122202209R00</t>
  </si>
  <si>
    <t>121101101R00</t>
  </si>
  <si>
    <t>132201102R00</t>
  </si>
  <si>
    <t>132201109R00</t>
  </si>
  <si>
    <t>131201201R00</t>
  </si>
  <si>
    <t>131201209R00</t>
  </si>
  <si>
    <t>162301102R00</t>
  </si>
  <si>
    <t>162601102R00</t>
  </si>
  <si>
    <t>167101102R00</t>
  </si>
  <si>
    <t>162702199R00</t>
  </si>
  <si>
    <t>171101103R00</t>
  </si>
  <si>
    <t>171201201R00</t>
  </si>
  <si>
    <t>174101101R00</t>
  </si>
  <si>
    <t>181101101R00</t>
  </si>
  <si>
    <t>182301121R00</t>
  </si>
  <si>
    <t>182201101R00</t>
  </si>
  <si>
    <t>180402113R00</t>
  </si>
  <si>
    <t>93</t>
  </si>
  <si>
    <t>938902106R00</t>
  </si>
  <si>
    <t>023VD</t>
  </si>
  <si>
    <t>451579779R00</t>
  </si>
  <si>
    <t>452318510R00</t>
  </si>
  <si>
    <t>564831111R00</t>
  </si>
  <si>
    <t>564231111R00</t>
  </si>
  <si>
    <t>564851111R00</t>
  </si>
  <si>
    <t>565141211R00</t>
  </si>
  <si>
    <t>569731111R00</t>
  </si>
  <si>
    <t>567115113R00</t>
  </si>
  <si>
    <t>573111111R00</t>
  </si>
  <si>
    <t>573211111R00</t>
  </si>
  <si>
    <t>577132311R00</t>
  </si>
  <si>
    <t>594511111R00</t>
  </si>
  <si>
    <t>599632111R00</t>
  </si>
  <si>
    <t>91</t>
  </si>
  <si>
    <t>919441221R00</t>
  </si>
  <si>
    <t>919514111R00</t>
  </si>
  <si>
    <t>914001112R00</t>
  </si>
  <si>
    <t>919535555R00</t>
  </si>
  <si>
    <t>919731122R00</t>
  </si>
  <si>
    <t>919735113R00</t>
  </si>
  <si>
    <t>919716111R00</t>
  </si>
  <si>
    <t>S</t>
  </si>
  <si>
    <t>979087213R00</t>
  </si>
  <si>
    <t>979084216R00</t>
  </si>
  <si>
    <t>979VD</t>
  </si>
  <si>
    <t>40445000.A</t>
  </si>
  <si>
    <t>40444973.A</t>
  </si>
  <si>
    <t>014VD</t>
  </si>
  <si>
    <t>998225192R00</t>
  </si>
  <si>
    <t>998225111R00</t>
  </si>
  <si>
    <t>175101101R00</t>
  </si>
  <si>
    <t>175101109R00</t>
  </si>
  <si>
    <t>451573111R00</t>
  </si>
  <si>
    <t>87</t>
  </si>
  <si>
    <t>871313121R00</t>
  </si>
  <si>
    <t>871228111R00</t>
  </si>
  <si>
    <t>871315211VD</t>
  </si>
  <si>
    <t>871265211VD</t>
  </si>
  <si>
    <t>08 11VD</t>
  </si>
  <si>
    <t>998276101R00</t>
  </si>
  <si>
    <t>28611223</t>
  </si>
  <si>
    <t>214500211R00</t>
  </si>
  <si>
    <t>457971121R00</t>
  </si>
  <si>
    <t>457971122R00</t>
  </si>
  <si>
    <t>871238111R00</t>
  </si>
  <si>
    <t>89</t>
  </si>
  <si>
    <t>895111121R00</t>
  </si>
  <si>
    <t>H31</t>
  </si>
  <si>
    <t>998312029R00</t>
  </si>
  <si>
    <t>01171VD</t>
  </si>
  <si>
    <t>583415054</t>
  </si>
  <si>
    <t>0181VD</t>
  </si>
  <si>
    <t>998312021R00</t>
  </si>
  <si>
    <t>Polní cesta VPC 2</t>
  </si>
  <si>
    <t>polní cesta</t>
  </si>
  <si>
    <t>Struhy</t>
  </si>
  <si>
    <t>Zkrácený popis</t>
  </si>
  <si>
    <t>ZEMNÍ PRÁCE</t>
  </si>
  <si>
    <t>Přípravné a přidružené práce</t>
  </si>
  <si>
    <t>Odstranění travin, rákosu na ploše nad 0,1 do 1 ha</t>
  </si>
  <si>
    <t>Odkopávky a prokopávky</t>
  </si>
  <si>
    <t>Sejmutí ornice s přemístěním přes 100 do 250 m</t>
  </si>
  <si>
    <t>Odkopávky pro silnice v hor. 3 do 1000 m3</t>
  </si>
  <si>
    <t>Příplatek za lepivost - odkop. pro silnice v hor.3</t>
  </si>
  <si>
    <t>Sejmutí ornice s přemístěním do 50 m</t>
  </si>
  <si>
    <t>Hloubené vykopávky</t>
  </si>
  <si>
    <t>Hloubení rýh šířky do 60 cm v hor.3 nad 100 m3</t>
  </si>
  <si>
    <t>Hloubení rýh šířky do 60 cm v hor.3 nad 100 m3-drenáž</t>
  </si>
  <si>
    <t>Příplatek za lepivost - hloubení rýh 60 cm v hor.3</t>
  </si>
  <si>
    <t>Hloubení zapažených jam v hor.3 do 100 m3</t>
  </si>
  <si>
    <t>Příplatek za lepivost - hloubení zapaž.jam v hor.3</t>
  </si>
  <si>
    <t>Přemístění výkopku</t>
  </si>
  <si>
    <t>Vodorovné přemístění výkopku z hor.1-4 do 1000 m-ornice</t>
  </si>
  <si>
    <t>Vodorovné přemístění výkopku z hor.1-4 do 5000 m</t>
  </si>
  <si>
    <t>Nakládání výkopku z hor.1-4 v množství nad 100 m3-ornice</t>
  </si>
  <si>
    <t>Poplatek za skládku zeminy</t>
  </si>
  <si>
    <t>Konstrukce ze zemin</t>
  </si>
  <si>
    <t>Uložení sypaniny do násypů zhutněných na 100% PS</t>
  </si>
  <si>
    <t>Uložení sypaniny na skládku</t>
  </si>
  <si>
    <t>Zásyp jam, rýh, šachet se zhutněním</t>
  </si>
  <si>
    <t>Povrchové úpravy terénu</t>
  </si>
  <si>
    <t>Úprava pláně v zářezech v hor. 1-4, bez zhutnění</t>
  </si>
  <si>
    <t>Rozprostření ornice, svah, tl. do 10 cm, do 500 m2</t>
  </si>
  <si>
    <t>Svahování násypů</t>
  </si>
  <si>
    <t>Založení trávníku parkového výsevem svah do 1:1</t>
  </si>
  <si>
    <t>Různé dokončovací konstrukce a práce inženýrských staveb</t>
  </si>
  <si>
    <t>Čištění příkopů š. nad 40 cm, objem do 0,50 m3/m</t>
  </si>
  <si>
    <t>Ostatní materiál</t>
  </si>
  <si>
    <t>Travní semeno 1kg/75 m2</t>
  </si>
  <si>
    <t>KOMUNIKACE POZEMNÍ</t>
  </si>
  <si>
    <t>Podkladní a vedlejší konstrukce (inženýr. stavby kromě vozovek a železnič. svršku)</t>
  </si>
  <si>
    <t>Příplatek za sklon podkladu z kameniva nad 1 : 5 -propustek</t>
  </si>
  <si>
    <t>Zajišťovací práh z betonu s patkami i bez patek</t>
  </si>
  <si>
    <t>Podkladní vrstvy komunikací, letišť a ploch</t>
  </si>
  <si>
    <t>Úprava zemní pláně zaválcováním kameniva tl.10cm</t>
  </si>
  <si>
    <t>Podklad ze štěrkopísku po zhutnění tloušťky 10 cm-propustek</t>
  </si>
  <si>
    <t>Podklad ze štěrkodrti 0-32 po zhutnění tloušťky 15 cm</t>
  </si>
  <si>
    <t>Podklad ze štěrkodrti 0-63 po zhutnění tloušťky 15 cm</t>
  </si>
  <si>
    <t>Podklad kamen. obal. asfaltem tř.1 nad 3 m,tl.6 cm</t>
  </si>
  <si>
    <t>Zpevnění krajnic kamenivem drceným tl. 10 cm</t>
  </si>
  <si>
    <t>Podklad z prostého betonu B 10  tloušťky 10 cm (propustek)</t>
  </si>
  <si>
    <t>Kryty štěrkových a živičných komunikací a ploch</t>
  </si>
  <si>
    <t>Postřik živičný infiltr.+ posyp, asfalt. 0,60kg/m2</t>
  </si>
  <si>
    <t>Postřik živičný spojovací z asfaltu 0,5-0,7 kg/m2</t>
  </si>
  <si>
    <t>Beton asfalt.  ACO 11, nad 3 m, 4 cm</t>
  </si>
  <si>
    <t>Dlažby pozemních komunikací a ploch</t>
  </si>
  <si>
    <t>Dlažba z lomového kamene,lože z B 7,5 do 5 cm</t>
  </si>
  <si>
    <t>Výplň spár dlažby z lomového kamene MC se zatřením</t>
  </si>
  <si>
    <t>Doplňující konstrukce a práce pozemních komunikací, letišť a ploch</t>
  </si>
  <si>
    <t>Čelo propustku z lom. kamene z trub DN 60 - 80 cm</t>
  </si>
  <si>
    <t>Zřízení propustku z trub betonových/ŽB DN 60 cm</t>
  </si>
  <si>
    <t>Montáž svislých dopr.značek v rámu na ocel.konstr.</t>
  </si>
  <si>
    <t>Obetonování trub propustku betonem prostým B 10</t>
  </si>
  <si>
    <t>Zarovnání styčné plochy živičné tl. do 10 cm</t>
  </si>
  <si>
    <t>Řezání stávajícího živičného krytu tl. 10 - 15 cm</t>
  </si>
  <si>
    <t>Výztuž cementobet. krytu sítí KARI 7,5 kg/m (propustek)</t>
  </si>
  <si>
    <t>Přesuny sutí</t>
  </si>
  <si>
    <t>Nakládání vybouraných hmot na dopravní prostředky (ŽB panely)</t>
  </si>
  <si>
    <t>Vodorovná doprava vybour. hmot po suchu do 5 km (ŽB panely)</t>
  </si>
  <si>
    <t>Poplatek za uložení stavebního odpadu na skládce (ŽB panely)</t>
  </si>
  <si>
    <t>Značka uprav přednost P6 700  fólie 2, HIG 10letá</t>
  </si>
  <si>
    <t>Značka uprav přednost P2 500/500  fól1, HIG 10letá</t>
  </si>
  <si>
    <t>Dodání trub betonových DN 600mm</t>
  </si>
  <si>
    <t>Přesun hmot, komunikace živičné, příplatek do 2 km</t>
  </si>
  <si>
    <t>Přesun hmot, pozemní komunikace, kryt živičný</t>
  </si>
  <si>
    <t>TRUBNÍ VEDENÍ</t>
  </si>
  <si>
    <t>Obsyp potrubí bez prohození sypaniny</t>
  </si>
  <si>
    <t>Příplatek za prohození sypaniny pro obsyp potrubí</t>
  </si>
  <si>
    <t>Lože pod potrubí ze štěrkopísku do 63 mm</t>
  </si>
  <si>
    <t>Potrubí z trub z plastických hmot, skleněných a čedičových</t>
  </si>
  <si>
    <t>Montáž trub z tvrdého PVC, gumový kroužek, DN 150</t>
  </si>
  <si>
    <t>Kladení dren. potrubí do rýhy, tvr. PVC, DN 100 mm</t>
  </si>
  <si>
    <t>Kanalizační potrubí z PVC v otevř. výkopu DN 150 mm</t>
  </si>
  <si>
    <t>Kanal.potrubí z PVC v otevř.výkopu analogicky DN 100mm</t>
  </si>
  <si>
    <t>Napojení potrubí na meliorační trubní kanalizaci</t>
  </si>
  <si>
    <t>Přesun hmot, trubní vedení plastová, otevř. výkop</t>
  </si>
  <si>
    <t>HYDROMELIORACE ZEMĚDĚLSKÉ</t>
  </si>
  <si>
    <t>Úprava podloží a základové spáry</t>
  </si>
  <si>
    <t>Trubka PVC drenážní flexibilní d 100 mm</t>
  </si>
  <si>
    <t>Zřízení výplně rýhy, potr. DN 200, štěrk do 55 cm</t>
  </si>
  <si>
    <t>Zřízení vrstvy z geotextilie do 1:1,5, š. do 3 m-drenáž</t>
  </si>
  <si>
    <t>Zřízení vrstvy z geotextilie do 1:1,5,š. do 7,5 m-zasak.jímka</t>
  </si>
  <si>
    <t>Kladení dren. potrubí do rýhy, tvr. PVC, do 200 mm</t>
  </si>
  <si>
    <t>Ostatní konstrukce</t>
  </si>
  <si>
    <t>Drenážní šachtice normální betonové Šn-60, do 1 m</t>
  </si>
  <si>
    <t>Hydromeliorace</t>
  </si>
  <si>
    <t>Přesun hmot, odvodnění s výplní rýh, přípl. 2 km</t>
  </si>
  <si>
    <t>Geotextilie  350g/m2 pro podélnou drenáž</t>
  </si>
  <si>
    <t>Kamenivo drcené frakce  8/16 -výplň drenáže</t>
  </si>
  <si>
    <t>Zasakovací jímka vyplněná kamenivem,obalená geotextilií</t>
  </si>
  <si>
    <t>Přesun hmot pro odvodnění drenáží s výplní rýh</t>
  </si>
  <si>
    <t>Doba výstavby:</t>
  </si>
  <si>
    <t>Začátek výstavby:</t>
  </si>
  <si>
    <t>Konec výstavby:</t>
  </si>
  <si>
    <t>Zpracováno dne:</t>
  </si>
  <si>
    <t>M.j.</t>
  </si>
  <si>
    <t>har</t>
  </si>
  <si>
    <t>m3</t>
  </si>
  <si>
    <t>m2</t>
  </si>
  <si>
    <t>m</t>
  </si>
  <si>
    <t>kg</t>
  </si>
  <si>
    <t>kus</t>
  </si>
  <si>
    <t>t</t>
  </si>
  <si>
    <t>T</t>
  </si>
  <si>
    <t>Množství</t>
  </si>
  <si>
    <t>Jednot.</t>
  </si>
  <si>
    <t>cena (Kč)</t>
  </si>
  <si>
    <t>Náklady (Kč)</t>
  </si>
  <si>
    <t>Dodávka</t>
  </si>
  <si>
    <t>Celkem:</t>
  </si>
  <si>
    <t>Objednatel:</t>
  </si>
  <si>
    <t>Projektant:</t>
  </si>
  <si>
    <t>Zhotovitel:</t>
  </si>
  <si>
    <t>Zpracoval:</t>
  </si>
  <si>
    <t>Montáž</t>
  </si>
  <si>
    <t>Pozemkový úřad Mladá Boleslav</t>
  </si>
  <si>
    <t>GALLO PRO s.r.o</t>
  </si>
  <si>
    <t>Celkem</t>
  </si>
  <si>
    <t>Hmotnost (t)</t>
  </si>
  <si>
    <t>0</t>
  </si>
  <si>
    <t>Přesuny</t>
  </si>
  <si>
    <t>Typ skupiny</t>
  </si>
  <si>
    <t>HS</t>
  </si>
  <si>
    <t>OM</t>
  </si>
  <si>
    <t>PR</t>
  </si>
  <si>
    <t>HSV mat</t>
  </si>
  <si>
    <t>HSV prac</t>
  </si>
  <si>
    <t>PSV mat</t>
  </si>
  <si>
    <t>PSV prac</t>
  </si>
  <si>
    <t>Mont mat</t>
  </si>
  <si>
    <t>Mont prac</t>
  </si>
  <si>
    <t>Ostatní mat.</t>
  </si>
  <si>
    <t>Slepý rozpočet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</si>
</sst>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0.00000"/>
  </numFmts>
  <fonts count="4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78">
    <xf numFmtId="0" fontId="1" fillId="0" borderId="0" xfId="0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/>
    </xf>
    <xf numFmtId="49" fontId="1" fillId="0" borderId="2" xfId="0" applyNumberFormat="1" applyFont="1" applyFill="1" applyBorder="1" applyAlignment="1" applyProtection="1">
      <alignment horizontal="left" vertical="center"/>
      <protection/>
    </xf>
    <xf numFmtId="49" fontId="3" fillId="0" borderId="3" xfId="0" applyNumberFormat="1" applyFont="1" applyFill="1" applyBorder="1" applyAlignment="1" applyProtection="1">
      <alignment horizontal="center" vertical="center"/>
      <protection/>
    </xf>
    <xf numFmtId="49" fontId="3" fillId="0" borderId="4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left" vertical="center"/>
      <protection/>
    </xf>
    <xf numFmtId="49" fontId="3" fillId="0" borderId="5" xfId="0" applyNumberFormat="1" applyFont="1" applyFill="1" applyBorder="1" applyAlignment="1" applyProtection="1">
      <alignment horizontal="center" vertical="center"/>
      <protection/>
    </xf>
    <xf numFmtId="49" fontId="3" fillId="0" borderId="6" xfId="0" applyNumberFormat="1" applyFont="1" applyFill="1" applyBorder="1" applyAlignment="1" applyProtection="1">
      <alignment horizontal="right" vertical="center"/>
      <protection/>
    </xf>
    <xf numFmtId="49" fontId="3" fillId="0" borderId="7" xfId="0" applyNumberFormat="1" applyFont="1" applyFill="1" applyBorder="1" applyAlignment="1" applyProtection="1">
      <alignment horizontal="center" vertical="center"/>
      <protection/>
    </xf>
    <xf numFmtId="49" fontId="3" fillId="0" borderId="8" xfId="0" applyNumberFormat="1" applyFont="1" applyFill="1" applyBorder="1" applyAlignment="1" applyProtection="1">
      <alignment horizontal="center" vertical="center"/>
      <protection/>
    </xf>
    <xf numFmtId="49" fontId="3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4" fontId="3" fillId="0" borderId="14" xfId="0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4" fontId="3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ill="1" applyBorder="1" applyAlignment="1">
      <alignment vertical="center"/>
    </xf>
    <xf numFmtId="166" fontId="3" fillId="0" borderId="7" xfId="0" applyNumberFormat="1" applyFont="1" applyFill="1" applyBorder="1" applyAlignment="1" applyProtection="1">
      <alignment horizontal="center" vertical="center"/>
      <protection/>
    </xf>
    <xf numFmtId="166" fontId="3" fillId="0" borderId="9" xfId="0" applyNumberFormat="1" applyFont="1" applyFill="1" applyBorder="1" applyAlignment="1" applyProtection="1">
      <alignment horizontal="center" vertical="center"/>
      <protection/>
    </xf>
    <xf numFmtId="166" fontId="3" fillId="0" borderId="14" xfId="0" applyNumberFormat="1" applyFont="1" applyFill="1" applyBorder="1" applyAlignment="1" applyProtection="1">
      <alignment horizontal="right" vertical="center"/>
      <protection/>
    </xf>
    <xf numFmtId="166" fontId="3" fillId="0" borderId="15" xfId="0" applyNumberFormat="1" applyFont="1" applyFill="1" applyBorder="1" applyAlignment="1" applyProtection="1">
      <alignment horizontal="right" vertical="center"/>
      <protection/>
    </xf>
    <xf numFmtId="166" fontId="3" fillId="0" borderId="10" xfId="0" applyNumberFormat="1" applyFont="1" applyFill="1" applyBorder="1" applyAlignment="1" applyProtection="1">
      <alignment horizontal="right" vertical="center"/>
      <protection/>
    </xf>
    <xf numFmtId="166" fontId="3" fillId="0" borderId="16" xfId="0" applyNumberFormat="1" applyFont="1" applyFill="1" applyBorder="1" applyAlignment="1" applyProtection="1">
      <alignment horizontal="right" vertical="center"/>
      <protection/>
    </xf>
    <xf numFmtId="166" fontId="1" fillId="0" borderId="10" xfId="0" applyNumberFormat="1" applyFont="1" applyFill="1" applyBorder="1" applyAlignment="1" applyProtection="1">
      <alignment horizontal="right" vertical="center"/>
      <protection/>
    </xf>
    <xf numFmtId="166" fontId="1" fillId="0" borderId="16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166" fontId="1" fillId="0" borderId="0" xfId="0" applyNumberFormat="1" applyAlignment="1">
      <alignment vertical="center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49" fontId="1" fillId="0" borderId="17" xfId="0" applyNumberFormat="1" applyFont="1" applyFill="1" applyBorder="1" applyAlignment="1" applyProtection="1">
      <alignment horizontal="left" vertical="center"/>
      <protection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49" fontId="1" fillId="0" borderId="19" xfId="0" applyNumberFormat="1" applyFont="1" applyFill="1" applyBorder="1" applyAlignment="1" applyProtection="1">
      <alignment horizontal="left" vertical="center"/>
      <protection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0" xfId="0" applyNumberFormat="1" applyFont="1" applyFill="1" applyBorder="1" applyAlignment="1" applyProtection="1">
      <alignment horizontal="left" vertical="center"/>
      <protection/>
    </xf>
    <xf numFmtId="0" fontId="1" fillId="0" borderId="21" xfId="0" applyNumberFormat="1" applyFont="1" applyFill="1" applyBorder="1" applyAlignment="1" applyProtection="1">
      <alignment horizontal="left" vertical="center"/>
      <protection/>
    </xf>
    <xf numFmtId="49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22" xfId="0" applyNumberFormat="1" applyFont="1" applyFill="1" applyBorder="1" applyAlignment="1" applyProtection="1">
      <alignment horizontal="left" vertical="center"/>
      <protection/>
    </xf>
    <xf numFmtId="0" fontId="1" fillId="0" borderId="23" xfId="0" applyNumberFormat="1" applyFont="1" applyFill="1" applyBorder="1" applyAlignment="1" applyProtection="1">
      <alignment horizontal="left" vertical="center"/>
      <protection/>
    </xf>
    <xf numFmtId="0" fontId="1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0" fontId="3" fillId="0" borderId="26" xfId="0" applyNumberFormat="1" applyFont="1" applyFill="1" applyBorder="1" applyAlignment="1" applyProtection="1">
      <alignment horizontal="center" vertical="center"/>
      <protection/>
    </xf>
    <xf numFmtId="0" fontId="3" fillId="0" borderId="27" xfId="0" applyNumberFormat="1" applyFont="1" applyFill="1" applyBorder="1" applyAlignment="1" applyProtection="1">
      <alignment horizontal="center" vertical="center"/>
      <protection/>
    </xf>
    <xf numFmtId="166" fontId="3" fillId="0" borderId="25" xfId="0" applyNumberFormat="1" applyFont="1" applyFill="1" applyBorder="1" applyAlignment="1" applyProtection="1">
      <alignment horizontal="center" vertical="center"/>
      <protection/>
    </xf>
    <xf numFmtId="166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left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49" fontId="3" fillId="0" borderId="10" xfId="0" applyNumberFormat="1" applyFont="1" applyFill="1" applyBorder="1" applyAlignment="1" applyProtection="1">
      <alignment horizontal="left" vertical="center"/>
      <protection/>
    </xf>
    <xf numFmtId="0" fontId="3" fillId="0" borderId="1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0" fontId="1" fillId="0" borderId="28" xfId="0" applyNumberFormat="1" applyFont="1" applyFill="1" applyBorder="1" applyAlignment="1" applyProtection="1">
      <alignment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166" fontId="1" fillId="0" borderId="0" xfId="0" applyNumberFormat="1" applyFont="1" applyFill="1" applyBorder="1" applyAlignment="1" applyProtection="1">
      <alignment vertical="center"/>
      <protection/>
    </xf>
    <xf numFmtId="0" fontId="1" fillId="0" borderId="0" xfId="0" applyBorder="1" applyAlignment="1">
      <alignment vertical="center"/>
    </xf>
    <xf numFmtId="0" fontId="1" fillId="0" borderId="0" xfId="0" applyNumberFormat="1" applyFont="1" applyFill="1" applyBorder="1" applyAlignment="1" applyProtection="1">
      <alignment vertical="center"/>
      <protection/>
    </xf>
    <xf numFmtId="49" fontId="3" fillId="2" borderId="0" xfId="0" applyNumberFormat="1" applyFont="1" applyFill="1" applyBorder="1" applyAlignment="1" applyProtection="1">
      <alignment horizontal="right" vertical="center"/>
      <protection/>
    </xf>
    <xf numFmtId="4" fontId="3" fillId="2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166" fontId="1" fillId="0" borderId="12" xfId="0" applyNumberFormat="1" applyFont="1" applyFill="1" applyBorder="1" applyAlignment="1" applyProtection="1">
      <alignment vertical="center"/>
      <protection/>
    </xf>
    <xf numFmtId="166" fontId="1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15"/>
  <sheetViews>
    <sheetView tabSelected="1" workbookViewId="0" topLeftCell="A1">
      <selection activeCell="D72" sqref="D72:G72"/>
    </sheetView>
  </sheetViews>
  <sheetFormatPr defaultColWidth="9.140625" defaultRowHeight="12.75"/>
  <cols>
    <col min="1" max="1" width="2.57421875" style="0" customWidth="1"/>
    <col min="2" max="2" width="6.00390625" style="0" customWidth="1"/>
    <col min="3" max="3" width="12.8515625" style="0" customWidth="1"/>
    <col min="4" max="4" width="52.8515625" style="0" customWidth="1"/>
    <col min="5" max="5" width="3.140625" style="0" customWidth="1"/>
    <col min="7" max="7" width="8.421875" style="0" customWidth="1"/>
    <col min="8" max="8" width="9.00390625" style="0" customWidth="1"/>
    <col min="9" max="9" width="10.28125" style="0" customWidth="1"/>
    <col min="10" max="10" width="11.57421875" style="0" customWidth="1"/>
    <col min="11" max="11" width="8.8515625" style="34" customWidth="1"/>
    <col min="12" max="12" width="11.00390625" style="34" customWidth="1"/>
    <col min="13" max="13" width="11.421875" style="69" customWidth="1"/>
    <col min="14" max="37" width="12.140625" style="69" hidden="1" customWidth="1"/>
    <col min="38" max="90" width="11.421875" style="69" customWidth="1"/>
    <col min="91" max="16384" width="11.421875" style="0" customWidth="1"/>
  </cols>
  <sheetData>
    <row r="1" spans="1:12" ht="21.75" customHeight="1" thickBot="1">
      <c r="A1" s="35" t="s">
        <v>300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3" ht="12.75">
      <c r="A2" s="37" t="s">
        <v>0</v>
      </c>
      <c r="B2" s="38"/>
      <c r="C2" s="38"/>
      <c r="D2" s="46" t="s">
        <v>161</v>
      </c>
      <c r="E2" s="42" t="s">
        <v>259</v>
      </c>
      <c r="F2" s="38"/>
      <c r="G2" s="42"/>
      <c r="H2" s="38"/>
      <c r="I2" s="42" t="s">
        <v>278</v>
      </c>
      <c r="J2" s="42" t="s">
        <v>283</v>
      </c>
      <c r="K2" s="38"/>
      <c r="L2" s="49"/>
      <c r="M2" s="70"/>
    </row>
    <row r="3" spans="1:13" ht="12.75">
      <c r="A3" s="39"/>
      <c r="B3" s="40"/>
      <c r="C3" s="40"/>
      <c r="D3" s="47"/>
      <c r="E3" s="40"/>
      <c r="F3" s="40"/>
      <c r="G3" s="40"/>
      <c r="H3" s="40"/>
      <c r="I3" s="40"/>
      <c r="J3" s="40"/>
      <c r="K3" s="40"/>
      <c r="L3" s="50"/>
      <c r="M3" s="70"/>
    </row>
    <row r="4" spans="1:13" ht="12.75">
      <c r="A4" s="41" t="s">
        <v>1</v>
      </c>
      <c r="B4" s="40"/>
      <c r="C4" s="40"/>
      <c r="D4" s="43" t="s">
        <v>162</v>
      </c>
      <c r="E4" s="43" t="s">
        <v>260</v>
      </c>
      <c r="F4" s="40"/>
      <c r="G4" s="48"/>
      <c r="H4" s="40"/>
      <c r="I4" s="43" t="s">
        <v>279</v>
      </c>
      <c r="J4" s="43" t="s">
        <v>284</v>
      </c>
      <c r="K4" s="40"/>
      <c r="L4" s="50"/>
      <c r="M4" s="70"/>
    </row>
    <row r="5" spans="1:13" ht="12.75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50"/>
      <c r="M5" s="70"/>
    </row>
    <row r="6" spans="1:13" ht="12.75">
      <c r="A6" s="41" t="s">
        <v>2</v>
      </c>
      <c r="B6" s="40"/>
      <c r="C6" s="40"/>
      <c r="D6" s="43" t="s">
        <v>163</v>
      </c>
      <c r="E6" s="43" t="s">
        <v>261</v>
      </c>
      <c r="F6" s="40"/>
      <c r="G6" s="40"/>
      <c r="H6" s="40"/>
      <c r="I6" s="43" t="s">
        <v>280</v>
      </c>
      <c r="J6" s="43"/>
      <c r="K6" s="40"/>
      <c r="L6" s="50"/>
      <c r="M6" s="70"/>
    </row>
    <row r="7" spans="1:13" ht="12.75">
      <c r="A7" s="39"/>
      <c r="B7" s="40"/>
      <c r="C7" s="40"/>
      <c r="D7" s="40"/>
      <c r="E7" s="40"/>
      <c r="F7" s="40"/>
      <c r="G7" s="40"/>
      <c r="H7" s="40"/>
      <c r="I7" s="40"/>
      <c r="J7" s="40"/>
      <c r="K7" s="40"/>
      <c r="L7" s="50"/>
      <c r="M7" s="70"/>
    </row>
    <row r="8" spans="1:13" ht="12.75">
      <c r="A8" s="41" t="s">
        <v>3</v>
      </c>
      <c r="B8" s="40"/>
      <c r="C8" s="40"/>
      <c r="D8" s="43"/>
      <c r="E8" s="43" t="s">
        <v>262</v>
      </c>
      <c r="F8" s="40"/>
      <c r="G8" s="48">
        <v>40508</v>
      </c>
      <c r="H8" s="40"/>
      <c r="I8" s="43" t="s">
        <v>281</v>
      </c>
      <c r="J8" s="43"/>
      <c r="K8" s="40"/>
      <c r="L8" s="50"/>
      <c r="M8" s="70"/>
    </row>
    <row r="9" spans="1:13" ht="13.5" thickBot="1">
      <c r="A9" s="44"/>
      <c r="B9" s="45"/>
      <c r="C9" s="45"/>
      <c r="D9" s="45"/>
      <c r="E9" s="45"/>
      <c r="F9" s="45"/>
      <c r="G9" s="45"/>
      <c r="H9" s="45"/>
      <c r="I9" s="45"/>
      <c r="J9" s="45"/>
      <c r="K9" s="45"/>
      <c r="L9" s="51"/>
      <c r="M9" s="70"/>
    </row>
    <row r="10" spans="1:13" ht="12.75">
      <c r="A10" s="2" t="s">
        <v>4</v>
      </c>
      <c r="B10" s="3" t="s">
        <v>4</v>
      </c>
      <c r="C10" s="3" t="s">
        <v>4</v>
      </c>
      <c r="D10" s="3" t="s">
        <v>4</v>
      </c>
      <c r="E10" s="3" t="s">
        <v>4</v>
      </c>
      <c r="F10" s="3" t="s">
        <v>4</v>
      </c>
      <c r="G10" s="4" t="s">
        <v>273</v>
      </c>
      <c r="H10" s="52" t="s">
        <v>275</v>
      </c>
      <c r="I10" s="53"/>
      <c r="J10" s="54"/>
      <c r="K10" s="55" t="s">
        <v>286</v>
      </c>
      <c r="L10" s="56"/>
      <c r="M10" s="70"/>
    </row>
    <row r="11" spans="1:24" ht="13.5" thickBot="1">
      <c r="A11" s="5" t="s">
        <v>5</v>
      </c>
      <c r="B11" s="6" t="s">
        <v>79</v>
      </c>
      <c r="C11" s="6" t="s">
        <v>84</v>
      </c>
      <c r="D11" s="6" t="s">
        <v>164</v>
      </c>
      <c r="E11" s="6" t="s">
        <v>263</v>
      </c>
      <c r="F11" s="7" t="s">
        <v>272</v>
      </c>
      <c r="G11" s="8" t="s">
        <v>274</v>
      </c>
      <c r="H11" s="9" t="s">
        <v>276</v>
      </c>
      <c r="I11" s="10" t="s">
        <v>282</v>
      </c>
      <c r="J11" s="11" t="s">
        <v>285</v>
      </c>
      <c r="K11" s="25" t="s">
        <v>273</v>
      </c>
      <c r="L11" s="26" t="s">
        <v>285</v>
      </c>
      <c r="M11" s="70"/>
      <c r="P11" s="71" t="s">
        <v>288</v>
      </c>
      <c r="Q11" s="71" t="s">
        <v>289</v>
      </c>
      <c r="R11" s="71" t="s">
        <v>293</v>
      </c>
      <c r="S11" s="71" t="s">
        <v>294</v>
      </c>
      <c r="T11" s="71" t="s">
        <v>295</v>
      </c>
      <c r="U11" s="71" t="s">
        <v>296</v>
      </c>
      <c r="V11" s="71" t="s">
        <v>297</v>
      </c>
      <c r="W11" s="71" t="s">
        <v>298</v>
      </c>
      <c r="X11" s="71" t="s">
        <v>299</v>
      </c>
    </row>
    <row r="12" spans="1:12" ht="12.75">
      <c r="A12" s="18"/>
      <c r="B12" s="19"/>
      <c r="C12" s="20"/>
      <c r="D12" s="57" t="s">
        <v>165</v>
      </c>
      <c r="E12" s="58"/>
      <c r="F12" s="58"/>
      <c r="G12" s="58"/>
      <c r="H12" s="21">
        <f>H13+H15+H20+H27+H32+H36+H41+H43</f>
        <v>0</v>
      </c>
      <c r="I12" s="21">
        <f>I13+I15+I20+I27+I32+I36+I41+I43</f>
        <v>0</v>
      </c>
      <c r="J12" s="21">
        <f>H12+I12</f>
        <v>0</v>
      </c>
      <c r="K12" s="27"/>
      <c r="L12" s="28">
        <f>L13+L15+L20+L27+L32+L36+L41+L43</f>
        <v>0</v>
      </c>
    </row>
    <row r="13" spans="1:37" ht="12.75">
      <c r="A13" s="16"/>
      <c r="B13" s="12"/>
      <c r="C13" s="22" t="s">
        <v>16</v>
      </c>
      <c r="D13" s="59" t="s">
        <v>166</v>
      </c>
      <c r="E13" s="60"/>
      <c r="F13" s="60"/>
      <c r="G13" s="60"/>
      <c r="H13" s="23">
        <f>SUM(H14:H14)</f>
        <v>0</v>
      </c>
      <c r="I13" s="23">
        <f>SUM(I14:I14)</f>
        <v>0</v>
      </c>
      <c r="J13" s="23">
        <f>H13+I13</f>
        <v>0</v>
      </c>
      <c r="K13" s="29"/>
      <c r="L13" s="30">
        <f>SUM(L14:L14)</f>
        <v>0</v>
      </c>
      <c r="P13" s="72">
        <f>IF(Q13="PR",J13,SUM(O14:O14))</f>
        <v>0</v>
      </c>
      <c r="Q13" s="71" t="s">
        <v>290</v>
      </c>
      <c r="R13" s="72">
        <f>IF(Q13="HS",H13,0)</f>
        <v>0</v>
      </c>
      <c r="S13" s="72">
        <f>IF(Q13="HS",I13-P13,0)</f>
        <v>0</v>
      </c>
      <c r="T13" s="72">
        <f>IF(Q13="PS",H13,0)</f>
        <v>0</v>
      </c>
      <c r="U13" s="72">
        <f>IF(Q13="PS",I13-P13,0)</f>
        <v>0</v>
      </c>
      <c r="V13" s="72">
        <f>IF(Q13="MP",H13,0)</f>
        <v>0</v>
      </c>
      <c r="W13" s="72">
        <f>IF(Q13="MP",I13-P13,0)</f>
        <v>0</v>
      </c>
      <c r="X13" s="72">
        <f>IF(Q13="OM",H13,0)</f>
        <v>0</v>
      </c>
      <c r="Y13" s="71" t="s">
        <v>80</v>
      </c>
      <c r="AI13" s="72">
        <f>SUM(Z14:Z14)</f>
        <v>0</v>
      </c>
      <c r="AJ13" s="72">
        <f>SUM(AA14:AA14)</f>
        <v>0</v>
      </c>
      <c r="AK13" s="72">
        <f>SUM(AB14:AB14)</f>
        <v>0</v>
      </c>
    </row>
    <row r="14" spans="1:32" ht="12.75">
      <c r="A14" s="16" t="s">
        <v>6</v>
      </c>
      <c r="B14" s="12" t="s">
        <v>80</v>
      </c>
      <c r="C14" s="12" t="s">
        <v>85</v>
      </c>
      <c r="D14" s="12" t="s">
        <v>167</v>
      </c>
      <c r="E14" s="12" t="s">
        <v>264</v>
      </c>
      <c r="F14" s="13">
        <v>0.2</v>
      </c>
      <c r="G14" s="24"/>
      <c r="H14" s="13">
        <f>ROUND(F14*AE14,2)</f>
        <v>0</v>
      </c>
      <c r="I14" s="13">
        <f>J14-H14</f>
        <v>0</v>
      </c>
      <c r="J14" s="13">
        <f>ROUND(F14*G14,2)</f>
        <v>0</v>
      </c>
      <c r="K14" s="31">
        <v>0</v>
      </c>
      <c r="L14" s="32">
        <f>F14*K14</f>
        <v>0</v>
      </c>
      <c r="N14" s="73" t="s">
        <v>6</v>
      </c>
      <c r="O14" s="74">
        <f>IF(N14="5",I14,0)</f>
        <v>0</v>
      </c>
      <c r="Z14" s="74">
        <f>IF(AD14=0,J14,0)</f>
        <v>0</v>
      </c>
      <c r="AA14" s="74">
        <f>IF(AD14=10,J14,0)</f>
        <v>0</v>
      </c>
      <c r="AB14" s="74">
        <f>IF(AD14=20,J14,0)</f>
        <v>0</v>
      </c>
      <c r="AD14" s="74">
        <v>20</v>
      </c>
      <c r="AE14" s="74">
        <f>G14*0</f>
        <v>0</v>
      </c>
      <c r="AF14" s="74">
        <f>G14*(1-0)</f>
        <v>0</v>
      </c>
    </row>
    <row r="15" spans="1:37" ht="12.75">
      <c r="A15" s="16"/>
      <c r="B15" s="12"/>
      <c r="C15" s="22" t="s">
        <v>17</v>
      </c>
      <c r="D15" s="59" t="s">
        <v>168</v>
      </c>
      <c r="E15" s="60"/>
      <c r="F15" s="60"/>
      <c r="G15" s="60"/>
      <c r="H15" s="23">
        <f>SUM(H16:H19)</f>
        <v>0</v>
      </c>
      <c r="I15" s="23">
        <f>SUM(I16:I19)</f>
        <v>0</v>
      </c>
      <c r="J15" s="23">
        <f>H15+I15</f>
        <v>0</v>
      </c>
      <c r="K15" s="29"/>
      <c r="L15" s="30">
        <f>SUM(L16:L19)</f>
        <v>0</v>
      </c>
      <c r="P15" s="72">
        <f>IF(Q15="PR",J15,SUM(O16:O19))</f>
        <v>0</v>
      </c>
      <c r="Q15" s="71" t="s">
        <v>290</v>
      </c>
      <c r="R15" s="72">
        <f>IF(Q15="HS",H15,0)</f>
        <v>0</v>
      </c>
      <c r="S15" s="72">
        <f>IF(Q15="HS",I15-P15,0)</f>
        <v>0</v>
      </c>
      <c r="T15" s="72">
        <f>IF(Q15="PS",H15,0)</f>
        <v>0</v>
      </c>
      <c r="U15" s="72">
        <f>IF(Q15="PS",I15-P15,0)</f>
        <v>0</v>
      </c>
      <c r="V15" s="72">
        <f>IF(Q15="MP",H15,0)</f>
        <v>0</v>
      </c>
      <c r="W15" s="72">
        <f>IF(Q15="MP",I15-P15,0)</f>
        <v>0</v>
      </c>
      <c r="X15" s="72">
        <f>IF(Q15="OM",H15,0)</f>
        <v>0</v>
      </c>
      <c r="Y15" s="71" t="s">
        <v>80</v>
      </c>
      <c r="AI15" s="72">
        <f>SUM(Z16:Z19)</f>
        <v>0</v>
      </c>
      <c r="AJ15" s="72">
        <f>SUM(AA16:AA19)</f>
        <v>0</v>
      </c>
      <c r="AK15" s="72">
        <f>SUM(AB16:AB19)</f>
        <v>0</v>
      </c>
    </row>
    <row r="16" spans="1:32" ht="12.75">
      <c r="A16" s="16" t="s">
        <v>7</v>
      </c>
      <c r="B16" s="12" t="s">
        <v>80</v>
      </c>
      <c r="C16" s="12" t="s">
        <v>86</v>
      </c>
      <c r="D16" s="12" t="s">
        <v>169</v>
      </c>
      <c r="E16" s="12" t="s">
        <v>265</v>
      </c>
      <c r="F16" s="13">
        <v>11.3</v>
      </c>
      <c r="G16" s="24"/>
      <c r="H16" s="13">
        <f>ROUND(F16*AE16,2)</f>
        <v>0</v>
      </c>
      <c r="I16" s="13">
        <f>J16-H16</f>
        <v>0</v>
      </c>
      <c r="J16" s="13">
        <f>ROUND(F16*G16,2)</f>
        <v>0</v>
      </c>
      <c r="K16" s="31">
        <v>0</v>
      </c>
      <c r="L16" s="32">
        <f>F16*K16</f>
        <v>0</v>
      </c>
      <c r="N16" s="73" t="s">
        <v>6</v>
      </c>
      <c r="O16" s="74">
        <f>IF(N16="5",I16,0)</f>
        <v>0</v>
      </c>
      <c r="Z16" s="74">
        <f>IF(AD16=0,J16,0)</f>
        <v>0</v>
      </c>
      <c r="AA16" s="74">
        <f>IF(AD16=10,J16,0)</f>
        <v>0</v>
      </c>
      <c r="AB16" s="74">
        <f>IF(AD16=20,J16,0)</f>
        <v>0</v>
      </c>
      <c r="AD16" s="74">
        <v>20</v>
      </c>
      <c r="AE16" s="74">
        <f>G16*0</f>
        <v>0</v>
      </c>
      <c r="AF16" s="74">
        <f>G16*(1-0)</f>
        <v>0</v>
      </c>
    </row>
    <row r="17" spans="1:32" ht="12.75">
      <c r="A17" s="16" t="s">
        <v>8</v>
      </c>
      <c r="B17" s="12" t="s">
        <v>80</v>
      </c>
      <c r="C17" s="12" t="s">
        <v>87</v>
      </c>
      <c r="D17" s="12" t="s">
        <v>170</v>
      </c>
      <c r="E17" s="12" t="s">
        <v>265</v>
      </c>
      <c r="F17" s="13">
        <v>293.52</v>
      </c>
      <c r="G17" s="24"/>
      <c r="H17" s="13">
        <f>ROUND(F17*AE17,2)</f>
        <v>0</v>
      </c>
      <c r="I17" s="13">
        <f>J17-H17</f>
        <v>0</v>
      </c>
      <c r="J17" s="13">
        <f>ROUND(F17*G17,2)</f>
        <v>0</v>
      </c>
      <c r="K17" s="31">
        <v>0</v>
      </c>
      <c r="L17" s="32">
        <f>F17*K17</f>
        <v>0</v>
      </c>
      <c r="N17" s="73" t="s">
        <v>6</v>
      </c>
      <c r="O17" s="74">
        <f>IF(N17="5",I17,0)</f>
        <v>0</v>
      </c>
      <c r="Z17" s="74">
        <f>IF(AD17=0,J17,0)</f>
        <v>0</v>
      </c>
      <c r="AA17" s="74">
        <f>IF(AD17=10,J17,0)</f>
        <v>0</v>
      </c>
      <c r="AB17" s="74">
        <f>IF(AD17=20,J17,0)</f>
        <v>0</v>
      </c>
      <c r="AD17" s="74">
        <v>20</v>
      </c>
      <c r="AE17" s="74">
        <f>G17*0</f>
        <v>0</v>
      </c>
      <c r="AF17" s="74">
        <f>G17*(1-0)</f>
        <v>0</v>
      </c>
    </row>
    <row r="18" spans="1:32" ht="12.75">
      <c r="A18" s="16" t="s">
        <v>9</v>
      </c>
      <c r="B18" s="12" t="s">
        <v>80</v>
      </c>
      <c r="C18" s="12" t="s">
        <v>88</v>
      </c>
      <c r="D18" s="12" t="s">
        <v>171</v>
      </c>
      <c r="E18" s="12" t="s">
        <v>265</v>
      </c>
      <c r="F18" s="13">
        <v>293.52</v>
      </c>
      <c r="G18" s="24"/>
      <c r="H18" s="13">
        <f>ROUND(F18*AE18,2)</f>
        <v>0</v>
      </c>
      <c r="I18" s="13">
        <f>J18-H18</f>
        <v>0</v>
      </c>
      <c r="J18" s="13">
        <f>ROUND(F18*G18,2)</f>
        <v>0</v>
      </c>
      <c r="K18" s="31">
        <v>0</v>
      </c>
      <c r="L18" s="32">
        <f>F18*K18</f>
        <v>0</v>
      </c>
      <c r="N18" s="73" t="s">
        <v>6</v>
      </c>
      <c r="O18" s="74">
        <f>IF(N18="5",I18,0)</f>
        <v>0</v>
      </c>
      <c r="Z18" s="74">
        <f>IF(AD18=0,J18,0)</f>
        <v>0</v>
      </c>
      <c r="AA18" s="74">
        <f>IF(AD18=10,J18,0)</f>
        <v>0</v>
      </c>
      <c r="AB18" s="74">
        <f>IF(AD18=20,J18,0)</f>
        <v>0</v>
      </c>
      <c r="AD18" s="74">
        <v>20</v>
      </c>
      <c r="AE18" s="74">
        <f>G18*0</f>
        <v>0</v>
      </c>
      <c r="AF18" s="74">
        <f>G18*(1-0)</f>
        <v>0</v>
      </c>
    </row>
    <row r="19" spans="1:32" ht="12.75">
      <c r="A19" s="16" t="s">
        <v>10</v>
      </c>
      <c r="B19" s="12" t="s">
        <v>80</v>
      </c>
      <c r="C19" s="12" t="s">
        <v>89</v>
      </c>
      <c r="D19" s="12" t="s">
        <v>172</v>
      </c>
      <c r="E19" s="12" t="s">
        <v>265</v>
      </c>
      <c r="F19" s="13">
        <v>604.76</v>
      </c>
      <c r="G19" s="24"/>
      <c r="H19" s="13">
        <f>ROUND(F19*AE19,2)</f>
        <v>0</v>
      </c>
      <c r="I19" s="13">
        <f>J19-H19</f>
        <v>0</v>
      </c>
      <c r="J19" s="13">
        <f>ROUND(F19*G19,2)</f>
        <v>0</v>
      </c>
      <c r="K19" s="31">
        <v>0</v>
      </c>
      <c r="L19" s="32">
        <f>F19*K19</f>
        <v>0</v>
      </c>
      <c r="N19" s="73" t="s">
        <v>6</v>
      </c>
      <c r="O19" s="74">
        <f>IF(N19="5",I19,0)</f>
        <v>0</v>
      </c>
      <c r="Z19" s="74">
        <f>IF(AD19=0,J19,0)</f>
        <v>0</v>
      </c>
      <c r="AA19" s="74">
        <f>IF(AD19=10,J19,0)</f>
        <v>0</v>
      </c>
      <c r="AB19" s="74">
        <f>IF(AD19=20,J19,0)</f>
        <v>0</v>
      </c>
      <c r="AD19" s="74">
        <v>20</v>
      </c>
      <c r="AE19" s="74">
        <f>G19*0</f>
        <v>0</v>
      </c>
      <c r="AF19" s="74">
        <f>G19*(1-0)</f>
        <v>0</v>
      </c>
    </row>
    <row r="20" spans="1:37" ht="12.75">
      <c r="A20" s="16"/>
      <c r="B20" s="12"/>
      <c r="C20" s="22" t="s">
        <v>18</v>
      </c>
      <c r="D20" s="59" t="s">
        <v>173</v>
      </c>
      <c r="E20" s="60"/>
      <c r="F20" s="60"/>
      <c r="G20" s="60"/>
      <c r="H20" s="23">
        <f>SUM(H21:H26)</f>
        <v>0</v>
      </c>
      <c r="I20" s="23">
        <f>SUM(I21:I26)</f>
        <v>0</v>
      </c>
      <c r="J20" s="23">
        <f>H20+I20</f>
        <v>0</v>
      </c>
      <c r="K20" s="29"/>
      <c r="L20" s="30">
        <f>SUM(L21:L26)</f>
        <v>0</v>
      </c>
      <c r="P20" s="72">
        <f>IF(Q20="PR",J20,SUM(O21:O26))</f>
        <v>0</v>
      </c>
      <c r="Q20" s="71" t="s">
        <v>290</v>
      </c>
      <c r="R20" s="72">
        <f>IF(Q20="HS",H20,0)</f>
        <v>0</v>
      </c>
      <c r="S20" s="72">
        <f>IF(Q20="HS",I20-P20,0)</f>
        <v>0</v>
      </c>
      <c r="T20" s="72">
        <f>IF(Q20="PS",H20,0)</f>
        <v>0</v>
      </c>
      <c r="U20" s="72">
        <f>IF(Q20="PS",I20-P20,0)</f>
        <v>0</v>
      </c>
      <c r="V20" s="72">
        <f>IF(Q20="MP",H20,0)</f>
        <v>0</v>
      </c>
      <c r="W20" s="72">
        <f>IF(Q20="MP",I20-P20,0)</f>
        <v>0</v>
      </c>
      <c r="X20" s="72">
        <f>IF(Q20="OM",H20,0)</f>
        <v>0</v>
      </c>
      <c r="Y20" s="71" t="s">
        <v>80</v>
      </c>
      <c r="AI20" s="72">
        <f>SUM(Z21:Z26)</f>
        <v>0</v>
      </c>
      <c r="AJ20" s="72">
        <f>SUM(AA21:AA26)</f>
        <v>0</v>
      </c>
      <c r="AK20" s="72">
        <f>SUM(AB21:AB26)</f>
        <v>0</v>
      </c>
    </row>
    <row r="21" spans="1:32" ht="12.75">
      <c r="A21" s="16" t="s">
        <v>11</v>
      </c>
      <c r="B21" s="12" t="s">
        <v>80</v>
      </c>
      <c r="C21" s="12" t="s">
        <v>90</v>
      </c>
      <c r="D21" s="12" t="s">
        <v>174</v>
      </c>
      <c r="E21" s="12" t="s">
        <v>265</v>
      </c>
      <c r="F21" s="13">
        <v>24</v>
      </c>
      <c r="G21" s="24"/>
      <c r="H21" s="13">
        <f>ROUND(F21*AE21,2)</f>
        <v>0</v>
      </c>
      <c r="I21" s="13">
        <f aca="true" t="shared" si="0" ref="I21:I26">J21-H21</f>
        <v>0</v>
      </c>
      <c r="J21" s="13">
        <f aca="true" t="shared" si="1" ref="J21:J26">ROUND(F21*G21,2)</f>
        <v>0</v>
      </c>
      <c r="K21" s="31">
        <v>0</v>
      </c>
      <c r="L21" s="32">
        <f aca="true" t="shared" si="2" ref="L21:L26">F21*K21</f>
        <v>0</v>
      </c>
      <c r="N21" s="73" t="s">
        <v>6</v>
      </c>
      <c r="O21" s="74">
        <f aca="true" t="shared" si="3" ref="O21:O26">IF(N21="5",I21,0)</f>
        <v>0</v>
      </c>
      <c r="Z21" s="74">
        <f aca="true" t="shared" si="4" ref="Z21:Z26">IF(AD21=0,J21,0)</f>
        <v>0</v>
      </c>
      <c r="AA21" s="74">
        <f aca="true" t="shared" si="5" ref="AA21:AA26">IF(AD21=10,J21,0)</f>
        <v>0</v>
      </c>
      <c r="AB21" s="74">
        <f aca="true" t="shared" si="6" ref="AB21:AB26">IF(AD21=20,J21,0)</f>
        <v>0</v>
      </c>
      <c r="AD21" s="74">
        <v>20</v>
      </c>
      <c r="AE21" s="74">
        <f aca="true" t="shared" si="7" ref="AE21:AE26">G21*0</f>
        <v>0</v>
      </c>
      <c r="AF21" s="74">
        <f aca="true" t="shared" si="8" ref="AF21:AF26">G21*(1-0)</f>
        <v>0</v>
      </c>
    </row>
    <row r="22" spans="1:32" ht="12.75">
      <c r="A22" s="16" t="s">
        <v>12</v>
      </c>
      <c r="B22" s="12" t="s">
        <v>80</v>
      </c>
      <c r="C22" s="12" t="s">
        <v>90</v>
      </c>
      <c r="D22" s="12" t="s">
        <v>175</v>
      </c>
      <c r="E22" s="12" t="s">
        <v>265</v>
      </c>
      <c r="F22" s="13">
        <v>100.7</v>
      </c>
      <c r="G22" s="24"/>
      <c r="H22" s="13">
        <f>ROUND(F22*AE22,2)</f>
        <v>0</v>
      </c>
      <c r="I22" s="13">
        <f t="shared" si="0"/>
        <v>0</v>
      </c>
      <c r="J22" s="13">
        <f t="shared" si="1"/>
        <v>0</v>
      </c>
      <c r="K22" s="31">
        <v>0</v>
      </c>
      <c r="L22" s="32">
        <f t="shared" si="2"/>
        <v>0</v>
      </c>
      <c r="N22" s="73" t="s">
        <v>6</v>
      </c>
      <c r="O22" s="74">
        <f t="shared" si="3"/>
        <v>0</v>
      </c>
      <c r="Z22" s="74">
        <f t="shared" si="4"/>
        <v>0</v>
      </c>
      <c r="AA22" s="74">
        <f t="shared" si="5"/>
        <v>0</v>
      </c>
      <c r="AB22" s="74">
        <f t="shared" si="6"/>
        <v>0</v>
      </c>
      <c r="AD22" s="74">
        <v>20</v>
      </c>
      <c r="AE22" s="74">
        <f t="shared" si="7"/>
        <v>0</v>
      </c>
      <c r="AF22" s="74">
        <f t="shared" si="8"/>
        <v>0</v>
      </c>
    </row>
    <row r="23" spans="1:32" ht="12.75">
      <c r="A23" s="16" t="s">
        <v>13</v>
      </c>
      <c r="B23" s="12" t="s">
        <v>80</v>
      </c>
      <c r="C23" s="12" t="s">
        <v>91</v>
      </c>
      <c r="D23" s="12" t="s">
        <v>176</v>
      </c>
      <c r="E23" s="12" t="s">
        <v>265</v>
      </c>
      <c r="F23" s="13">
        <v>100.7</v>
      </c>
      <c r="G23" s="24"/>
      <c r="H23" s="13">
        <f>ROUND(F23*AE23,2)</f>
        <v>0</v>
      </c>
      <c r="I23" s="13">
        <f t="shared" si="0"/>
        <v>0</v>
      </c>
      <c r="J23" s="13">
        <f t="shared" si="1"/>
        <v>0</v>
      </c>
      <c r="K23" s="31">
        <v>0</v>
      </c>
      <c r="L23" s="32">
        <f t="shared" si="2"/>
        <v>0</v>
      </c>
      <c r="N23" s="73" t="s">
        <v>6</v>
      </c>
      <c r="O23" s="74">
        <f t="shared" si="3"/>
        <v>0</v>
      </c>
      <c r="Z23" s="74">
        <f t="shared" si="4"/>
        <v>0</v>
      </c>
      <c r="AA23" s="74">
        <f t="shared" si="5"/>
        <v>0</v>
      </c>
      <c r="AB23" s="74">
        <f t="shared" si="6"/>
        <v>0</v>
      </c>
      <c r="AD23" s="74">
        <v>20</v>
      </c>
      <c r="AE23" s="74">
        <f t="shared" si="7"/>
        <v>0</v>
      </c>
      <c r="AF23" s="74">
        <f t="shared" si="8"/>
        <v>0</v>
      </c>
    </row>
    <row r="24" spans="1:32" ht="12.75">
      <c r="A24" s="16" t="s">
        <v>14</v>
      </c>
      <c r="B24" s="12" t="s">
        <v>80</v>
      </c>
      <c r="C24" s="12" t="s">
        <v>91</v>
      </c>
      <c r="D24" s="12" t="s">
        <v>176</v>
      </c>
      <c r="E24" s="12" t="s">
        <v>265</v>
      </c>
      <c r="F24" s="13">
        <v>24</v>
      </c>
      <c r="G24" s="24"/>
      <c r="H24" s="13">
        <f>ROUND(F24*AE24,2)</f>
        <v>0</v>
      </c>
      <c r="I24" s="13">
        <f t="shared" si="0"/>
        <v>0</v>
      </c>
      <c r="J24" s="13">
        <f t="shared" si="1"/>
        <v>0</v>
      </c>
      <c r="K24" s="31">
        <v>0</v>
      </c>
      <c r="L24" s="32">
        <f t="shared" si="2"/>
        <v>0</v>
      </c>
      <c r="N24" s="73" t="s">
        <v>6</v>
      </c>
      <c r="O24" s="74">
        <f t="shared" si="3"/>
        <v>0</v>
      </c>
      <c r="Z24" s="74">
        <f t="shared" si="4"/>
        <v>0</v>
      </c>
      <c r="AA24" s="74">
        <f t="shared" si="5"/>
        <v>0</v>
      </c>
      <c r="AB24" s="74">
        <f t="shared" si="6"/>
        <v>0</v>
      </c>
      <c r="AD24" s="74">
        <v>20</v>
      </c>
      <c r="AE24" s="74">
        <f t="shared" si="7"/>
        <v>0</v>
      </c>
      <c r="AF24" s="74">
        <f t="shared" si="8"/>
        <v>0</v>
      </c>
    </row>
    <row r="25" spans="1:32" ht="12.75">
      <c r="A25" s="16" t="s">
        <v>15</v>
      </c>
      <c r="B25" s="12" t="s">
        <v>80</v>
      </c>
      <c r="C25" s="12" t="s">
        <v>92</v>
      </c>
      <c r="D25" s="12" t="s">
        <v>177</v>
      </c>
      <c r="E25" s="12" t="s">
        <v>265</v>
      </c>
      <c r="F25" s="13">
        <v>5</v>
      </c>
      <c r="G25" s="24"/>
      <c r="H25" s="13">
        <f>ROUND(F25*AE25,2)</f>
        <v>0</v>
      </c>
      <c r="I25" s="13">
        <f t="shared" si="0"/>
        <v>0</v>
      </c>
      <c r="J25" s="13">
        <f t="shared" si="1"/>
        <v>0</v>
      </c>
      <c r="K25" s="31">
        <v>0</v>
      </c>
      <c r="L25" s="32">
        <f t="shared" si="2"/>
        <v>0</v>
      </c>
      <c r="N25" s="73" t="s">
        <v>6</v>
      </c>
      <c r="O25" s="74">
        <f t="shared" si="3"/>
        <v>0</v>
      </c>
      <c r="Z25" s="74">
        <f t="shared" si="4"/>
        <v>0</v>
      </c>
      <c r="AA25" s="74">
        <f t="shared" si="5"/>
        <v>0</v>
      </c>
      <c r="AB25" s="74">
        <f t="shared" si="6"/>
        <v>0</v>
      </c>
      <c r="AD25" s="74">
        <v>20</v>
      </c>
      <c r="AE25" s="74">
        <f t="shared" si="7"/>
        <v>0</v>
      </c>
      <c r="AF25" s="74">
        <f t="shared" si="8"/>
        <v>0</v>
      </c>
    </row>
    <row r="26" spans="1:32" ht="12.75">
      <c r="A26" s="16" t="s">
        <v>16</v>
      </c>
      <c r="B26" s="12" t="s">
        <v>80</v>
      </c>
      <c r="C26" s="12" t="s">
        <v>93</v>
      </c>
      <c r="D26" s="12" t="s">
        <v>178</v>
      </c>
      <c r="E26" s="12" t="s">
        <v>265</v>
      </c>
      <c r="F26" s="13">
        <v>5</v>
      </c>
      <c r="G26" s="24"/>
      <c r="H26" s="13">
        <f>ROUND(F26*AE26,2)</f>
        <v>0</v>
      </c>
      <c r="I26" s="13">
        <f t="shared" si="0"/>
        <v>0</v>
      </c>
      <c r="J26" s="13">
        <f t="shared" si="1"/>
        <v>0</v>
      </c>
      <c r="K26" s="31">
        <v>0</v>
      </c>
      <c r="L26" s="32">
        <f t="shared" si="2"/>
        <v>0</v>
      </c>
      <c r="N26" s="73" t="s">
        <v>6</v>
      </c>
      <c r="O26" s="74">
        <f t="shared" si="3"/>
        <v>0</v>
      </c>
      <c r="Z26" s="74">
        <f t="shared" si="4"/>
        <v>0</v>
      </c>
      <c r="AA26" s="74">
        <f t="shared" si="5"/>
        <v>0</v>
      </c>
      <c r="AB26" s="74">
        <f t="shared" si="6"/>
        <v>0</v>
      </c>
      <c r="AD26" s="74">
        <v>20</v>
      </c>
      <c r="AE26" s="74">
        <f t="shared" si="7"/>
        <v>0</v>
      </c>
      <c r="AF26" s="74">
        <f t="shared" si="8"/>
        <v>0</v>
      </c>
    </row>
    <row r="27" spans="1:37" ht="12.75">
      <c r="A27" s="16"/>
      <c r="B27" s="12"/>
      <c r="C27" s="22" t="s">
        <v>21</v>
      </c>
      <c r="D27" s="59" t="s">
        <v>179</v>
      </c>
      <c r="E27" s="60"/>
      <c r="F27" s="60"/>
      <c r="G27" s="60"/>
      <c r="H27" s="23">
        <f>SUM(H28:H31)</f>
        <v>0</v>
      </c>
      <c r="I27" s="23">
        <f>SUM(I28:I31)</f>
        <v>0</v>
      </c>
      <c r="J27" s="23">
        <f>H27+I27</f>
        <v>0</v>
      </c>
      <c r="K27" s="29"/>
      <c r="L27" s="30">
        <f>SUM(L28:L31)</f>
        <v>0</v>
      </c>
      <c r="P27" s="72">
        <f>IF(Q27="PR",J27,SUM(O28:O31))</f>
        <v>0</v>
      </c>
      <c r="Q27" s="71" t="s">
        <v>290</v>
      </c>
      <c r="R27" s="72">
        <f>IF(Q27="HS",H27,0)</f>
        <v>0</v>
      </c>
      <c r="S27" s="72">
        <f>IF(Q27="HS",I27-P27,0)</f>
        <v>0</v>
      </c>
      <c r="T27" s="72">
        <f>IF(Q27="PS",H27,0)</f>
        <v>0</v>
      </c>
      <c r="U27" s="72">
        <f>IF(Q27="PS",I27-P27,0)</f>
        <v>0</v>
      </c>
      <c r="V27" s="72">
        <f>IF(Q27="MP",H27,0)</f>
        <v>0</v>
      </c>
      <c r="W27" s="72">
        <f>IF(Q27="MP",I27-P27,0)</f>
        <v>0</v>
      </c>
      <c r="X27" s="72">
        <f>IF(Q27="OM",H27,0)</f>
        <v>0</v>
      </c>
      <c r="Y27" s="71" t="s">
        <v>80</v>
      </c>
      <c r="AI27" s="72">
        <f>SUM(Z28:Z31)</f>
        <v>0</v>
      </c>
      <c r="AJ27" s="72">
        <f>SUM(AA28:AA31)</f>
        <v>0</v>
      </c>
      <c r="AK27" s="72">
        <f>SUM(AB28:AB31)</f>
        <v>0</v>
      </c>
    </row>
    <row r="28" spans="1:32" ht="12.75">
      <c r="A28" s="16" t="s">
        <v>17</v>
      </c>
      <c r="B28" s="12" t="s">
        <v>80</v>
      </c>
      <c r="C28" s="12" t="s">
        <v>94</v>
      </c>
      <c r="D28" s="12" t="s">
        <v>180</v>
      </c>
      <c r="E28" s="12" t="s">
        <v>265</v>
      </c>
      <c r="F28" s="13">
        <v>604.76</v>
      </c>
      <c r="G28" s="24"/>
      <c r="H28" s="13">
        <f>ROUND(F28*AE28,2)</f>
        <v>0</v>
      </c>
      <c r="I28" s="13">
        <f>J28-H28</f>
        <v>0</v>
      </c>
      <c r="J28" s="13">
        <f>ROUND(F28*G28,2)</f>
        <v>0</v>
      </c>
      <c r="K28" s="31">
        <v>0</v>
      </c>
      <c r="L28" s="32">
        <f>F28*K28</f>
        <v>0</v>
      </c>
      <c r="N28" s="73" t="s">
        <v>6</v>
      </c>
      <c r="O28" s="74">
        <f>IF(N28="5",I28,0)</f>
        <v>0</v>
      </c>
      <c r="Z28" s="74">
        <f>IF(AD28=0,J28,0)</f>
        <v>0</v>
      </c>
      <c r="AA28" s="74">
        <f>IF(AD28=10,J28,0)</f>
        <v>0</v>
      </c>
      <c r="AB28" s="74">
        <f>IF(AD28=20,J28,0)</f>
        <v>0</v>
      </c>
      <c r="AD28" s="74">
        <v>20</v>
      </c>
      <c r="AE28" s="74">
        <f>G28*0</f>
        <v>0</v>
      </c>
      <c r="AF28" s="74">
        <f>G28*(1-0)</f>
        <v>0</v>
      </c>
    </row>
    <row r="29" spans="1:32" ht="12.75">
      <c r="A29" s="16" t="s">
        <v>18</v>
      </c>
      <c r="B29" s="12" t="s">
        <v>80</v>
      </c>
      <c r="C29" s="12" t="s">
        <v>95</v>
      </c>
      <c r="D29" s="12" t="s">
        <v>181</v>
      </c>
      <c r="E29" s="12" t="s">
        <v>265</v>
      </c>
      <c r="F29" s="13">
        <v>355.45</v>
      </c>
      <c r="G29" s="24"/>
      <c r="H29" s="13">
        <f>ROUND(F29*AE29,2)</f>
        <v>0</v>
      </c>
      <c r="I29" s="13">
        <f>J29-H29</f>
        <v>0</v>
      </c>
      <c r="J29" s="13">
        <f>ROUND(F29*G29,2)</f>
        <v>0</v>
      </c>
      <c r="K29" s="31">
        <v>0</v>
      </c>
      <c r="L29" s="32">
        <f>F29*K29</f>
        <v>0</v>
      </c>
      <c r="N29" s="73" t="s">
        <v>6</v>
      </c>
      <c r="O29" s="74">
        <f>IF(N29="5",I29,0)</f>
        <v>0</v>
      </c>
      <c r="Z29" s="74">
        <f>IF(AD29=0,J29,0)</f>
        <v>0</v>
      </c>
      <c r="AA29" s="74">
        <f>IF(AD29=10,J29,0)</f>
        <v>0</v>
      </c>
      <c r="AB29" s="74">
        <f>IF(AD29=20,J29,0)</f>
        <v>0</v>
      </c>
      <c r="AD29" s="74">
        <v>20</v>
      </c>
      <c r="AE29" s="74">
        <f>G29*0</f>
        <v>0</v>
      </c>
      <c r="AF29" s="74">
        <f>G29*(1-0)</f>
        <v>0</v>
      </c>
    </row>
    <row r="30" spans="1:32" ht="12.75">
      <c r="A30" s="16" t="s">
        <v>19</v>
      </c>
      <c r="B30" s="12" t="s">
        <v>80</v>
      </c>
      <c r="C30" s="12" t="s">
        <v>96</v>
      </c>
      <c r="D30" s="12" t="s">
        <v>182</v>
      </c>
      <c r="E30" s="12" t="s">
        <v>265</v>
      </c>
      <c r="F30" s="13">
        <v>604.76</v>
      </c>
      <c r="G30" s="24"/>
      <c r="H30" s="13">
        <f>ROUND(F30*AE30,2)</f>
        <v>0</v>
      </c>
      <c r="I30" s="13">
        <f>J30-H30</f>
        <v>0</v>
      </c>
      <c r="J30" s="13">
        <f>ROUND(F30*G30,2)</f>
        <v>0</v>
      </c>
      <c r="K30" s="31">
        <v>0</v>
      </c>
      <c r="L30" s="32">
        <f>F30*K30</f>
        <v>0</v>
      </c>
      <c r="N30" s="73" t="s">
        <v>6</v>
      </c>
      <c r="O30" s="74">
        <f>IF(N30="5",I30,0)</f>
        <v>0</v>
      </c>
      <c r="Z30" s="74">
        <f>IF(AD30=0,J30,0)</f>
        <v>0</v>
      </c>
      <c r="AA30" s="74">
        <f>IF(AD30=10,J30,0)</f>
        <v>0</v>
      </c>
      <c r="AB30" s="74">
        <f>IF(AD30=20,J30,0)</f>
        <v>0</v>
      </c>
      <c r="AD30" s="74">
        <v>20</v>
      </c>
      <c r="AE30" s="74">
        <f>G30*0</f>
        <v>0</v>
      </c>
      <c r="AF30" s="74">
        <f>G30*(1-0)</f>
        <v>0</v>
      </c>
    </row>
    <row r="31" spans="1:32" ht="12.75">
      <c r="A31" s="16" t="s">
        <v>20</v>
      </c>
      <c r="B31" s="12" t="s">
        <v>80</v>
      </c>
      <c r="C31" s="12" t="s">
        <v>97</v>
      </c>
      <c r="D31" s="12" t="s">
        <v>183</v>
      </c>
      <c r="E31" s="12" t="s">
        <v>265</v>
      </c>
      <c r="F31" s="13">
        <v>960.21</v>
      </c>
      <c r="G31" s="24"/>
      <c r="H31" s="13">
        <f>ROUND(F31*AE31,2)</f>
        <v>0</v>
      </c>
      <c r="I31" s="13">
        <f>J31-H31</f>
        <v>0</v>
      </c>
      <c r="J31" s="13">
        <f>ROUND(F31*G31,2)</f>
        <v>0</v>
      </c>
      <c r="K31" s="31">
        <v>0</v>
      </c>
      <c r="L31" s="32">
        <f>F31*K31</f>
        <v>0</v>
      </c>
      <c r="N31" s="73" t="s">
        <v>6</v>
      </c>
      <c r="O31" s="74">
        <f>IF(N31="5",I31,0)</f>
        <v>0</v>
      </c>
      <c r="Z31" s="74">
        <f>IF(AD31=0,J31,0)</f>
        <v>0</v>
      </c>
      <c r="AA31" s="74">
        <f>IF(AD31=10,J31,0)</f>
        <v>0</v>
      </c>
      <c r="AB31" s="74">
        <f>IF(AD31=20,J31,0)</f>
        <v>0</v>
      </c>
      <c r="AD31" s="74">
        <v>20</v>
      </c>
      <c r="AE31" s="74">
        <f>G31*0</f>
        <v>0</v>
      </c>
      <c r="AF31" s="74">
        <f>G31*(1-0)</f>
        <v>0</v>
      </c>
    </row>
    <row r="32" spans="1:37" ht="12.75">
      <c r="A32" s="16"/>
      <c r="B32" s="12"/>
      <c r="C32" s="22" t="s">
        <v>22</v>
      </c>
      <c r="D32" s="59" t="s">
        <v>184</v>
      </c>
      <c r="E32" s="60"/>
      <c r="F32" s="60"/>
      <c r="G32" s="60"/>
      <c r="H32" s="23">
        <f>SUM(H33:H35)</f>
        <v>0</v>
      </c>
      <c r="I32" s="23">
        <f>SUM(I33:I35)</f>
        <v>0</v>
      </c>
      <c r="J32" s="23">
        <f>H32+I32</f>
        <v>0</v>
      </c>
      <c r="K32" s="29"/>
      <c r="L32" s="30">
        <f>SUM(L33:L35)</f>
        <v>0</v>
      </c>
      <c r="P32" s="72">
        <f>IF(Q32="PR",J32,SUM(O33:O35))</f>
        <v>0</v>
      </c>
      <c r="Q32" s="71" t="s">
        <v>290</v>
      </c>
      <c r="R32" s="72">
        <f>IF(Q32="HS",H32,0)</f>
        <v>0</v>
      </c>
      <c r="S32" s="72">
        <f>IF(Q32="HS",I32-P32,0)</f>
        <v>0</v>
      </c>
      <c r="T32" s="72">
        <f>IF(Q32="PS",H32,0)</f>
        <v>0</v>
      </c>
      <c r="U32" s="72">
        <f>IF(Q32="PS",I32-P32,0)</f>
        <v>0</v>
      </c>
      <c r="V32" s="72">
        <f>IF(Q32="MP",H32,0)</f>
        <v>0</v>
      </c>
      <c r="W32" s="72">
        <f>IF(Q32="MP",I32-P32,0)</f>
        <v>0</v>
      </c>
      <c r="X32" s="72">
        <f>IF(Q32="OM",H32,0)</f>
        <v>0</v>
      </c>
      <c r="Y32" s="71" t="s">
        <v>80</v>
      </c>
      <c r="AI32" s="72">
        <f>SUM(Z33:Z35)</f>
        <v>0</v>
      </c>
      <c r="AJ32" s="72">
        <f>SUM(AA33:AA35)</f>
        <v>0</v>
      </c>
      <c r="AK32" s="72">
        <f>SUM(AB33:AB35)</f>
        <v>0</v>
      </c>
    </row>
    <row r="33" spans="1:32" ht="12.75">
      <c r="A33" s="16" t="s">
        <v>21</v>
      </c>
      <c r="B33" s="12" t="s">
        <v>80</v>
      </c>
      <c r="C33" s="12" t="s">
        <v>98</v>
      </c>
      <c r="D33" s="12" t="s">
        <v>185</v>
      </c>
      <c r="E33" s="12" t="s">
        <v>265</v>
      </c>
      <c r="F33" s="13">
        <v>14.45</v>
      </c>
      <c r="G33" s="24"/>
      <c r="H33" s="13">
        <f>ROUND(F33*AE33,2)</f>
        <v>0</v>
      </c>
      <c r="I33" s="13">
        <f>J33-H33</f>
        <v>0</v>
      </c>
      <c r="J33" s="13">
        <f>ROUND(F33*G33,2)</f>
        <v>0</v>
      </c>
      <c r="K33" s="31">
        <v>0</v>
      </c>
      <c r="L33" s="32">
        <f>F33*K33</f>
        <v>0</v>
      </c>
      <c r="N33" s="73" t="s">
        <v>6</v>
      </c>
      <c r="O33" s="74">
        <f>IF(N33="5",I33,0)</f>
        <v>0</v>
      </c>
      <c r="Z33" s="74">
        <f>IF(AD33=0,J33,0)</f>
        <v>0</v>
      </c>
      <c r="AA33" s="74">
        <f>IF(AD33=10,J33,0)</f>
        <v>0</v>
      </c>
      <c r="AB33" s="74">
        <f>IF(AD33=20,J33,0)</f>
        <v>0</v>
      </c>
      <c r="AD33" s="74">
        <v>20</v>
      </c>
      <c r="AE33" s="74">
        <f>G33*0</f>
        <v>0</v>
      </c>
      <c r="AF33" s="74">
        <f>G33*(1-0)</f>
        <v>0</v>
      </c>
    </row>
    <row r="34" spans="1:32" ht="12.75">
      <c r="A34" s="16" t="s">
        <v>22</v>
      </c>
      <c r="B34" s="12" t="s">
        <v>80</v>
      </c>
      <c r="C34" s="12" t="s">
        <v>99</v>
      </c>
      <c r="D34" s="12" t="s">
        <v>186</v>
      </c>
      <c r="E34" s="12" t="s">
        <v>265</v>
      </c>
      <c r="F34" s="13">
        <v>960.21</v>
      </c>
      <c r="G34" s="24"/>
      <c r="H34" s="13">
        <f>ROUND(F34*AE34,2)</f>
        <v>0</v>
      </c>
      <c r="I34" s="13">
        <f>J34-H34</f>
        <v>0</v>
      </c>
      <c r="J34" s="13">
        <f>ROUND(F34*G34,2)</f>
        <v>0</v>
      </c>
      <c r="K34" s="31">
        <v>0</v>
      </c>
      <c r="L34" s="32">
        <f>F34*K34</f>
        <v>0</v>
      </c>
      <c r="N34" s="73" t="s">
        <v>6</v>
      </c>
      <c r="O34" s="74">
        <f>IF(N34="5",I34,0)</f>
        <v>0</v>
      </c>
      <c r="Z34" s="74">
        <f>IF(AD34=0,J34,0)</f>
        <v>0</v>
      </c>
      <c r="AA34" s="74">
        <f>IF(AD34=10,J34,0)</f>
        <v>0</v>
      </c>
      <c r="AB34" s="74">
        <f>IF(AD34=20,J34,0)</f>
        <v>0</v>
      </c>
      <c r="AD34" s="74">
        <v>20</v>
      </c>
      <c r="AE34" s="74">
        <f>G34*0</f>
        <v>0</v>
      </c>
      <c r="AF34" s="74">
        <f>G34*(1-0)</f>
        <v>0</v>
      </c>
    </row>
    <row r="35" spans="1:32" ht="12.75">
      <c r="A35" s="16" t="s">
        <v>23</v>
      </c>
      <c r="B35" s="12" t="s">
        <v>80</v>
      </c>
      <c r="C35" s="12" t="s">
        <v>100</v>
      </c>
      <c r="D35" s="12" t="s">
        <v>187</v>
      </c>
      <c r="E35" s="12" t="s">
        <v>265</v>
      </c>
      <c r="F35" s="13">
        <v>29.32</v>
      </c>
      <c r="G35" s="24"/>
      <c r="H35" s="13">
        <f>ROUND(F35*AE35,2)</f>
        <v>0</v>
      </c>
      <c r="I35" s="13">
        <f>J35-H35</f>
        <v>0</v>
      </c>
      <c r="J35" s="13">
        <f>ROUND(F35*G35,2)</f>
        <v>0</v>
      </c>
      <c r="K35" s="31">
        <v>0</v>
      </c>
      <c r="L35" s="32">
        <f>F35*K35</f>
        <v>0</v>
      </c>
      <c r="N35" s="73" t="s">
        <v>6</v>
      </c>
      <c r="O35" s="74">
        <f>IF(N35="5",I35,0)</f>
        <v>0</v>
      </c>
      <c r="Z35" s="74">
        <f>IF(AD35=0,J35,0)</f>
        <v>0</v>
      </c>
      <c r="AA35" s="74">
        <f>IF(AD35=10,J35,0)</f>
        <v>0</v>
      </c>
      <c r="AB35" s="74">
        <f>IF(AD35=20,J35,0)</f>
        <v>0</v>
      </c>
      <c r="AD35" s="74">
        <v>20</v>
      </c>
      <c r="AE35" s="74">
        <f>G35*0</f>
        <v>0</v>
      </c>
      <c r="AF35" s="74">
        <f>G35*(1-0)</f>
        <v>0</v>
      </c>
    </row>
    <row r="36" spans="1:37" ht="12.75">
      <c r="A36" s="16"/>
      <c r="B36" s="12"/>
      <c r="C36" s="22" t="s">
        <v>23</v>
      </c>
      <c r="D36" s="59" t="s">
        <v>188</v>
      </c>
      <c r="E36" s="60"/>
      <c r="F36" s="60"/>
      <c r="G36" s="60"/>
      <c r="H36" s="23">
        <f>SUM(H37:H40)</f>
        <v>0</v>
      </c>
      <c r="I36" s="23">
        <f>SUM(I37:I40)</f>
        <v>0</v>
      </c>
      <c r="J36" s="23">
        <f>H36+I36</f>
        <v>0</v>
      </c>
      <c r="K36" s="29"/>
      <c r="L36" s="30">
        <f>SUM(L37:L40)</f>
        <v>0</v>
      </c>
      <c r="P36" s="72">
        <f>IF(Q36="PR",J36,SUM(O37:O40))</f>
        <v>0</v>
      </c>
      <c r="Q36" s="71" t="s">
        <v>290</v>
      </c>
      <c r="R36" s="72">
        <f>IF(Q36="HS",H36,0)</f>
        <v>0</v>
      </c>
      <c r="S36" s="72">
        <f>IF(Q36="HS",I36-P36,0)</f>
        <v>0</v>
      </c>
      <c r="T36" s="72">
        <f>IF(Q36="PS",H36,0)</f>
        <v>0</v>
      </c>
      <c r="U36" s="72">
        <f>IF(Q36="PS",I36-P36,0)</f>
        <v>0</v>
      </c>
      <c r="V36" s="72">
        <f>IF(Q36="MP",H36,0)</f>
        <v>0</v>
      </c>
      <c r="W36" s="72">
        <f>IF(Q36="MP",I36-P36,0)</f>
        <v>0</v>
      </c>
      <c r="X36" s="72">
        <f>IF(Q36="OM",H36,0)</f>
        <v>0</v>
      </c>
      <c r="Y36" s="71" t="s">
        <v>80</v>
      </c>
      <c r="AI36" s="72">
        <f>SUM(Z37:Z40)</f>
        <v>0</v>
      </c>
      <c r="AJ36" s="72">
        <f>SUM(AA37:AA40)</f>
        <v>0</v>
      </c>
      <c r="AK36" s="72">
        <f>SUM(AB37:AB40)</f>
        <v>0</v>
      </c>
    </row>
    <row r="37" spans="1:32" ht="12.75">
      <c r="A37" s="16" t="s">
        <v>24</v>
      </c>
      <c r="B37" s="12" t="s">
        <v>80</v>
      </c>
      <c r="C37" s="12" t="s">
        <v>101</v>
      </c>
      <c r="D37" s="12" t="s">
        <v>189</v>
      </c>
      <c r="E37" s="12" t="s">
        <v>266</v>
      </c>
      <c r="F37" s="13">
        <v>2764.76</v>
      </c>
      <c r="G37" s="24"/>
      <c r="H37" s="13">
        <f>ROUND(F37*AE37,2)</f>
        <v>0</v>
      </c>
      <c r="I37" s="13">
        <f>J37-H37</f>
        <v>0</v>
      </c>
      <c r="J37" s="13">
        <f>ROUND(F37*G37,2)</f>
        <v>0</v>
      </c>
      <c r="K37" s="31">
        <v>0</v>
      </c>
      <c r="L37" s="32">
        <f>F37*K37</f>
        <v>0</v>
      </c>
      <c r="N37" s="73" t="s">
        <v>6</v>
      </c>
      <c r="O37" s="74">
        <f>IF(N37="5",I37,0)</f>
        <v>0</v>
      </c>
      <c r="Z37" s="74">
        <f>IF(AD37=0,J37,0)</f>
        <v>0</v>
      </c>
      <c r="AA37" s="74">
        <f>IF(AD37=10,J37,0)</f>
        <v>0</v>
      </c>
      <c r="AB37" s="74">
        <f>IF(AD37=20,J37,0)</f>
        <v>0</v>
      </c>
      <c r="AD37" s="74">
        <v>20</v>
      </c>
      <c r="AE37" s="74">
        <f>G37*0</f>
        <v>0</v>
      </c>
      <c r="AF37" s="74">
        <f>G37*(1-0)</f>
        <v>0</v>
      </c>
    </row>
    <row r="38" spans="1:32" ht="12.75">
      <c r="A38" s="16" t="s">
        <v>25</v>
      </c>
      <c r="B38" s="12" t="s">
        <v>80</v>
      </c>
      <c r="C38" s="12" t="s">
        <v>102</v>
      </c>
      <c r="D38" s="12" t="s">
        <v>190</v>
      </c>
      <c r="E38" s="12" t="s">
        <v>266</v>
      </c>
      <c r="F38" s="13">
        <v>113.08</v>
      </c>
      <c r="G38" s="24"/>
      <c r="H38" s="13">
        <f>ROUND(F38*AE38,2)</f>
        <v>0</v>
      </c>
      <c r="I38" s="13">
        <f>J38-H38</f>
        <v>0</v>
      </c>
      <c r="J38" s="13">
        <f>ROUND(F38*G38,2)</f>
        <v>0</v>
      </c>
      <c r="K38" s="31">
        <v>0</v>
      </c>
      <c r="L38" s="32">
        <f>F38*K38</f>
        <v>0</v>
      </c>
      <c r="N38" s="73" t="s">
        <v>6</v>
      </c>
      <c r="O38" s="74">
        <f>IF(N38="5",I38,0)</f>
        <v>0</v>
      </c>
      <c r="Z38" s="74">
        <f>IF(AD38=0,J38,0)</f>
        <v>0</v>
      </c>
      <c r="AA38" s="74">
        <f>IF(AD38=10,J38,0)</f>
        <v>0</v>
      </c>
      <c r="AB38" s="74">
        <f>IF(AD38=20,J38,0)</f>
        <v>0</v>
      </c>
      <c r="AD38" s="74">
        <v>20</v>
      </c>
      <c r="AE38" s="74">
        <f>G38*0</f>
        <v>0</v>
      </c>
      <c r="AF38" s="74">
        <f>G38*(1-0)</f>
        <v>0</v>
      </c>
    </row>
    <row r="39" spans="1:32" ht="12.75">
      <c r="A39" s="16" t="s">
        <v>26</v>
      </c>
      <c r="B39" s="12" t="s">
        <v>80</v>
      </c>
      <c r="C39" s="12" t="s">
        <v>103</v>
      </c>
      <c r="D39" s="12" t="s">
        <v>191</v>
      </c>
      <c r="E39" s="12" t="s">
        <v>266</v>
      </c>
      <c r="F39" s="13">
        <v>113.08</v>
      </c>
      <c r="G39" s="24"/>
      <c r="H39" s="13">
        <f>ROUND(F39*AE39,2)</f>
        <v>0</v>
      </c>
      <c r="I39" s="13">
        <f>J39-H39</f>
        <v>0</v>
      </c>
      <c r="J39" s="13">
        <f>ROUND(F39*G39,2)</f>
        <v>0</v>
      </c>
      <c r="K39" s="31">
        <v>0</v>
      </c>
      <c r="L39" s="32">
        <f>F39*K39</f>
        <v>0</v>
      </c>
      <c r="N39" s="73" t="s">
        <v>6</v>
      </c>
      <c r="O39" s="74">
        <f>IF(N39="5",I39,0)</f>
        <v>0</v>
      </c>
      <c r="Z39" s="74">
        <f>IF(AD39=0,J39,0)</f>
        <v>0</v>
      </c>
      <c r="AA39" s="74">
        <f>IF(AD39=10,J39,0)</f>
        <v>0</v>
      </c>
      <c r="AB39" s="74">
        <f>IF(AD39=20,J39,0)</f>
        <v>0</v>
      </c>
      <c r="AD39" s="74">
        <v>20</v>
      </c>
      <c r="AE39" s="74">
        <f>G39*0</f>
        <v>0</v>
      </c>
      <c r="AF39" s="74">
        <f>G39*(1-0)</f>
        <v>0</v>
      </c>
    </row>
    <row r="40" spans="1:32" ht="12.75">
      <c r="A40" s="16" t="s">
        <v>27</v>
      </c>
      <c r="B40" s="12" t="s">
        <v>80</v>
      </c>
      <c r="C40" s="12" t="s">
        <v>104</v>
      </c>
      <c r="D40" s="12" t="s">
        <v>192</v>
      </c>
      <c r="E40" s="12" t="s">
        <v>266</v>
      </c>
      <c r="F40" s="13">
        <v>113.08</v>
      </c>
      <c r="G40" s="24"/>
      <c r="H40" s="13">
        <f>ROUND(F40*AE40,2)</f>
        <v>0</v>
      </c>
      <c r="I40" s="13">
        <f>J40-H40</f>
        <v>0</v>
      </c>
      <c r="J40" s="13">
        <f>ROUND(F40*G40,2)</f>
        <v>0</v>
      </c>
      <c r="K40" s="31">
        <v>0</v>
      </c>
      <c r="L40" s="32">
        <f>F40*K40</f>
        <v>0</v>
      </c>
      <c r="N40" s="73" t="s">
        <v>6</v>
      </c>
      <c r="O40" s="74">
        <f>IF(N40="5",I40,0)</f>
        <v>0</v>
      </c>
      <c r="Z40" s="74">
        <f>IF(AD40=0,J40,0)</f>
        <v>0</v>
      </c>
      <c r="AA40" s="74">
        <f>IF(AD40=10,J40,0)</f>
        <v>0</v>
      </c>
      <c r="AB40" s="74">
        <f>IF(AD40=20,J40,0)</f>
        <v>0</v>
      </c>
      <c r="AD40" s="74">
        <v>20</v>
      </c>
      <c r="AE40" s="74">
        <f>G40*0.0432485968966656</f>
        <v>0</v>
      </c>
      <c r="AF40" s="74">
        <f>G40*(1-0.0432485968966656)</f>
        <v>0</v>
      </c>
    </row>
    <row r="41" spans="1:37" ht="12.75">
      <c r="A41" s="16"/>
      <c r="B41" s="12"/>
      <c r="C41" s="22" t="s">
        <v>105</v>
      </c>
      <c r="D41" s="59" t="s">
        <v>193</v>
      </c>
      <c r="E41" s="60"/>
      <c r="F41" s="60"/>
      <c r="G41" s="60"/>
      <c r="H41" s="23">
        <f>SUM(H42:H42)</f>
        <v>0</v>
      </c>
      <c r="I41" s="23">
        <f>SUM(I42:I42)</f>
        <v>0</v>
      </c>
      <c r="J41" s="23">
        <f>H41+I41</f>
        <v>0</v>
      </c>
      <c r="K41" s="29"/>
      <c r="L41" s="30">
        <f>SUM(L42:L42)</f>
        <v>0</v>
      </c>
      <c r="P41" s="72">
        <f>IF(Q41="PR",J41,SUM(O42:O42))</f>
        <v>0</v>
      </c>
      <c r="Q41" s="71" t="s">
        <v>290</v>
      </c>
      <c r="R41" s="72">
        <f>IF(Q41="HS",H41,0)</f>
        <v>0</v>
      </c>
      <c r="S41" s="72">
        <f>IF(Q41="HS",I41-P41,0)</f>
        <v>0</v>
      </c>
      <c r="T41" s="72">
        <f>IF(Q41="PS",H41,0)</f>
        <v>0</v>
      </c>
      <c r="U41" s="72">
        <f>IF(Q41="PS",I41-P41,0)</f>
        <v>0</v>
      </c>
      <c r="V41" s="72">
        <f>IF(Q41="MP",H41,0)</f>
        <v>0</v>
      </c>
      <c r="W41" s="72">
        <f>IF(Q41="MP",I41-P41,0)</f>
        <v>0</v>
      </c>
      <c r="X41" s="72">
        <f>IF(Q41="OM",H41,0)</f>
        <v>0</v>
      </c>
      <c r="Y41" s="71" t="s">
        <v>80</v>
      </c>
      <c r="AI41" s="72">
        <f>SUM(Z42:Z42)</f>
        <v>0</v>
      </c>
      <c r="AJ41" s="72">
        <f>SUM(AA42:AA42)</f>
        <v>0</v>
      </c>
      <c r="AK41" s="72">
        <f>SUM(AB42:AB42)</f>
        <v>0</v>
      </c>
    </row>
    <row r="42" spans="1:32" ht="12.75">
      <c r="A42" s="16" t="s">
        <v>28</v>
      </c>
      <c r="B42" s="12" t="s">
        <v>80</v>
      </c>
      <c r="C42" s="12" t="s">
        <v>106</v>
      </c>
      <c r="D42" s="12" t="s">
        <v>194</v>
      </c>
      <c r="E42" s="12" t="s">
        <v>267</v>
      </c>
      <c r="F42" s="13">
        <v>75</v>
      </c>
      <c r="G42" s="24"/>
      <c r="H42" s="13">
        <f>ROUND(F42*AE42,2)</f>
        <v>0</v>
      </c>
      <c r="I42" s="13">
        <f>J42-H42</f>
        <v>0</v>
      </c>
      <c r="J42" s="13">
        <f>ROUND(F42*G42,2)</f>
        <v>0</v>
      </c>
      <c r="K42" s="31">
        <v>0</v>
      </c>
      <c r="L42" s="32">
        <f>F42*K42</f>
        <v>0</v>
      </c>
      <c r="N42" s="73" t="s">
        <v>6</v>
      </c>
      <c r="O42" s="74">
        <f>IF(N42="5",I42,0)</f>
        <v>0</v>
      </c>
      <c r="Z42" s="74">
        <f>IF(AD42=0,J42,0)</f>
        <v>0</v>
      </c>
      <c r="AA42" s="74">
        <f>IF(AD42=10,J42,0)</f>
        <v>0</v>
      </c>
      <c r="AB42" s="74">
        <f>IF(AD42=20,J42,0)</f>
        <v>0</v>
      </c>
      <c r="AD42" s="74">
        <v>20</v>
      </c>
      <c r="AE42" s="74">
        <f>G42*0</f>
        <v>0</v>
      </c>
      <c r="AF42" s="74">
        <f>G42*(1-0)</f>
        <v>0</v>
      </c>
    </row>
    <row r="43" spans="1:37" ht="12.75">
      <c r="A43" s="16"/>
      <c r="B43" s="12"/>
      <c r="C43" s="22"/>
      <c r="D43" s="59" t="s">
        <v>195</v>
      </c>
      <c r="E43" s="60"/>
      <c r="F43" s="60"/>
      <c r="G43" s="60"/>
      <c r="H43" s="23">
        <f>SUM(H44:H44)</f>
        <v>0</v>
      </c>
      <c r="I43" s="23">
        <f>SUM(I44:I44)</f>
        <v>0</v>
      </c>
      <c r="J43" s="23">
        <f>H43+I43</f>
        <v>0</v>
      </c>
      <c r="K43" s="29"/>
      <c r="L43" s="30">
        <f>SUM(L44:L44)</f>
        <v>0</v>
      </c>
      <c r="P43" s="72">
        <f>IF(Q43="PR",J43,SUM(O44:O44))</f>
        <v>0</v>
      </c>
      <c r="Q43" s="71" t="s">
        <v>291</v>
      </c>
      <c r="R43" s="72">
        <f>IF(Q43="HS",H43,0)</f>
        <v>0</v>
      </c>
      <c r="S43" s="72">
        <f>IF(Q43="HS",I43-P43,0)</f>
        <v>0</v>
      </c>
      <c r="T43" s="72">
        <f>IF(Q43="PS",H43,0)</f>
        <v>0</v>
      </c>
      <c r="U43" s="72">
        <f>IF(Q43="PS",I43-P43,0)</f>
        <v>0</v>
      </c>
      <c r="V43" s="72">
        <f>IF(Q43="MP",H43,0)</f>
        <v>0</v>
      </c>
      <c r="W43" s="72">
        <f>IF(Q43="MP",I43-P43,0)</f>
        <v>0</v>
      </c>
      <c r="X43" s="72">
        <f>IF(Q43="OM",H43,0)</f>
        <v>0</v>
      </c>
      <c r="Y43" s="71" t="s">
        <v>80</v>
      </c>
      <c r="AI43" s="72">
        <f>SUM(Z44:Z44)</f>
        <v>0</v>
      </c>
      <c r="AJ43" s="72">
        <f>SUM(AA44:AA44)</f>
        <v>0</v>
      </c>
      <c r="AK43" s="72">
        <f>SUM(AB44:AB44)</f>
        <v>0</v>
      </c>
    </row>
    <row r="44" spans="1:32" ht="12.75">
      <c r="A44" s="16" t="s">
        <v>29</v>
      </c>
      <c r="B44" s="12" t="s">
        <v>80</v>
      </c>
      <c r="C44" s="12" t="s">
        <v>107</v>
      </c>
      <c r="D44" s="12" t="s">
        <v>196</v>
      </c>
      <c r="E44" s="12" t="s">
        <v>268</v>
      </c>
      <c r="F44" s="13">
        <v>1.5</v>
      </c>
      <c r="G44" s="24"/>
      <c r="H44" s="13">
        <f>ROUND(F44*AE44,2)</f>
        <v>0</v>
      </c>
      <c r="I44" s="13">
        <f>J44-H44</f>
        <v>0</v>
      </c>
      <c r="J44" s="13">
        <f>ROUND(F44*G44,2)</f>
        <v>0</v>
      </c>
      <c r="K44" s="31">
        <v>0</v>
      </c>
      <c r="L44" s="32">
        <f>F44*K44</f>
        <v>0</v>
      </c>
      <c r="N44" s="73" t="s">
        <v>287</v>
      </c>
      <c r="O44" s="74">
        <f>IF(N44="5",I44,0)</f>
        <v>0</v>
      </c>
      <c r="Z44" s="74">
        <f>IF(AD44=0,J44,0)</f>
        <v>0</v>
      </c>
      <c r="AA44" s="74">
        <f>IF(AD44=10,J44,0)</f>
        <v>0</v>
      </c>
      <c r="AB44" s="74">
        <f>IF(AD44=20,J44,0)</f>
        <v>0</v>
      </c>
      <c r="AD44" s="74">
        <v>20</v>
      </c>
      <c r="AE44" s="74">
        <f>G44*1</f>
        <v>0</v>
      </c>
      <c r="AF44" s="74">
        <f>G44*(1-1)</f>
        <v>0</v>
      </c>
    </row>
    <row r="45" spans="1:12" ht="12.75">
      <c r="A45" s="16"/>
      <c r="B45" s="12"/>
      <c r="C45" s="22"/>
      <c r="D45" s="59" t="s">
        <v>197</v>
      </c>
      <c r="E45" s="60"/>
      <c r="F45" s="60"/>
      <c r="G45" s="60"/>
      <c r="H45" s="23">
        <f>H46+H49+H57+H61+H64+H72+H76</f>
        <v>0</v>
      </c>
      <c r="I45" s="23">
        <f>I46+I49+I57+I61+I64+I72+I76</f>
        <v>0</v>
      </c>
      <c r="J45" s="23">
        <f>H45+I45</f>
        <v>0</v>
      </c>
      <c r="K45" s="29"/>
      <c r="L45" s="30">
        <f>L46+L49+L57+L61+L64+L72+L76</f>
        <v>2692.6059819</v>
      </c>
    </row>
    <row r="46" spans="1:37" ht="12.75">
      <c r="A46" s="16"/>
      <c r="B46" s="12"/>
      <c r="C46" s="22" t="s">
        <v>50</v>
      </c>
      <c r="D46" s="59" t="s">
        <v>198</v>
      </c>
      <c r="E46" s="60"/>
      <c r="F46" s="60"/>
      <c r="G46" s="60"/>
      <c r="H46" s="23">
        <f>SUM(H47:H48)</f>
        <v>0</v>
      </c>
      <c r="I46" s="23">
        <f>SUM(I47:I48)</f>
        <v>0</v>
      </c>
      <c r="J46" s="23">
        <f>H46+I46</f>
        <v>0</v>
      </c>
      <c r="K46" s="29"/>
      <c r="L46" s="30">
        <f>SUM(L47:L48)</f>
        <v>2.50071</v>
      </c>
      <c r="P46" s="72">
        <f>IF(Q46="PR",J46,SUM(O47:O48))</f>
        <v>0</v>
      </c>
      <c r="Q46" s="71" t="s">
        <v>290</v>
      </c>
      <c r="R46" s="72">
        <f>IF(Q46="HS",H46,0)</f>
        <v>0</v>
      </c>
      <c r="S46" s="72">
        <f>IF(Q46="HS",I46-P46,0)</f>
        <v>0</v>
      </c>
      <c r="T46" s="72">
        <f>IF(Q46="PS",H46,0)</f>
        <v>0</v>
      </c>
      <c r="U46" s="72">
        <f>IF(Q46="PS",I46-P46,0)</f>
        <v>0</v>
      </c>
      <c r="V46" s="72">
        <f>IF(Q46="MP",H46,0)</f>
        <v>0</v>
      </c>
      <c r="W46" s="72">
        <f>IF(Q46="MP",I46-P46,0)</f>
        <v>0</v>
      </c>
      <c r="X46" s="72">
        <f>IF(Q46="OM",H46,0)</f>
        <v>0</v>
      </c>
      <c r="Y46" s="71" t="s">
        <v>81</v>
      </c>
      <c r="AI46" s="72">
        <f>SUM(Z47:Z48)</f>
        <v>0</v>
      </c>
      <c r="AJ46" s="72">
        <f>SUM(AA47:AA48)</f>
        <v>0</v>
      </c>
      <c r="AK46" s="72">
        <f>SUM(AB47:AB48)</f>
        <v>0</v>
      </c>
    </row>
    <row r="47" spans="1:32" ht="12.75">
      <c r="A47" s="16" t="s">
        <v>30</v>
      </c>
      <c r="B47" s="12" t="s">
        <v>81</v>
      </c>
      <c r="C47" s="12" t="s">
        <v>108</v>
      </c>
      <c r="D47" s="12" t="s">
        <v>199</v>
      </c>
      <c r="E47" s="12" t="s">
        <v>266</v>
      </c>
      <c r="F47" s="13">
        <v>25</v>
      </c>
      <c r="G47" s="24"/>
      <c r="H47" s="13">
        <f>ROUND(F47*AE47,2)</f>
        <v>0</v>
      </c>
      <c r="I47" s="13">
        <f>J47-H47</f>
        <v>0</v>
      </c>
      <c r="J47" s="13">
        <f>ROUND(F47*G47,2)</f>
        <v>0</v>
      </c>
      <c r="K47" s="31">
        <v>0</v>
      </c>
      <c r="L47" s="32">
        <f>F47*K47</f>
        <v>0</v>
      </c>
      <c r="N47" s="73" t="s">
        <v>6</v>
      </c>
      <c r="O47" s="74">
        <f>IF(N47="5",I47,0)</f>
        <v>0</v>
      </c>
      <c r="Z47" s="74">
        <f>IF(AD47=0,J47,0)</f>
        <v>0</v>
      </c>
      <c r="AA47" s="74">
        <f>IF(AD47=10,J47,0)</f>
        <v>0</v>
      </c>
      <c r="AB47" s="74">
        <f>IF(AD47=20,J47,0)</f>
        <v>0</v>
      </c>
      <c r="AD47" s="74">
        <v>20</v>
      </c>
      <c r="AE47" s="74">
        <f>G47*0</f>
        <v>0</v>
      </c>
      <c r="AF47" s="74">
        <f>G47*(1-0)</f>
        <v>0</v>
      </c>
    </row>
    <row r="48" spans="1:32" ht="12.75">
      <c r="A48" s="16" t="s">
        <v>31</v>
      </c>
      <c r="B48" s="12" t="s">
        <v>81</v>
      </c>
      <c r="C48" s="12" t="s">
        <v>109</v>
      </c>
      <c r="D48" s="12" t="s">
        <v>200</v>
      </c>
      <c r="E48" s="12" t="s">
        <v>265</v>
      </c>
      <c r="F48" s="13">
        <v>1</v>
      </c>
      <c r="G48" s="24"/>
      <c r="H48" s="13">
        <f>ROUND(F48*AE48,2)</f>
        <v>0</v>
      </c>
      <c r="I48" s="13">
        <f>J48-H48</f>
        <v>0</v>
      </c>
      <c r="J48" s="13">
        <f>ROUND(F48*G48,2)</f>
        <v>0</v>
      </c>
      <c r="K48" s="31">
        <v>2.50071</v>
      </c>
      <c r="L48" s="32">
        <f>F48*K48</f>
        <v>2.50071</v>
      </c>
      <c r="N48" s="73" t="s">
        <v>6</v>
      </c>
      <c r="O48" s="74">
        <f>IF(N48="5",I48,0)</f>
        <v>0</v>
      </c>
      <c r="Z48" s="74">
        <f>IF(AD48=0,J48,0)</f>
        <v>0</v>
      </c>
      <c r="AA48" s="74">
        <f>IF(AD48=10,J48,0)</f>
        <v>0</v>
      </c>
      <c r="AB48" s="74">
        <f>IF(AD48=20,J48,0)</f>
        <v>0</v>
      </c>
      <c r="AD48" s="74">
        <v>20</v>
      </c>
      <c r="AE48" s="74">
        <f>G48*0.834177057529166</f>
        <v>0</v>
      </c>
      <c r="AF48" s="74">
        <f>G48*(1-0.834177057529166)</f>
        <v>0</v>
      </c>
    </row>
    <row r="49" spans="1:37" ht="12.75">
      <c r="A49" s="16"/>
      <c r="B49" s="12"/>
      <c r="C49" s="22" t="s">
        <v>61</v>
      </c>
      <c r="D49" s="59" t="s">
        <v>201</v>
      </c>
      <c r="E49" s="60"/>
      <c r="F49" s="60"/>
      <c r="G49" s="60"/>
      <c r="H49" s="23">
        <f>SUM(H50:H56)</f>
        <v>0</v>
      </c>
      <c r="I49" s="23">
        <f>SUM(I50:I56)</f>
        <v>0</v>
      </c>
      <c r="J49" s="23">
        <f>H49+I49</f>
        <v>0</v>
      </c>
      <c r="K49" s="29"/>
      <c r="L49" s="30">
        <f>SUM(L50:L56)</f>
        <v>2386.7647388</v>
      </c>
      <c r="P49" s="72">
        <f>IF(Q49="PR",J49,SUM(O50:O56))</f>
        <v>0</v>
      </c>
      <c r="Q49" s="71" t="s">
        <v>290</v>
      </c>
      <c r="R49" s="72">
        <f>IF(Q49="HS",H49,0)</f>
        <v>0</v>
      </c>
      <c r="S49" s="72">
        <f>IF(Q49="HS",I49-P49,0)</f>
        <v>0</v>
      </c>
      <c r="T49" s="72">
        <f>IF(Q49="PS",H49,0)</f>
        <v>0</v>
      </c>
      <c r="U49" s="72">
        <f>IF(Q49="PS",I49-P49,0)</f>
        <v>0</v>
      </c>
      <c r="V49" s="72">
        <f>IF(Q49="MP",H49,0)</f>
        <v>0</v>
      </c>
      <c r="W49" s="72">
        <f>IF(Q49="MP",I49-P49,0)</f>
        <v>0</v>
      </c>
      <c r="X49" s="72">
        <f>IF(Q49="OM",H49,0)</f>
        <v>0</v>
      </c>
      <c r="Y49" s="71" t="s">
        <v>81</v>
      </c>
      <c r="AI49" s="72">
        <f>SUM(Z50:Z56)</f>
        <v>0</v>
      </c>
      <c r="AJ49" s="72">
        <f>SUM(AA50:AA56)</f>
        <v>0</v>
      </c>
      <c r="AK49" s="72">
        <f>SUM(AB50:AB56)</f>
        <v>0</v>
      </c>
    </row>
    <row r="50" spans="1:32" ht="12.75">
      <c r="A50" s="16" t="s">
        <v>32</v>
      </c>
      <c r="B50" s="12" t="s">
        <v>81</v>
      </c>
      <c r="C50" s="12" t="s">
        <v>110</v>
      </c>
      <c r="D50" s="12" t="s">
        <v>202</v>
      </c>
      <c r="E50" s="12" t="s">
        <v>266</v>
      </c>
      <c r="F50" s="13">
        <v>2477.24</v>
      </c>
      <c r="G50" s="24"/>
      <c r="H50" s="13">
        <f>ROUND(F50*AE50,2)</f>
        <v>0</v>
      </c>
      <c r="I50" s="13">
        <f aca="true" t="shared" si="9" ref="I50:I56">J50-H50</f>
        <v>0</v>
      </c>
      <c r="J50" s="13">
        <f aca="true" t="shared" si="10" ref="J50:J56">ROUND(F50*G50,2)</f>
        <v>0</v>
      </c>
      <c r="K50" s="31">
        <v>0.18907</v>
      </c>
      <c r="L50" s="32">
        <f aca="true" t="shared" si="11" ref="L50:L56">F50*K50</f>
        <v>468.37176679999993</v>
      </c>
      <c r="N50" s="73" t="s">
        <v>6</v>
      </c>
      <c r="O50" s="74">
        <f aca="true" t="shared" si="12" ref="O50:O56">IF(N50="5",I50,0)</f>
        <v>0</v>
      </c>
      <c r="Z50" s="74">
        <f aca="true" t="shared" si="13" ref="Z50:Z56">IF(AD50=0,J50,0)</f>
        <v>0</v>
      </c>
      <c r="AA50" s="74">
        <f aca="true" t="shared" si="14" ref="AA50:AA56">IF(AD50=10,J50,0)</f>
        <v>0</v>
      </c>
      <c r="AB50" s="74">
        <f aca="true" t="shared" si="15" ref="AB50:AB56">IF(AD50=20,J50,0)</f>
        <v>0</v>
      </c>
      <c r="AD50" s="74">
        <v>20</v>
      </c>
      <c r="AE50" s="74">
        <f>G50*0.808896210873147</f>
        <v>0</v>
      </c>
      <c r="AF50" s="74">
        <f>G50*(1-0.808896210873147)</f>
        <v>0</v>
      </c>
    </row>
    <row r="51" spans="1:32" ht="12.75">
      <c r="A51" s="16" t="s">
        <v>33</v>
      </c>
      <c r="B51" s="12" t="s">
        <v>81</v>
      </c>
      <c r="C51" s="12" t="s">
        <v>111</v>
      </c>
      <c r="D51" s="12" t="s">
        <v>203</v>
      </c>
      <c r="E51" s="12" t="s">
        <v>266</v>
      </c>
      <c r="F51" s="13">
        <v>20</v>
      </c>
      <c r="G51" s="24"/>
      <c r="H51" s="13">
        <f>ROUND(F51*AE51,2)</f>
        <v>0</v>
      </c>
      <c r="I51" s="13">
        <f t="shared" si="9"/>
        <v>0</v>
      </c>
      <c r="J51" s="13">
        <f t="shared" si="10"/>
        <v>0</v>
      </c>
      <c r="K51" s="31">
        <v>0.2024</v>
      </c>
      <c r="L51" s="32">
        <f t="shared" si="11"/>
        <v>4.048</v>
      </c>
      <c r="N51" s="73" t="s">
        <v>6</v>
      </c>
      <c r="O51" s="74">
        <f t="shared" si="12"/>
        <v>0</v>
      </c>
      <c r="Z51" s="74">
        <f t="shared" si="13"/>
        <v>0</v>
      </c>
      <c r="AA51" s="74">
        <f t="shared" si="14"/>
        <v>0</v>
      </c>
      <c r="AB51" s="74">
        <f t="shared" si="15"/>
        <v>0</v>
      </c>
      <c r="AD51" s="74">
        <v>20</v>
      </c>
      <c r="AE51" s="74">
        <f>G51*0.851758793969849</f>
        <v>0</v>
      </c>
      <c r="AF51" s="74">
        <f>G51*(1-0.851758793969849)</f>
        <v>0</v>
      </c>
    </row>
    <row r="52" spans="1:32" ht="12.75">
      <c r="A52" s="16" t="s">
        <v>34</v>
      </c>
      <c r="B52" s="12" t="s">
        <v>81</v>
      </c>
      <c r="C52" s="12" t="s">
        <v>112</v>
      </c>
      <c r="D52" s="12" t="s">
        <v>204</v>
      </c>
      <c r="E52" s="12" t="s">
        <v>266</v>
      </c>
      <c r="F52" s="13">
        <v>2592.26</v>
      </c>
      <c r="G52" s="24"/>
      <c r="H52" s="13">
        <f>ROUND(F52*AE52,2)</f>
        <v>0</v>
      </c>
      <c r="I52" s="13">
        <f t="shared" si="9"/>
        <v>0</v>
      </c>
      <c r="J52" s="13">
        <f t="shared" si="10"/>
        <v>0</v>
      </c>
      <c r="K52" s="31">
        <v>0.27994</v>
      </c>
      <c r="L52" s="32">
        <f t="shared" si="11"/>
        <v>725.6772644000001</v>
      </c>
      <c r="N52" s="73" t="s">
        <v>6</v>
      </c>
      <c r="O52" s="74">
        <f t="shared" si="12"/>
        <v>0</v>
      </c>
      <c r="Z52" s="74">
        <f t="shared" si="13"/>
        <v>0</v>
      </c>
      <c r="AA52" s="74">
        <f t="shared" si="14"/>
        <v>0</v>
      </c>
      <c r="AB52" s="74">
        <f t="shared" si="15"/>
        <v>0</v>
      </c>
      <c r="AD52" s="74">
        <v>20</v>
      </c>
      <c r="AE52" s="74">
        <f>G52*0.840930738876038</f>
        <v>0</v>
      </c>
      <c r="AF52" s="74">
        <f>G52*(1-0.840930738876038)</f>
        <v>0</v>
      </c>
    </row>
    <row r="53" spans="1:32" ht="12.75">
      <c r="A53" s="16" t="s">
        <v>35</v>
      </c>
      <c r="B53" s="12" t="s">
        <v>81</v>
      </c>
      <c r="C53" s="12" t="s">
        <v>112</v>
      </c>
      <c r="D53" s="12" t="s">
        <v>205</v>
      </c>
      <c r="E53" s="12" t="s">
        <v>266</v>
      </c>
      <c r="F53" s="13">
        <v>2764.76</v>
      </c>
      <c r="G53" s="24"/>
      <c r="H53" s="13">
        <f>ROUND(F53*AE53,2)</f>
        <v>0</v>
      </c>
      <c r="I53" s="13">
        <f t="shared" si="9"/>
        <v>0</v>
      </c>
      <c r="J53" s="13">
        <f t="shared" si="10"/>
        <v>0</v>
      </c>
      <c r="K53" s="31">
        <v>0.27994</v>
      </c>
      <c r="L53" s="32">
        <f t="shared" si="11"/>
        <v>773.9669144000002</v>
      </c>
      <c r="N53" s="73" t="s">
        <v>6</v>
      </c>
      <c r="O53" s="74">
        <f t="shared" si="12"/>
        <v>0</v>
      </c>
      <c r="Z53" s="74">
        <f t="shared" si="13"/>
        <v>0</v>
      </c>
      <c r="AA53" s="74">
        <f t="shared" si="14"/>
        <v>0</v>
      </c>
      <c r="AB53" s="74">
        <f t="shared" si="15"/>
        <v>0</v>
      </c>
      <c r="AD53" s="74">
        <v>20</v>
      </c>
      <c r="AE53" s="74">
        <f>G53*0.840930738876038</f>
        <v>0</v>
      </c>
      <c r="AF53" s="74">
        <f>G53*(1-0.840930738876038)</f>
        <v>0</v>
      </c>
    </row>
    <row r="54" spans="1:32" ht="12.75">
      <c r="A54" s="16" t="s">
        <v>36</v>
      </c>
      <c r="B54" s="12" t="s">
        <v>81</v>
      </c>
      <c r="C54" s="12" t="s">
        <v>113</v>
      </c>
      <c r="D54" s="12" t="s">
        <v>206</v>
      </c>
      <c r="E54" s="12" t="s">
        <v>266</v>
      </c>
      <c r="F54" s="13">
        <v>2057.42</v>
      </c>
      <c r="G54" s="24"/>
      <c r="H54" s="13">
        <f>ROUND(F54*AE54,2)</f>
        <v>0</v>
      </c>
      <c r="I54" s="13">
        <f t="shared" si="9"/>
        <v>0</v>
      </c>
      <c r="J54" s="13">
        <f t="shared" si="10"/>
        <v>0</v>
      </c>
      <c r="K54" s="31">
        <v>0.15826</v>
      </c>
      <c r="L54" s="32">
        <f t="shared" si="11"/>
        <v>325.6072892</v>
      </c>
      <c r="N54" s="73" t="s">
        <v>6</v>
      </c>
      <c r="O54" s="74">
        <f t="shared" si="12"/>
        <v>0</v>
      </c>
      <c r="Z54" s="74">
        <f t="shared" si="13"/>
        <v>0</v>
      </c>
      <c r="AA54" s="74">
        <f t="shared" si="14"/>
        <v>0</v>
      </c>
      <c r="AB54" s="74">
        <f t="shared" si="15"/>
        <v>0</v>
      </c>
      <c r="AD54" s="74">
        <v>20</v>
      </c>
      <c r="AE54" s="74">
        <f>G54*0.812799193751575</f>
        <v>0</v>
      </c>
      <c r="AF54" s="74">
        <f>G54*(1-0.812799193751575)</f>
        <v>0</v>
      </c>
    </row>
    <row r="55" spans="1:32" ht="12.75">
      <c r="A55" s="16" t="s">
        <v>37</v>
      </c>
      <c r="B55" s="12" t="s">
        <v>81</v>
      </c>
      <c r="C55" s="12" t="s">
        <v>114</v>
      </c>
      <c r="D55" s="12" t="s">
        <v>207</v>
      </c>
      <c r="E55" s="12" t="s">
        <v>266</v>
      </c>
      <c r="F55" s="13">
        <v>426.72</v>
      </c>
      <c r="G55" s="24"/>
      <c r="H55" s="13">
        <f>ROUND(F55*AE55,2)</f>
        <v>0</v>
      </c>
      <c r="I55" s="13">
        <f t="shared" si="9"/>
        <v>0</v>
      </c>
      <c r="J55" s="13">
        <f t="shared" si="10"/>
        <v>0</v>
      </c>
      <c r="K55" s="31">
        <v>0.19695</v>
      </c>
      <c r="L55" s="32">
        <f t="shared" si="11"/>
        <v>84.042504</v>
      </c>
      <c r="N55" s="73" t="s">
        <v>6</v>
      </c>
      <c r="O55" s="74">
        <f t="shared" si="12"/>
        <v>0</v>
      </c>
      <c r="Z55" s="74">
        <f t="shared" si="13"/>
        <v>0</v>
      </c>
      <c r="AA55" s="74">
        <f t="shared" si="14"/>
        <v>0</v>
      </c>
      <c r="AB55" s="74">
        <f t="shared" si="15"/>
        <v>0</v>
      </c>
      <c r="AD55" s="74">
        <v>20</v>
      </c>
      <c r="AE55" s="74">
        <f>G55*0.816645349899507</f>
        <v>0</v>
      </c>
      <c r="AF55" s="74">
        <f>G55*(1-0.816645349899507)</f>
        <v>0</v>
      </c>
    </row>
    <row r="56" spans="1:32" ht="12.75">
      <c r="A56" s="16" t="s">
        <v>38</v>
      </c>
      <c r="B56" s="12" t="s">
        <v>81</v>
      </c>
      <c r="C56" s="12" t="s">
        <v>115</v>
      </c>
      <c r="D56" s="12" t="s">
        <v>208</v>
      </c>
      <c r="E56" s="12" t="s">
        <v>266</v>
      </c>
      <c r="F56" s="13">
        <v>20</v>
      </c>
      <c r="G56" s="24"/>
      <c r="H56" s="13">
        <f>ROUND(F56*AE56,2)</f>
        <v>0</v>
      </c>
      <c r="I56" s="13">
        <f t="shared" si="9"/>
        <v>0</v>
      </c>
      <c r="J56" s="13">
        <f t="shared" si="10"/>
        <v>0</v>
      </c>
      <c r="K56" s="31">
        <v>0.25255</v>
      </c>
      <c r="L56" s="32">
        <f t="shared" si="11"/>
        <v>5.051</v>
      </c>
      <c r="N56" s="73" t="s">
        <v>6</v>
      </c>
      <c r="O56" s="74">
        <f t="shared" si="12"/>
        <v>0</v>
      </c>
      <c r="Z56" s="74">
        <f t="shared" si="13"/>
        <v>0</v>
      </c>
      <c r="AA56" s="74">
        <f t="shared" si="14"/>
        <v>0</v>
      </c>
      <c r="AB56" s="74">
        <f t="shared" si="15"/>
        <v>0</v>
      </c>
      <c r="AD56" s="74">
        <v>20</v>
      </c>
      <c r="AE56" s="74">
        <f>G56*0.789443945890252</f>
        <v>0</v>
      </c>
      <c r="AF56" s="74">
        <f>G56*(1-0.789443945890252)</f>
        <v>0</v>
      </c>
    </row>
    <row r="57" spans="1:37" ht="12.75">
      <c r="A57" s="16"/>
      <c r="B57" s="12"/>
      <c r="C57" s="22" t="s">
        <v>62</v>
      </c>
      <c r="D57" s="59" t="s">
        <v>209</v>
      </c>
      <c r="E57" s="60"/>
      <c r="F57" s="60"/>
      <c r="G57" s="60"/>
      <c r="H57" s="23">
        <f>SUM(H58:H60)</f>
        <v>0</v>
      </c>
      <c r="I57" s="23">
        <f>SUM(I58:I60)</f>
        <v>0</v>
      </c>
      <c r="J57" s="23">
        <f>H57+I57</f>
        <v>0</v>
      </c>
      <c r="K57" s="29"/>
      <c r="L57" s="30">
        <f>SUM(L58:L60)</f>
        <v>221.44011460000002</v>
      </c>
      <c r="P57" s="72">
        <f>IF(Q57="PR",J57,SUM(O58:O60))</f>
        <v>0</v>
      </c>
      <c r="Q57" s="71" t="s">
        <v>290</v>
      </c>
      <c r="R57" s="72">
        <f>IF(Q57="HS",H57,0)</f>
        <v>0</v>
      </c>
      <c r="S57" s="72">
        <f>IF(Q57="HS",I57-P57,0)</f>
        <v>0</v>
      </c>
      <c r="T57" s="72">
        <f>IF(Q57="PS",H57,0)</f>
        <v>0</v>
      </c>
      <c r="U57" s="72">
        <f>IF(Q57="PS",I57-P57,0)</f>
        <v>0</v>
      </c>
      <c r="V57" s="72">
        <f>IF(Q57="MP",H57,0)</f>
        <v>0</v>
      </c>
      <c r="W57" s="72">
        <f>IF(Q57="MP",I57-P57,0)</f>
        <v>0</v>
      </c>
      <c r="X57" s="72">
        <f>IF(Q57="OM",H57,0)</f>
        <v>0</v>
      </c>
      <c r="Y57" s="71" t="s">
        <v>81</v>
      </c>
      <c r="AI57" s="72">
        <f>SUM(Z58:Z60)</f>
        <v>0</v>
      </c>
      <c r="AJ57" s="72">
        <f>SUM(AA58:AA60)</f>
        <v>0</v>
      </c>
      <c r="AK57" s="72">
        <f>SUM(AB58:AB60)</f>
        <v>0</v>
      </c>
    </row>
    <row r="58" spans="1:32" ht="12.75">
      <c r="A58" s="16" t="s">
        <v>39</v>
      </c>
      <c r="B58" s="12" t="s">
        <v>81</v>
      </c>
      <c r="C58" s="12" t="s">
        <v>116</v>
      </c>
      <c r="D58" s="12" t="s">
        <v>210</v>
      </c>
      <c r="E58" s="12" t="s">
        <v>266</v>
      </c>
      <c r="F58" s="13">
        <v>2057.42</v>
      </c>
      <c r="G58" s="24"/>
      <c r="H58" s="13">
        <f>ROUND(F58*AE58,2)</f>
        <v>0</v>
      </c>
      <c r="I58" s="13">
        <f>J58-H58</f>
        <v>0</v>
      </c>
      <c r="J58" s="13">
        <f>ROUND(F58*G58,2)</f>
        <v>0</v>
      </c>
      <c r="K58" s="31">
        <v>0.00561</v>
      </c>
      <c r="L58" s="32">
        <f>F58*K58</f>
        <v>11.542126200000002</v>
      </c>
      <c r="N58" s="73" t="s">
        <v>6</v>
      </c>
      <c r="O58" s="74">
        <f>IF(N58="5",I58,0)</f>
        <v>0</v>
      </c>
      <c r="Z58" s="74">
        <f>IF(AD58=0,J58,0)</f>
        <v>0</v>
      </c>
      <c r="AA58" s="74">
        <f>IF(AD58=10,J58,0)</f>
        <v>0</v>
      </c>
      <c r="AB58" s="74">
        <f>IF(AD58=20,J58,0)</f>
        <v>0</v>
      </c>
      <c r="AD58" s="74">
        <v>20</v>
      </c>
      <c r="AE58" s="74">
        <f>G58*0.786228983186549</f>
        <v>0</v>
      </c>
      <c r="AF58" s="74">
        <f>G58*(1-0.786228983186549)</f>
        <v>0</v>
      </c>
    </row>
    <row r="59" spans="1:32" ht="12.75">
      <c r="A59" s="16" t="s">
        <v>40</v>
      </c>
      <c r="B59" s="12" t="s">
        <v>81</v>
      </c>
      <c r="C59" s="12" t="s">
        <v>117</v>
      </c>
      <c r="D59" s="12" t="s">
        <v>211</v>
      </c>
      <c r="E59" s="12" t="s">
        <v>266</v>
      </c>
      <c r="F59" s="13">
        <v>2057.42</v>
      </c>
      <c r="G59" s="24"/>
      <c r="H59" s="13">
        <f>ROUND(F59*AE59,2)</f>
        <v>0</v>
      </c>
      <c r="I59" s="13">
        <f>J59-H59</f>
        <v>0</v>
      </c>
      <c r="J59" s="13">
        <f>ROUND(F59*G59,2)</f>
        <v>0</v>
      </c>
      <c r="K59" s="31">
        <v>0.00061</v>
      </c>
      <c r="L59" s="32">
        <f>F59*K59</f>
        <v>1.2550262</v>
      </c>
      <c r="N59" s="73" t="s">
        <v>6</v>
      </c>
      <c r="O59" s="74">
        <f>IF(N59="5",I59,0)</f>
        <v>0</v>
      </c>
      <c r="Z59" s="74">
        <f>IF(AD59=0,J59,0)</f>
        <v>0</v>
      </c>
      <c r="AA59" s="74">
        <f>IF(AD59=10,J59,0)</f>
        <v>0</v>
      </c>
      <c r="AB59" s="74">
        <f>IF(AD59=20,J59,0)</f>
        <v>0</v>
      </c>
      <c r="AD59" s="74">
        <v>20</v>
      </c>
      <c r="AE59" s="74">
        <f>G59*0.900120336943442</f>
        <v>0</v>
      </c>
      <c r="AF59" s="74">
        <f>G59*(1-0.900120336943442)</f>
        <v>0</v>
      </c>
    </row>
    <row r="60" spans="1:32" ht="12.75">
      <c r="A60" s="16" t="s">
        <v>41</v>
      </c>
      <c r="B60" s="12" t="s">
        <v>81</v>
      </c>
      <c r="C60" s="12" t="s">
        <v>118</v>
      </c>
      <c r="D60" s="12" t="s">
        <v>212</v>
      </c>
      <c r="E60" s="12" t="s">
        <v>266</v>
      </c>
      <c r="F60" s="13">
        <v>2057.42</v>
      </c>
      <c r="G60" s="24"/>
      <c r="H60" s="13">
        <f>ROUND(F60*AE60,2)</f>
        <v>0</v>
      </c>
      <c r="I60" s="13">
        <f>J60-H60</f>
        <v>0</v>
      </c>
      <c r="J60" s="13">
        <f>ROUND(F60*G60,2)</f>
        <v>0</v>
      </c>
      <c r="K60" s="31">
        <v>0.10141</v>
      </c>
      <c r="L60" s="32">
        <f>F60*K60</f>
        <v>208.6429622</v>
      </c>
      <c r="N60" s="73" t="s">
        <v>6</v>
      </c>
      <c r="O60" s="74">
        <f>IF(N60="5",I60,0)</f>
        <v>0</v>
      </c>
      <c r="Z60" s="74">
        <f>IF(AD60=0,J60,0)</f>
        <v>0</v>
      </c>
      <c r="AA60" s="74">
        <f>IF(AD60=10,J60,0)</f>
        <v>0</v>
      </c>
      <c r="AB60" s="74">
        <f>IF(AD60=20,J60,0)</f>
        <v>0</v>
      </c>
      <c r="AD60" s="74">
        <v>20</v>
      </c>
      <c r="AE60" s="74">
        <f>G60*0.896841555729574</f>
        <v>0</v>
      </c>
      <c r="AF60" s="74">
        <f>G60*(1-0.896841555729574)</f>
        <v>0</v>
      </c>
    </row>
    <row r="61" spans="1:37" ht="12.75">
      <c r="A61" s="16"/>
      <c r="B61" s="12"/>
      <c r="C61" s="22" t="s">
        <v>64</v>
      </c>
      <c r="D61" s="59" t="s">
        <v>213</v>
      </c>
      <c r="E61" s="60"/>
      <c r="F61" s="60"/>
      <c r="G61" s="60"/>
      <c r="H61" s="23">
        <f>SUM(H62:H63)</f>
        <v>0</v>
      </c>
      <c r="I61" s="23">
        <f>SUM(I62:I63)</f>
        <v>0</v>
      </c>
      <c r="J61" s="23">
        <f>H61+I61</f>
        <v>0</v>
      </c>
      <c r="K61" s="29"/>
      <c r="L61" s="30">
        <f>SUM(L62:L63)</f>
        <v>4.951104000000001</v>
      </c>
      <c r="P61" s="72">
        <f>IF(Q61="PR",J61,SUM(O62:O63))</f>
        <v>0</v>
      </c>
      <c r="Q61" s="71" t="s">
        <v>290</v>
      </c>
      <c r="R61" s="72">
        <f>IF(Q61="HS",H61,0)</f>
        <v>0</v>
      </c>
      <c r="S61" s="72">
        <f>IF(Q61="HS",I61-P61,0)</f>
        <v>0</v>
      </c>
      <c r="T61" s="72">
        <f>IF(Q61="PS",H61,0)</f>
        <v>0</v>
      </c>
      <c r="U61" s="72">
        <f>IF(Q61="PS",I61-P61,0)</f>
        <v>0</v>
      </c>
      <c r="V61" s="72">
        <f>IF(Q61="MP",H61,0)</f>
        <v>0</v>
      </c>
      <c r="W61" s="72">
        <f>IF(Q61="MP",I61-P61,0)</f>
        <v>0</v>
      </c>
      <c r="X61" s="72">
        <f>IF(Q61="OM",H61,0)</f>
        <v>0</v>
      </c>
      <c r="Y61" s="71" t="s">
        <v>81</v>
      </c>
      <c r="AI61" s="72">
        <f>SUM(Z62:Z63)</f>
        <v>0</v>
      </c>
      <c r="AJ61" s="72">
        <f>SUM(AA62:AA63)</f>
        <v>0</v>
      </c>
      <c r="AK61" s="72">
        <f>SUM(AB62:AB63)</f>
        <v>0</v>
      </c>
    </row>
    <row r="62" spans="1:32" ht="12.75">
      <c r="A62" s="16" t="s">
        <v>42</v>
      </c>
      <c r="B62" s="12" t="s">
        <v>81</v>
      </c>
      <c r="C62" s="12" t="s">
        <v>119</v>
      </c>
      <c r="D62" s="12" t="s">
        <v>214</v>
      </c>
      <c r="E62" s="12" t="s">
        <v>266</v>
      </c>
      <c r="F62" s="13">
        <v>6.4</v>
      </c>
      <c r="G62" s="24"/>
      <c r="H62" s="13">
        <f>ROUND(F62*AE62,2)</f>
        <v>0</v>
      </c>
      <c r="I62" s="13">
        <f>J62-H62</f>
        <v>0</v>
      </c>
      <c r="J62" s="13">
        <f>ROUND(F62*G62,2)</f>
        <v>0</v>
      </c>
      <c r="K62" s="31">
        <v>0.62754</v>
      </c>
      <c r="L62" s="32">
        <f>F62*K62</f>
        <v>4.016256</v>
      </c>
      <c r="N62" s="73" t="s">
        <v>6</v>
      </c>
      <c r="O62" s="74">
        <f>IF(N62="5",I62,0)</f>
        <v>0</v>
      </c>
      <c r="Z62" s="74">
        <f>IF(AD62=0,J62,0)</f>
        <v>0</v>
      </c>
      <c r="AA62" s="74">
        <f>IF(AD62=10,J62,0)</f>
        <v>0</v>
      </c>
      <c r="AB62" s="74">
        <f>IF(AD62=20,J62,0)</f>
        <v>0</v>
      </c>
      <c r="AD62" s="74">
        <v>20</v>
      </c>
      <c r="AE62" s="74">
        <f>G62*0.602857068916436</f>
        <v>0</v>
      </c>
      <c r="AF62" s="74">
        <f>G62*(1-0.602857068916436)</f>
        <v>0</v>
      </c>
    </row>
    <row r="63" spans="1:32" ht="12.75">
      <c r="A63" s="16" t="s">
        <v>43</v>
      </c>
      <c r="B63" s="12" t="s">
        <v>81</v>
      </c>
      <c r="C63" s="12" t="s">
        <v>120</v>
      </c>
      <c r="D63" s="12" t="s">
        <v>215</v>
      </c>
      <c r="E63" s="12" t="s">
        <v>266</v>
      </c>
      <c r="F63" s="13">
        <v>6.4</v>
      </c>
      <c r="G63" s="24"/>
      <c r="H63" s="13">
        <f>ROUND(F63*AE63,2)</f>
        <v>0</v>
      </c>
      <c r="I63" s="13">
        <f>J63-H63</f>
        <v>0</v>
      </c>
      <c r="J63" s="13">
        <f>ROUND(F63*G63,2)</f>
        <v>0</v>
      </c>
      <c r="K63" s="31">
        <v>0.14607</v>
      </c>
      <c r="L63" s="32">
        <f>F63*K63</f>
        <v>0.9348480000000001</v>
      </c>
      <c r="N63" s="73" t="s">
        <v>6</v>
      </c>
      <c r="O63" s="74">
        <f>IF(N63="5",I63,0)</f>
        <v>0</v>
      </c>
      <c r="Z63" s="74">
        <f>IF(AD63=0,J63,0)</f>
        <v>0</v>
      </c>
      <c r="AA63" s="74">
        <f>IF(AD63=10,J63,0)</f>
        <v>0</v>
      </c>
      <c r="AB63" s="74">
        <f>IF(AD63=20,J63,0)</f>
        <v>0</v>
      </c>
      <c r="AD63" s="74">
        <v>20</v>
      </c>
      <c r="AE63" s="74">
        <f>G63*0.656689162366018</f>
        <v>0</v>
      </c>
      <c r="AF63" s="74">
        <f>G63*(1-0.656689162366018)</f>
        <v>0</v>
      </c>
    </row>
    <row r="64" spans="1:37" ht="12.75">
      <c r="A64" s="16"/>
      <c r="B64" s="12"/>
      <c r="C64" s="22" t="s">
        <v>121</v>
      </c>
      <c r="D64" s="59" t="s">
        <v>216</v>
      </c>
      <c r="E64" s="60"/>
      <c r="F64" s="60"/>
      <c r="G64" s="60"/>
      <c r="H64" s="23">
        <f>SUM(H65:H71)</f>
        <v>0</v>
      </c>
      <c r="I64" s="23">
        <f>SUM(I65:I71)</f>
        <v>0</v>
      </c>
      <c r="J64" s="23">
        <f>H64+I64</f>
        <v>0</v>
      </c>
      <c r="K64" s="29"/>
      <c r="L64" s="30">
        <f>SUM(L65:L71)</f>
        <v>54.939114499999995</v>
      </c>
      <c r="P64" s="72">
        <f>IF(Q64="PR",J64,SUM(O65:O71))</f>
        <v>0</v>
      </c>
      <c r="Q64" s="71" t="s">
        <v>290</v>
      </c>
      <c r="R64" s="72">
        <f>IF(Q64="HS",H64,0)</f>
        <v>0</v>
      </c>
      <c r="S64" s="72">
        <f>IF(Q64="HS",I64-P64,0)</f>
        <v>0</v>
      </c>
      <c r="T64" s="72">
        <f>IF(Q64="PS",H64,0)</f>
        <v>0</v>
      </c>
      <c r="U64" s="72">
        <f>IF(Q64="PS",I64-P64,0)</f>
        <v>0</v>
      </c>
      <c r="V64" s="72">
        <f>IF(Q64="MP",H64,0)</f>
        <v>0</v>
      </c>
      <c r="W64" s="72">
        <f>IF(Q64="MP",I64-P64,0)</f>
        <v>0</v>
      </c>
      <c r="X64" s="72">
        <f>IF(Q64="OM",H64,0)</f>
        <v>0</v>
      </c>
      <c r="Y64" s="71" t="s">
        <v>81</v>
      </c>
      <c r="AI64" s="72">
        <f>SUM(Z65:Z71)</f>
        <v>0</v>
      </c>
      <c r="AJ64" s="72">
        <f>SUM(AA65:AA71)</f>
        <v>0</v>
      </c>
      <c r="AK64" s="72">
        <f>SUM(AB65:AB71)</f>
        <v>0</v>
      </c>
    </row>
    <row r="65" spans="1:32" ht="12.75">
      <c r="A65" s="16" t="s">
        <v>44</v>
      </c>
      <c r="B65" s="12" t="s">
        <v>81</v>
      </c>
      <c r="C65" s="12" t="s">
        <v>122</v>
      </c>
      <c r="D65" s="12" t="s">
        <v>217</v>
      </c>
      <c r="E65" s="12" t="s">
        <v>269</v>
      </c>
      <c r="F65" s="13">
        <v>2</v>
      </c>
      <c r="G65" s="24"/>
      <c r="H65" s="13">
        <f>ROUND(F65*AE65,2)</f>
        <v>0</v>
      </c>
      <c r="I65" s="13">
        <f aca="true" t="shared" si="16" ref="I65:I71">J65-H65</f>
        <v>0</v>
      </c>
      <c r="J65" s="13">
        <f aca="true" t="shared" si="17" ref="J65:J71">ROUND(F65*G65,2)</f>
        <v>0</v>
      </c>
      <c r="K65" s="31">
        <v>16.76942</v>
      </c>
      <c r="L65" s="32">
        <f aca="true" t="shared" si="18" ref="L65:L71">F65*K65</f>
        <v>33.53884</v>
      </c>
      <c r="N65" s="73" t="s">
        <v>6</v>
      </c>
      <c r="O65" s="74">
        <f aca="true" t="shared" si="19" ref="O65:O71">IF(N65="5",I65,0)</f>
        <v>0</v>
      </c>
      <c r="Z65" s="74">
        <f aca="true" t="shared" si="20" ref="Z65:Z71">IF(AD65=0,J65,0)</f>
        <v>0</v>
      </c>
      <c r="AA65" s="74">
        <f aca="true" t="shared" si="21" ref="AA65:AA71">IF(AD65=10,J65,0)</f>
        <v>0</v>
      </c>
      <c r="AB65" s="74">
        <f aca="true" t="shared" si="22" ref="AB65:AB71">IF(AD65=20,J65,0)</f>
        <v>0</v>
      </c>
      <c r="AD65" s="74">
        <v>20</v>
      </c>
      <c r="AE65" s="74">
        <f>G65*0.544722047910199</f>
        <v>0</v>
      </c>
      <c r="AF65" s="74">
        <f>G65*(1-0.544722047910199)</f>
        <v>0</v>
      </c>
    </row>
    <row r="66" spans="1:32" ht="12.75">
      <c r="A66" s="16" t="s">
        <v>45</v>
      </c>
      <c r="B66" s="12" t="s">
        <v>81</v>
      </c>
      <c r="C66" s="12" t="s">
        <v>123</v>
      </c>
      <c r="D66" s="12" t="s">
        <v>218</v>
      </c>
      <c r="E66" s="12" t="s">
        <v>267</v>
      </c>
      <c r="F66" s="13">
        <v>12</v>
      </c>
      <c r="G66" s="24"/>
      <c r="H66" s="13">
        <f>ROUND(F66*AE66,2)</f>
        <v>0</v>
      </c>
      <c r="I66" s="13">
        <f t="shared" si="16"/>
        <v>0</v>
      </c>
      <c r="J66" s="13">
        <f t="shared" si="17"/>
        <v>0</v>
      </c>
      <c r="K66" s="31">
        <v>0.94985</v>
      </c>
      <c r="L66" s="32">
        <f t="shared" si="18"/>
        <v>11.3982</v>
      </c>
      <c r="N66" s="73" t="s">
        <v>6</v>
      </c>
      <c r="O66" s="74">
        <f t="shared" si="19"/>
        <v>0</v>
      </c>
      <c r="Z66" s="74">
        <f t="shared" si="20"/>
        <v>0</v>
      </c>
      <c r="AA66" s="74">
        <f t="shared" si="21"/>
        <v>0</v>
      </c>
      <c r="AB66" s="74">
        <f t="shared" si="22"/>
        <v>0</v>
      </c>
      <c r="AD66" s="74">
        <v>20</v>
      </c>
      <c r="AE66" s="74">
        <f>G66*0.512262024048096</f>
        <v>0</v>
      </c>
      <c r="AF66" s="74">
        <f>G66*(1-0.512262024048096)</f>
        <v>0</v>
      </c>
    </row>
    <row r="67" spans="1:32" ht="12.75">
      <c r="A67" s="16" t="s">
        <v>46</v>
      </c>
      <c r="B67" s="12" t="s">
        <v>81</v>
      </c>
      <c r="C67" s="12" t="s">
        <v>124</v>
      </c>
      <c r="D67" s="12" t="s">
        <v>219</v>
      </c>
      <c r="E67" s="12" t="s">
        <v>269</v>
      </c>
      <c r="F67" s="13">
        <v>2</v>
      </c>
      <c r="G67" s="24"/>
      <c r="H67" s="13">
        <f>ROUND(F67*AE67,2)</f>
        <v>0</v>
      </c>
      <c r="I67" s="13">
        <f t="shared" si="16"/>
        <v>0</v>
      </c>
      <c r="J67" s="13">
        <f t="shared" si="17"/>
        <v>0</v>
      </c>
      <c r="K67" s="31">
        <v>0.4918</v>
      </c>
      <c r="L67" s="32">
        <f t="shared" si="18"/>
        <v>0.9836</v>
      </c>
      <c r="N67" s="73" t="s">
        <v>6</v>
      </c>
      <c r="O67" s="74">
        <f t="shared" si="19"/>
        <v>0</v>
      </c>
      <c r="Z67" s="74">
        <f t="shared" si="20"/>
        <v>0</v>
      </c>
      <c r="AA67" s="74">
        <f t="shared" si="21"/>
        <v>0</v>
      </c>
      <c r="AB67" s="74">
        <f t="shared" si="22"/>
        <v>0</v>
      </c>
      <c r="AD67" s="74">
        <v>20</v>
      </c>
      <c r="AE67" s="74">
        <f>G67*0.479551451187335</f>
        <v>0</v>
      </c>
      <c r="AF67" s="74">
        <f>G67*(1-0.479551451187335)</f>
        <v>0</v>
      </c>
    </row>
    <row r="68" spans="1:32" ht="12.75">
      <c r="A68" s="16" t="s">
        <v>47</v>
      </c>
      <c r="B68" s="12" t="s">
        <v>81</v>
      </c>
      <c r="C68" s="12" t="s">
        <v>125</v>
      </c>
      <c r="D68" s="12" t="s">
        <v>220</v>
      </c>
      <c r="E68" s="12" t="s">
        <v>265</v>
      </c>
      <c r="F68" s="13">
        <v>3.5</v>
      </c>
      <c r="G68" s="24"/>
      <c r="H68" s="13">
        <f>ROUND(F68*AE68,2)</f>
        <v>0</v>
      </c>
      <c r="I68" s="13">
        <f t="shared" si="16"/>
        <v>0</v>
      </c>
      <c r="J68" s="13">
        <f t="shared" si="17"/>
        <v>0</v>
      </c>
      <c r="K68" s="31">
        <v>2.5273</v>
      </c>
      <c r="L68" s="32">
        <f t="shared" si="18"/>
        <v>8.84555</v>
      </c>
      <c r="N68" s="73" t="s">
        <v>6</v>
      </c>
      <c r="O68" s="74">
        <f t="shared" si="19"/>
        <v>0</v>
      </c>
      <c r="Z68" s="74">
        <f t="shared" si="20"/>
        <v>0</v>
      </c>
      <c r="AA68" s="74">
        <f t="shared" si="21"/>
        <v>0</v>
      </c>
      <c r="AB68" s="74">
        <f t="shared" si="22"/>
        <v>0</v>
      </c>
      <c r="AD68" s="74">
        <v>20</v>
      </c>
      <c r="AE68" s="74">
        <f>G68*0.703824689554419</f>
        <v>0</v>
      </c>
      <c r="AF68" s="74">
        <f>G68*(1-0.703824689554419)</f>
        <v>0</v>
      </c>
    </row>
    <row r="69" spans="1:32" ht="12.75">
      <c r="A69" s="16" t="s">
        <v>48</v>
      </c>
      <c r="B69" s="12" t="s">
        <v>81</v>
      </c>
      <c r="C69" s="12" t="s">
        <v>126</v>
      </c>
      <c r="D69" s="12" t="s">
        <v>221</v>
      </c>
      <c r="E69" s="12" t="s">
        <v>267</v>
      </c>
      <c r="F69" s="13">
        <v>19.15</v>
      </c>
      <c r="G69" s="24"/>
      <c r="H69" s="13">
        <f>ROUND(F69*AE69,2)</f>
        <v>0</v>
      </c>
      <c r="I69" s="13">
        <f t="shared" si="16"/>
        <v>0</v>
      </c>
      <c r="J69" s="13">
        <f t="shared" si="17"/>
        <v>0</v>
      </c>
      <c r="K69" s="31">
        <v>0</v>
      </c>
      <c r="L69" s="32">
        <f t="shared" si="18"/>
        <v>0</v>
      </c>
      <c r="N69" s="73" t="s">
        <v>6</v>
      </c>
      <c r="O69" s="74">
        <f t="shared" si="19"/>
        <v>0</v>
      </c>
      <c r="Z69" s="74">
        <f t="shared" si="20"/>
        <v>0</v>
      </c>
      <c r="AA69" s="74">
        <f t="shared" si="21"/>
        <v>0</v>
      </c>
      <c r="AB69" s="74">
        <f t="shared" si="22"/>
        <v>0</v>
      </c>
      <c r="AD69" s="74">
        <v>20</v>
      </c>
      <c r="AE69" s="74">
        <f>G69*0</f>
        <v>0</v>
      </c>
      <c r="AF69" s="74">
        <f>G69*(1-0)</f>
        <v>0</v>
      </c>
    </row>
    <row r="70" spans="1:32" ht="12.75">
      <c r="A70" s="16" t="s">
        <v>49</v>
      </c>
      <c r="B70" s="12" t="s">
        <v>81</v>
      </c>
      <c r="C70" s="12" t="s">
        <v>127</v>
      </c>
      <c r="D70" s="12" t="s">
        <v>222</v>
      </c>
      <c r="E70" s="12" t="s">
        <v>267</v>
      </c>
      <c r="F70" s="13">
        <v>19.15</v>
      </c>
      <c r="G70" s="24"/>
      <c r="H70" s="13">
        <f>ROUND(F70*AE70,2)</f>
        <v>0</v>
      </c>
      <c r="I70" s="13">
        <f t="shared" si="16"/>
        <v>0</v>
      </c>
      <c r="J70" s="13">
        <f t="shared" si="17"/>
        <v>0</v>
      </c>
      <c r="K70" s="31">
        <v>0</v>
      </c>
      <c r="L70" s="32">
        <f t="shared" si="18"/>
        <v>0</v>
      </c>
      <c r="N70" s="73" t="s">
        <v>6</v>
      </c>
      <c r="O70" s="74">
        <f t="shared" si="19"/>
        <v>0</v>
      </c>
      <c r="Z70" s="74">
        <f t="shared" si="20"/>
        <v>0</v>
      </c>
      <c r="AA70" s="74">
        <f t="shared" si="21"/>
        <v>0</v>
      </c>
      <c r="AB70" s="74">
        <f t="shared" si="22"/>
        <v>0</v>
      </c>
      <c r="AD70" s="74">
        <v>20</v>
      </c>
      <c r="AE70" s="74">
        <f>G70*0.665338969273289</f>
        <v>0</v>
      </c>
      <c r="AF70" s="74">
        <f>G70*(1-0.665338969273289)</f>
        <v>0</v>
      </c>
    </row>
    <row r="71" spans="1:32" ht="12.75">
      <c r="A71" s="16" t="s">
        <v>50</v>
      </c>
      <c r="B71" s="12" t="s">
        <v>81</v>
      </c>
      <c r="C71" s="12" t="s">
        <v>128</v>
      </c>
      <c r="D71" s="12" t="s">
        <v>223</v>
      </c>
      <c r="E71" s="12" t="s">
        <v>270</v>
      </c>
      <c r="F71" s="13">
        <v>0.15</v>
      </c>
      <c r="G71" s="24"/>
      <c r="H71" s="13">
        <f>ROUND(F71*AE71,2)</f>
        <v>0</v>
      </c>
      <c r="I71" s="13">
        <f t="shared" si="16"/>
        <v>0</v>
      </c>
      <c r="J71" s="13">
        <f t="shared" si="17"/>
        <v>0</v>
      </c>
      <c r="K71" s="31">
        <v>1.15283</v>
      </c>
      <c r="L71" s="32">
        <f t="shared" si="18"/>
        <v>0.1729245</v>
      </c>
      <c r="N71" s="73" t="s">
        <v>6</v>
      </c>
      <c r="O71" s="74">
        <f t="shared" si="19"/>
        <v>0</v>
      </c>
      <c r="Z71" s="74">
        <f t="shared" si="20"/>
        <v>0</v>
      </c>
      <c r="AA71" s="74">
        <f t="shared" si="21"/>
        <v>0</v>
      </c>
      <c r="AB71" s="74">
        <f t="shared" si="22"/>
        <v>0</v>
      </c>
      <c r="AD71" s="74">
        <v>20</v>
      </c>
      <c r="AE71" s="74">
        <f>G71*0.801478407033254</f>
        <v>0</v>
      </c>
      <c r="AF71" s="74">
        <f>G71*(1-0.801478407033254)</f>
        <v>0</v>
      </c>
    </row>
    <row r="72" spans="1:37" ht="12.75">
      <c r="A72" s="16"/>
      <c r="B72" s="12"/>
      <c r="C72" s="22" t="s">
        <v>129</v>
      </c>
      <c r="D72" s="59" t="s">
        <v>224</v>
      </c>
      <c r="E72" s="60"/>
      <c r="F72" s="60"/>
      <c r="G72" s="60"/>
      <c r="H72" s="23">
        <f>SUM(H73:H75)</f>
        <v>0</v>
      </c>
      <c r="I72" s="23">
        <f>SUM(I73:I75)</f>
        <v>0</v>
      </c>
      <c r="J72" s="23">
        <f>H72+I72</f>
        <v>0</v>
      </c>
      <c r="K72" s="29"/>
      <c r="L72" s="30">
        <f>SUM(L73:L75)</f>
        <v>22</v>
      </c>
      <c r="P72" s="72">
        <f>IF(Q72="PR",J72,SUM(O73:O75))</f>
        <v>0</v>
      </c>
      <c r="Q72" s="71" t="s">
        <v>292</v>
      </c>
      <c r="R72" s="72">
        <f>IF(Q72="HS",H72,0)</f>
        <v>0</v>
      </c>
      <c r="S72" s="72">
        <f>IF(Q72="HS",I72-P72,0)</f>
        <v>0</v>
      </c>
      <c r="T72" s="72">
        <f>IF(Q72="PS",H72,0)</f>
        <v>0</v>
      </c>
      <c r="U72" s="72">
        <f>IF(Q72="PS",I72-P72,0)</f>
        <v>0</v>
      </c>
      <c r="V72" s="72">
        <f>IF(Q72="MP",H72,0)</f>
        <v>0</v>
      </c>
      <c r="W72" s="72">
        <f>IF(Q72="MP",I72-P72,0)</f>
        <v>0</v>
      </c>
      <c r="X72" s="72">
        <f>IF(Q72="OM",H72,0)</f>
        <v>0</v>
      </c>
      <c r="Y72" s="71" t="s">
        <v>81</v>
      </c>
      <c r="AI72" s="72">
        <f>SUM(Z73:Z75)</f>
        <v>0</v>
      </c>
      <c r="AJ72" s="72">
        <f>SUM(AA73:AA75)</f>
        <v>0</v>
      </c>
      <c r="AK72" s="72">
        <f>SUM(AB73:AB75)</f>
        <v>0</v>
      </c>
    </row>
    <row r="73" spans="1:32" ht="12.75">
      <c r="A73" s="16" t="s">
        <v>51</v>
      </c>
      <c r="B73" s="12" t="s">
        <v>81</v>
      </c>
      <c r="C73" s="12" t="s">
        <v>130</v>
      </c>
      <c r="D73" s="12" t="s">
        <v>225</v>
      </c>
      <c r="E73" s="12" t="s">
        <v>270</v>
      </c>
      <c r="F73" s="13">
        <v>22</v>
      </c>
      <c r="G73" s="24"/>
      <c r="H73" s="13">
        <f>ROUND(F73*AE73,2)</f>
        <v>0</v>
      </c>
      <c r="I73" s="13">
        <f>J73-H73</f>
        <v>0</v>
      </c>
      <c r="J73" s="13">
        <f>ROUND(F73*G73,2)</f>
        <v>0</v>
      </c>
      <c r="K73" s="31">
        <v>0</v>
      </c>
      <c r="L73" s="32">
        <f>F73*K73</f>
        <v>0</v>
      </c>
      <c r="N73" s="73" t="s">
        <v>10</v>
      </c>
      <c r="O73" s="74">
        <f>IF(N73="5",I73,0)</f>
        <v>0</v>
      </c>
      <c r="Z73" s="74">
        <f>IF(AD73=0,J73,0)</f>
        <v>0</v>
      </c>
      <c r="AA73" s="74">
        <f>IF(AD73=10,J73,0)</f>
        <v>0</v>
      </c>
      <c r="AB73" s="74">
        <f>IF(AD73=20,J73,0)</f>
        <v>0</v>
      </c>
      <c r="AD73" s="74">
        <v>20</v>
      </c>
      <c r="AE73" s="74">
        <f>G73*0</f>
        <v>0</v>
      </c>
      <c r="AF73" s="74">
        <f>G73*(1-0)</f>
        <v>0</v>
      </c>
    </row>
    <row r="74" spans="1:32" ht="12.75">
      <c r="A74" s="16" t="s">
        <v>52</v>
      </c>
      <c r="B74" s="12" t="s">
        <v>81</v>
      </c>
      <c r="C74" s="12" t="s">
        <v>131</v>
      </c>
      <c r="D74" s="12" t="s">
        <v>226</v>
      </c>
      <c r="E74" s="12" t="s">
        <v>270</v>
      </c>
      <c r="F74" s="13">
        <v>22</v>
      </c>
      <c r="G74" s="24"/>
      <c r="H74" s="13">
        <f>ROUND(F74*AE74,2)</f>
        <v>0</v>
      </c>
      <c r="I74" s="13">
        <f>J74-H74</f>
        <v>0</v>
      </c>
      <c r="J74" s="13">
        <f>ROUND(F74*G74,2)</f>
        <v>0</v>
      </c>
      <c r="K74" s="31">
        <v>0</v>
      </c>
      <c r="L74" s="32">
        <f>F74*K74</f>
        <v>0</v>
      </c>
      <c r="N74" s="73" t="s">
        <v>10</v>
      </c>
      <c r="O74" s="74">
        <f>IF(N74="5",I74,0)</f>
        <v>0</v>
      </c>
      <c r="Z74" s="74">
        <f>IF(AD74=0,J74,0)</f>
        <v>0</v>
      </c>
      <c r="AA74" s="74">
        <f>IF(AD74=10,J74,0)</f>
        <v>0</v>
      </c>
      <c r="AB74" s="74">
        <f>IF(AD74=20,J74,0)</f>
        <v>0</v>
      </c>
      <c r="AD74" s="74">
        <v>20</v>
      </c>
      <c r="AE74" s="74">
        <f>G74*0</f>
        <v>0</v>
      </c>
      <c r="AF74" s="74">
        <f>G74*(1-0)</f>
        <v>0</v>
      </c>
    </row>
    <row r="75" spans="1:32" ht="12.75">
      <c r="A75" s="16" t="s">
        <v>53</v>
      </c>
      <c r="B75" s="12" t="s">
        <v>81</v>
      </c>
      <c r="C75" s="12" t="s">
        <v>132</v>
      </c>
      <c r="D75" s="12" t="s">
        <v>227</v>
      </c>
      <c r="E75" s="12" t="s">
        <v>270</v>
      </c>
      <c r="F75" s="13">
        <v>22</v>
      </c>
      <c r="G75" s="24"/>
      <c r="H75" s="13">
        <f>ROUND(F75*AE75,2)</f>
        <v>0</v>
      </c>
      <c r="I75" s="13">
        <f>J75-H75</f>
        <v>0</v>
      </c>
      <c r="J75" s="13">
        <f>ROUND(F75*G75,2)</f>
        <v>0</v>
      </c>
      <c r="K75" s="31">
        <v>1</v>
      </c>
      <c r="L75" s="32">
        <f>F75*K75</f>
        <v>22</v>
      </c>
      <c r="N75" s="73" t="s">
        <v>287</v>
      </c>
      <c r="O75" s="74">
        <f>IF(N75="5",I75,0)</f>
        <v>0</v>
      </c>
      <c r="Z75" s="74">
        <f>IF(AD75=0,J75,0)</f>
        <v>0</v>
      </c>
      <c r="AA75" s="74">
        <f>IF(AD75=10,J75,0)</f>
        <v>0</v>
      </c>
      <c r="AB75" s="74">
        <f>IF(AD75=20,J75,0)</f>
        <v>0</v>
      </c>
      <c r="AD75" s="74">
        <v>20</v>
      </c>
      <c r="AE75" s="74">
        <f>G75*1</f>
        <v>0</v>
      </c>
      <c r="AF75" s="74">
        <f>G75*(1-1)</f>
        <v>0</v>
      </c>
    </row>
    <row r="76" spans="1:37" ht="12.75">
      <c r="A76" s="16"/>
      <c r="B76" s="12"/>
      <c r="C76" s="22"/>
      <c r="D76" s="59" t="s">
        <v>195</v>
      </c>
      <c r="E76" s="60"/>
      <c r="F76" s="60"/>
      <c r="G76" s="60"/>
      <c r="H76" s="23">
        <f>SUM(H77:H81)</f>
        <v>0</v>
      </c>
      <c r="I76" s="23">
        <f>SUM(I77:I81)</f>
        <v>0</v>
      </c>
      <c r="J76" s="23">
        <f>H76+I76</f>
        <v>0</v>
      </c>
      <c r="K76" s="29"/>
      <c r="L76" s="30">
        <f>SUM(L77:L81)</f>
        <v>0.0102</v>
      </c>
      <c r="P76" s="72">
        <f>IF(Q76="PR",J76,SUM(O77:O82))</f>
        <v>0</v>
      </c>
      <c r="Q76" s="71" t="s">
        <v>291</v>
      </c>
      <c r="R76" s="72">
        <f>IF(Q76="HS",H76,0)</f>
        <v>0</v>
      </c>
      <c r="S76" s="72">
        <f>IF(Q76="HS",I76-P76,0)</f>
        <v>0</v>
      </c>
      <c r="T76" s="72">
        <f>IF(Q76="PS",H76,0)</f>
        <v>0</v>
      </c>
      <c r="U76" s="72">
        <f>IF(Q76="PS",I76-P76,0)</f>
        <v>0</v>
      </c>
      <c r="V76" s="72">
        <f>IF(Q76="MP",H76,0)</f>
        <v>0</v>
      </c>
      <c r="W76" s="72">
        <f>IF(Q76="MP",I76-P76,0)</f>
        <v>0</v>
      </c>
      <c r="X76" s="72">
        <f>IF(Q76="OM",H76,0)</f>
        <v>0</v>
      </c>
      <c r="Y76" s="71" t="s">
        <v>81</v>
      </c>
      <c r="AI76" s="72">
        <f>SUM(Z77:Z82)</f>
        <v>0</v>
      </c>
      <c r="AJ76" s="72">
        <f>SUM(AA77:AA82)</f>
        <v>0</v>
      </c>
      <c r="AK76" s="72">
        <f>SUM(AB77:AB82)</f>
        <v>0</v>
      </c>
    </row>
    <row r="77" spans="1:32" ht="12.75">
      <c r="A77" s="16" t="s">
        <v>54</v>
      </c>
      <c r="B77" s="12" t="s">
        <v>81</v>
      </c>
      <c r="C77" s="12" t="s">
        <v>133</v>
      </c>
      <c r="D77" s="12" t="s">
        <v>228</v>
      </c>
      <c r="E77" s="12" t="s">
        <v>269</v>
      </c>
      <c r="F77" s="13">
        <v>1</v>
      </c>
      <c r="G77" s="24"/>
      <c r="H77" s="13">
        <f>ROUND(F77*AE77,2)</f>
        <v>0</v>
      </c>
      <c r="I77" s="13">
        <f>J77-H77</f>
        <v>0</v>
      </c>
      <c r="J77" s="13">
        <f>ROUND(F77*G77,2)</f>
        <v>0</v>
      </c>
      <c r="K77" s="31">
        <v>0.0051</v>
      </c>
      <c r="L77" s="32">
        <f>F77*K77</f>
        <v>0.0051</v>
      </c>
      <c r="N77" s="73" t="s">
        <v>287</v>
      </c>
      <c r="O77" s="74">
        <f aca="true" t="shared" si="23" ref="O77:O82">IF(N77="5",I77,0)</f>
        <v>0</v>
      </c>
      <c r="Z77" s="74">
        <f aca="true" t="shared" si="24" ref="Z77:Z82">IF(AD77=0,J77,0)</f>
        <v>0</v>
      </c>
      <c r="AA77" s="74">
        <f aca="true" t="shared" si="25" ref="AA77:AA82">IF(AD77=10,J77,0)</f>
        <v>0</v>
      </c>
      <c r="AB77" s="74">
        <f aca="true" t="shared" si="26" ref="AB77:AB82">IF(AD77=20,J77,0)</f>
        <v>0</v>
      </c>
      <c r="AD77" s="74">
        <v>20</v>
      </c>
      <c r="AE77" s="74">
        <f>G77*1</f>
        <v>0</v>
      </c>
      <c r="AF77" s="74">
        <f>G77*(1-1)</f>
        <v>0</v>
      </c>
    </row>
    <row r="78" spans="1:32" ht="12.75">
      <c r="A78" s="16" t="s">
        <v>55</v>
      </c>
      <c r="B78" s="12" t="s">
        <v>81</v>
      </c>
      <c r="C78" s="12" t="s">
        <v>134</v>
      </c>
      <c r="D78" s="12" t="s">
        <v>229</v>
      </c>
      <c r="E78" s="12" t="s">
        <v>269</v>
      </c>
      <c r="F78" s="13">
        <v>1</v>
      </c>
      <c r="G78" s="24"/>
      <c r="H78" s="13">
        <f>ROUND(F78*AE78,2)</f>
        <v>0</v>
      </c>
      <c r="I78" s="13">
        <f>J78-H78</f>
        <v>0</v>
      </c>
      <c r="J78" s="13">
        <f>ROUND(F78*G78,2)</f>
        <v>0</v>
      </c>
      <c r="K78" s="31">
        <v>0.0051</v>
      </c>
      <c r="L78" s="32">
        <f>F78*K78</f>
        <v>0.0051</v>
      </c>
      <c r="N78" s="73" t="s">
        <v>287</v>
      </c>
      <c r="O78" s="74">
        <f t="shared" si="23"/>
        <v>0</v>
      </c>
      <c r="Z78" s="74">
        <f t="shared" si="24"/>
        <v>0</v>
      </c>
      <c r="AA78" s="74">
        <f t="shared" si="25"/>
        <v>0</v>
      </c>
      <c r="AB78" s="74">
        <f t="shared" si="26"/>
        <v>0</v>
      </c>
      <c r="AD78" s="74">
        <v>20</v>
      </c>
      <c r="AE78" s="74">
        <f>G78*1</f>
        <v>0</v>
      </c>
      <c r="AF78" s="74">
        <f>G78*(1-1)</f>
        <v>0</v>
      </c>
    </row>
    <row r="79" spans="1:32" ht="12.75">
      <c r="A79" s="16" t="s">
        <v>56</v>
      </c>
      <c r="B79" s="12" t="s">
        <v>81</v>
      </c>
      <c r="C79" s="12" t="s">
        <v>135</v>
      </c>
      <c r="D79" s="12" t="s">
        <v>230</v>
      </c>
      <c r="E79" s="12" t="s">
        <v>267</v>
      </c>
      <c r="F79" s="13">
        <v>12</v>
      </c>
      <c r="G79" s="24"/>
      <c r="H79" s="13">
        <f>ROUND(F79*AE79,2)</f>
        <v>0</v>
      </c>
      <c r="I79" s="13">
        <f>J79-H79</f>
        <v>0</v>
      </c>
      <c r="J79" s="13">
        <f>ROUND(F79*G79,2)</f>
        <v>0</v>
      </c>
      <c r="K79" s="31">
        <v>0</v>
      </c>
      <c r="L79" s="32">
        <f>F79*K79</f>
        <v>0</v>
      </c>
      <c r="N79" s="73" t="s">
        <v>287</v>
      </c>
      <c r="O79" s="74">
        <f t="shared" si="23"/>
        <v>0</v>
      </c>
      <c r="Z79" s="74">
        <f t="shared" si="24"/>
        <v>0</v>
      </c>
      <c r="AA79" s="74">
        <f t="shared" si="25"/>
        <v>0</v>
      </c>
      <c r="AB79" s="74">
        <f t="shared" si="26"/>
        <v>0</v>
      </c>
      <c r="AD79" s="74">
        <v>20</v>
      </c>
      <c r="AE79" s="74">
        <f>G79*1</f>
        <v>0</v>
      </c>
      <c r="AF79" s="74">
        <f>G79*(1-1)</f>
        <v>0</v>
      </c>
    </row>
    <row r="80" spans="1:32" ht="12.75">
      <c r="A80" s="16" t="s">
        <v>57</v>
      </c>
      <c r="B80" s="12" t="s">
        <v>81</v>
      </c>
      <c r="C80" s="12" t="s">
        <v>136</v>
      </c>
      <c r="D80" s="12" t="s">
        <v>231</v>
      </c>
      <c r="E80" s="12" t="s">
        <v>270</v>
      </c>
      <c r="F80" s="13">
        <v>2669.18918</v>
      </c>
      <c r="G80" s="24"/>
      <c r="H80" s="13">
        <f>ROUND(F80*AE80,2)</f>
        <v>0</v>
      </c>
      <c r="I80" s="13">
        <f>J80-H80</f>
        <v>0</v>
      </c>
      <c r="J80" s="13">
        <f>ROUND(F80*G80,2)</f>
        <v>0</v>
      </c>
      <c r="K80" s="31">
        <v>0</v>
      </c>
      <c r="L80" s="32">
        <f>F80*K80</f>
        <v>0</v>
      </c>
      <c r="N80" s="73" t="s">
        <v>287</v>
      </c>
      <c r="O80" s="74">
        <f t="shared" si="23"/>
        <v>0</v>
      </c>
      <c r="Z80" s="74">
        <f t="shared" si="24"/>
        <v>0</v>
      </c>
      <c r="AA80" s="74">
        <f t="shared" si="25"/>
        <v>0</v>
      </c>
      <c r="AB80" s="74">
        <f t="shared" si="26"/>
        <v>0</v>
      </c>
      <c r="AD80" s="74">
        <v>20</v>
      </c>
      <c r="AE80" s="74">
        <f>G80*1</f>
        <v>0</v>
      </c>
      <c r="AF80" s="74">
        <f>G80*(1-1)</f>
        <v>0</v>
      </c>
    </row>
    <row r="81" spans="1:32" ht="12.75">
      <c r="A81" s="16" t="s">
        <v>58</v>
      </c>
      <c r="B81" s="12" t="s">
        <v>81</v>
      </c>
      <c r="C81" s="12" t="s">
        <v>137</v>
      </c>
      <c r="D81" s="12" t="s">
        <v>232</v>
      </c>
      <c r="E81" s="12" t="s">
        <v>270</v>
      </c>
      <c r="F81" s="13">
        <v>2669.18918</v>
      </c>
      <c r="G81" s="24"/>
      <c r="H81" s="13">
        <f>ROUND(F81*AE81,2)</f>
        <v>0</v>
      </c>
      <c r="I81" s="13">
        <f>J81-H81</f>
        <v>0</v>
      </c>
      <c r="J81" s="13">
        <f>ROUND(F81*G81,2)</f>
        <v>0</v>
      </c>
      <c r="K81" s="31">
        <v>0</v>
      </c>
      <c r="L81" s="32">
        <f>F81*K81</f>
        <v>0</v>
      </c>
      <c r="N81" s="73" t="s">
        <v>10</v>
      </c>
      <c r="O81" s="74">
        <f t="shared" si="23"/>
        <v>0</v>
      </c>
      <c r="Z81" s="74">
        <f t="shared" si="24"/>
        <v>0</v>
      </c>
      <c r="AA81" s="74">
        <f t="shared" si="25"/>
        <v>0</v>
      </c>
      <c r="AB81" s="74">
        <f t="shared" si="26"/>
        <v>0</v>
      </c>
      <c r="AD81" s="74">
        <v>20</v>
      </c>
      <c r="AE81" s="74">
        <f>G81*0</f>
        <v>0</v>
      </c>
      <c r="AF81" s="74">
        <f>G81*(1-0)</f>
        <v>0</v>
      </c>
    </row>
    <row r="82" spans="1:32" ht="12.75">
      <c r="A82" s="16"/>
      <c r="B82" s="12"/>
      <c r="C82" s="22"/>
      <c r="D82" s="59" t="s">
        <v>233</v>
      </c>
      <c r="E82" s="60"/>
      <c r="F82" s="60"/>
      <c r="G82" s="60"/>
      <c r="H82" s="23">
        <f>H83+H86+H88+H91</f>
        <v>0</v>
      </c>
      <c r="I82" s="23">
        <f>I83+I86+I88+I91</f>
        <v>0</v>
      </c>
      <c r="J82" s="23">
        <f>H82+I82</f>
        <v>0</v>
      </c>
      <c r="K82" s="29"/>
      <c r="L82" s="30">
        <f>L83+L86+L88+L91</f>
        <v>5.80043</v>
      </c>
      <c r="N82" s="73" t="s">
        <v>10</v>
      </c>
      <c r="O82" s="74">
        <f t="shared" si="23"/>
        <v>0</v>
      </c>
      <c r="Z82" s="74">
        <f t="shared" si="24"/>
        <v>0</v>
      </c>
      <c r="AA82" s="74">
        <f t="shared" si="25"/>
        <v>0</v>
      </c>
      <c r="AB82" s="74">
        <f t="shared" si="26"/>
        <v>0</v>
      </c>
      <c r="AD82" s="74">
        <v>20</v>
      </c>
      <c r="AE82" s="74">
        <f>G82*0</f>
        <v>0</v>
      </c>
      <c r="AF82" s="74">
        <f>G82*(1-0)</f>
        <v>0</v>
      </c>
    </row>
    <row r="83" spans="1:12" ht="12.75">
      <c r="A83" s="16"/>
      <c r="B83" s="12"/>
      <c r="C83" s="22" t="s">
        <v>22</v>
      </c>
      <c r="D83" s="59" t="s">
        <v>184</v>
      </c>
      <c r="E83" s="60"/>
      <c r="F83" s="60"/>
      <c r="G83" s="60"/>
      <c r="H83" s="23">
        <f>SUM(H84:H85)</f>
        <v>0</v>
      </c>
      <c r="I83" s="23">
        <f>SUM(I84:I85)</f>
        <v>0</v>
      </c>
      <c r="J83" s="23">
        <f>H83+I83</f>
        <v>0</v>
      </c>
      <c r="K83" s="29"/>
      <c r="L83" s="30">
        <f>SUM(L84:L85)</f>
        <v>0</v>
      </c>
    </row>
    <row r="84" spans="1:37" ht="12.75">
      <c r="A84" s="16" t="s">
        <v>59</v>
      </c>
      <c r="B84" s="12" t="s">
        <v>82</v>
      </c>
      <c r="C84" s="12" t="s">
        <v>138</v>
      </c>
      <c r="D84" s="12" t="s">
        <v>234</v>
      </c>
      <c r="E84" s="12" t="s">
        <v>265</v>
      </c>
      <c r="F84" s="13">
        <v>24</v>
      </c>
      <c r="G84" s="24"/>
      <c r="H84" s="13">
        <f>ROUND(F84*AE84,2)</f>
        <v>0</v>
      </c>
      <c r="I84" s="13">
        <f>J84-H84</f>
        <v>0</v>
      </c>
      <c r="J84" s="13">
        <f>ROUND(F84*G84,2)</f>
        <v>0</v>
      </c>
      <c r="K84" s="31">
        <v>0</v>
      </c>
      <c r="L84" s="32">
        <f>F84*K84</f>
        <v>0</v>
      </c>
      <c r="P84" s="72">
        <f>IF(Q84="PR",J84,SUM(O85:O86))</f>
        <v>0</v>
      </c>
      <c r="Q84" s="71" t="s">
        <v>290</v>
      </c>
      <c r="R84" s="72">
        <f>IF(Q84="HS",H84,0)</f>
        <v>0</v>
      </c>
      <c r="S84" s="72">
        <f>IF(Q84="HS",I84-P84,0)</f>
        <v>0</v>
      </c>
      <c r="T84" s="72">
        <f>IF(Q84="PS",H84,0)</f>
        <v>0</v>
      </c>
      <c r="U84" s="72">
        <f>IF(Q84="PS",I84-P84,0)</f>
        <v>0</v>
      </c>
      <c r="V84" s="72">
        <f>IF(Q84="MP",H84,0)</f>
        <v>0</v>
      </c>
      <c r="W84" s="72">
        <f>IF(Q84="MP",I84-P84,0)</f>
        <v>0</v>
      </c>
      <c r="X84" s="72">
        <f>IF(Q84="OM",H84,0)</f>
        <v>0</v>
      </c>
      <c r="Y84" s="71" t="s">
        <v>82</v>
      </c>
      <c r="AI84" s="72">
        <f>SUM(Z85:Z86)</f>
        <v>0</v>
      </c>
      <c r="AJ84" s="72">
        <f>SUM(AA85:AA86)</f>
        <v>0</v>
      </c>
      <c r="AK84" s="72">
        <f>SUM(AB85:AB86)</f>
        <v>0</v>
      </c>
    </row>
    <row r="85" spans="1:32" ht="12.75">
      <c r="A85" s="16" t="s">
        <v>60</v>
      </c>
      <c r="B85" s="12" t="s">
        <v>82</v>
      </c>
      <c r="C85" s="12" t="s">
        <v>139</v>
      </c>
      <c r="D85" s="12" t="s">
        <v>235</v>
      </c>
      <c r="E85" s="12" t="s">
        <v>265</v>
      </c>
      <c r="F85" s="13">
        <v>24</v>
      </c>
      <c r="G85" s="24"/>
      <c r="H85" s="13">
        <f>ROUND(F85*AE85,2)</f>
        <v>0</v>
      </c>
      <c r="I85" s="13">
        <f>J85-H85</f>
        <v>0</v>
      </c>
      <c r="J85" s="13">
        <f>ROUND(F85*G85,2)</f>
        <v>0</v>
      </c>
      <c r="K85" s="31">
        <v>0</v>
      </c>
      <c r="L85" s="32">
        <f>F85*K85</f>
        <v>0</v>
      </c>
      <c r="N85" s="73" t="s">
        <v>6</v>
      </c>
      <c r="O85" s="74">
        <f>IF(N85="5",I85,0)</f>
        <v>0</v>
      </c>
      <c r="Z85" s="74">
        <f>IF(AD85=0,J85,0)</f>
        <v>0</v>
      </c>
      <c r="AA85" s="74">
        <f>IF(AD85=10,J85,0)</f>
        <v>0</v>
      </c>
      <c r="AB85" s="74">
        <f>IF(AD85=20,J85,0)</f>
        <v>0</v>
      </c>
      <c r="AD85" s="74">
        <v>20</v>
      </c>
      <c r="AE85" s="74">
        <f>G85*0</f>
        <v>0</v>
      </c>
      <c r="AF85" s="74">
        <f>G85*(1-0)</f>
        <v>0</v>
      </c>
    </row>
    <row r="86" spans="1:32" ht="12.75">
      <c r="A86" s="16"/>
      <c r="B86" s="12"/>
      <c r="C86" s="22" t="s">
        <v>50</v>
      </c>
      <c r="D86" s="59" t="s">
        <v>198</v>
      </c>
      <c r="E86" s="60"/>
      <c r="F86" s="60"/>
      <c r="G86" s="60"/>
      <c r="H86" s="23">
        <f>SUM(H87:H87)</f>
        <v>0</v>
      </c>
      <c r="I86" s="23">
        <f>SUM(I87:I87)</f>
        <v>0</v>
      </c>
      <c r="J86" s="23">
        <f>H86+I86</f>
        <v>0</v>
      </c>
      <c r="K86" s="29"/>
      <c r="L86" s="30">
        <f>SUM(L87:L87)</f>
        <v>5.67231</v>
      </c>
      <c r="N86" s="73" t="s">
        <v>6</v>
      </c>
      <c r="O86" s="74">
        <f>IF(N86="5",I86,0)</f>
        <v>0</v>
      </c>
      <c r="Z86" s="74">
        <f>IF(AD86=0,J86,0)</f>
        <v>0</v>
      </c>
      <c r="AA86" s="74">
        <f>IF(AD86=10,J86,0)</f>
        <v>0</v>
      </c>
      <c r="AB86" s="74">
        <f>IF(AD86=20,J86,0)</f>
        <v>0</v>
      </c>
      <c r="AD86" s="74">
        <v>20</v>
      </c>
      <c r="AE86" s="74">
        <f>G86*0</f>
        <v>0</v>
      </c>
      <c r="AF86" s="74">
        <f>G86*(1-0)</f>
        <v>0</v>
      </c>
    </row>
    <row r="87" spans="1:37" ht="12.75">
      <c r="A87" s="16" t="s">
        <v>61</v>
      </c>
      <c r="B87" s="12" t="s">
        <v>82</v>
      </c>
      <c r="C87" s="12" t="s">
        <v>140</v>
      </c>
      <c r="D87" s="12" t="s">
        <v>236</v>
      </c>
      <c r="E87" s="12" t="s">
        <v>265</v>
      </c>
      <c r="F87" s="13">
        <v>3</v>
      </c>
      <c r="G87" s="24"/>
      <c r="H87" s="13">
        <f>ROUND(F87*AE87,2)</f>
        <v>0</v>
      </c>
      <c r="I87" s="13">
        <f>J87-H87</f>
        <v>0</v>
      </c>
      <c r="J87" s="13">
        <f>ROUND(F87*G87,2)</f>
        <v>0</v>
      </c>
      <c r="K87" s="31">
        <v>1.89077</v>
      </c>
      <c r="L87" s="32">
        <f>F87*K87</f>
        <v>5.67231</v>
      </c>
      <c r="P87" s="72">
        <f>IF(Q87="PR",J87,SUM(O88:O88))</f>
        <v>0</v>
      </c>
      <c r="Q87" s="71" t="s">
        <v>290</v>
      </c>
      <c r="R87" s="72">
        <f>IF(Q87="HS",H87,0)</f>
        <v>0</v>
      </c>
      <c r="S87" s="72">
        <f>IF(Q87="HS",I87-P87,0)</f>
        <v>0</v>
      </c>
      <c r="T87" s="72">
        <f>IF(Q87="PS",H87,0)</f>
        <v>0</v>
      </c>
      <c r="U87" s="72">
        <f>IF(Q87="PS",I87-P87,0)</f>
        <v>0</v>
      </c>
      <c r="V87" s="72">
        <f>IF(Q87="MP",H87,0)</f>
        <v>0</v>
      </c>
      <c r="W87" s="72">
        <f>IF(Q87="MP",I87-P87,0)</f>
        <v>0</v>
      </c>
      <c r="X87" s="72">
        <f>IF(Q87="OM",H87,0)</f>
        <v>0</v>
      </c>
      <c r="Y87" s="71" t="s">
        <v>82</v>
      </c>
      <c r="AI87" s="72">
        <f>SUM(Z88:Z88)</f>
        <v>0</v>
      </c>
      <c r="AJ87" s="72">
        <f>SUM(AA88:AA88)</f>
        <v>0</v>
      </c>
      <c r="AK87" s="72">
        <f>SUM(AB88:AB88)</f>
        <v>0</v>
      </c>
    </row>
    <row r="88" spans="1:32" ht="12.75">
      <c r="A88" s="16"/>
      <c r="B88" s="12"/>
      <c r="C88" s="22" t="s">
        <v>141</v>
      </c>
      <c r="D88" s="59" t="s">
        <v>237</v>
      </c>
      <c r="E88" s="60"/>
      <c r="F88" s="60"/>
      <c r="G88" s="60"/>
      <c r="H88" s="23">
        <f>SUM(H89:H90)</f>
        <v>0</v>
      </c>
      <c r="I88" s="23">
        <f>SUM(I89:I90)</f>
        <v>0</v>
      </c>
      <c r="J88" s="23">
        <f>H88+I88</f>
        <v>0</v>
      </c>
      <c r="K88" s="29"/>
      <c r="L88" s="30">
        <f>SUM(L89:L90)</f>
        <v>0</v>
      </c>
      <c r="N88" s="73" t="s">
        <v>6</v>
      </c>
      <c r="O88" s="74">
        <f>IF(N88="5",I88,0)</f>
        <v>0</v>
      </c>
      <c r="Z88" s="74">
        <f>IF(AD88=0,J88,0)</f>
        <v>0</v>
      </c>
      <c r="AA88" s="74">
        <f>IF(AD88=10,J88,0)</f>
        <v>0</v>
      </c>
      <c r="AB88" s="74">
        <f>IF(AD88=20,J88,0)</f>
        <v>0</v>
      </c>
      <c r="AD88" s="74">
        <v>20</v>
      </c>
      <c r="AE88" s="74">
        <f>G88*0.648748447813868</f>
        <v>0</v>
      </c>
      <c r="AF88" s="74">
        <f>G88*(1-0.648748447813868)</f>
        <v>0</v>
      </c>
    </row>
    <row r="89" spans="1:37" ht="12.75">
      <c r="A89" s="16" t="s">
        <v>62</v>
      </c>
      <c r="B89" s="12" t="s">
        <v>82</v>
      </c>
      <c r="C89" s="12" t="s">
        <v>142</v>
      </c>
      <c r="D89" s="12" t="s">
        <v>238</v>
      </c>
      <c r="E89" s="12" t="s">
        <v>267</v>
      </c>
      <c r="F89" s="13">
        <v>46</v>
      </c>
      <c r="G89" s="24"/>
      <c r="H89" s="13">
        <f>ROUND(F89*AE89,2)</f>
        <v>0</v>
      </c>
      <c r="I89" s="13">
        <f>J89-H89</f>
        <v>0</v>
      </c>
      <c r="J89" s="13">
        <f>ROUND(F89*G89,2)</f>
        <v>0</v>
      </c>
      <c r="K89" s="31">
        <v>0</v>
      </c>
      <c r="L89" s="32">
        <f>F89*K89</f>
        <v>0</v>
      </c>
      <c r="P89" s="72">
        <f>IF(Q89="PR",J89,SUM(O90:O91))</f>
        <v>0</v>
      </c>
      <c r="Q89" s="71" t="s">
        <v>290</v>
      </c>
      <c r="R89" s="72">
        <f>IF(Q89="HS",H89,0)</f>
        <v>0</v>
      </c>
      <c r="S89" s="72">
        <f>IF(Q89="HS",I89-P89,0)</f>
        <v>0</v>
      </c>
      <c r="T89" s="72">
        <f>IF(Q89="PS",H89,0)</f>
        <v>0</v>
      </c>
      <c r="U89" s="72">
        <f>IF(Q89="PS",I89-P89,0)</f>
        <v>0</v>
      </c>
      <c r="V89" s="72">
        <f>IF(Q89="MP",H89,0)</f>
        <v>0</v>
      </c>
      <c r="W89" s="72">
        <f>IF(Q89="MP",I89-P89,0)</f>
        <v>0</v>
      </c>
      <c r="X89" s="72">
        <f>IF(Q89="OM",H89,0)</f>
        <v>0</v>
      </c>
      <c r="Y89" s="71" t="s">
        <v>82</v>
      </c>
      <c r="AI89" s="72">
        <f>SUM(Z90:Z91)</f>
        <v>0</v>
      </c>
      <c r="AJ89" s="72">
        <f>SUM(AA90:AA91)</f>
        <v>0</v>
      </c>
      <c r="AK89" s="72">
        <f>SUM(AB90:AB91)</f>
        <v>0</v>
      </c>
    </row>
    <row r="90" spans="1:32" ht="12.75">
      <c r="A90" s="16" t="s">
        <v>63</v>
      </c>
      <c r="B90" s="12" t="s">
        <v>82</v>
      </c>
      <c r="C90" s="12" t="s">
        <v>143</v>
      </c>
      <c r="D90" s="12" t="s">
        <v>239</v>
      </c>
      <c r="E90" s="12" t="s">
        <v>267</v>
      </c>
      <c r="F90" s="13">
        <v>2</v>
      </c>
      <c r="G90" s="24"/>
      <c r="H90" s="13">
        <f>ROUND(F90*AE90,2)</f>
        <v>0</v>
      </c>
      <c r="I90" s="13">
        <f>J90-H90</f>
        <v>0</v>
      </c>
      <c r="J90" s="13">
        <f>ROUND(F90*G90,2)</f>
        <v>0</v>
      </c>
      <c r="K90" s="31">
        <v>0</v>
      </c>
      <c r="L90" s="32">
        <f>F90*K90</f>
        <v>0</v>
      </c>
      <c r="N90" s="73" t="s">
        <v>6</v>
      </c>
      <c r="O90" s="74">
        <f>IF(N90="5",I90,0)</f>
        <v>0</v>
      </c>
      <c r="Z90" s="74">
        <f>IF(AD90=0,J90,0)</f>
        <v>0</v>
      </c>
      <c r="AA90" s="74">
        <f>IF(AD90=10,J90,0)</f>
        <v>0</v>
      </c>
      <c r="AB90" s="74">
        <f>IF(AD90=20,J90,0)</f>
        <v>0</v>
      </c>
      <c r="AD90" s="74">
        <v>20</v>
      </c>
      <c r="AE90" s="74">
        <f>G90*0.00496770988574267</f>
        <v>0</v>
      </c>
      <c r="AF90" s="74">
        <f>G90*(1-0.00496770988574267)</f>
        <v>0</v>
      </c>
    </row>
    <row r="91" spans="1:32" ht="12.75">
      <c r="A91" s="16"/>
      <c r="B91" s="12"/>
      <c r="C91" s="22"/>
      <c r="D91" s="59" t="s">
        <v>195</v>
      </c>
      <c r="E91" s="60"/>
      <c r="F91" s="60"/>
      <c r="G91" s="60"/>
      <c r="H91" s="23">
        <f>SUM(H92:H95)</f>
        <v>0</v>
      </c>
      <c r="I91" s="23">
        <f>SUM(I92:I95)</f>
        <v>0</v>
      </c>
      <c r="J91" s="23">
        <f>H91+I91</f>
        <v>0</v>
      </c>
      <c r="K91" s="29"/>
      <c r="L91" s="30">
        <f>SUM(L92:L95)</f>
        <v>0.12811999999999998</v>
      </c>
      <c r="N91" s="73" t="s">
        <v>6</v>
      </c>
      <c r="O91" s="74">
        <f>IF(N91="5",I91,0)</f>
        <v>0</v>
      </c>
      <c r="Z91" s="74">
        <f>IF(AD91=0,J91,0)</f>
        <v>0</v>
      </c>
      <c r="AA91" s="74">
        <f>IF(AD91=10,J91,0)</f>
        <v>0</v>
      </c>
      <c r="AB91" s="74">
        <f>IF(AD91=20,J91,0)</f>
        <v>0</v>
      </c>
      <c r="AD91" s="74">
        <v>20</v>
      </c>
      <c r="AE91" s="74">
        <f>G91*0</f>
        <v>0</v>
      </c>
      <c r="AF91" s="74">
        <f>G91*(1-0)</f>
        <v>0</v>
      </c>
    </row>
    <row r="92" spans="1:37" ht="12.75">
      <c r="A92" s="16" t="s">
        <v>64</v>
      </c>
      <c r="B92" s="12" t="s">
        <v>82</v>
      </c>
      <c r="C92" s="12" t="s">
        <v>144</v>
      </c>
      <c r="D92" s="12" t="s">
        <v>240</v>
      </c>
      <c r="E92" s="12" t="s">
        <v>267</v>
      </c>
      <c r="F92" s="13">
        <v>46</v>
      </c>
      <c r="G92" s="24"/>
      <c r="H92" s="13">
        <f>ROUND(F92*AE92,2)</f>
        <v>0</v>
      </c>
      <c r="I92" s="13">
        <f>J92-H92</f>
        <v>0</v>
      </c>
      <c r="J92" s="13">
        <f>ROUND(F92*G92,2)</f>
        <v>0</v>
      </c>
      <c r="K92" s="31">
        <v>0.00273</v>
      </c>
      <c r="L92" s="32">
        <f>F92*K92</f>
        <v>0.12558</v>
      </c>
      <c r="P92" s="72">
        <f>IF(Q92="PR",J92,SUM(O93:O96))</f>
        <v>0</v>
      </c>
      <c r="Q92" s="71" t="s">
        <v>291</v>
      </c>
      <c r="R92" s="72">
        <f>IF(Q92="HS",H92,0)</f>
        <v>0</v>
      </c>
      <c r="S92" s="72">
        <f>IF(Q92="HS",I92-P92,0)</f>
        <v>0</v>
      </c>
      <c r="T92" s="72">
        <f>IF(Q92="PS",H92,0)</f>
        <v>0</v>
      </c>
      <c r="U92" s="72">
        <f>IF(Q92="PS",I92-P92,0)</f>
        <v>0</v>
      </c>
      <c r="V92" s="72">
        <f>IF(Q92="MP",H92,0)</f>
        <v>0</v>
      </c>
      <c r="W92" s="72">
        <f>IF(Q92="MP",I92-P92,0)</f>
        <v>0</v>
      </c>
      <c r="X92" s="72">
        <f>IF(Q92="OM",H92,0)</f>
        <v>0</v>
      </c>
      <c r="Y92" s="71" t="s">
        <v>82</v>
      </c>
      <c r="AI92" s="72">
        <f>SUM(Z93:Z96)</f>
        <v>0</v>
      </c>
      <c r="AJ92" s="72">
        <f>SUM(AA93:AA96)</f>
        <v>0</v>
      </c>
      <c r="AK92" s="72">
        <f>SUM(AB93:AB96)</f>
        <v>0</v>
      </c>
    </row>
    <row r="93" spans="1:32" ht="12.75">
      <c r="A93" s="16" t="s">
        <v>65</v>
      </c>
      <c r="B93" s="12" t="s">
        <v>82</v>
      </c>
      <c r="C93" s="12" t="s">
        <v>145</v>
      </c>
      <c r="D93" s="12" t="s">
        <v>241</v>
      </c>
      <c r="E93" s="12" t="s">
        <v>267</v>
      </c>
      <c r="F93" s="13">
        <v>2</v>
      </c>
      <c r="G93" s="24"/>
      <c r="H93" s="13">
        <f>ROUND(F93*AE93,2)</f>
        <v>0</v>
      </c>
      <c r="I93" s="13">
        <f>J93-H93</f>
        <v>0</v>
      </c>
      <c r="J93" s="13">
        <f>ROUND(F93*G93,2)</f>
        <v>0</v>
      </c>
      <c r="K93" s="31">
        <v>0.00127</v>
      </c>
      <c r="L93" s="32">
        <f>F93*K93</f>
        <v>0.00254</v>
      </c>
      <c r="N93" s="73" t="s">
        <v>287</v>
      </c>
      <c r="O93" s="74">
        <f>IF(N93="5",I93,0)</f>
        <v>0</v>
      </c>
      <c r="Z93" s="74">
        <f>IF(AD93=0,J93,0)</f>
        <v>0</v>
      </c>
      <c r="AA93" s="74">
        <f>IF(AD93=10,J93,0)</f>
        <v>0</v>
      </c>
      <c r="AB93" s="74">
        <f>IF(AD93=20,J93,0)</f>
        <v>0</v>
      </c>
      <c r="AD93" s="74">
        <v>20</v>
      </c>
      <c r="AE93" s="74">
        <f>G93*1</f>
        <v>0</v>
      </c>
      <c r="AF93" s="74">
        <f>G93*(1-1)</f>
        <v>0</v>
      </c>
    </row>
    <row r="94" spans="1:32" ht="12.75">
      <c r="A94" s="16" t="s">
        <v>66</v>
      </c>
      <c r="B94" s="12" t="s">
        <v>82</v>
      </c>
      <c r="C94" s="12" t="s">
        <v>146</v>
      </c>
      <c r="D94" s="12" t="s">
        <v>242</v>
      </c>
      <c r="E94" s="12" t="s">
        <v>269</v>
      </c>
      <c r="F94" s="13">
        <v>2</v>
      </c>
      <c r="G94" s="24"/>
      <c r="H94" s="13">
        <f>ROUND(F94*AE94,2)</f>
        <v>0</v>
      </c>
      <c r="I94" s="13">
        <f>J94-H94</f>
        <v>0</v>
      </c>
      <c r="J94" s="13">
        <f>ROUND(F94*G94,2)</f>
        <v>0</v>
      </c>
      <c r="K94" s="31">
        <v>0</v>
      </c>
      <c r="L94" s="32">
        <f>F94*K94</f>
        <v>0</v>
      </c>
      <c r="N94" s="73" t="s">
        <v>287</v>
      </c>
      <c r="O94" s="74">
        <f>IF(N94="5",I94,0)</f>
        <v>0</v>
      </c>
      <c r="Z94" s="74">
        <f>IF(AD94=0,J94,0)</f>
        <v>0</v>
      </c>
      <c r="AA94" s="74">
        <f>IF(AD94=10,J94,0)</f>
        <v>0</v>
      </c>
      <c r="AB94" s="74">
        <f>IF(AD94=20,J94,0)</f>
        <v>0</v>
      </c>
      <c r="AD94" s="74">
        <v>20</v>
      </c>
      <c r="AE94" s="74">
        <f>G94*1</f>
        <v>0</v>
      </c>
      <c r="AF94" s="74">
        <f>G94*(1-1)</f>
        <v>0</v>
      </c>
    </row>
    <row r="95" spans="1:32" ht="12.75">
      <c r="A95" s="16" t="s">
        <v>67</v>
      </c>
      <c r="B95" s="12" t="s">
        <v>82</v>
      </c>
      <c r="C95" s="12" t="s">
        <v>147</v>
      </c>
      <c r="D95" s="12" t="s">
        <v>243</v>
      </c>
      <c r="E95" s="12" t="s">
        <v>270</v>
      </c>
      <c r="F95" s="13">
        <v>5.80043</v>
      </c>
      <c r="G95" s="24"/>
      <c r="H95" s="13">
        <f>ROUND(F95*AE95,2)</f>
        <v>0</v>
      </c>
      <c r="I95" s="13">
        <f>J95-H95</f>
        <v>0</v>
      </c>
      <c r="J95" s="13">
        <f>ROUND(F95*G95,2)</f>
        <v>0</v>
      </c>
      <c r="K95" s="31">
        <v>0</v>
      </c>
      <c r="L95" s="32">
        <f>F95*K95</f>
        <v>0</v>
      </c>
      <c r="N95" s="73" t="s">
        <v>287</v>
      </c>
      <c r="O95" s="74">
        <f>IF(N95="5",I95,0)</f>
        <v>0</v>
      </c>
      <c r="Z95" s="74">
        <f>IF(AD95=0,J95,0)</f>
        <v>0</v>
      </c>
      <c r="AA95" s="74">
        <f>IF(AD95=10,J95,0)</f>
        <v>0</v>
      </c>
      <c r="AB95" s="74">
        <f>IF(AD95=20,J95,0)</f>
        <v>0</v>
      </c>
      <c r="AD95" s="74">
        <v>20</v>
      </c>
      <c r="AE95" s="74">
        <f>G95*1</f>
        <v>0</v>
      </c>
      <c r="AF95" s="74">
        <f>G95*(1-1)</f>
        <v>0</v>
      </c>
    </row>
    <row r="96" spans="1:32" ht="12.75">
      <c r="A96" s="16"/>
      <c r="B96" s="12"/>
      <c r="C96" s="22"/>
      <c r="D96" s="59" t="s">
        <v>244</v>
      </c>
      <c r="E96" s="60"/>
      <c r="F96" s="60"/>
      <c r="G96" s="60"/>
      <c r="H96" s="23">
        <f>H97+H100+H103+H105+H107+H109</f>
        <v>0</v>
      </c>
      <c r="I96" s="23">
        <f>I97+I100+I103+I105+I107+I109</f>
        <v>0</v>
      </c>
      <c r="J96" s="23">
        <f>H96+I96</f>
        <v>0</v>
      </c>
      <c r="K96" s="29"/>
      <c r="L96" s="30">
        <f>L97+L100+L103+L105+L107+L109</f>
        <v>180.2377576</v>
      </c>
      <c r="N96" s="73" t="s">
        <v>10</v>
      </c>
      <c r="O96" s="74">
        <f>IF(N96="5",I96,0)</f>
        <v>0</v>
      </c>
      <c r="Z96" s="74">
        <f>IF(AD96=0,J96,0)</f>
        <v>0</v>
      </c>
      <c r="AA96" s="74">
        <f>IF(AD96=10,J96,0)</f>
        <v>0</v>
      </c>
      <c r="AB96" s="74">
        <f>IF(AD96=20,J96,0)</f>
        <v>0</v>
      </c>
      <c r="AD96" s="74">
        <v>20</v>
      </c>
      <c r="AE96" s="74">
        <f>G96*0</f>
        <v>0</v>
      </c>
      <c r="AF96" s="74">
        <f>G96*(1-0)</f>
        <v>0</v>
      </c>
    </row>
    <row r="97" spans="1:12" ht="12.75">
      <c r="A97" s="16"/>
      <c r="B97" s="12"/>
      <c r="C97" s="22" t="s">
        <v>26</v>
      </c>
      <c r="D97" s="59" t="s">
        <v>245</v>
      </c>
      <c r="E97" s="60"/>
      <c r="F97" s="60"/>
      <c r="G97" s="60"/>
      <c r="H97" s="23">
        <f>SUM(H98:H99)</f>
        <v>0</v>
      </c>
      <c r="I97" s="23">
        <f>SUM(I98:I99)</f>
        <v>0</v>
      </c>
      <c r="J97" s="23">
        <f>H97+I97</f>
        <v>0</v>
      </c>
      <c r="K97" s="29"/>
      <c r="L97" s="30">
        <f>SUM(L98:L99)</f>
        <v>0.3622752</v>
      </c>
    </row>
    <row r="98" spans="1:37" ht="12.75">
      <c r="A98" s="16" t="s">
        <v>68</v>
      </c>
      <c r="B98" s="12" t="s">
        <v>83</v>
      </c>
      <c r="C98" s="12" t="s">
        <v>148</v>
      </c>
      <c r="D98" s="12" t="s">
        <v>246</v>
      </c>
      <c r="E98" s="12" t="s">
        <v>267</v>
      </c>
      <c r="F98" s="13">
        <v>754.74</v>
      </c>
      <c r="G98" s="24"/>
      <c r="H98" s="13">
        <f>ROUND(F98*AE98,2)</f>
        <v>0</v>
      </c>
      <c r="I98" s="13">
        <f>J98-H98</f>
        <v>0</v>
      </c>
      <c r="J98" s="13">
        <f>ROUND(F98*G98,2)</f>
        <v>0</v>
      </c>
      <c r="K98" s="31">
        <v>0.00048</v>
      </c>
      <c r="L98" s="32">
        <f>F98*K98</f>
        <v>0.3622752</v>
      </c>
      <c r="P98" s="72">
        <f>IF(Q98="PR",J98,SUM(O99:O100))</f>
        <v>0</v>
      </c>
      <c r="Q98" s="71" t="s">
        <v>290</v>
      </c>
      <c r="R98" s="72">
        <f>IF(Q98="HS",H98,0)</f>
        <v>0</v>
      </c>
      <c r="S98" s="72">
        <f>IF(Q98="HS",I98-P98,0)</f>
        <v>0</v>
      </c>
      <c r="T98" s="72">
        <f>IF(Q98="PS",H98,0)</f>
        <v>0</v>
      </c>
      <c r="U98" s="72">
        <f>IF(Q98="PS",I98-P98,0)</f>
        <v>0</v>
      </c>
      <c r="V98" s="72">
        <f>IF(Q98="MP",H98,0)</f>
        <v>0</v>
      </c>
      <c r="W98" s="72">
        <f>IF(Q98="MP",I98-P98,0)</f>
        <v>0</v>
      </c>
      <c r="X98" s="72">
        <f>IF(Q98="OM",H98,0)</f>
        <v>0</v>
      </c>
      <c r="Y98" s="71" t="s">
        <v>83</v>
      </c>
      <c r="AI98" s="72">
        <f>SUM(Z99:Z100)</f>
        <v>0</v>
      </c>
      <c r="AJ98" s="72">
        <f>SUM(AA99:AA100)</f>
        <v>0</v>
      </c>
      <c r="AK98" s="72">
        <f>SUM(AB99:AB100)</f>
        <v>0</v>
      </c>
    </row>
    <row r="99" spans="1:32" ht="12.75">
      <c r="A99" s="16" t="s">
        <v>69</v>
      </c>
      <c r="B99" s="12" t="s">
        <v>83</v>
      </c>
      <c r="C99" s="12" t="s">
        <v>149</v>
      </c>
      <c r="D99" s="12" t="s">
        <v>247</v>
      </c>
      <c r="E99" s="12" t="s">
        <v>267</v>
      </c>
      <c r="F99" s="13">
        <v>718.8</v>
      </c>
      <c r="G99" s="24"/>
      <c r="H99" s="13">
        <f>ROUND(F99*AE99,2)</f>
        <v>0</v>
      </c>
      <c r="I99" s="13">
        <f>J99-H99</f>
        <v>0</v>
      </c>
      <c r="J99" s="13">
        <f>ROUND(F99*G99,2)</f>
        <v>0</v>
      </c>
      <c r="K99" s="31">
        <v>0</v>
      </c>
      <c r="L99" s="32">
        <f>F99*K99</f>
        <v>0</v>
      </c>
      <c r="N99" s="73" t="s">
        <v>287</v>
      </c>
      <c r="O99" s="74">
        <f>IF(N99="5",I99,0)</f>
        <v>0</v>
      </c>
      <c r="Z99" s="74">
        <f>IF(AD99=0,J99,0)</f>
        <v>0</v>
      </c>
      <c r="AA99" s="74">
        <f>IF(AD99=10,J99,0)</f>
        <v>0</v>
      </c>
      <c r="AB99" s="74">
        <f>IF(AD99=20,J99,0)</f>
        <v>0</v>
      </c>
      <c r="AD99" s="74">
        <v>20</v>
      </c>
      <c r="AE99" s="74">
        <f>G99*1</f>
        <v>0</v>
      </c>
      <c r="AF99" s="74">
        <f>G99*(1-1)</f>
        <v>0</v>
      </c>
    </row>
    <row r="100" spans="1:32" ht="12.75">
      <c r="A100" s="16"/>
      <c r="B100" s="12"/>
      <c r="C100" s="22" t="s">
        <v>50</v>
      </c>
      <c r="D100" s="59" t="s">
        <v>198</v>
      </c>
      <c r="E100" s="60"/>
      <c r="F100" s="60"/>
      <c r="G100" s="60"/>
      <c r="H100" s="23">
        <f>SUM(H101:H102)</f>
        <v>0</v>
      </c>
      <c r="I100" s="23">
        <f>SUM(I101:I102)</f>
        <v>0</v>
      </c>
      <c r="J100" s="23">
        <f>H100+I100</f>
        <v>0</v>
      </c>
      <c r="K100" s="29"/>
      <c r="L100" s="30">
        <f>SUM(L101:L102)</f>
        <v>0.3270623999999999</v>
      </c>
      <c r="N100" s="73" t="s">
        <v>6</v>
      </c>
      <c r="O100" s="74">
        <f>IF(N100="5",I100,0)</f>
        <v>0</v>
      </c>
      <c r="Z100" s="74">
        <f>IF(AD100=0,J100,0)</f>
        <v>0</v>
      </c>
      <c r="AA100" s="74">
        <f>IF(AD100=10,J100,0)</f>
        <v>0</v>
      </c>
      <c r="AB100" s="74">
        <f>IF(AD100=20,J100,0)</f>
        <v>0</v>
      </c>
      <c r="AD100" s="74">
        <v>20</v>
      </c>
      <c r="AE100" s="74">
        <f>G100*0</f>
        <v>0</v>
      </c>
      <c r="AF100" s="74">
        <f>G100*(1-0)</f>
        <v>0</v>
      </c>
    </row>
    <row r="101" spans="1:37" ht="12.75">
      <c r="A101" s="16" t="s">
        <v>70</v>
      </c>
      <c r="B101" s="12" t="s">
        <v>83</v>
      </c>
      <c r="C101" s="12" t="s">
        <v>150</v>
      </c>
      <c r="D101" s="12" t="s">
        <v>248</v>
      </c>
      <c r="E101" s="12" t="s">
        <v>266</v>
      </c>
      <c r="F101" s="13">
        <v>1150.08</v>
      </c>
      <c r="G101" s="24"/>
      <c r="H101" s="13">
        <f>ROUND(F101*AE101,2)</f>
        <v>0</v>
      </c>
      <c r="I101" s="13">
        <f>J101-H101</f>
        <v>0</v>
      </c>
      <c r="J101" s="13">
        <f>ROUND(F101*G101,2)</f>
        <v>0</v>
      </c>
      <c r="K101" s="31">
        <v>0.00028</v>
      </c>
      <c r="L101" s="32">
        <f>F101*K101</f>
        <v>0.32202239999999993</v>
      </c>
      <c r="P101" s="72">
        <f>IF(Q101="PR",J101,SUM(O102:O103))</f>
        <v>0</v>
      </c>
      <c r="Q101" s="71" t="s">
        <v>290</v>
      </c>
      <c r="R101" s="72">
        <f>IF(Q101="HS",H101,0)</f>
        <v>0</v>
      </c>
      <c r="S101" s="72">
        <f>IF(Q101="HS",I101-P101,0)</f>
        <v>0</v>
      </c>
      <c r="T101" s="72">
        <f>IF(Q101="PS",H101,0)</f>
        <v>0</v>
      </c>
      <c r="U101" s="72">
        <f>IF(Q101="PS",I101-P101,0)</f>
        <v>0</v>
      </c>
      <c r="V101" s="72">
        <f>IF(Q101="MP",H101,0)</f>
        <v>0</v>
      </c>
      <c r="W101" s="72">
        <f>IF(Q101="MP",I101-P101,0)</f>
        <v>0</v>
      </c>
      <c r="X101" s="72">
        <f>IF(Q101="OM",H101,0)</f>
        <v>0</v>
      </c>
      <c r="Y101" s="71" t="s">
        <v>83</v>
      </c>
      <c r="AI101" s="72">
        <f>SUM(Z102:Z103)</f>
        <v>0</v>
      </c>
      <c r="AJ101" s="72">
        <f>SUM(AA102:AA103)</f>
        <v>0</v>
      </c>
      <c r="AK101" s="72">
        <f>SUM(AB102:AB103)</f>
        <v>0</v>
      </c>
    </row>
    <row r="102" spans="1:32" ht="12.75">
      <c r="A102" s="16" t="s">
        <v>71</v>
      </c>
      <c r="B102" s="12" t="s">
        <v>83</v>
      </c>
      <c r="C102" s="12" t="s">
        <v>151</v>
      </c>
      <c r="D102" s="12" t="s">
        <v>249</v>
      </c>
      <c r="E102" s="12" t="s">
        <v>266</v>
      </c>
      <c r="F102" s="13">
        <v>24</v>
      </c>
      <c r="G102" s="24"/>
      <c r="H102" s="13">
        <f>ROUND(F102*AE102,2)</f>
        <v>0</v>
      </c>
      <c r="I102" s="13">
        <f>J102-H102</f>
        <v>0</v>
      </c>
      <c r="J102" s="13">
        <f>ROUND(F102*G102,2)</f>
        <v>0</v>
      </c>
      <c r="K102" s="31">
        <v>0.00021</v>
      </c>
      <c r="L102" s="32">
        <f>F102*K102</f>
        <v>0.00504</v>
      </c>
      <c r="N102" s="73" t="s">
        <v>6</v>
      </c>
      <c r="O102" s="74">
        <f>IF(N102="5",I102,0)</f>
        <v>0</v>
      </c>
      <c r="Z102" s="74">
        <f>IF(AD102=0,J102,0)</f>
        <v>0</v>
      </c>
      <c r="AA102" s="74">
        <f>IF(AD102=10,J102,0)</f>
        <v>0</v>
      </c>
      <c r="AB102" s="74">
        <f>IF(AD102=20,J102,0)</f>
        <v>0</v>
      </c>
      <c r="AD102" s="74">
        <v>20</v>
      </c>
      <c r="AE102" s="74">
        <f>G102*0.0773087071240106</f>
        <v>0</v>
      </c>
      <c r="AF102" s="74">
        <f>G102*(1-0.0773087071240106)</f>
        <v>0</v>
      </c>
    </row>
    <row r="103" spans="1:32" ht="12.75">
      <c r="A103" s="16"/>
      <c r="B103" s="12"/>
      <c r="C103" s="22" t="s">
        <v>141</v>
      </c>
      <c r="D103" s="59" t="s">
        <v>237</v>
      </c>
      <c r="E103" s="60"/>
      <c r="F103" s="60"/>
      <c r="G103" s="60"/>
      <c r="H103" s="23">
        <f>SUM(H104:H104)</f>
        <v>0</v>
      </c>
      <c r="I103" s="23">
        <f>SUM(I104:I104)</f>
        <v>0</v>
      </c>
      <c r="J103" s="23">
        <f>H103+I103</f>
        <v>0</v>
      </c>
      <c r="K103" s="29"/>
      <c r="L103" s="30">
        <f>SUM(L104:L104)</f>
        <v>0</v>
      </c>
      <c r="N103" s="73" t="s">
        <v>6</v>
      </c>
      <c r="O103" s="74">
        <f>IF(N103="5",I103,0)</f>
        <v>0</v>
      </c>
      <c r="Z103" s="74">
        <f>IF(AD103=0,J103,0)</f>
        <v>0</v>
      </c>
      <c r="AA103" s="74">
        <f>IF(AD103=10,J103,0)</f>
        <v>0</v>
      </c>
      <c r="AB103" s="74">
        <f>IF(AD103=20,J103,0)</f>
        <v>0</v>
      </c>
      <c r="AD103" s="74">
        <v>20</v>
      </c>
      <c r="AE103" s="74">
        <f>G103*0.0590078328981723</f>
        <v>0</v>
      </c>
      <c r="AF103" s="74">
        <f>G103*(1-0.0590078328981723)</f>
        <v>0</v>
      </c>
    </row>
    <row r="104" spans="1:37" ht="12.75">
      <c r="A104" s="16" t="s">
        <v>72</v>
      </c>
      <c r="B104" s="12" t="s">
        <v>83</v>
      </c>
      <c r="C104" s="12" t="s">
        <v>152</v>
      </c>
      <c r="D104" s="12" t="s">
        <v>250</v>
      </c>
      <c r="E104" s="12" t="s">
        <v>267</v>
      </c>
      <c r="F104" s="13">
        <v>718.8</v>
      </c>
      <c r="G104" s="24"/>
      <c r="H104" s="13">
        <f>ROUND(F104*AE104,2)</f>
        <v>0</v>
      </c>
      <c r="I104" s="13">
        <f>J104-H104</f>
        <v>0</v>
      </c>
      <c r="J104" s="13">
        <f>ROUND(F104*G104,2)</f>
        <v>0</v>
      </c>
      <c r="K104" s="31">
        <v>0</v>
      </c>
      <c r="L104" s="32">
        <f>F104*K104</f>
        <v>0</v>
      </c>
      <c r="P104" s="72">
        <f>IF(Q104="PR",J104,SUM(O105:O105))</f>
        <v>0</v>
      </c>
      <c r="Q104" s="71" t="s">
        <v>290</v>
      </c>
      <c r="R104" s="72">
        <f>IF(Q104="HS",H104,0)</f>
        <v>0</v>
      </c>
      <c r="S104" s="72">
        <f>IF(Q104="HS",I104-P104,0)</f>
        <v>0</v>
      </c>
      <c r="T104" s="72">
        <f>IF(Q104="PS",H104,0)</f>
        <v>0</v>
      </c>
      <c r="U104" s="72">
        <f>IF(Q104="PS",I104-P104,0)</f>
        <v>0</v>
      </c>
      <c r="V104" s="72">
        <f>IF(Q104="MP",H104,0)</f>
        <v>0</v>
      </c>
      <c r="W104" s="72">
        <f>IF(Q104="MP",I104-P104,0)</f>
        <v>0</v>
      </c>
      <c r="X104" s="72">
        <f>IF(Q104="OM",H104,0)</f>
        <v>0</v>
      </c>
      <c r="Y104" s="71" t="s">
        <v>83</v>
      </c>
      <c r="AI104" s="72">
        <f>SUM(Z105:Z105)</f>
        <v>0</v>
      </c>
      <c r="AJ104" s="72">
        <f>SUM(AA105:AA105)</f>
        <v>0</v>
      </c>
      <c r="AK104" s="72">
        <f>SUM(AB105:AB105)</f>
        <v>0</v>
      </c>
    </row>
    <row r="105" spans="1:32" ht="12.75">
      <c r="A105" s="16"/>
      <c r="B105" s="12"/>
      <c r="C105" s="22" t="s">
        <v>153</v>
      </c>
      <c r="D105" s="59" t="s">
        <v>251</v>
      </c>
      <c r="E105" s="60"/>
      <c r="F105" s="60"/>
      <c r="G105" s="60"/>
      <c r="H105" s="23">
        <f>SUM(H106:H106)</f>
        <v>0</v>
      </c>
      <c r="I105" s="23">
        <f>SUM(I106:I106)</f>
        <v>0</v>
      </c>
      <c r="J105" s="23">
        <f>H105+I105</f>
        <v>0</v>
      </c>
      <c r="K105" s="29"/>
      <c r="L105" s="30">
        <f>SUM(L106:L106)</f>
        <v>8.35842</v>
      </c>
      <c r="N105" s="73" t="s">
        <v>6</v>
      </c>
      <c r="O105" s="74">
        <f>IF(N105="5",I105,0)</f>
        <v>0</v>
      </c>
      <c r="Z105" s="74">
        <f>IF(AD105=0,J105,0)</f>
        <v>0</v>
      </c>
      <c r="AA105" s="74">
        <f>IF(AD105=10,J105,0)</f>
        <v>0</v>
      </c>
      <c r="AB105" s="74">
        <f>IF(AD105=20,J105,0)</f>
        <v>0</v>
      </c>
      <c r="AD105" s="74">
        <v>20</v>
      </c>
      <c r="AE105" s="74">
        <f>G105*0</f>
        <v>0</v>
      </c>
      <c r="AF105" s="74">
        <f>G105*(1-0)</f>
        <v>0</v>
      </c>
    </row>
    <row r="106" spans="1:37" ht="12.75">
      <c r="A106" s="16" t="s">
        <v>73</v>
      </c>
      <c r="B106" s="12" t="s">
        <v>83</v>
      </c>
      <c r="C106" s="12" t="s">
        <v>154</v>
      </c>
      <c r="D106" s="12" t="s">
        <v>252</v>
      </c>
      <c r="E106" s="12" t="s">
        <v>269</v>
      </c>
      <c r="F106" s="13">
        <v>6</v>
      </c>
      <c r="G106" s="24"/>
      <c r="H106" s="13">
        <f>ROUND(F106*AE106,2)</f>
        <v>0</v>
      </c>
      <c r="I106" s="13">
        <f>J106-H106</f>
        <v>0</v>
      </c>
      <c r="J106" s="13">
        <f>ROUND(F106*G106,2)</f>
        <v>0</v>
      </c>
      <c r="K106" s="31">
        <v>1.39307</v>
      </c>
      <c r="L106" s="32">
        <f>F106*K106</f>
        <v>8.35842</v>
      </c>
      <c r="P106" s="72">
        <f>IF(Q106="PR",J106,SUM(O107:O107))</f>
        <v>0</v>
      </c>
      <c r="Q106" s="71" t="s">
        <v>290</v>
      </c>
      <c r="R106" s="72">
        <f>IF(Q106="HS",H106,0)</f>
        <v>0</v>
      </c>
      <c r="S106" s="72">
        <f>IF(Q106="HS",I106-P106,0)</f>
        <v>0</v>
      </c>
      <c r="T106" s="72">
        <f>IF(Q106="PS",H106,0)</f>
        <v>0</v>
      </c>
      <c r="U106" s="72">
        <f>IF(Q106="PS",I106-P106,0)</f>
        <v>0</v>
      </c>
      <c r="V106" s="72">
        <f>IF(Q106="MP",H106,0)</f>
        <v>0</v>
      </c>
      <c r="W106" s="72">
        <f>IF(Q106="MP",I106-P106,0)</f>
        <v>0</v>
      </c>
      <c r="X106" s="72">
        <f>IF(Q106="OM",H106,0)</f>
        <v>0</v>
      </c>
      <c r="Y106" s="71" t="s">
        <v>83</v>
      </c>
      <c r="AI106" s="72">
        <f>SUM(Z107:Z107)</f>
        <v>0</v>
      </c>
      <c r="AJ106" s="72">
        <f>SUM(AA107:AA107)</f>
        <v>0</v>
      </c>
      <c r="AK106" s="72">
        <f>SUM(AB107:AB107)</f>
        <v>0</v>
      </c>
    </row>
    <row r="107" spans="1:32" ht="12.75">
      <c r="A107" s="16"/>
      <c r="B107" s="12"/>
      <c r="C107" s="22" t="s">
        <v>155</v>
      </c>
      <c r="D107" s="59" t="s">
        <v>253</v>
      </c>
      <c r="E107" s="60"/>
      <c r="F107" s="60"/>
      <c r="G107" s="60"/>
      <c r="H107" s="23">
        <f>SUM(H108:H108)</f>
        <v>0</v>
      </c>
      <c r="I107" s="23">
        <f>SUM(I108:I108)</f>
        <v>0</v>
      </c>
      <c r="J107" s="23">
        <f>H107+I107</f>
        <v>0</v>
      </c>
      <c r="K107" s="29"/>
      <c r="L107" s="30">
        <f>SUM(L108:L108)</f>
        <v>0</v>
      </c>
      <c r="N107" s="73" t="s">
        <v>6</v>
      </c>
      <c r="O107" s="74">
        <f>IF(N107="5",I107,0)</f>
        <v>0</v>
      </c>
      <c r="Z107" s="74">
        <f>IF(AD107=0,J107,0)</f>
        <v>0</v>
      </c>
      <c r="AA107" s="74">
        <f>IF(AD107=10,J107,0)</f>
        <v>0</v>
      </c>
      <c r="AB107" s="74">
        <f>IF(AD107=20,J107,0)</f>
        <v>0</v>
      </c>
      <c r="AD107" s="74">
        <v>20</v>
      </c>
      <c r="AE107" s="74">
        <f>G107*0.726306602243839</f>
        <v>0</v>
      </c>
      <c r="AF107" s="74">
        <f>G107*(1-0.726306602243839)</f>
        <v>0</v>
      </c>
    </row>
    <row r="108" spans="1:37" ht="12.75">
      <c r="A108" s="16" t="s">
        <v>74</v>
      </c>
      <c r="B108" s="12" t="s">
        <v>83</v>
      </c>
      <c r="C108" s="12" t="s">
        <v>156</v>
      </c>
      <c r="D108" s="12" t="s">
        <v>254</v>
      </c>
      <c r="E108" s="12" t="s">
        <v>270</v>
      </c>
      <c r="F108" s="13">
        <v>180.23776</v>
      </c>
      <c r="G108" s="24"/>
      <c r="H108" s="13">
        <f>ROUND(F108*AE108,2)</f>
        <v>0</v>
      </c>
      <c r="I108" s="13">
        <f>J108-H108</f>
        <v>0</v>
      </c>
      <c r="J108" s="13">
        <f>ROUND(F108*G108,2)</f>
        <v>0</v>
      </c>
      <c r="K108" s="31">
        <v>0</v>
      </c>
      <c r="L108" s="32">
        <f>F108*K108</f>
        <v>0</v>
      </c>
      <c r="P108" s="72">
        <f>IF(Q108="PR",J108,SUM(O109:O109))</f>
        <v>0</v>
      </c>
      <c r="Q108" s="71" t="s">
        <v>292</v>
      </c>
      <c r="R108" s="72">
        <f>IF(Q108="HS",H108,0)</f>
        <v>0</v>
      </c>
      <c r="S108" s="72">
        <f>IF(Q108="HS",I108-P108,0)</f>
        <v>0</v>
      </c>
      <c r="T108" s="72">
        <f>IF(Q108="PS",H108,0)</f>
        <v>0</v>
      </c>
      <c r="U108" s="72">
        <f>IF(Q108="PS",I108-P108,0)</f>
        <v>0</v>
      </c>
      <c r="V108" s="72">
        <f>IF(Q108="MP",H108,0)</f>
        <v>0</v>
      </c>
      <c r="W108" s="72">
        <f>IF(Q108="MP",I108-P108,0)</f>
        <v>0</v>
      </c>
      <c r="X108" s="72">
        <f>IF(Q108="OM",H108,0)</f>
        <v>0</v>
      </c>
      <c r="Y108" s="71" t="s">
        <v>83</v>
      </c>
      <c r="AI108" s="72">
        <f>SUM(Z109:Z109)</f>
        <v>0</v>
      </c>
      <c r="AJ108" s="72">
        <f>SUM(AA109:AA109)</f>
        <v>0</v>
      </c>
      <c r="AK108" s="72">
        <f>SUM(AB109:AB109)</f>
        <v>0</v>
      </c>
    </row>
    <row r="109" spans="1:32" ht="12.75">
      <c r="A109" s="16"/>
      <c r="B109" s="12"/>
      <c r="C109" s="22"/>
      <c r="D109" s="59" t="s">
        <v>195</v>
      </c>
      <c r="E109" s="60"/>
      <c r="F109" s="60"/>
      <c r="G109" s="60"/>
      <c r="H109" s="23">
        <f>SUM(H110:H113)</f>
        <v>0</v>
      </c>
      <c r="I109" s="23">
        <f>SUM(I110:I113)</f>
        <v>0</v>
      </c>
      <c r="J109" s="23">
        <f>H109+I109</f>
        <v>0</v>
      </c>
      <c r="K109" s="29"/>
      <c r="L109" s="30">
        <f>SUM(L110:L113)</f>
        <v>171.19</v>
      </c>
      <c r="N109" s="73" t="s">
        <v>10</v>
      </c>
      <c r="O109" s="74">
        <f>IF(N109="5",I109,0)</f>
        <v>0</v>
      </c>
      <c r="Z109" s="74">
        <f>IF(AD109=0,J109,0)</f>
        <v>0</v>
      </c>
      <c r="AA109" s="74">
        <f>IF(AD109=10,J109,0)</f>
        <v>0</v>
      </c>
      <c r="AB109" s="74">
        <f>IF(AD109=20,J109,0)</f>
        <v>0</v>
      </c>
      <c r="AD109" s="74">
        <v>20</v>
      </c>
      <c r="AE109" s="74">
        <f>G109*0</f>
        <v>0</v>
      </c>
      <c r="AF109" s="74">
        <f>G109*(1-0)</f>
        <v>0</v>
      </c>
    </row>
    <row r="110" spans="1:37" ht="12.75">
      <c r="A110" s="16" t="s">
        <v>75</v>
      </c>
      <c r="B110" s="12" t="s">
        <v>83</v>
      </c>
      <c r="C110" s="12" t="s">
        <v>157</v>
      </c>
      <c r="D110" s="12" t="s">
        <v>255</v>
      </c>
      <c r="E110" s="12" t="s">
        <v>266</v>
      </c>
      <c r="F110" s="13">
        <v>1150.08</v>
      </c>
      <c r="G110" s="24"/>
      <c r="H110" s="13">
        <f>ROUND(F110*AE110,2)</f>
        <v>0</v>
      </c>
      <c r="I110" s="13">
        <f>J110-H110</f>
        <v>0</v>
      </c>
      <c r="J110" s="13">
        <f>ROUND(F110*G110,2)</f>
        <v>0</v>
      </c>
      <c r="K110" s="31">
        <v>0</v>
      </c>
      <c r="L110" s="32">
        <f>F110*K110</f>
        <v>0</v>
      </c>
      <c r="P110" s="72">
        <f>IF(Q110="PR",J110,SUM(O111:O114))</f>
        <v>0</v>
      </c>
      <c r="Q110" s="71" t="s">
        <v>291</v>
      </c>
      <c r="R110" s="72">
        <f>IF(Q110="HS",H110,0)</f>
        <v>0</v>
      </c>
      <c r="S110" s="72">
        <f>IF(Q110="HS",I110-P110,0)</f>
        <v>0</v>
      </c>
      <c r="T110" s="72">
        <f>IF(Q110="PS",H110,0)</f>
        <v>0</v>
      </c>
      <c r="U110" s="72">
        <f>IF(Q110="PS",I110-P110,0)</f>
        <v>0</v>
      </c>
      <c r="V110" s="72">
        <f>IF(Q110="MP",H110,0)</f>
        <v>0</v>
      </c>
      <c r="W110" s="72">
        <f>IF(Q110="MP",I110-P110,0)</f>
        <v>0</v>
      </c>
      <c r="X110" s="72">
        <f>IF(Q110="OM",H110,0)</f>
        <v>0</v>
      </c>
      <c r="Y110" s="71" t="s">
        <v>83</v>
      </c>
      <c r="AI110" s="72">
        <f>SUM(Z111:Z114)</f>
        <v>0</v>
      </c>
      <c r="AJ110" s="72">
        <f>SUM(AA111:AA114)</f>
        <v>0</v>
      </c>
      <c r="AK110" s="72">
        <f>SUM(AB111:AB114)</f>
        <v>0</v>
      </c>
    </row>
    <row r="111" spans="1:32" ht="12.75">
      <c r="A111" s="16" t="s">
        <v>76</v>
      </c>
      <c r="B111" s="12" t="s">
        <v>83</v>
      </c>
      <c r="C111" s="12" t="s">
        <v>158</v>
      </c>
      <c r="D111" s="12" t="s">
        <v>256</v>
      </c>
      <c r="E111" s="12" t="s">
        <v>271</v>
      </c>
      <c r="F111" s="13">
        <v>171.19</v>
      </c>
      <c r="G111" s="24"/>
      <c r="H111" s="13">
        <f>ROUND(F111*AE111,2)</f>
        <v>0</v>
      </c>
      <c r="I111" s="13">
        <f>J111-H111</f>
        <v>0</v>
      </c>
      <c r="J111" s="13">
        <f>ROUND(F111*G111,2)</f>
        <v>0</v>
      </c>
      <c r="K111" s="31">
        <v>1</v>
      </c>
      <c r="L111" s="32">
        <f>F111*K111</f>
        <v>171.19</v>
      </c>
      <c r="N111" s="73" t="s">
        <v>287</v>
      </c>
      <c r="O111" s="74">
        <f>IF(N111="5",I111,0)</f>
        <v>0</v>
      </c>
      <c r="Z111" s="74">
        <f>IF(AD111=0,J111,0)</f>
        <v>0</v>
      </c>
      <c r="AA111" s="74">
        <f>IF(AD111=10,J111,0)</f>
        <v>0</v>
      </c>
      <c r="AB111" s="74">
        <f>IF(AD111=20,J111,0)</f>
        <v>0</v>
      </c>
      <c r="AD111" s="74">
        <v>20</v>
      </c>
      <c r="AE111" s="74">
        <f>G111*1</f>
        <v>0</v>
      </c>
      <c r="AF111" s="74">
        <f>G111*(1-1)</f>
        <v>0</v>
      </c>
    </row>
    <row r="112" spans="1:32" ht="12.75">
      <c r="A112" s="16" t="s">
        <v>77</v>
      </c>
      <c r="B112" s="12" t="s">
        <v>83</v>
      </c>
      <c r="C112" s="12" t="s">
        <v>159</v>
      </c>
      <c r="D112" s="12" t="s">
        <v>257</v>
      </c>
      <c r="E112" s="12" t="s">
        <v>269</v>
      </c>
      <c r="F112" s="13">
        <v>2</v>
      </c>
      <c r="G112" s="24"/>
      <c r="H112" s="13">
        <f>ROUND(F112*AE112,2)</f>
        <v>0</v>
      </c>
      <c r="I112" s="13">
        <f>J112-H112</f>
        <v>0</v>
      </c>
      <c r="J112" s="13">
        <f>ROUND(F112*G112,2)</f>
        <v>0</v>
      </c>
      <c r="K112" s="31">
        <v>0</v>
      </c>
      <c r="L112" s="32">
        <f>F112*K112</f>
        <v>0</v>
      </c>
      <c r="N112" s="73" t="s">
        <v>287</v>
      </c>
      <c r="O112" s="74">
        <f>IF(N112="5",I112,0)</f>
        <v>0</v>
      </c>
      <c r="Z112" s="74">
        <f>IF(AD112=0,J112,0)</f>
        <v>0</v>
      </c>
      <c r="AA112" s="74">
        <f>IF(AD112=10,J112,0)</f>
        <v>0</v>
      </c>
      <c r="AB112" s="74">
        <f>IF(AD112=20,J112,0)</f>
        <v>0</v>
      </c>
      <c r="AD112" s="74">
        <v>20</v>
      </c>
      <c r="AE112" s="74">
        <f>G112*1</f>
        <v>0</v>
      </c>
      <c r="AF112" s="74">
        <f>G112*(1-1)</f>
        <v>0</v>
      </c>
    </row>
    <row r="113" spans="1:32" ht="12.75">
      <c r="A113" s="16" t="s">
        <v>78</v>
      </c>
      <c r="B113" s="12" t="s">
        <v>83</v>
      </c>
      <c r="C113" s="12" t="s">
        <v>160</v>
      </c>
      <c r="D113" s="12" t="s">
        <v>258</v>
      </c>
      <c r="E113" s="12" t="s">
        <v>270</v>
      </c>
      <c r="F113" s="13">
        <v>180.23776</v>
      </c>
      <c r="G113" s="63"/>
      <c r="H113" s="13">
        <f>ROUND(F113*AE113,2)</f>
        <v>0</v>
      </c>
      <c r="I113" s="13">
        <f>J113-H113</f>
        <v>0</v>
      </c>
      <c r="J113" s="13">
        <f>ROUND(F113*G113,2)</f>
        <v>0</v>
      </c>
      <c r="K113" s="31">
        <v>0</v>
      </c>
      <c r="L113" s="32">
        <f>F113*K113</f>
        <v>0</v>
      </c>
      <c r="N113" s="73" t="s">
        <v>287</v>
      </c>
      <c r="O113" s="74">
        <f>IF(N113="5",I113,0)</f>
        <v>0</v>
      </c>
      <c r="Z113" s="74">
        <f>IF(AD113=0,J113,0)</f>
        <v>0</v>
      </c>
      <c r="AA113" s="74">
        <f>IF(AD113=10,J113,0)</f>
        <v>0</v>
      </c>
      <c r="AB113" s="74">
        <f>IF(AD113=20,J113,0)</f>
        <v>0</v>
      </c>
      <c r="AD113" s="74">
        <v>20</v>
      </c>
      <c r="AE113" s="74">
        <f>G113*1</f>
        <v>0</v>
      </c>
      <c r="AF113" s="74">
        <f>G113*(1-1)</f>
        <v>0</v>
      </c>
    </row>
    <row r="114" spans="1:32" ht="13.5" thickBot="1">
      <c r="A114" s="64"/>
      <c r="B114" s="17"/>
      <c r="C114" s="17"/>
      <c r="D114" s="17"/>
      <c r="E114" s="17"/>
      <c r="F114" s="17"/>
      <c r="G114" s="17"/>
      <c r="H114" s="65" t="s">
        <v>277</v>
      </c>
      <c r="I114" s="66"/>
      <c r="J114" s="67">
        <f>J13+J15+J20+J27+J32+J36+J41+J43+J46+J49+J57+J61+J64+J72+J76+J83+J86+J88+J91+J97+J100+J103+J105+J107+J109</f>
        <v>0</v>
      </c>
      <c r="K114" s="76"/>
      <c r="L114" s="77"/>
      <c r="N114" s="73" t="s">
        <v>10</v>
      </c>
      <c r="O114" s="74">
        <f>IF(N114="5",I114,0)</f>
        <v>0</v>
      </c>
      <c r="Z114" s="74">
        <f>IF(AD114=0,J114,0)</f>
        <v>0</v>
      </c>
      <c r="AA114" s="74">
        <f>IF(AD114=10,J114,0)</f>
        <v>0</v>
      </c>
      <c r="AB114" s="74">
        <f>IF(AD114=20,J114,0)</f>
        <v>0</v>
      </c>
      <c r="AD114" s="74">
        <v>20</v>
      </c>
      <c r="AE114" s="74">
        <f>G114*0</f>
        <v>0</v>
      </c>
      <c r="AF114" s="74">
        <f>G114*(1-0)</f>
        <v>0</v>
      </c>
    </row>
    <row r="115" spans="1:28" ht="12.75">
      <c r="A115" s="14"/>
      <c r="B115" s="14"/>
      <c r="C115" s="14"/>
      <c r="D115" s="14"/>
      <c r="E115" s="14"/>
      <c r="F115" s="14"/>
      <c r="G115" s="14"/>
      <c r="H115" s="61"/>
      <c r="I115" s="62"/>
      <c r="J115" s="15"/>
      <c r="K115" s="33"/>
      <c r="L115" s="68"/>
      <c r="Z115" s="75">
        <f>SUM(Z13:Z114)</f>
        <v>0</v>
      </c>
      <c r="AA115" s="75">
        <f>SUM(AA13:AA114)</f>
        <v>0</v>
      </c>
      <c r="AB115" s="75">
        <f>SUM(AB13:AB114)</f>
        <v>0</v>
      </c>
    </row>
  </sheetData>
  <mergeCells count="58">
    <mergeCell ref="D96:G96"/>
    <mergeCell ref="D100:G100"/>
    <mergeCell ref="D103:G103"/>
    <mergeCell ref="D105:G105"/>
    <mergeCell ref="H115:I115"/>
    <mergeCell ref="D107:G107"/>
    <mergeCell ref="D109:G109"/>
    <mergeCell ref="H114:I114"/>
    <mergeCell ref="D97:G97"/>
    <mergeCell ref="D86:G86"/>
    <mergeCell ref="D88:G88"/>
    <mergeCell ref="D91:G91"/>
    <mergeCell ref="D64:G64"/>
    <mergeCell ref="D72:G72"/>
    <mergeCell ref="D76:G76"/>
    <mergeCell ref="D83:G83"/>
    <mergeCell ref="D82:G82"/>
    <mergeCell ref="D46:G46"/>
    <mergeCell ref="D49:G49"/>
    <mergeCell ref="D57:G57"/>
    <mergeCell ref="D61:G61"/>
    <mergeCell ref="D36:G36"/>
    <mergeCell ref="D41:G41"/>
    <mergeCell ref="D43:G43"/>
    <mergeCell ref="D45:G45"/>
    <mergeCell ref="D15:G15"/>
    <mergeCell ref="D20:G20"/>
    <mergeCell ref="D27:G27"/>
    <mergeCell ref="D32:G32"/>
    <mergeCell ref="H10:J10"/>
    <mergeCell ref="K10:L10"/>
    <mergeCell ref="D12:G12"/>
    <mergeCell ref="D13:G13"/>
    <mergeCell ref="I8:I9"/>
    <mergeCell ref="J2:L3"/>
    <mergeCell ref="J4:L5"/>
    <mergeCell ref="J6:L7"/>
    <mergeCell ref="J8:L9"/>
    <mergeCell ref="E8:F9"/>
    <mergeCell ref="G2:H3"/>
    <mergeCell ref="G4:H5"/>
    <mergeCell ref="G6:H7"/>
    <mergeCell ref="G8:H9"/>
    <mergeCell ref="A8:C9"/>
    <mergeCell ref="D2:D3"/>
    <mergeCell ref="D4:D5"/>
    <mergeCell ref="D6:D7"/>
    <mergeCell ref="D8:D9"/>
    <mergeCell ref="A1:L1"/>
    <mergeCell ref="A2:C3"/>
    <mergeCell ref="A4:C5"/>
    <mergeCell ref="A6:C7"/>
    <mergeCell ref="E2:F3"/>
    <mergeCell ref="E4:F5"/>
    <mergeCell ref="E6:F7"/>
    <mergeCell ref="I2:I3"/>
    <mergeCell ref="I4:I5"/>
    <mergeCell ref="I6:I7"/>
  </mergeCells>
  <printOptions horizontalCentered="1"/>
  <pageMargins left="0" right="0" top="0.45" bottom="0.4330708661417323" header="0.15748031496062992" footer="0.2362204724409449"/>
  <pageSetup horizontalDpi="600" verticalDpi="6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</cp:lastModifiedBy>
  <cp:lastPrinted>2011-04-29T06:48:33Z</cp:lastPrinted>
  <dcterms:created xsi:type="dcterms:W3CDTF">2011-01-10T13:01:57Z</dcterms:created>
  <dcterms:modified xsi:type="dcterms:W3CDTF">2011-04-29T06:48:38Z</dcterms:modified>
  <cp:category/>
  <cp:version/>
  <cp:contentType/>
  <cp:contentStatus/>
</cp:coreProperties>
</file>