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5225" tabRatio="795"/>
  </bookViews>
  <sheets>
    <sheet name="SO 1 spodní část OK" sheetId="1" r:id="rId1"/>
    <sheet name="SO 2 střední část OK" sheetId="7" r:id="rId2"/>
    <sheet name="SO 3 horní část OK" sheetId="8" r:id="rId3"/>
    <sheet name="SO 4 most" sheetId="9" r:id="rId4"/>
    <sheet name="SO 5 velká tůň OK" sheetId="10" r:id="rId5"/>
    <sheet name="Bilance zemin" sheetId="11" r:id="rId6"/>
  </sheets>
  <definedNames>
    <definedName name="_xlnm.Print_Area" localSheetId="5">'Bilance zemin'!$A$1:$I$36</definedName>
    <definedName name="_xlnm.Print_Area" localSheetId="0">'SO 1 spodní část OK'!$B$5:$O$123</definedName>
    <definedName name="_xlnm.Print_Area" localSheetId="1">'SO 2 střední část OK'!$A$1:$T$140</definedName>
    <definedName name="_xlnm.Print_Area" localSheetId="2">'SO 3 horní část OK'!$A$1:$K$106</definedName>
    <definedName name="_xlnm.Print_Area" localSheetId="3">'SO 4 most'!$A$5:$G$13</definedName>
    <definedName name="_xlnm.Print_Area" localSheetId="4">'SO 5 velká tůň OK'!$A$1:$I$62</definedName>
  </definedNames>
  <calcPr calcId="145621" iterateCount="1"/>
</workbook>
</file>

<file path=xl/calcChain.xml><?xml version="1.0" encoding="utf-8"?>
<calcChain xmlns="http://schemas.openxmlformats.org/spreadsheetml/2006/main">
  <c r="I7" i="8" l="1"/>
  <c r="H105" i="8"/>
  <c r="I121" i="1"/>
  <c r="E11" i="11" l="1"/>
  <c r="N41" i="7" l="1"/>
  <c r="N44" i="7"/>
  <c r="E9" i="11"/>
  <c r="G9" i="11" s="1"/>
  <c r="L31" i="7"/>
  <c r="J33" i="7"/>
  <c r="J35" i="7"/>
  <c r="J37" i="7"/>
  <c r="J39" i="7"/>
  <c r="J41" i="7"/>
  <c r="J29" i="7"/>
  <c r="J27" i="7"/>
  <c r="J25" i="7"/>
  <c r="J23" i="7"/>
  <c r="J21" i="7"/>
  <c r="J19" i="7"/>
  <c r="J17" i="7"/>
  <c r="J15" i="7"/>
  <c r="J13" i="7"/>
  <c r="J7" i="7"/>
  <c r="J5" i="7"/>
  <c r="C11" i="11"/>
  <c r="C9" i="11"/>
  <c r="G32" i="7"/>
  <c r="F15" i="7"/>
  <c r="F17" i="7"/>
  <c r="F19" i="7"/>
  <c r="F21" i="7"/>
  <c r="F23" i="7"/>
  <c r="F25" i="7"/>
  <c r="F27" i="7"/>
  <c r="F29" i="7"/>
  <c r="F33" i="7"/>
  <c r="F35" i="7"/>
  <c r="F37" i="7"/>
  <c r="F39" i="7"/>
  <c r="F41" i="7"/>
  <c r="F13" i="7"/>
  <c r="F9" i="7"/>
  <c r="F7" i="7"/>
  <c r="E32" i="7"/>
  <c r="F11" i="7"/>
  <c r="G131" i="7"/>
  <c r="G11" i="11"/>
  <c r="J44" i="7" l="1"/>
  <c r="F44" i="7"/>
  <c r="I103" i="1"/>
  <c r="I102" i="1"/>
  <c r="I101" i="1"/>
  <c r="I100" i="1"/>
  <c r="I99" i="1"/>
  <c r="I98" i="1"/>
  <c r="O120" i="7" l="1"/>
  <c r="O53" i="7"/>
  <c r="H83" i="8"/>
  <c r="K49" i="8" l="1"/>
  <c r="K47" i="8"/>
  <c r="K45" i="8"/>
  <c r="K43" i="8"/>
  <c r="K41" i="8"/>
  <c r="K37" i="8"/>
  <c r="K33" i="8"/>
  <c r="K31" i="8"/>
  <c r="K27" i="8"/>
  <c r="K25" i="8"/>
  <c r="K23" i="8"/>
  <c r="K19" i="8"/>
  <c r="K17" i="8"/>
  <c r="K13" i="8"/>
  <c r="K11" i="8"/>
  <c r="K9" i="8"/>
  <c r="O121" i="7"/>
  <c r="O119" i="7"/>
  <c r="I84" i="1" l="1"/>
  <c r="I89" i="1"/>
  <c r="E58" i="1" l="1"/>
  <c r="E54" i="1"/>
  <c r="E52" i="1"/>
  <c r="E50" i="1"/>
  <c r="E46" i="1"/>
  <c r="E44" i="1"/>
  <c r="E38" i="1"/>
  <c r="E36" i="1"/>
  <c r="E34" i="1"/>
  <c r="E30" i="1"/>
  <c r="M57" i="1"/>
  <c r="M55" i="1"/>
  <c r="M53" i="1"/>
  <c r="M45" i="1"/>
  <c r="M43" i="1"/>
  <c r="M41" i="1"/>
  <c r="M39" i="1"/>
  <c r="M37" i="1"/>
  <c r="M31" i="1"/>
  <c r="M27" i="1"/>
  <c r="M25" i="1"/>
  <c r="M23" i="1"/>
  <c r="M21" i="1"/>
  <c r="M19" i="1"/>
  <c r="M17" i="1"/>
  <c r="I94" i="1"/>
  <c r="L57" i="1"/>
  <c r="L55" i="1"/>
  <c r="L53" i="1"/>
  <c r="L45" i="1"/>
  <c r="L43" i="1"/>
  <c r="L41" i="1"/>
  <c r="L39" i="1"/>
  <c r="L37" i="1"/>
  <c r="L27" i="1"/>
  <c r="L25" i="1"/>
  <c r="L23" i="1"/>
  <c r="L21" i="1"/>
  <c r="L19" i="1"/>
  <c r="L31" i="1"/>
  <c r="L17" i="1"/>
  <c r="N57" i="1"/>
  <c r="N55" i="1"/>
  <c r="N53" i="1"/>
  <c r="N45" i="1"/>
  <c r="N43" i="1"/>
  <c r="N39" i="1"/>
  <c r="N37" i="1"/>
  <c r="N33" i="1"/>
  <c r="N29" i="1"/>
  <c r="N27" i="1"/>
  <c r="N25" i="1"/>
  <c r="N23" i="1"/>
  <c r="N21" i="1"/>
  <c r="N19" i="1"/>
  <c r="M64" i="1" l="1"/>
  <c r="N64" i="1"/>
  <c r="I49" i="8"/>
  <c r="H62" i="8" l="1"/>
  <c r="O61" i="7"/>
  <c r="C13" i="11" l="1"/>
  <c r="G13" i="11" s="1"/>
  <c r="G15" i="11"/>
  <c r="G17" i="11"/>
  <c r="G26" i="11"/>
  <c r="G28" i="11"/>
  <c r="G32" i="11"/>
  <c r="G8" i="7"/>
  <c r="H9" i="7" s="1"/>
  <c r="O97" i="7"/>
  <c r="O94" i="7"/>
  <c r="R9" i="7"/>
  <c r="O91" i="7"/>
  <c r="O90" i="7"/>
  <c r="H47" i="10"/>
  <c r="H85" i="8"/>
  <c r="H84" i="8"/>
  <c r="G7" i="8"/>
  <c r="E7" i="8"/>
  <c r="E5" i="8"/>
  <c r="H74" i="8"/>
  <c r="H39" i="10"/>
  <c r="H52" i="10"/>
  <c r="H55" i="10"/>
  <c r="H61" i="10"/>
  <c r="H60" i="10"/>
  <c r="H59" i="10"/>
  <c r="H57" i="10"/>
  <c r="H54" i="10" s="1"/>
  <c r="H58" i="8"/>
  <c r="P11" i="7"/>
  <c r="H98" i="8"/>
  <c r="I41" i="8"/>
  <c r="I43" i="8"/>
  <c r="I45" i="8"/>
  <c r="I47" i="8"/>
  <c r="I39" i="8"/>
  <c r="I37" i="8"/>
  <c r="I35" i="8"/>
  <c r="I31" i="8"/>
  <c r="G29" i="8"/>
  <c r="I29" i="8"/>
  <c r="I27" i="8"/>
  <c r="I25" i="8"/>
  <c r="I23" i="8"/>
  <c r="I21" i="8"/>
  <c r="I19" i="8"/>
  <c r="I17" i="8"/>
  <c r="I15" i="8"/>
  <c r="I13" i="8"/>
  <c r="I11" i="8"/>
  <c r="B4" i="8"/>
  <c r="C5" i="8" s="1"/>
  <c r="G5" i="8" s="1"/>
  <c r="K53" i="8"/>
  <c r="E49" i="8"/>
  <c r="G49" i="8" s="1"/>
  <c r="C11" i="8"/>
  <c r="E11" i="8"/>
  <c r="C13" i="8"/>
  <c r="E13" i="8" s="1"/>
  <c r="C15" i="8"/>
  <c r="E15" i="8" s="1"/>
  <c r="C17" i="8"/>
  <c r="G17" i="8" s="1"/>
  <c r="E17" i="8"/>
  <c r="C19" i="8"/>
  <c r="E19" i="8" s="1"/>
  <c r="C21" i="8"/>
  <c r="E21" i="8" s="1"/>
  <c r="C23" i="8"/>
  <c r="E23" i="8" s="1"/>
  <c r="C25" i="8"/>
  <c r="G25" i="8" s="1"/>
  <c r="E25" i="8"/>
  <c r="C27" i="8"/>
  <c r="G27" i="8" s="1"/>
  <c r="C29" i="8"/>
  <c r="E29" i="8" s="1"/>
  <c r="C31" i="8"/>
  <c r="E31" i="8" s="1"/>
  <c r="C33" i="8"/>
  <c r="E33" i="8" s="1"/>
  <c r="C35" i="8"/>
  <c r="E35" i="8"/>
  <c r="C37" i="8"/>
  <c r="E37" i="8" s="1"/>
  <c r="C39" i="8"/>
  <c r="E39" i="8" s="1"/>
  <c r="C41" i="8"/>
  <c r="E41" i="8" s="1"/>
  <c r="C43" i="8"/>
  <c r="E43" i="8" s="1"/>
  <c r="C45" i="8"/>
  <c r="E45" i="8" s="1"/>
  <c r="C47" i="8"/>
  <c r="G47" i="8" s="1"/>
  <c r="B50" i="8"/>
  <c r="H66" i="8"/>
  <c r="O131" i="7"/>
  <c r="R41" i="7"/>
  <c r="L41" i="7"/>
  <c r="H41" i="7"/>
  <c r="O122" i="7"/>
  <c r="C42" i="7"/>
  <c r="O57" i="7"/>
  <c r="G21" i="8"/>
  <c r="G19" i="8"/>
  <c r="G11" i="8"/>
  <c r="C9" i="8"/>
  <c r="G9" i="8" s="1"/>
  <c r="O114" i="7"/>
  <c r="O69" i="7"/>
  <c r="O65" i="7"/>
  <c r="O51" i="7"/>
  <c r="T11" i="7"/>
  <c r="R11" i="7"/>
  <c r="P23" i="7"/>
  <c r="T23" i="7"/>
  <c r="R23" i="7"/>
  <c r="Q4" i="7"/>
  <c r="L9" i="7"/>
  <c r="L11" i="7"/>
  <c r="D11" i="7"/>
  <c r="D13" i="7"/>
  <c r="R13" i="7" s="1"/>
  <c r="G6" i="7"/>
  <c r="G4" i="7"/>
  <c r="O89" i="7"/>
  <c r="O84" i="7"/>
  <c r="O83" i="7"/>
  <c r="O82" i="7"/>
  <c r="O80" i="7"/>
  <c r="O79" i="7"/>
  <c r="O78" i="7"/>
  <c r="O75" i="7"/>
  <c r="I116" i="1"/>
  <c r="I110" i="1"/>
  <c r="E110" i="1"/>
  <c r="G6" i="10"/>
  <c r="E14" i="10"/>
  <c r="E6" i="10"/>
  <c r="H46" i="10"/>
  <c r="H45" i="10"/>
  <c r="H44" i="10"/>
  <c r="H43" i="10"/>
  <c r="H34" i="10"/>
  <c r="L64" i="1"/>
  <c r="I80" i="1"/>
  <c r="E24" i="11" s="1"/>
  <c r="E34" i="11" s="1"/>
  <c r="I88" i="1"/>
  <c r="C24" i="11" s="1"/>
  <c r="C34" i="11" s="1"/>
  <c r="I72" i="1"/>
  <c r="I73" i="1"/>
  <c r="I74" i="1"/>
  <c r="C8" i="10"/>
  <c r="G8" i="10" s="1"/>
  <c r="C10" i="10"/>
  <c r="G10" i="10"/>
  <c r="C12" i="10"/>
  <c r="G12" i="10" s="1"/>
  <c r="C14" i="10"/>
  <c r="G14" i="10" s="1"/>
  <c r="C6" i="10"/>
  <c r="H26" i="10"/>
  <c r="H25" i="10"/>
  <c r="H24" i="10"/>
  <c r="H23" i="10"/>
  <c r="J9" i="1"/>
  <c r="D9" i="7"/>
  <c r="D7" i="7"/>
  <c r="R7" i="7" s="1"/>
  <c r="D5" i="7"/>
  <c r="L5" i="7" s="1"/>
  <c r="D39" i="7"/>
  <c r="H39" i="7" s="1"/>
  <c r="L39" i="7"/>
  <c r="D37" i="7"/>
  <c r="H37" i="7" s="1"/>
  <c r="D35" i="7"/>
  <c r="L35" i="7" s="1"/>
  <c r="D33" i="7"/>
  <c r="D31" i="7"/>
  <c r="G30" i="7"/>
  <c r="D29" i="7"/>
  <c r="L29" i="7" s="1"/>
  <c r="G28" i="7"/>
  <c r="D27" i="7"/>
  <c r="L27" i="7" s="1"/>
  <c r="G26" i="7"/>
  <c r="D25" i="7"/>
  <c r="L25" i="7" s="1"/>
  <c r="G24" i="7"/>
  <c r="D23" i="7"/>
  <c r="L23" i="7" s="1"/>
  <c r="G22" i="7"/>
  <c r="D21" i="7"/>
  <c r="T21" i="7" s="1"/>
  <c r="G20" i="7"/>
  <c r="D19" i="7"/>
  <c r="T19" i="7" s="1"/>
  <c r="G18" i="7"/>
  <c r="D17" i="7"/>
  <c r="P17" i="7" s="1"/>
  <c r="G16" i="7"/>
  <c r="D15" i="7"/>
  <c r="T15" i="7" s="1"/>
  <c r="G14" i="7"/>
  <c r="G12" i="7"/>
  <c r="E62" i="1"/>
  <c r="F49" i="1"/>
  <c r="F47" i="1"/>
  <c r="D61" i="1"/>
  <c r="H61" i="1" s="1"/>
  <c r="D33" i="1"/>
  <c r="H33" i="1" s="1"/>
  <c r="D35" i="1"/>
  <c r="H35" i="1" s="1"/>
  <c r="D37" i="1"/>
  <c r="F37" i="1" s="1"/>
  <c r="D39" i="1"/>
  <c r="F39" i="1" s="1"/>
  <c r="D41" i="1"/>
  <c r="F41" i="1" s="1"/>
  <c r="D43" i="1"/>
  <c r="F43" i="1" s="1"/>
  <c r="D45" i="1"/>
  <c r="H45" i="1" s="1"/>
  <c r="D47" i="1"/>
  <c r="H47" i="1" s="1"/>
  <c r="D49" i="1"/>
  <c r="H49" i="1" s="1"/>
  <c r="D51" i="1"/>
  <c r="H51" i="1" s="1"/>
  <c r="D53" i="1"/>
  <c r="H53" i="1" s="1"/>
  <c r="D11" i="1"/>
  <c r="F11" i="1" s="1"/>
  <c r="D13" i="1"/>
  <c r="H13" i="1" s="1"/>
  <c r="D15" i="1"/>
  <c r="F15" i="1" s="1"/>
  <c r="D17" i="1"/>
  <c r="F17" i="1" s="1"/>
  <c r="D19" i="1"/>
  <c r="F19" i="1" s="1"/>
  <c r="D21" i="1"/>
  <c r="H21" i="1" s="1"/>
  <c r="D23" i="1"/>
  <c r="F23" i="1" s="1"/>
  <c r="D25" i="1"/>
  <c r="H25" i="1" s="1"/>
  <c r="D27" i="1"/>
  <c r="F27" i="1" s="1"/>
  <c r="D29" i="1"/>
  <c r="F29" i="1" s="1"/>
  <c r="H29" i="1"/>
  <c r="D31" i="1"/>
  <c r="H31" i="1" s="1"/>
  <c r="D55" i="1"/>
  <c r="H55" i="1" s="1"/>
  <c r="D57" i="1"/>
  <c r="F57" i="1" s="1"/>
  <c r="D59" i="1"/>
  <c r="H59" i="1" s="1"/>
  <c r="D9" i="1"/>
  <c r="H9" i="1" s="1"/>
  <c r="E10" i="10"/>
  <c r="J64" i="1"/>
  <c r="G35" i="8"/>
  <c r="G39" i="8"/>
  <c r="G31" i="8"/>
  <c r="F59" i="1"/>
  <c r="H11" i="7"/>
  <c r="H11" i="1" l="1"/>
  <c r="F9" i="1"/>
  <c r="H37" i="1"/>
  <c r="F25" i="1"/>
  <c r="H19" i="1"/>
  <c r="F35" i="1"/>
  <c r="T17" i="7"/>
  <c r="R17" i="7"/>
  <c r="H17" i="7"/>
  <c r="H25" i="7"/>
  <c r="H29" i="7"/>
  <c r="L7" i="7"/>
  <c r="H7" i="7"/>
  <c r="H27" i="7"/>
  <c r="F51" i="1"/>
  <c r="L21" i="7"/>
  <c r="H15" i="1"/>
  <c r="F55" i="1"/>
  <c r="H43" i="1"/>
  <c r="H39" i="1"/>
  <c r="E8" i="10"/>
  <c r="E17" i="10" s="1"/>
  <c r="E47" i="8"/>
  <c r="G41" i="8"/>
  <c r="I53" i="8"/>
  <c r="P15" i="7"/>
  <c r="H23" i="7"/>
  <c r="G15" i="8"/>
  <c r="E27" i="8"/>
  <c r="L17" i="7"/>
  <c r="R15" i="7"/>
  <c r="E12" i="10"/>
  <c r="R21" i="7"/>
  <c r="H17" i="1"/>
  <c r="F53" i="1"/>
  <c r="F31" i="1"/>
  <c r="H13" i="7"/>
  <c r="R5" i="7"/>
  <c r="R44" i="7" s="1"/>
  <c r="G43" i="8"/>
  <c r="L15" i="7"/>
  <c r="F21" i="1"/>
  <c r="F33" i="1"/>
  <c r="F45" i="1"/>
  <c r="H31" i="7"/>
  <c r="L37" i="7"/>
  <c r="H5" i="7"/>
  <c r="G33" i="8"/>
  <c r="G17" i="10"/>
  <c r="F61" i="1"/>
  <c r="P19" i="7"/>
  <c r="H15" i="7"/>
  <c r="H19" i="7"/>
  <c r="P13" i="7"/>
  <c r="R19" i="7"/>
  <c r="G37" i="8"/>
  <c r="H41" i="1"/>
  <c r="H21" i="7"/>
  <c r="P21" i="7"/>
  <c r="L19" i="7"/>
  <c r="E9" i="8"/>
  <c r="H57" i="1"/>
  <c r="F13" i="1"/>
  <c r="H27" i="1"/>
  <c r="G13" i="8"/>
  <c r="G23" i="8"/>
  <c r="L13" i="7"/>
  <c r="G45" i="8"/>
  <c r="H23" i="1"/>
  <c r="T13" i="7"/>
  <c r="T44" i="7" s="1"/>
  <c r="L44" i="7" l="1"/>
  <c r="G53" i="8"/>
  <c r="E53" i="8"/>
  <c r="H64" i="1"/>
  <c r="E7" i="11" s="1"/>
  <c r="E19" i="11" s="1"/>
  <c r="F64" i="1"/>
  <c r="C7" i="11" s="1"/>
  <c r="H44" i="7"/>
  <c r="P44" i="7"/>
  <c r="G7" i="11" l="1"/>
  <c r="C19" i="11"/>
  <c r="G24" i="11" l="1"/>
  <c r="G34" i="11" s="1"/>
  <c r="G19" i="11"/>
</calcChain>
</file>

<file path=xl/sharedStrings.xml><?xml version="1.0" encoding="utf-8"?>
<sst xmlns="http://schemas.openxmlformats.org/spreadsheetml/2006/main" count="431" uniqueCount="232">
  <si>
    <t>km</t>
  </si>
  <si>
    <t>m</t>
  </si>
  <si>
    <t>zásyp</t>
  </si>
  <si>
    <t>VÝKAZ VÝMĚR - SO 2.01, 2.02, 2.03 - U atletického areálu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</si>
  <si>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</si>
  <si>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</si>
  <si>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vzdálenost řezů </t>
  </si>
  <si>
    <t>staničení v ose</t>
  </si>
  <si>
    <t>profil</t>
  </si>
  <si>
    <t xml:space="preserve">Výkop </t>
  </si>
  <si>
    <t>ks</t>
  </si>
  <si>
    <t>Zásyp</t>
  </si>
  <si>
    <t>Zához z lom. kamene 80-200 kg s urovnáním líce</t>
  </si>
  <si>
    <t>podbarvení znamená započítání výkopu tůní mezi těmito řezy</t>
  </si>
  <si>
    <t>celkem</t>
  </si>
  <si>
    <t>m3</t>
  </si>
  <si>
    <t>výkop pro skluz</t>
  </si>
  <si>
    <t>23.8m*5.9m2=</t>
  </si>
  <si>
    <t>zásyp zeminou z výkopu</t>
  </si>
  <si>
    <t>23.8m*0.1m2=</t>
  </si>
  <si>
    <t>betonové prahy bez podsypu, 2 ks</t>
  </si>
  <si>
    <t>0.3m*2.5m2*2ks=</t>
  </si>
  <si>
    <t>Skluz z tůně</t>
  </si>
  <si>
    <t xml:space="preserve">Skluz </t>
  </si>
  <si>
    <t>skluz délky 23.8m, 2 ks prahů z betonu</t>
  </si>
  <si>
    <t>délka skluzu 60.5m, je na něm 11 ks prahů</t>
  </si>
  <si>
    <t>výkop</t>
  </si>
  <si>
    <t>zásyp zeminou</t>
  </si>
  <si>
    <t>60.5m*6.5m2=</t>
  </si>
  <si>
    <t>60.5m*0.15m2=</t>
  </si>
  <si>
    <t>kamenný zához s urovnáním líce 80-200kg</t>
  </si>
  <si>
    <t>60.5m*5m2=</t>
  </si>
  <si>
    <t>dřevěné kůly délky 1.3m o průměru 0.2m</t>
  </si>
  <si>
    <t>jedlová kulatina průměr 0,4m o délce 4.0m</t>
  </si>
  <si>
    <t>m2</t>
  </si>
  <si>
    <t>Sejmutí ornice</t>
  </si>
  <si>
    <t>Ohumusování, osetí</t>
  </si>
  <si>
    <t>Tabulka výkazu výměr - Tachlovice - SO 1 - spodní část, koryto</t>
  </si>
  <si>
    <t>Svahování</t>
  </si>
  <si>
    <t>plocha sejmutá pod bud. korytem a tůněmi (pův koryto odečteno - 4500m2)</t>
  </si>
  <si>
    <t>zásyp zeminou - 2.24m2*4.2m*2 (výkop počítán v rámci koryta)</t>
  </si>
  <si>
    <t>plocha travnatých pásů</t>
  </si>
  <si>
    <t>Přepouštěcí objekty, 2 ks</t>
  </si>
  <si>
    <t>nadzákladový beton C 20/25 XF 3</t>
  </si>
  <si>
    <t>beton základový C 20/25 XF 3</t>
  </si>
  <si>
    <t>0.88m2*0.6m*2ks</t>
  </si>
  <si>
    <t>0.15m2*0.6m*4ks</t>
  </si>
  <si>
    <t>ocelové U profily 5cm šířky o délce 0.5m *4ks</t>
  </si>
  <si>
    <t>dluže z dubu 0.6m*0.1m*0.05m * 10ks</t>
  </si>
  <si>
    <t>u tůně není</t>
  </si>
  <si>
    <t>(23.2 m*1.72m2)+0.1m3 =</t>
  </si>
  <si>
    <t>kamenný zához 80-200 kg s urovnáním líce + pata</t>
  </si>
  <si>
    <t>Tabulka výkazu výměr - Tachlovice - SO 5 - Štičkova tůň, skluz do tůně</t>
  </si>
  <si>
    <t>plocha budoucí Štičkovy tůně a skluzu do tůně z koryta - 110m2+2800m2</t>
  </si>
  <si>
    <t>Odstranění betonových panelů</t>
  </si>
  <si>
    <t xml:space="preserve"> na 3 metry stávajícího toku podle stavu využít panely v dobrém stavu na dočasné zpevnění příjezdových cest například u tůní</t>
  </si>
  <si>
    <t xml:space="preserve">předpoklad odstranění panelů = </t>
  </si>
  <si>
    <t>tzn.</t>
  </si>
  <si>
    <t>betonové panely ve dně a v březích na délce koryta 148 m</t>
  </si>
  <si>
    <t>Nahrazení betonových panelů opevněním záhozem z kamene 80-200 kg</t>
  </si>
  <si>
    <t>kamenný zához ve dně a na březích za tůní cca od řezu 22 až ke skluzu pod hrází před řezem 28</t>
  </si>
  <si>
    <t>v délce 119 m</t>
  </si>
  <si>
    <t>3.1m2*119m=</t>
  </si>
  <si>
    <t>POZNÁMKA: KAMENNÝ ZÁHOZ MEZI ŘEZY 22 A 28 JE POČÍTÁN ZVLÁŠŤ V TABULCE NÍŽE</t>
  </si>
  <si>
    <t>Terénní úprava - zásyp</t>
  </si>
  <si>
    <t>výpustné zařízení a bezpečnostní přeliv</t>
  </si>
  <si>
    <t>potrubí PVC DN 400</t>
  </si>
  <si>
    <t>obetonování potrubí,  beton C20/25</t>
  </si>
  <si>
    <t>0.8m2*45m=</t>
  </si>
  <si>
    <t>podkladní beton tl. 0.2m</t>
  </si>
  <si>
    <t>kamenná dlažba tl. 0.2m</t>
  </si>
  <si>
    <t>česle</t>
  </si>
  <si>
    <t>betonový práh</t>
  </si>
  <si>
    <t>zděné čelo</t>
  </si>
  <si>
    <t>ŽB základ čela</t>
  </si>
  <si>
    <t>betonový základ požeráku</t>
  </si>
  <si>
    <t xml:space="preserve">Zához z lom. kamene 80-200 kg s urovnáním líce
</t>
  </si>
  <si>
    <t>podbarvení značí započítání opevněného příkopu z hráze mezi řezy</t>
  </si>
  <si>
    <t>délka skluzu 54.5m, je na něm 8 ks prahů</t>
  </si>
  <si>
    <t>výkop a zásyp zeminou jsou počítány v tabulce výše</t>
  </si>
  <si>
    <t>54.5m*6m2=</t>
  </si>
  <si>
    <t>jedlová kulatina průměr 0,4m o délce 7.0m</t>
  </si>
  <si>
    <t>plocha koryta, rybníku, tůně, skluzu - břehy a kyneta</t>
  </si>
  <si>
    <t xml:space="preserve">U profily pro česle             </t>
  </si>
  <si>
    <t>vyústění potrubí - čelo a vývar</t>
  </si>
  <si>
    <t>0.76m*3.36m</t>
  </si>
  <si>
    <t>6.23 m2*0.2 m=</t>
  </si>
  <si>
    <t>0.4 m2*4.5 m=</t>
  </si>
  <si>
    <t>0.23 m2*4.5 m=</t>
  </si>
  <si>
    <t>0.5 m2*4.5 m=</t>
  </si>
  <si>
    <t>4.9 m2*.9=</t>
  </si>
  <si>
    <t>požerák dvojitý otevřený</t>
  </si>
  <si>
    <t>betonové zámky</t>
  </si>
  <si>
    <t>2 ks</t>
  </si>
  <si>
    <t>2.2 m 2*0.4 m*2 ks</t>
  </si>
  <si>
    <t xml:space="preserve">požerák </t>
  </si>
  <si>
    <t>lávka</t>
  </si>
  <si>
    <t>ocelový profil k uchycení lávky L 120x80 v délce 1.0 m</t>
  </si>
  <si>
    <t>ocelový U profil - nosná konstrukce, 140 mm v délce 5 m</t>
  </si>
  <si>
    <t>materiál pro pochozí část lávky - prkna hoblovaná šířky 0.34 m tl. 0.05 m o délce 1.0 m</t>
  </si>
  <si>
    <t xml:space="preserve">materiál pro zábradlí - prkna hoblovaná </t>
  </si>
  <si>
    <t>branka dřevěná se zámkem</t>
  </si>
  <si>
    <t>5.0 m x 0.1 m x 0.06 m</t>
  </si>
  <si>
    <t>1.1 m x 0.1 m x 0.06 m</t>
  </si>
  <si>
    <t>1.0 m x 0.1 m x 0.06 m</t>
  </si>
  <si>
    <t>1.3 m x 0.1 m x 0.06 m</t>
  </si>
  <si>
    <t>kování</t>
  </si>
  <si>
    <t>zámek</t>
  </si>
  <si>
    <t>betonová patka</t>
  </si>
  <si>
    <t>0.3 m x 0.3 m x 1.0 m</t>
  </si>
  <si>
    <t>plocha sejmutá pod bud. korytem a tůněmi (pův. koryto odečteno - 3100m2)</t>
  </si>
  <si>
    <t>výška 2.4 m, délka 1.04 m, šířka 1.0 m</t>
  </si>
  <si>
    <t>Tabulka výkazu výměr - Tachlovice - SO 3 - horní část, koryto</t>
  </si>
  <si>
    <t>Zeď u mostu</t>
  </si>
  <si>
    <t>Zeď u mostu o délce 11 m a 2.7 m křídlo, výška zdi 1.7 m, šířka zdi 0.6 m, předpata 0.4 m</t>
  </si>
  <si>
    <t>plocha travnatých pásů+ploška za zdí na MC u mostu</t>
  </si>
  <si>
    <t>KÚ</t>
  </si>
  <si>
    <t>ŠP filtr</t>
  </si>
  <si>
    <t>0.25m2*13.7</t>
  </si>
  <si>
    <t>betonové panely ve dně a v březích na délce koryta 372 m</t>
  </si>
  <si>
    <t xml:space="preserve">předpokládáme rozměry panelů 3m*1m*0.15m  a 5 ks panelů </t>
  </si>
  <si>
    <t>v místě pod hrází, kde je pruh kamenů 16.5 m dlouhý je třeba použít větší kameny, cca 200 (vybírat ze škály 80-200kg pro tento úsek ty největší)</t>
  </si>
  <si>
    <t>ZÚ</t>
  </si>
  <si>
    <t>ZELENÉ PODBARVENÍ - PRÁCE V ÚSEKU MEZI ŘEZEM 68 A KONCEM ÚSEKU BUDOU Z DŮVODU ULOŽENÍ IS PROBÍHAT RUČNĚ</t>
  </si>
  <si>
    <t>Sjezd do koryta</t>
  </si>
  <si>
    <t>Objekty nad mostem</t>
  </si>
  <si>
    <t>Pohoz z lom. kamene 80-200 kg bez urovnáním líce</t>
  </si>
  <si>
    <t>základ zdi - beton</t>
  </si>
  <si>
    <t>Základový beton</t>
  </si>
  <si>
    <t>Nadzákladový beton</t>
  </si>
  <si>
    <t>Bourání</t>
  </si>
  <si>
    <t>Dlažba v blízkosti mostu, předpoklad v tl. 0.3 m</t>
  </si>
  <si>
    <t xml:space="preserve"> Potrubí DN 300 PVC</t>
  </si>
  <si>
    <t>práh nad mostem betonový - tl 0.4 m, délka 11.5 m, hl. 1 m</t>
  </si>
  <si>
    <t>dlažba do betonu v tl. 0.3 m</t>
  </si>
  <si>
    <t>podkladní beton pod dlažbu, tl. 0.1 m</t>
  </si>
  <si>
    <t xml:space="preserve">Výtokové čelo - základový beton - 0.5 m*1.0 m *0.5 m </t>
  </si>
  <si>
    <t xml:space="preserve">nadzákladový beton - 0.1 m *1.0 m *0.5 m </t>
  </si>
  <si>
    <t>lomový kámen na MC - obezdění potrubí v čele - 0.72 m2*0.5 m</t>
  </si>
  <si>
    <t>Tabulka výkazu výměr - Tachlovice - SO 2 - střední část, vodní nádrž, hráz, koryto</t>
  </si>
  <si>
    <t>ŠP podsyp, tl 0.1m</t>
  </si>
  <si>
    <t>Betonové opěvnění u mostu</t>
  </si>
  <si>
    <t>Štěrkopískový podsyp a obsyp - 0.7 m2 * 17.3 m</t>
  </si>
  <si>
    <t>Úprava povrchu terénu - štěrkopísková vrstva fr. 18-32 mm ve vrstvě 0.1 m</t>
  </si>
  <si>
    <t>Zrušení stupně - dřevěný</t>
  </si>
  <si>
    <t>plocha koryta, tůní - břehy a kyneta+sjezd do koryta</t>
  </si>
  <si>
    <t>Zásyp zeminou z výkopu (výkop - ŠP obsyp -potrubí)</t>
  </si>
  <si>
    <t>pažení výkopu - 1.8m*18</t>
  </si>
  <si>
    <t>svahování tůně a skluzu z tůně = 25.2+25.3+ (2805-970)</t>
  </si>
  <si>
    <t>Výkop pro sjezd - jde o zářez do stávajícího terénu</t>
  </si>
  <si>
    <t>Zhutnění terénu</t>
  </si>
  <si>
    <t>hutněný násyp s pojezdovou šířkou 3m, převýšení od koryta 1.8 m, je to naopak odkop se zhutněním povrchu pojezdem -  svahování je započteno výše</t>
  </si>
  <si>
    <t>Ocelový HEB profil d. 1100 mm, š. 100 mm</t>
  </si>
  <si>
    <t>Ocelový U profil d. 1200 mm, š. 100 mm</t>
  </si>
  <si>
    <t xml:space="preserve">tl. 0.4 m, hl. 0.8 m d. 4.8 m </t>
  </si>
  <si>
    <t>0.4 m, š. 1.6 m, hl. 0.7 m</t>
  </si>
  <si>
    <t xml:space="preserve">makadam pro úpravu povrchu - 30cm </t>
  </si>
  <si>
    <t>kamenný zához s urovnáním líce, 2.5m*1.1m*0.8m*2ks</t>
  </si>
  <si>
    <t>plocha orné půdy z pole, kam se bude ukládat výkopek (pouze z SO 5) - viz bilance zemin</t>
  </si>
  <si>
    <t>plocha orné půdy z pole, kam se bude ukládat výkopek (kromě z SO 5) - viz bilance zemin</t>
  </si>
  <si>
    <t xml:space="preserve">Odběrný objekt </t>
  </si>
  <si>
    <t>U profil š. 40mm, délka 400 mm</t>
  </si>
  <si>
    <t>U profily š. 40mm, délka 450 mm</t>
  </si>
  <si>
    <t>česle 400 mm*400mm</t>
  </si>
  <si>
    <t>zděná křídla požeráku na MC, tl. 0.4 m, 2 ks, plocha 4.8m2</t>
  </si>
  <si>
    <t>betonové pasy</t>
  </si>
  <si>
    <t>Dlažba do betonu na hrázi (mezi řezy 30 a 32)</t>
  </si>
  <si>
    <t xml:space="preserve">dlažba 0.3 m do betonu 0.1 m </t>
  </si>
  <si>
    <t>betonové pasy široké 0.4 m hluboké 1 m v délce celkem  82 m</t>
  </si>
  <si>
    <t>přelivný betonový práh</t>
  </si>
  <si>
    <t>betonový práh široký 1.2 m hluboký 1 m v délce  20 m</t>
  </si>
  <si>
    <t>obložení prahu kamenem (dlažba)</t>
  </si>
  <si>
    <t>vydláždění mezi zděnými křídly požeráku - dlažba do betonu - 0.3 m dlažba, 0.1 m beton</t>
  </si>
  <si>
    <t>BILANCE ZEMIN</t>
  </si>
  <si>
    <t>SO 1</t>
  </si>
  <si>
    <t>SO 2</t>
  </si>
  <si>
    <t>SO 3</t>
  </si>
  <si>
    <t>SO 4</t>
  </si>
  <si>
    <t>SO 5</t>
  </si>
  <si>
    <t>ocelový L profil pro uchycení zábradlí 60 mm - délky 0.3 m</t>
  </si>
  <si>
    <t>* výpočty kubatur SO 4 jsou součastí výkazu výměr včetně odkazů na PD</t>
  </si>
  <si>
    <t xml:space="preserve"> 3.6 m*2 ks+0.76 m*2 ks  =</t>
  </si>
  <si>
    <t>VÝKOP ZEMINA - m3</t>
  </si>
  <si>
    <t>ZÁSYP ZEMINA - m3</t>
  </si>
  <si>
    <t>ODVOZ NA POLE - m3</t>
  </si>
  <si>
    <t>SEJMUTÍ ORNICE - m3</t>
  </si>
  <si>
    <t>OHUMUSOVANÍ - m3</t>
  </si>
  <si>
    <t>POUZE ohumusování</t>
  </si>
  <si>
    <t>plocha mezi korytem a travnatým pásem mezi řezy 28 a 30 a mezi 47 a 51</t>
  </si>
  <si>
    <t>POUZE ohumusování bez osetí, tl. 0.1 m</t>
  </si>
  <si>
    <t>plocha svahů podél koryta - PB 2072m2, LB 947m2 (bez záhozů a pohozů)</t>
  </si>
  <si>
    <t>plocha sejmutá pod bud. Korytem (pův. koryto odečteno - 3210m2)</t>
  </si>
  <si>
    <t>Výkop - tůňové prohlubně v oblouku</t>
  </si>
  <si>
    <t>Pohoz z lom. kamene 80-200 kg  - stabilizační prvek (brod)</t>
  </si>
  <si>
    <t>Výkop - stabilizační prvky (brody)</t>
  </si>
  <si>
    <t>Osetí</t>
  </si>
  <si>
    <t>plocha sejmutá pod travnatými pásy - LB 5500 m2, PB 8800m2</t>
  </si>
  <si>
    <t>svahování břehů, kynety - LB 8250m2, PB 6820m2</t>
  </si>
  <si>
    <t>POUZE rozhrnutí ornice</t>
  </si>
  <si>
    <t>plocha svahů podél koryta - PB=6820m2, LB=8250m2</t>
  </si>
  <si>
    <t>0.8*1,2*(11.375+2.93)</t>
  </si>
  <si>
    <t>ŠP podsyp tl. 0.1m v délce 14,305 m</t>
  </si>
  <si>
    <t>Dubové dluže - d. 1050 mm, š. 200 mm tl. 80 mm</t>
  </si>
  <si>
    <t>Lomový kámen uložený do betonu š. 3 m, š. 1,6 m, v. 0,7 m</t>
  </si>
  <si>
    <t>ODVOZ NA POLE   (+zemník pro SO 2) m3</t>
  </si>
  <si>
    <t>odvodnění - zárubní drenáž DN 100</t>
  </si>
  <si>
    <t>nadzákladové zdivo tl. 0.6 m na MC</t>
  </si>
  <si>
    <t>13,7m*1,7m*0,6m</t>
  </si>
  <si>
    <t>potrubí beton, DN 800, 2x4 ks, 1 ks délky 2,5 m</t>
  </si>
  <si>
    <t>geotextilie min. gramáž 250g/m2, je potřeba 5.4m*5,4m*2</t>
  </si>
  <si>
    <t>štěrkopískový podsyp a obsyp potrubí, frakce cca do 20mm (=2.45m2*4.2m)*2</t>
  </si>
  <si>
    <t>Dočasné přemostění - 2 propustky stejných parametrů</t>
  </si>
  <si>
    <t>makadam - 4,4m*4.2m*2</t>
  </si>
  <si>
    <t>geomříž v délce 9*4.2m*2</t>
  </si>
  <si>
    <t>Dlažba, předpoklad v tl. 0.3 m</t>
  </si>
  <si>
    <t xml:space="preserve">   </t>
  </si>
  <si>
    <t>Výkop SO 2.02              vodní nádrž</t>
  </si>
  <si>
    <t>Výkop SO 2.01             tůň</t>
  </si>
  <si>
    <t>Terénní úpravy - zásyp SO 02.2 vodní nádrž</t>
  </si>
  <si>
    <t>Terénní úpravy - zásyp SO 2.01 tůň</t>
  </si>
  <si>
    <t>SO 2.01</t>
  </si>
  <si>
    <t>SO 2.02</t>
  </si>
  <si>
    <t>Nepropustná zemina SO 2.01 tůň</t>
  </si>
  <si>
    <t>Nepropustná zemina SO 2.02 vodní nádrž</t>
  </si>
  <si>
    <t xml:space="preserve">pročištění přítoku do Štičkovi tůně délky 903 m o průměrné šířce 2 m </t>
  </si>
  <si>
    <t>Přítok do Štičkovi tůně</t>
  </si>
  <si>
    <t>Pažený výkop 5:1 pro přiváděcí potrubí přítoku do Štičkovi tůně - délka rýhy 12 m, š. rýhy 1.7 m, hl. 1.8 m (pouze 12 m protože zbylý výkop bude proveden v rámci mostu)</t>
  </si>
  <si>
    <t>Stabilizační objekty ve dně koryta zához z lomového kamene 80-200 kg</t>
  </si>
  <si>
    <t>kamenný zához ve dně za tůněmi a mezi oblouky  tl. 0,8 m délka 3-4 m, na šířku koryta</t>
  </si>
  <si>
    <t>odečteno ze sitauce</t>
  </si>
  <si>
    <t>97m2*0,8m=</t>
  </si>
  <si>
    <t>157,5m2*0,8m=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</si>
</sst>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0.0"/>
    <numFmt numFmtId="166" formatCode="#,##0.0"/>
  </numFmts>
  <fonts count="13" x14ac:knownFonts="1">
    <font>
      <sz val="10"/>
      <name val="Arial"/>
      <charset val="238"/>
    </font>
    <font>
      <sz val="10"/>
      <color indexed="5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24"/>
      <name val="FrankRuehl"/>
      <family val="2"/>
      <charset val="177"/>
    </font>
    <font>
      <b/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B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375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0" fontId="1" fillId="0" borderId="0" xfId="0" applyFont="1" applyFill="1"/>
    <xf numFmtId="0" fontId="2" fillId="3" borderId="4" xfId="0" applyFont="1" applyFill="1" applyBorder="1" applyAlignment="1">
      <alignment horizontal="center" vertical="center"/>
    </xf>
    <xf numFmtId="0" fontId="11" fillId="0" borderId="0" xfId="0" applyFont="1" applyFill="1"/>
    <xf numFmtId="0" fontId="3" fillId="0" borderId="0" xfId="0" applyFont="1" applyFill="1"/>
    <xf numFmtId="2" fontId="0" fillId="0" borderId="0" xfId="0" applyNumberFormat="1" applyBorder="1"/>
    <xf numFmtId="2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/>
    <xf numFmtId="0" fontId="3" fillId="4" borderId="0" xfId="0" applyFont="1" applyFill="1"/>
    <xf numFmtId="0" fontId="1" fillId="4" borderId="0" xfId="0" applyFont="1" applyFill="1" applyBorder="1"/>
    <xf numFmtId="0" fontId="11" fillId="4" borderId="0" xfId="0" applyFont="1" applyFill="1"/>
    <xf numFmtId="0" fontId="11" fillId="5" borderId="0" xfId="0" applyFont="1" applyFill="1"/>
    <xf numFmtId="0" fontId="3" fillId="5" borderId="0" xfId="0" applyFont="1" applyFill="1"/>
    <xf numFmtId="0" fontId="1" fillId="5" borderId="0" xfId="0" applyFont="1" applyFill="1" applyBorder="1"/>
    <xf numFmtId="4" fontId="7" fillId="0" borderId="7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3" fillId="0" borderId="0" xfId="0" applyFont="1" applyBorder="1"/>
    <xf numFmtId="2" fontId="3" fillId="0" borderId="0" xfId="0" applyNumberFormat="1" applyFont="1" applyFill="1" applyBorder="1"/>
    <xf numFmtId="2" fontId="3" fillId="0" borderId="0" xfId="0" applyNumberFormat="1" applyFont="1" applyBorder="1"/>
    <xf numFmtId="0" fontId="0" fillId="0" borderId="0" xfId="0" applyBorder="1" applyAlignment="1"/>
    <xf numFmtId="2" fontId="0" fillId="0" borderId="10" xfId="0" applyNumberFormat="1" applyBorder="1"/>
    <xf numFmtId="0" fontId="0" fillId="0" borderId="10" xfId="0" applyBorder="1"/>
    <xf numFmtId="0" fontId="11" fillId="0" borderId="10" xfId="0" applyFont="1" applyFill="1" applyBorder="1"/>
    <xf numFmtId="0" fontId="0" fillId="0" borderId="11" xfId="0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applyFont="1" applyBorder="1" applyAlignment="1"/>
    <xf numFmtId="0" fontId="0" fillId="3" borderId="0" xfId="0" applyFill="1" applyBorder="1"/>
    <xf numFmtId="0" fontId="0" fillId="0" borderId="10" xfId="0" applyFill="1" applyBorder="1"/>
    <xf numFmtId="0" fontId="3" fillId="3" borderId="14" xfId="0" applyFont="1" applyFill="1" applyBorder="1"/>
    <xf numFmtId="2" fontId="3" fillId="0" borderId="1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/>
    </xf>
    <xf numFmtId="4" fontId="7" fillId="0" borderId="16" xfId="1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3" borderId="23" xfId="0" applyFont="1" applyFill="1" applyBorder="1"/>
    <xf numFmtId="0" fontId="3" fillId="3" borderId="24" xfId="0" applyFont="1" applyFill="1" applyBorder="1"/>
    <xf numFmtId="2" fontId="0" fillId="0" borderId="0" xfId="0" applyNumberFormat="1" applyFill="1" applyBorder="1"/>
    <xf numFmtId="2" fontId="3" fillId="0" borderId="0" xfId="0" applyNumberFormat="1" applyFont="1" applyFill="1" applyBorder="1" applyAlignment="1"/>
    <xf numFmtId="0" fontId="0" fillId="0" borderId="0" xfId="0" applyFill="1" applyBorder="1" applyAlignment="1"/>
    <xf numFmtId="2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3" fillId="0" borderId="25" xfId="0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23" xfId="0" applyFill="1" applyBorder="1"/>
    <xf numFmtId="2" fontId="0" fillId="0" borderId="10" xfId="0" applyNumberFormat="1" applyFill="1" applyBorder="1"/>
    <xf numFmtId="0" fontId="3" fillId="0" borderId="11" xfId="0" applyFont="1" applyBorder="1"/>
    <xf numFmtId="165" fontId="3" fillId="0" borderId="26" xfId="0" applyNumberFormat="1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165" fontId="2" fillId="3" borderId="28" xfId="0" applyNumberFormat="1" applyFont="1" applyFill="1" applyBorder="1" applyAlignment="1">
      <alignment horizontal="center" vertical="center"/>
    </xf>
    <xf numFmtId="0" fontId="0" fillId="0" borderId="29" xfId="0" applyFill="1" applyBorder="1"/>
    <xf numFmtId="4" fontId="7" fillId="0" borderId="30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29" xfId="1" applyNumberFormat="1" applyFont="1" applyFill="1" applyBorder="1" applyAlignment="1">
      <alignment horizontal="center" vertical="center"/>
    </xf>
    <xf numFmtId="4" fontId="7" fillId="0" borderId="29" xfId="0" applyNumberFormat="1" applyFont="1" applyFill="1" applyBorder="1" applyAlignment="1">
      <alignment horizontal="center" vertical="center"/>
    </xf>
    <xf numFmtId="4" fontId="7" fillId="0" borderId="30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/>
    </xf>
    <xf numFmtId="4" fontId="3" fillId="0" borderId="33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/>
    <xf numFmtId="0" fontId="0" fillId="6" borderId="0" xfId="0" applyFill="1"/>
    <xf numFmtId="4" fontId="0" fillId="0" borderId="0" xfId="0" applyNumberFormat="1" applyFill="1"/>
    <xf numFmtId="3" fontId="0" fillId="0" borderId="0" xfId="0" applyNumberFormat="1" applyFill="1"/>
    <xf numFmtId="0" fontId="0" fillId="0" borderId="0" xfId="0" applyBorder="1" applyAlignment="1">
      <alignment wrapText="1"/>
    </xf>
    <xf numFmtId="49" fontId="3" fillId="0" borderId="0" xfId="0" applyNumberFormat="1" applyFont="1" applyBorder="1"/>
    <xf numFmtId="0" fontId="3" fillId="3" borderId="34" xfId="0" applyFont="1" applyFill="1" applyBorder="1"/>
    <xf numFmtId="165" fontId="0" fillId="3" borderId="0" xfId="0" applyNumberFormat="1" applyFill="1" applyBorder="1"/>
    <xf numFmtId="165" fontId="0" fillId="3" borderId="11" xfId="0" applyNumberFormat="1" applyFill="1" applyBorder="1"/>
    <xf numFmtId="165" fontId="0" fillId="0" borderId="0" xfId="0" applyNumberFormat="1"/>
    <xf numFmtId="165" fontId="3" fillId="3" borderId="0" xfId="0" applyNumberFormat="1" applyFont="1" applyFill="1" applyBorder="1"/>
    <xf numFmtId="165" fontId="3" fillId="3" borderId="10" xfId="0" applyNumberFormat="1" applyFont="1" applyFill="1" applyBorder="1"/>
    <xf numFmtId="0" fontId="0" fillId="3" borderId="10" xfId="0" applyFill="1" applyBorder="1"/>
    <xf numFmtId="165" fontId="0" fillId="3" borderId="10" xfId="0" applyNumberFormat="1" applyFill="1" applyBorder="1"/>
    <xf numFmtId="2" fontId="0" fillId="3" borderId="0" xfId="0" applyNumberFormat="1" applyFill="1" applyBorder="1" applyAlignment="1">
      <alignment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37" xfId="0" applyFill="1" applyBorder="1"/>
    <xf numFmtId="165" fontId="0" fillId="3" borderId="0" xfId="0" applyNumberFormat="1" applyFill="1" applyBorder="1" applyAlignment="1">
      <alignment horizontal="right" vertical="center"/>
    </xf>
    <xf numFmtId="0" fontId="3" fillId="0" borderId="38" xfId="0" applyFont="1" applyBorder="1"/>
    <xf numFmtId="0" fontId="3" fillId="3" borderId="39" xfId="0" applyFont="1" applyFill="1" applyBorder="1"/>
    <xf numFmtId="0" fontId="3" fillId="3" borderId="40" xfId="0" applyFont="1" applyFill="1" applyBorder="1" applyAlignment="1">
      <alignment horizontal="left" vertical="center"/>
    </xf>
    <xf numFmtId="0" fontId="3" fillId="3" borderId="40" xfId="0" applyFont="1" applyFill="1" applyBorder="1"/>
    <xf numFmtId="0" fontId="3" fillId="0" borderId="26" xfId="0" applyFont="1" applyBorder="1"/>
    <xf numFmtId="0" fontId="0" fillId="3" borderId="40" xfId="0" applyFill="1" applyBorder="1"/>
    <xf numFmtId="0" fontId="0" fillId="0" borderId="26" xfId="0" applyBorder="1"/>
    <xf numFmtId="0" fontId="0" fillId="0" borderId="28" xfId="0" applyBorder="1"/>
    <xf numFmtId="0" fontId="3" fillId="0" borderId="41" xfId="0" applyFont="1" applyBorder="1"/>
    <xf numFmtId="0" fontId="0" fillId="0" borderId="41" xfId="0" applyBorder="1"/>
    <xf numFmtId="165" fontId="0" fillId="3" borderId="41" xfId="0" applyNumberFormat="1" applyFill="1" applyBorder="1"/>
    <xf numFmtId="0" fontId="3" fillId="3" borderId="37" xfId="0" applyFont="1" applyFill="1" applyBorder="1"/>
    <xf numFmtId="2" fontId="0" fillId="0" borderId="39" xfId="0" applyNumberFormat="1" applyBorder="1"/>
    <xf numFmtId="0" fontId="3" fillId="0" borderId="26" xfId="0" applyFont="1" applyFill="1" applyBorder="1"/>
    <xf numFmtId="2" fontId="0" fillId="0" borderId="40" xfId="0" applyNumberFormat="1" applyBorder="1"/>
    <xf numFmtId="0" fontId="3" fillId="0" borderId="28" xfId="0" applyFont="1" applyBorder="1"/>
    <xf numFmtId="0" fontId="0" fillId="0" borderId="41" xfId="0" applyFill="1" applyBorder="1"/>
    <xf numFmtId="0" fontId="11" fillId="0" borderId="41" xfId="0" applyFont="1" applyFill="1" applyBorder="1"/>
    <xf numFmtId="2" fontId="3" fillId="0" borderId="41" xfId="0" applyNumberFormat="1" applyFont="1" applyBorder="1"/>
    <xf numFmtId="2" fontId="0" fillId="0" borderId="41" xfId="0" applyNumberFormat="1" applyBorder="1"/>
    <xf numFmtId="2" fontId="0" fillId="0" borderId="37" xfId="0" applyNumberFormat="1" applyBorder="1"/>
    <xf numFmtId="3" fontId="0" fillId="3" borderId="42" xfId="0" applyNumberFormat="1" applyFill="1" applyBorder="1"/>
    <xf numFmtId="0" fontId="3" fillId="3" borderId="43" xfId="0" applyFont="1" applyFill="1" applyBorder="1"/>
    <xf numFmtId="0" fontId="3" fillId="3" borderId="44" xfId="0" applyFont="1" applyFill="1" applyBorder="1"/>
    <xf numFmtId="0" fontId="3" fillId="8" borderId="28" xfId="0" applyFont="1" applyFill="1" applyBorder="1" applyAlignment="1"/>
    <xf numFmtId="0" fontId="0" fillId="8" borderId="41" xfId="0" applyFill="1" applyBorder="1" applyAlignment="1"/>
    <xf numFmtId="0" fontId="11" fillId="8" borderId="41" xfId="0" applyFont="1" applyFill="1" applyBorder="1"/>
    <xf numFmtId="0" fontId="0" fillId="8" borderId="41" xfId="0" applyFill="1" applyBorder="1"/>
    <xf numFmtId="0" fontId="3" fillId="8" borderId="37" xfId="0" applyFont="1" applyFill="1" applyBorder="1"/>
    <xf numFmtId="0" fontId="11" fillId="0" borderId="39" xfId="0" applyFont="1" applyFill="1" applyBorder="1"/>
    <xf numFmtId="0" fontId="3" fillId="0" borderId="40" xfId="0" applyFont="1" applyFill="1" applyBorder="1"/>
    <xf numFmtId="0" fontId="3" fillId="0" borderId="37" xfId="0" applyFont="1" applyFill="1" applyBorder="1"/>
    <xf numFmtId="0" fontId="11" fillId="0" borderId="42" xfId="0" applyFont="1" applyFill="1" applyBorder="1"/>
    <xf numFmtId="3" fontId="3" fillId="3" borderId="42" xfId="0" applyNumberFormat="1" applyFont="1" applyFill="1" applyBorder="1"/>
    <xf numFmtId="0" fontId="0" fillId="0" borderId="45" xfId="0" applyBorder="1"/>
    <xf numFmtId="0" fontId="3" fillId="0" borderId="40" xfId="0" applyFont="1" applyBorder="1"/>
    <xf numFmtId="0" fontId="3" fillId="0" borderId="28" xfId="0" applyFont="1" applyFill="1" applyBorder="1"/>
    <xf numFmtId="0" fontId="3" fillId="0" borderId="37" xfId="0" applyFont="1" applyBorder="1"/>
    <xf numFmtId="0" fontId="3" fillId="0" borderId="39" xfId="0" applyFont="1" applyBorder="1"/>
    <xf numFmtId="0" fontId="3" fillId="0" borderId="41" xfId="0" applyFont="1" applyFill="1" applyBorder="1"/>
    <xf numFmtId="2" fontId="3" fillId="0" borderId="41" xfId="0" applyNumberFormat="1" applyFont="1" applyFill="1" applyBorder="1"/>
    <xf numFmtId="0" fontId="3" fillId="0" borderId="0" xfId="0" applyFont="1"/>
    <xf numFmtId="3" fontId="0" fillId="0" borderId="0" xfId="0" applyNumberFormat="1"/>
    <xf numFmtId="0" fontId="0" fillId="0" borderId="37" xfId="0" applyBorder="1"/>
    <xf numFmtId="4" fontId="7" fillId="0" borderId="46" xfId="0" applyNumberFormat="1" applyFont="1" applyFill="1" applyBorder="1" applyAlignment="1">
      <alignment horizontal="center" vertical="center"/>
    </xf>
    <xf numFmtId="4" fontId="4" fillId="0" borderId="66" xfId="0" applyNumberFormat="1" applyFont="1" applyFill="1" applyBorder="1" applyAlignment="1">
      <alignment horizontal="center" vertical="center"/>
    </xf>
    <xf numFmtId="4" fontId="7" fillId="0" borderId="66" xfId="0" applyNumberFormat="1" applyFont="1" applyFill="1" applyBorder="1" applyAlignment="1">
      <alignment horizontal="center" vertical="center"/>
    </xf>
    <xf numFmtId="4" fontId="7" fillId="0" borderId="66" xfId="1" applyNumberFormat="1" applyFont="1" applyFill="1" applyBorder="1" applyAlignment="1">
      <alignment horizontal="center" vertical="center"/>
    </xf>
    <xf numFmtId="4" fontId="4" fillId="0" borderId="46" xfId="0" applyNumberFormat="1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/>
    </xf>
    <xf numFmtId="0" fontId="1" fillId="0" borderId="41" xfId="0" applyFont="1" applyFill="1" applyBorder="1"/>
    <xf numFmtId="1" fontId="3" fillId="0" borderId="41" xfId="0" applyNumberFormat="1" applyFont="1" applyFill="1" applyBorder="1"/>
    <xf numFmtId="0" fontId="3" fillId="3" borderId="41" xfId="0" applyFont="1" applyFill="1" applyBorder="1"/>
    <xf numFmtId="0" fontId="0" fillId="0" borderId="40" xfId="0" applyBorder="1"/>
    <xf numFmtId="0" fontId="0" fillId="3" borderId="41" xfId="0" applyFill="1" applyBorder="1"/>
    <xf numFmtId="0" fontId="0" fillId="3" borderId="37" xfId="0" applyFill="1" applyBorder="1"/>
    <xf numFmtId="0" fontId="0" fillId="0" borderId="38" xfId="0" applyFill="1" applyBorder="1"/>
    <xf numFmtId="0" fontId="0" fillId="0" borderId="39" xfId="0" applyFill="1" applyBorder="1"/>
    <xf numFmtId="0" fontId="0" fillId="0" borderId="26" xfId="0" applyFill="1" applyBorder="1"/>
    <xf numFmtId="0" fontId="3" fillId="0" borderId="40" xfId="0" applyFont="1" applyFill="1" applyBorder="1" applyAlignment="1"/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/>
    <xf numFmtId="0" fontId="0" fillId="0" borderId="40" xfId="0" applyFont="1" applyFill="1" applyBorder="1"/>
    <xf numFmtId="2" fontId="3" fillId="0" borderId="26" xfId="0" applyNumberFormat="1" applyFont="1" applyFill="1" applyBorder="1"/>
    <xf numFmtId="3" fontId="3" fillId="0" borderId="40" xfId="0" applyNumberFormat="1" applyFont="1" applyFill="1" applyBorder="1"/>
    <xf numFmtId="0" fontId="0" fillId="0" borderId="40" xfId="0" applyFill="1" applyBorder="1"/>
    <xf numFmtId="2" fontId="2" fillId="0" borderId="26" xfId="0" applyNumberFormat="1" applyFont="1" applyFill="1" applyBorder="1"/>
    <xf numFmtId="2" fontId="0" fillId="0" borderId="26" xfId="0" applyNumberFormat="1" applyFill="1" applyBorder="1"/>
    <xf numFmtId="2" fontId="0" fillId="0" borderId="41" xfId="0" applyNumberFormat="1" applyFill="1" applyBorder="1"/>
    <xf numFmtId="165" fontId="3" fillId="3" borderId="42" xfId="0" applyNumberFormat="1" applyFont="1" applyFill="1" applyBorder="1"/>
    <xf numFmtId="0" fontId="3" fillId="3" borderId="42" xfId="0" applyFont="1" applyFill="1" applyBorder="1"/>
    <xf numFmtId="2" fontId="0" fillId="0" borderId="41" xfId="0" applyNumberFormat="1" applyBorder="1" applyAlignment="1">
      <alignment wrapText="1"/>
    </xf>
    <xf numFmtId="2" fontId="0" fillId="3" borderId="41" xfId="0" applyNumberFormat="1" applyFill="1" applyBorder="1" applyAlignment="1">
      <alignment wrapText="1"/>
    </xf>
    <xf numFmtId="165" fontId="3" fillId="3" borderId="41" xfId="0" applyNumberFormat="1" applyFont="1" applyFill="1" applyBorder="1"/>
    <xf numFmtId="0" fontId="0" fillId="3" borderId="39" xfId="0" applyFill="1" applyBorder="1"/>
    <xf numFmtId="0" fontId="0" fillId="3" borderId="40" xfId="0" applyFont="1" applyFill="1" applyBorder="1"/>
    <xf numFmtId="0" fontId="0" fillId="3" borderId="37" xfId="0" applyFont="1" applyFill="1" applyBorder="1"/>
    <xf numFmtId="0" fontId="3" fillId="0" borderId="74" xfId="0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/>
    <xf numFmtId="0" fontId="0" fillId="0" borderId="41" xfId="0" applyFill="1" applyBorder="1" applyAlignment="1"/>
    <xf numFmtId="4" fontId="7" fillId="0" borderId="8" xfId="0" applyNumberFormat="1" applyFont="1" applyFill="1" applyBorder="1" applyAlignment="1">
      <alignment horizontal="center" vertical="center"/>
    </xf>
    <xf numFmtId="4" fontId="7" fillId="0" borderId="46" xfId="0" applyNumberFormat="1" applyFont="1" applyFill="1" applyBorder="1" applyAlignment="1">
      <alignment horizontal="center" vertical="center"/>
    </xf>
    <xf numFmtId="0" fontId="3" fillId="0" borderId="26" xfId="0" applyFont="1" applyBorder="1" applyAlignment="1"/>
    <xf numFmtId="0" fontId="3" fillId="0" borderId="32" xfId="0" applyFont="1" applyFill="1" applyBorder="1" applyAlignment="1">
      <alignment horizontal="center" vertical="center" wrapText="1"/>
    </xf>
    <xf numFmtId="2" fontId="3" fillId="0" borderId="10" xfId="0" applyNumberFormat="1" applyFont="1" applyBorder="1"/>
    <xf numFmtId="0" fontId="3" fillId="0" borderId="10" xfId="0" applyFont="1" applyBorder="1"/>
    <xf numFmtId="0" fontId="3" fillId="0" borderId="10" xfId="0" applyFont="1" applyFill="1" applyBorder="1"/>
    <xf numFmtId="0" fontId="3" fillId="0" borderId="39" xfId="0" applyFont="1" applyFill="1" applyBorder="1"/>
    <xf numFmtId="0" fontId="3" fillId="0" borderId="42" xfId="0" applyFont="1" applyFill="1" applyBorder="1"/>
    <xf numFmtId="2" fontId="3" fillId="0" borderId="0" xfId="0" applyNumberFormat="1" applyFont="1"/>
    <xf numFmtId="0" fontId="3" fillId="8" borderId="41" xfId="0" applyFont="1" applyFill="1" applyBorder="1" applyAlignment="1"/>
    <xf numFmtId="0" fontId="3" fillId="8" borderId="41" xfId="0" applyFont="1" applyFill="1" applyBorder="1"/>
    <xf numFmtId="2" fontId="3" fillId="3" borderId="41" xfId="0" applyNumberFormat="1" applyFont="1" applyFill="1" applyBorder="1"/>
    <xf numFmtId="4" fontId="7" fillId="0" borderId="1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3" fillId="0" borderId="17" xfId="0" applyFont="1" applyFill="1" applyBorder="1" applyAlignment="1">
      <alignment horizontal="center" vertical="center" wrapText="1"/>
    </xf>
    <xf numFmtId="3" fontId="3" fillId="0" borderId="42" xfId="0" applyNumberFormat="1" applyFont="1" applyFill="1" applyBorder="1"/>
    <xf numFmtId="0" fontId="3" fillId="0" borderId="43" xfId="0" applyFont="1" applyFill="1" applyBorder="1"/>
    <xf numFmtId="0" fontId="3" fillId="0" borderId="14" xfId="0" applyFont="1" applyFill="1" applyBorder="1"/>
    <xf numFmtId="0" fontId="3" fillId="0" borderId="44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40" xfId="0" applyFont="1" applyFill="1" applyBorder="1" applyAlignment="1">
      <alignment wrapText="1"/>
    </xf>
    <xf numFmtId="166" fontId="0" fillId="0" borderId="0" xfId="0" applyNumberFormat="1"/>
    <xf numFmtId="0" fontId="2" fillId="9" borderId="45" xfId="0" applyFont="1" applyFill="1" applyBorder="1" applyAlignment="1">
      <alignment horizontal="center" vertical="center"/>
    </xf>
    <xf numFmtId="0" fontId="3" fillId="0" borderId="48" xfId="0" applyFont="1" applyBorder="1" applyAlignment="1"/>
    <xf numFmtId="0" fontId="3" fillId="0" borderId="49" xfId="0" applyFont="1" applyBorder="1" applyAlignment="1"/>
    <xf numFmtId="0" fontId="3" fillId="0" borderId="53" xfId="0" applyFont="1" applyBorder="1" applyAlignment="1"/>
    <xf numFmtId="0" fontId="3" fillId="0" borderId="11" xfId="0" applyFont="1" applyBorder="1" applyAlignment="1"/>
    <xf numFmtId="0" fontId="3" fillId="0" borderId="54" xfId="0" applyFont="1" applyBorder="1" applyAlignment="1"/>
    <xf numFmtId="0" fontId="3" fillId="0" borderId="2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40" xfId="0" applyFont="1" applyBorder="1" applyAlignment="1"/>
    <xf numFmtId="4" fontId="7" fillId="0" borderId="57" xfId="1" applyNumberFormat="1" applyFont="1" applyFill="1" applyBorder="1" applyAlignment="1">
      <alignment horizontal="center" vertical="center"/>
    </xf>
    <xf numFmtId="4" fontId="7" fillId="0" borderId="47" xfId="0" applyNumberFormat="1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3" fillId="0" borderId="52" xfId="0" applyFont="1" applyBorder="1" applyAlignment="1"/>
    <xf numFmtId="0" fontId="3" fillId="0" borderId="42" xfId="0" applyFont="1" applyBorder="1" applyAlignment="1"/>
    <xf numFmtId="4" fontId="4" fillId="0" borderId="47" xfId="0" applyNumberFormat="1" applyFont="1" applyFill="1" applyBorder="1" applyAlignment="1">
      <alignment horizontal="center" vertical="center"/>
    </xf>
    <xf numFmtId="4" fontId="7" fillId="0" borderId="66" xfId="0" applyNumberFormat="1" applyFont="1" applyFill="1" applyBorder="1" applyAlignment="1">
      <alignment horizontal="center" vertical="center"/>
    </xf>
    <xf numFmtId="4" fontId="7" fillId="0" borderId="47" xfId="1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wrapText="1"/>
    </xf>
    <xf numFmtId="0" fontId="3" fillId="0" borderId="42" xfId="0" applyFont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/>
    <xf numFmtId="4" fontId="7" fillId="4" borderId="47" xfId="1" applyNumberFormat="1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164" fontId="2" fillId="0" borderId="66" xfId="0" applyNumberFormat="1" applyFont="1" applyFill="1" applyBorder="1" applyAlignment="1">
      <alignment horizontal="center" vertical="center"/>
    </xf>
    <xf numFmtId="4" fontId="7" fillId="0" borderId="55" xfId="0" applyNumberFormat="1" applyFont="1" applyFill="1" applyBorder="1" applyAlignment="1">
      <alignment horizontal="center" vertical="center"/>
    </xf>
    <xf numFmtId="4" fontId="7" fillId="0" borderId="46" xfId="0" applyNumberFormat="1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64" fontId="2" fillId="0" borderId="46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4" fontId="7" fillId="0" borderId="55" xfId="1" applyNumberFormat="1" applyFont="1" applyFill="1" applyBorder="1" applyAlignment="1">
      <alignment horizontal="center" vertical="center"/>
    </xf>
    <xf numFmtId="4" fontId="7" fillId="0" borderId="46" xfId="1" applyNumberFormat="1" applyFont="1" applyFill="1" applyBorder="1" applyAlignment="1">
      <alignment horizontal="center" vertical="center"/>
    </xf>
    <xf numFmtId="0" fontId="3" fillId="0" borderId="38" xfId="0" applyFont="1" applyBorder="1" applyAlignment="1"/>
    <xf numFmtId="4" fontId="7" fillId="0" borderId="7" xfId="0" applyNumberFormat="1" applyFont="1" applyFill="1" applyBorder="1" applyAlignment="1">
      <alignment horizontal="center" vertical="center"/>
    </xf>
    <xf numFmtId="4" fontId="7" fillId="0" borderId="57" xfId="0" applyNumberFormat="1" applyFont="1" applyFill="1" applyBorder="1" applyAlignment="1">
      <alignment horizontal="center" vertical="center"/>
    </xf>
    <xf numFmtId="0" fontId="2" fillId="9" borderId="45" xfId="0" applyFont="1" applyFill="1" applyBorder="1" applyAlignment="1">
      <alignment horizontal="center" vertical="center" wrapText="1"/>
    </xf>
    <xf numFmtId="0" fontId="2" fillId="9" borderId="48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4" fontId="7" fillId="0" borderId="60" xfId="0" applyNumberFormat="1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62" xfId="1" applyNumberFormat="1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center" vertical="center"/>
    </xf>
    <xf numFmtId="0" fontId="0" fillId="0" borderId="57" xfId="0" applyFill="1" applyBorder="1" applyAlignment="1"/>
    <xf numFmtId="0" fontId="0" fillId="0" borderId="1" xfId="0" applyFill="1" applyBorder="1" applyAlignment="1"/>
    <xf numFmtId="0" fontId="0" fillId="0" borderId="7" xfId="0" applyFill="1" applyBorder="1" applyAlignment="1"/>
    <xf numFmtId="0" fontId="0" fillId="0" borderId="48" xfId="0" applyBorder="1" applyAlignment="1"/>
    <xf numFmtId="0" fontId="0" fillId="0" borderId="49" xfId="0" applyBorder="1" applyAlignment="1"/>
    <xf numFmtId="0" fontId="0" fillId="0" borderId="0" xfId="0" applyBorder="1" applyAlignment="1"/>
    <xf numFmtId="0" fontId="0" fillId="0" borderId="40" xfId="0" applyBorder="1" applyAlignment="1"/>
    <xf numFmtId="0" fontId="0" fillId="0" borderId="42" xfId="0" applyBorder="1" applyAlignment="1"/>
    <xf numFmtId="4" fontId="4" fillId="0" borderId="59" xfId="0" applyNumberFormat="1" applyFont="1" applyFill="1" applyBorder="1" applyAlignment="1">
      <alignment horizontal="center" vertical="center"/>
    </xf>
    <xf numFmtId="0" fontId="0" fillId="0" borderId="53" xfId="0" applyBorder="1" applyAlignment="1"/>
    <xf numFmtId="0" fontId="0" fillId="0" borderId="11" xfId="0" applyBorder="1" applyAlignment="1"/>
    <xf numFmtId="0" fontId="0" fillId="0" borderId="54" xfId="0" applyBorder="1" applyAlignment="1"/>
    <xf numFmtId="164" fontId="2" fillId="0" borderId="58" xfId="0" applyNumberFormat="1" applyFont="1" applyFill="1" applyBorder="1" applyAlignment="1">
      <alignment horizontal="center" vertical="center"/>
    </xf>
    <xf numFmtId="164" fontId="2" fillId="0" borderId="61" xfId="0" applyNumberFormat="1" applyFont="1" applyFill="1" applyBorder="1" applyAlignment="1">
      <alignment horizontal="center" vertical="center"/>
    </xf>
    <xf numFmtId="4" fontId="3" fillId="0" borderId="59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10" xfId="0" applyBorder="1" applyAlignment="1"/>
    <xf numFmtId="0" fontId="3" fillId="0" borderId="68" xfId="0" applyFont="1" applyBorder="1" applyAlignment="1"/>
    <xf numFmtId="0" fontId="0" fillId="0" borderId="14" xfId="0" applyBorder="1" applyAlignment="1"/>
    <xf numFmtId="0" fontId="2" fillId="0" borderId="1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" fontId="7" fillId="5" borderId="57" xfId="1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/>
    <xf numFmtId="0" fontId="0" fillId="0" borderId="39" xfId="0" applyFill="1" applyBorder="1" applyAlignment="1"/>
    <xf numFmtId="0" fontId="0" fillId="0" borderId="2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40" xfId="0" applyFill="1" applyBorder="1" applyAlignment="1"/>
    <xf numFmtId="0" fontId="2" fillId="7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3" fillId="0" borderId="9" xfId="0" applyFont="1" applyBorder="1" applyAlignment="1"/>
    <xf numFmtId="4" fontId="7" fillId="0" borderId="65" xfId="0" applyNumberFormat="1" applyFont="1" applyFill="1" applyBorder="1" applyAlignment="1">
      <alignment horizontal="center" vertical="center"/>
    </xf>
    <xf numFmtId="4" fontId="7" fillId="0" borderId="67" xfId="0" applyNumberFormat="1" applyFont="1" applyFill="1" applyBorder="1" applyAlignment="1">
      <alignment horizontal="center" vertical="center"/>
    </xf>
    <xf numFmtId="4" fontId="3" fillId="0" borderId="39" xfId="0" applyNumberFormat="1" applyFont="1" applyFill="1" applyBorder="1" applyAlignment="1">
      <alignment horizontal="center" vertical="center"/>
    </xf>
    <xf numFmtId="0" fontId="0" fillId="0" borderId="37" xfId="0" applyFill="1" applyBorder="1" applyAlignment="1"/>
    <xf numFmtId="4" fontId="3" fillId="0" borderId="57" xfId="0" applyNumberFormat="1" applyFont="1" applyFill="1" applyBorder="1" applyAlignment="1">
      <alignment horizontal="center" vertical="center"/>
    </xf>
    <xf numFmtId="4" fontId="7" fillId="7" borderId="57" xfId="1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4" fontId="12" fillId="0" borderId="48" xfId="0" applyNumberFormat="1" applyFont="1" applyFill="1" applyBorder="1" applyAlignment="1">
      <alignment horizontal="center" vertical="center"/>
    </xf>
    <xf numFmtId="0" fontId="0" fillId="0" borderId="41" xfId="0" applyBorder="1" applyAlignment="1"/>
    <xf numFmtId="0" fontId="3" fillId="0" borderId="6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4" fontId="7" fillId="0" borderId="71" xfId="0" applyNumberFormat="1" applyFont="1" applyFill="1" applyBorder="1" applyAlignment="1">
      <alignment horizontal="center" vertical="center"/>
    </xf>
    <xf numFmtId="4" fontId="7" fillId="0" borderId="63" xfId="0" applyNumberFormat="1" applyFont="1" applyFill="1" applyBorder="1" applyAlignment="1">
      <alignment horizontal="center" vertical="center"/>
    </xf>
    <xf numFmtId="4" fontId="7" fillId="0" borderId="23" xfId="0" applyNumberFormat="1" applyFont="1" applyFill="1" applyBorder="1" applyAlignment="1">
      <alignment horizontal="center" vertical="center"/>
    </xf>
    <xf numFmtId="4" fontId="7" fillId="0" borderId="24" xfId="0" applyNumberFormat="1" applyFont="1" applyFill="1" applyBorder="1" applyAlignment="1">
      <alignment horizontal="center" vertical="center"/>
    </xf>
    <xf numFmtId="4" fontId="7" fillId="0" borderId="62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69" xfId="0" applyNumberFormat="1" applyFont="1" applyFill="1" applyBorder="1" applyAlignment="1">
      <alignment horizontal="center" vertical="center"/>
    </xf>
    <xf numFmtId="4" fontId="7" fillId="0" borderId="34" xfId="0" applyNumberFormat="1" applyFont="1" applyFill="1" applyBorder="1" applyAlignment="1">
      <alignment horizontal="center" vertical="center"/>
    </xf>
    <xf numFmtId="4" fontId="7" fillId="0" borderId="70" xfId="0" applyNumberFormat="1" applyFont="1" applyFill="1" applyBorder="1" applyAlignment="1">
      <alignment horizontal="center" vertical="center"/>
    </xf>
    <xf numFmtId="4" fontId="7" fillId="0" borderId="75" xfId="0" applyNumberFormat="1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3" fillId="0" borderId="26" xfId="0" applyFont="1" applyFill="1" applyBorder="1" applyAlignment="1"/>
    <xf numFmtId="0" fontId="3" fillId="0" borderId="26" xfId="0" applyFont="1" applyFill="1" applyBorder="1" applyAlignment="1">
      <alignment wrapText="1"/>
    </xf>
    <xf numFmtId="165" fontId="0" fillId="3" borderId="0" xfId="0" applyNumberFormat="1" applyFill="1" applyBorder="1" applyAlignment="1">
      <alignment horizontal="right" vertical="center"/>
    </xf>
    <xf numFmtId="0" fontId="0" fillId="3" borderId="40" xfId="0" applyFill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6" fontId="3" fillId="0" borderId="45" xfId="0" applyNumberFormat="1" applyFont="1" applyBorder="1" applyAlignment="1">
      <alignment horizontal="center" vertical="center"/>
    </xf>
    <xf numFmtId="166" fontId="3" fillId="0" borderId="49" xfId="0" applyNumberFormat="1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center" vertical="center"/>
    </xf>
    <xf numFmtId="166" fontId="3" fillId="0" borderId="40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166" fontId="0" fillId="0" borderId="45" xfId="0" applyNumberFormat="1" applyBorder="1" applyAlignment="1">
      <alignment horizontal="center" vertical="center"/>
    </xf>
    <xf numFmtId="166" fontId="0" fillId="0" borderId="49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166" fontId="0" fillId="0" borderId="40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45" xfId="0" applyNumberFormat="1" applyBorder="1" applyAlignment="1">
      <alignment horizontal="center" vertical="center" wrapText="1"/>
    </xf>
    <xf numFmtId="166" fontId="0" fillId="0" borderId="49" xfId="0" applyNumberFormat="1" applyBorder="1" applyAlignment="1">
      <alignment horizontal="center" vertical="center" wrapText="1"/>
    </xf>
    <xf numFmtId="166" fontId="0" fillId="0" borderId="28" xfId="0" applyNumberFormat="1" applyBorder="1" applyAlignment="1">
      <alignment horizontal="center" vertical="center" wrapText="1"/>
    </xf>
    <xf numFmtId="166" fontId="0" fillId="0" borderId="37" xfId="0" applyNumberForma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4" fontId="7" fillId="0" borderId="48" xfId="0" applyNumberFormat="1" applyFont="1" applyFill="1" applyBorder="1" applyAlignment="1">
      <alignment horizontal="center" vertical="center"/>
    </xf>
    <xf numFmtId="0" fontId="7" fillId="0" borderId="41" xfId="0" applyFont="1" applyBorder="1" applyAlignment="1"/>
  </cellXfs>
  <cellStyles count="2">
    <cellStyle name="Chybně" xfId="1" builtinId="27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4F4F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4F4F4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67"/>
  <sheetViews>
    <sheetView tabSelected="1" view="pageBreakPreview" topLeftCell="A5" zoomScale="85" zoomScaleNormal="100" zoomScaleSheetLayoutView="85" workbookViewId="0">
      <selection activeCell="M108" sqref="M108"/>
    </sheetView>
  </sheetViews>
  <sheetFormatPr defaultRowHeight="12.75" x14ac:dyDescent="0.2"/>
  <cols>
    <col min="1" max="1" width="1.42578125" style="4" customWidth="1"/>
    <col min="2" max="2" width="6.7109375" style="4" customWidth="1"/>
    <col min="3" max="3" width="13.140625" style="4" customWidth="1"/>
    <col min="4" max="4" width="9.42578125" style="4" customWidth="1"/>
    <col min="5" max="5" width="10.5703125" style="13" customWidth="1"/>
    <col min="6" max="6" width="9" style="13" customWidth="1"/>
    <col min="7" max="7" width="7.85546875" style="13" customWidth="1"/>
    <col min="8" max="8" width="9.42578125" style="13" customWidth="1"/>
    <col min="9" max="10" width="7.85546875" style="13" customWidth="1"/>
    <col min="11" max="11" width="7.28515625" style="4" customWidth="1"/>
    <col min="12" max="12" width="9.140625" style="4"/>
    <col min="13" max="13" width="10.28515625" style="4" customWidth="1"/>
    <col min="14" max="14" width="10.7109375" style="4" customWidth="1"/>
    <col min="15" max="16384" width="9.140625" style="4"/>
  </cols>
  <sheetData>
    <row r="1" spans="2:14" ht="13.5" hidden="1" customHeight="1" thickBot="1" x14ac:dyDescent="0.25">
      <c r="B1" s="2"/>
      <c r="C1" s="2"/>
    </row>
    <row r="2" spans="2:14" ht="13.5" hidden="1" customHeight="1" thickBot="1" x14ac:dyDescent="0.25">
      <c r="C2" s="9" t="s">
        <v>3</v>
      </c>
    </row>
    <row r="3" spans="2:14" ht="13.5" hidden="1" customHeight="1" thickBot="1" x14ac:dyDescent="0.25">
      <c r="B3" s="9"/>
      <c r="C3" s="2"/>
    </row>
    <row r="4" spans="2:14" ht="406.5" hidden="1" customHeight="1" thickBot="1" x14ac:dyDescent="0.25">
      <c r="B4" s="9"/>
      <c r="C4" s="2"/>
    </row>
    <row r="5" spans="2:14" ht="33.75" customHeight="1" thickBot="1" x14ac:dyDescent="0.3">
      <c r="B5" s="10" t="s">
        <v>37</v>
      </c>
    </row>
    <row r="6" spans="2:14" ht="53.25" customHeight="1" x14ac:dyDescent="0.2">
      <c r="B6" s="5" t="s">
        <v>8</v>
      </c>
      <c r="C6" s="6" t="s">
        <v>7</v>
      </c>
      <c r="D6" s="7" t="s">
        <v>6</v>
      </c>
      <c r="E6" s="250" t="s">
        <v>9</v>
      </c>
      <c r="F6" s="251" t="s">
        <v>2</v>
      </c>
      <c r="G6" s="250" t="s">
        <v>64</v>
      </c>
      <c r="H6" s="252"/>
      <c r="I6" s="250" t="s">
        <v>12</v>
      </c>
      <c r="J6" s="251"/>
      <c r="K6" s="250" t="s">
        <v>193</v>
      </c>
      <c r="L6" s="251"/>
      <c r="M6" s="192" t="s">
        <v>194</v>
      </c>
      <c r="N6" s="192" t="s">
        <v>192</v>
      </c>
    </row>
    <row r="7" spans="2:14" ht="18" customHeight="1" thickBot="1" x14ac:dyDescent="0.25">
      <c r="B7" s="152"/>
      <c r="C7" s="153" t="s">
        <v>0</v>
      </c>
      <c r="D7" s="154" t="s">
        <v>1</v>
      </c>
      <c r="E7" s="155" t="s">
        <v>5</v>
      </c>
      <c r="F7" s="156" t="s">
        <v>4</v>
      </c>
      <c r="G7" s="155" t="s">
        <v>5</v>
      </c>
      <c r="H7" s="156" t="s">
        <v>4</v>
      </c>
      <c r="I7" s="155" t="s">
        <v>5</v>
      </c>
      <c r="J7" s="156" t="s">
        <v>4</v>
      </c>
      <c r="K7" s="155" t="s">
        <v>5</v>
      </c>
      <c r="L7" s="156" t="s">
        <v>4</v>
      </c>
      <c r="M7" s="156" t="s">
        <v>4</v>
      </c>
      <c r="N7" s="156" t="s">
        <v>4</v>
      </c>
    </row>
    <row r="8" spans="2:14" ht="9" customHeight="1" x14ac:dyDescent="0.2">
      <c r="B8" s="248">
        <v>1</v>
      </c>
      <c r="C8" s="249">
        <v>0</v>
      </c>
      <c r="D8" s="151"/>
      <c r="E8" s="247">
        <v>21.8</v>
      </c>
      <c r="F8" s="147"/>
      <c r="G8" s="247">
        <v>0</v>
      </c>
      <c r="H8" s="147"/>
      <c r="I8" s="247">
        <v>8.6999999999999993</v>
      </c>
      <c r="J8" s="190"/>
      <c r="K8" s="247"/>
      <c r="L8" s="28"/>
      <c r="M8" s="189"/>
      <c r="N8" s="189"/>
    </row>
    <row r="9" spans="2:14" ht="9" customHeight="1" x14ac:dyDescent="0.2">
      <c r="B9" s="243"/>
      <c r="C9" s="239"/>
      <c r="D9" s="230">
        <f>(C10-C8)*1000</f>
        <v>20</v>
      </c>
      <c r="E9" s="224"/>
      <c r="F9" s="232">
        <f>((E8+E10)/2)*D9</f>
        <v>302</v>
      </c>
      <c r="G9" s="224"/>
      <c r="H9" s="224">
        <f>((G8+G10)/2)*D9</f>
        <v>5</v>
      </c>
      <c r="I9" s="224"/>
      <c r="J9" s="232">
        <f>I8*4</f>
        <v>34.799999999999997</v>
      </c>
      <c r="K9" s="224"/>
      <c r="L9" s="223"/>
      <c r="M9" s="223"/>
      <c r="N9" s="223"/>
    </row>
    <row r="10" spans="2:14" ht="9" customHeight="1" x14ac:dyDescent="0.2">
      <c r="B10" s="243">
        <v>2</v>
      </c>
      <c r="C10" s="239">
        <v>0.02</v>
      </c>
      <c r="D10" s="230"/>
      <c r="E10" s="224">
        <v>8.4</v>
      </c>
      <c r="F10" s="232"/>
      <c r="G10" s="224">
        <v>0.5</v>
      </c>
      <c r="H10" s="224"/>
      <c r="I10" s="224"/>
      <c r="J10" s="232"/>
      <c r="K10" s="224"/>
      <c r="L10" s="223"/>
      <c r="M10" s="223"/>
      <c r="N10" s="223"/>
    </row>
    <row r="11" spans="2:14" ht="9" customHeight="1" x14ac:dyDescent="0.2">
      <c r="B11" s="243"/>
      <c r="C11" s="239"/>
      <c r="D11" s="230">
        <f>(C12-C10)*1000</f>
        <v>20</v>
      </c>
      <c r="E11" s="224"/>
      <c r="F11" s="232">
        <f>((E10+E12)/2)*D11</f>
        <v>162</v>
      </c>
      <c r="G11" s="224"/>
      <c r="H11" s="224">
        <f>((G10+G12)/2)*D11</f>
        <v>8.5</v>
      </c>
      <c r="I11" s="224"/>
      <c r="J11" s="232"/>
      <c r="K11" s="224"/>
      <c r="L11" s="223"/>
      <c r="M11" s="223"/>
      <c r="N11" s="223"/>
    </row>
    <row r="12" spans="2:14" ht="9" customHeight="1" x14ac:dyDescent="0.2">
      <c r="B12" s="243">
        <v>3</v>
      </c>
      <c r="C12" s="239">
        <v>0.04</v>
      </c>
      <c r="D12" s="230"/>
      <c r="E12" s="224">
        <v>7.8</v>
      </c>
      <c r="F12" s="232"/>
      <c r="G12" s="224">
        <v>0.35</v>
      </c>
      <c r="H12" s="224"/>
      <c r="I12" s="224"/>
      <c r="J12" s="232"/>
      <c r="K12" s="224"/>
      <c r="L12" s="223"/>
      <c r="M12" s="223"/>
      <c r="N12" s="223"/>
    </row>
    <row r="13" spans="2:14" ht="9" customHeight="1" x14ac:dyDescent="0.2">
      <c r="B13" s="243"/>
      <c r="C13" s="239"/>
      <c r="D13" s="230">
        <f>(C14-C12)*1000</f>
        <v>19.999999999999996</v>
      </c>
      <c r="E13" s="224"/>
      <c r="F13" s="232">
        <f>((E12+E14)/2)*D13</f>
        <v>123.99999999999996</v>
      </c>
      <c r="G13" s="224"/>
      <c r="H13" s="224">
        <f>((G12+G14)/2)*D13</f>
        <v>25.999999999999996</v>
      </c>
      <c r="I13" s="224"/>
      <c r="J13" s="232"/>
      <c r="K13" s="224"/>
      <c r="L13" s="223"/>
      <c r="M13" s="223"/>
      <c r="N13" s="223"/>
    </row>
    <row r="14" spans="2:14" ht="9" customHeight="1" x14ac:dyDescent="0.2">
      <c r="B14" s="243">
        <v>4</v>
      </c>
      <c r="C14" s="239">
        <v>0.06</v>
      </c>
      <c r="D14" s="230"/>
      <c r="E14" s="224">
        <v>4.5999999999999996</v>
      </c>
      <c r="F14" s="232"/>
      <c r="G14" s="224">
        <v>2.25</v>
      </c>
      <c r="H14" s="224"/>
      <c r="I14" s="224"/>
      <c r="J14" s="232"/>
      <c r="K14" s="224"/>
      <c r="L14" s="223"/>
      <c r="M14" s="223"/>
      <c r="N14" s="223"/>
    </row>
    <row r="15" spans="2:14" ht="9" customHeight="1" x14ac:dyDescent="0.2">
      <c r="B15" s="243"/>
      <c r="C15" s="239"/>
      <c r="D15" s="230">
        <f>(C16-C14)*1000</f>
        <v>20.000000000000004</v>
      </c>
      <c r="E15" s="224"/>
      <c r="F15" s="232">
        <f>((E14+E16)/2)*D15</f>
        <v>95.000000000000014</v>
      </c>
      <c r="G15" s="224"/>
      <c r="H15" s="224">
        <f>((G14+G16)/2)*D15</f>
        <v>87.500000000000014</v>
      </c>
      <c r="I15" s="224"/>
      <c r="J15" s="232"/>
      <c r="K15" s="224"/>
      <c r="L15" s="223"/>
      <c r="M15" s="223"/>
      <c r="N15" s="223"/>
    </row>
    <row r="16" spans="2:14" ht="9" customHeight="1" x14ac:dyDescent="0.2">
      <c r="B16" s="243">
        <v>5</v>
      </c>
      <c r="C16" s="239">
        <v>0.08</v>
      </c>
      <c r="D16" s="230"/>
      <c r="E16" s="224">
        <v>4.9000000000000004</v>
      </c>
      <c r="F16" s="232"/>
      <c r="G16" s="224">
        <v>6.5</v>
      </c>
      <c r="H16" s="224"/>
      <c r="I16" s="224"/>
      <c r="J16" s="232"/>
      <c r="K16" s="224"/>
      <c r="L16" s="223"/>
      <c r="M16" s="223"/>
      <c r="N16" s="223"/>
    </row>
    <row r="17" spans="2:15" ht="9" customHeight="1" x14ac:dyDescent="0.2">
      <c r="B17" s="243"/>
      <c r="C17" s="239"/>
      <c r="D17" s="230">
        <f>(C18-C16)*1000</f>
        <v>20.000000000000004</v>
      </c>
      <c r="E17" s="224"/>
      <c r="F17" s="232">
        <f>((E16+E18)/2)*D17</f>
        <v>162.00000000000006</v>
      </c>
      <c r="G17" s="224"/>
      <c r="H17" s="224">
        <f>((G16+G18)/2)*D17</f>
        <v>169.00000000000003</v>
      </c>
      <c r="I17" s="224"/>
      <c r="J17" s="232"/>
      <c r="K17" s="224"/>
      <c r="L17" s="223">
        <f>3*2.8*0.5</f>
        <v>4.1999999999999993</v>
      </c>
      <c r="M17" s="223">
        <f>3*2.8*0.5</f>
        <v>4.1999999999999993</v>
      </c>
      <c r="N17" s="223"/>
    </row>
    <row r="18" spans="2:15" ht="9" customHeight="1" x14ac:dyDescent="0.2">
      <c r="B18" s="243">
        <v>6</v>
      </c>
      <c r="C18" s="239">
        <v>0.1</v>
      </c>
      <c r="D18" s="230"/>
      <c r="E18" s="224">
        <v>11.3</v>
      </c>
      <c r="F18" s="232"/>
      <c r="G18" s="224">
        <v>10.4</v>
      </c>
      <c r="H18" s="224"/>
      <c r="I18" s="224"/>
      <c r="J18" s="232"/>
      <c r="K18" s="224"/>
      <c r="L18" s="223"/>
      <c r="M18" s="223"/>
      <c r="N18" s="223"/>
    </row>
    <row r="19" spans="2:15" ht="9" customHeight="1" x14ac:dyDescent="0.2">
      <c r="B19" s="243"/>
      <c r="C19" s="239"/>
      <c r="D19" s="230">
        <f>(C20-C18)*1000</f>
        <v>19.999999999999989</v>
      </c>
      <c r="E19" s="224"/>
      <c r="F19" s="232">
        <f>((E18+E20)/2)*D19</f>
        <v>130.99999999999994</v>
      </c>
      <c r="G19" s="224"/>
      <c r="H19" s="224">
        <f>((G18+G20)/2)*D19</f>
        <v>192.99999999999991</v>
      </c>
      <c r="I19" s="224"/>
      <c r="J19" s="232"/>
      <c r="K19" s="224"/>
      <c r="L19" s="223">
        <f t="shared" ref="L19:M19" si="0">3*2.8*0.5</f>
        <v>4.1999999999999993</v>
      </c>
      <c r="M19" s="223">
        <f t="shared" si="0"/>
        <v>4.1999999999999993</v>
      </c>
      <c r="N19" s="223">
        <f>0.8*12</f>
        <v>9.6000000000000014</v>
      </c>
    </row>
    <row r="20" spans="2:15" ht="9" customHeight="1" x14ac:dyDescent="0.2">
      <c r="B20" s="243">
        <v>7</v>
      </c>
      <c r="C20" s="239">
        <v>0.12</v>
      </c>
      <c r="D20" s="230"/>
      <c r="E20" s="224">
        <v>1.8</v>
      </c>
      <c r="F20" s="232"/>
      <c r="G20" s="224">
        <v>8.9</v>
      </c>
      <c r="H20" s="224"/>
      <c r="I20" s="224"/>
      <c r="J20" s="232"/>
      <c r="K20" s="224"/>
      <c r="L20" s="223"/>
      <c r="M20" s="223"/>
      <c r="N20" s="223"/>
    </row>
    <row r="21" spans="2:15" ht="9" customHeight="1" x14ac:dyDescent="0.2">
      <c r="B21" s="243"/>
      <c r="C21" s="239"/>
      <c r="D21" s="230">
        <f>(C22-C20)*1000</f>
        <v>20.000000000000018</v>
      </c>
      <c r="E21" s="224"/>
      <c r="F21" s="232">
        <f>((E20+E22)/2)*D21</f>
        <v>173.00000000000017</v>
      </c>
      <c r="G21" s="224"/>
      <c r="H21" s="224">
        <f>((G20+G22)/2)*D21</f>
        <v>89.000000000000085</v>
      </c>
      <c r="I21" s="224"/>
      <c r="J21" s="232"/>
      <c r="K21" s="224"/>
      <c r="L21" s="223">
        <f t="shared" ref="L21:M21" si="1">3*2.8*0.5</f>
        <v>4.1999999999999993</v>
      </c>
      <c r="M21" s="223">
        <f t="shared" si="1"/>
        <v>4.1999999999999993</v>
      </c>
      <c r="N21" s="223">
        <f>0.8*6.5</f>
        <v>5.2</v>
      </c>
    </row>
    <row r="22" spans="2:15" ht="9" customHeight="1" x14ac:dyDescent="0.2">
      <c r="B22" s="243">
        <v>8</v>
      </c>
      <c r="C22" s="239">
        <v>0.14000000000000001</v>
      </c>
      <c r="D22" s="230"/>
      <c r="E22" s="224">
        <v>15.5</v>
      </c>
      <c r="F22" s="232"/>
      <c r="G22" s="224">
        <v>0</v>
      </c>
      <c r="H22" s="224"/>
      <c r="I22" s="224"/>
      <c r="J22" s="232"/>
      <c r="K22" s="224"/>
      <c r="L22" s="223"/>
      <c r="M22" s="223"/>
      <c r="N22" s="223"/>
    </row>
    <row r="23" spans="2:15" ht="9" customHeight="1" x14ac:dyDescent="0.2">
      <c r="B23" s="243"/>
      <c r="C23" s="239"/>
      <c r="D23" s="230">
        <f>(C24-C22)*1000</f>
        <v>19.999999999999989</v>
      </c>
      <c r="E23" s="224"/>
      <c r="F23" s="253">
        <f>((E22+E24)/2)*D23</f>
        <v>307.99999999999983</v>
      </c>
      <c r="G23" s="224"/>
      <c r="H23" s="224">
        <f>((G22+G24)/2)*D23</f>
        <v>0</v>
      </c>
      <c r="I23" s="224"/>
      <c r="J23" s="232"/>
      <c r="K23" s="224"/>
      <c r="L23" s="223">
        <f t="shared" ref="L23:M23" si="2">3*2.8*0.5</f>
        <v>4.1999999999999993</v>
      </c>
      <c r="M23" s="223">
        <f t="shared" si="2"/>
        <v>4.1999999999999993</v>
      </c>
      <c r="N23" s="223">
        <f>0.8*9.5</f>
        <v>7.6000000000000005</v>
      </c>
    </row>
    <row r="24" spans="2:15" ht="9" customHeight="1" x14ac:dyDescent="0.2">
      <c r="B24" s="243">
        <v>9</v>
      </c>
      <c r="C24" s="239">
        <v>0.16</v>
      </c>
      <c r="D24" s="230"/>
      <c r="E24" s="224">
        <v>15.3</v>
      </c>
      <c r="F24" s="254"/>
      <c r="G24" s="224">
        <v>0</v>
      </c>
      <c r="H24" s="224"/>
      <c r="I24" s="224"/>
      <c r="J24" s="232"/>
      <c r="K24" s="224"/>
      <c r="L24" s="223"/>
      <c r="M24" s="223"/>
      <c r="N24" s="223"/>
      <c r="O24" s="14"/>
    </row>
    <row r="25" spans="2:15" ht="9" customHeight="1" x14ac:dyDescent="0.2">
      <c r="B25" s="243"/>
      <c r="C25" s="239"/>
      <c r="D25" s="230">
        <f>(C26-C24)*1000</f>
        <v>19.999999999999989</v>
      </c>
      <c r="E25" s="224"/>
      <c r="F25" s="253">
        <f>((E24+E26)/2)*D25</f>
        <v>310.99999999999983</v>
      </c>
      <c r="G25" s="224"/>
      <c r="H25" s="246">
        <f>((G24+G26)/2)*D25</f>
        <v>0</v>
      </c>
      <c r="I25" s="224"/>
      <c r="J25" s="232"/>
      <c r="K25" s="224"/>
      <c r="L25" s="223">
        <f t="shared" ref="L25:M25" si="3">3*2.8*0.5</f>
        <v>4.1999999999999993</v>
      </c>
      <c r="M25" s="223">
        <f t="shared" si="3"/>
        <v>4.1999999999999993</v>
      </c>
      <c r="N25" s="223">
        <f>0.8*6.5</f>
        <v>5.2</v>
      </c>
    </row>
    <row r="26" spans="2:15" ht="9" customHeight="1" x14ac:dyDescent="0.2">
      <c r="B26" s="243">
        <v>10</v>
      </c>
      <c r="C26" s="239">
        <v>0.18</v>
      </c>
      <c r="D26" s="230"/>
      <c r="E26" s="224">
        <v>15.8</v>
      </c>
      <c r="F26" s="254"/>
      <c r="G26" s="224">
        <v>0</v>
      </c>
      <c r="H26" s="247"/>
      <c r="I26" s="224"/>
      <c r="J26" s="232"/>
      <c r="K26" s="224"/>
      <c r="L26" s="223"/>
      <c r="M26" s="223"/>
      <c r="N26" s="223"/>
    </row>
    <row r="27" spans="2:15" ht="9" customHeight="1" x14ac:dyDescent="0.2">
      <c r="B27" s="243"/>
      <c r="C27" s="239"/>
      <c r="D27" s="230">
        <f>(C28-C26)*1000</f>
        <v>20.000000000000018</v>
      </c>
      <c r="E27" s="224"/>
      <c r="F27" s="253">
        <f>((E26+E28)/2)*D27</f>
        <v>190.00000000000017</v>
      </c>
      <c r="G27" s="224"/>
      <c r="H27" s="246">
        <f>((G26+G28)/2)*D27</f>
        <v>56.000000000000043</v>
      </c>
      <c r="I27" s="224"/>
      <c r="J27" s="232"/>
      <c r="K27" s="224"/>
      <c r="L27" s="223">
        <f t="shared" ref="L27:M27" si="4">3*2.8*0.5</f>
        <v>4.1999999999999993</v>
      </c>
      <c r="M27" s="223">
        <f t="shared" si="4"/>
        <v>4.1999999999999993</v>
      </c>
      <c r="N27" s="223">
        <f>0.8*6.5</f>
        <v>5.2</v>
      </c>
    </row>
    <row r="28" spans="2:15" ht="9" customHeight="1" x14ac:dyDescent="0.2">
      <c r="B28" s="243">
        <v>11</v>
      </c>
      <c r="C28" s="239">
        <v>0.2</v>
      </c>
      <c r="D28" s="230"/>
      <c r="E28" s="224">
        <v>3.2</v>
      </c>
      <c r="F28" s="254"/>
      <c r="G28" s="224">
        <v>5.6</v>
      </c>
      <c r="H28" s="247"/>
      <c r="I28" s="224"/>
      <c r="J28" s="232"/>
      <c r="K28" s="224"/>
      <c r="L28" s="223"/>
      <c r="M28" s="223"/>
      <c r="N28" s="223"/>
    </row>
    <row r="29" spans="2:15" ht="9" customHeight="1" x14ac:dyDescent="0.2">
      <c r="B29" s="243"/>
      <c r="C29" s="239"/>
      <c r="D29" s="230">
        <f>(C30-C28)*1000</f>
        <v>19.999999999999989</v>
      </c>
      <c r="E29" s="224"/>
      <c r="F29" s="253">
        <f>((E28+E30)/2)*D29</f>
        <v>82.999999999999957</v>
      </c>
      <c r="G29" s="224"/>
      <c r="H29" s="246">
        <f>((G28+G30)/2)*D29</f>
        <v>83.999999999999943</v>
      </c>
      <c r="I29" s="224"/>
      <c r="J29" s="232"/>
      <c r="K29" s="224"/>
      <c r="L29" s="223"/>
      <c r="M29" s="223"/>
      <c r="N29" s="223">
        <f>0.8*8.5</f>
        <v>6.8000000000000007</v>
      </c>
    </row>
    <row r="30" spans="2:15" ht="9" customHeight="1" x14ac:dyDescent="0.2">
      <c r="B30" s="243">
        <v>12</v>
      </c>
      <c r="C30" s="239">
        <v>0.22</v>
      </c>
      <c r="D30" s="230"/>
      <c r="E30" s="224">
        <f>4.72+0.38</f>
        <v>5.0999999999999996</v>
      </c>
      <c r="F30" s="254"/>
      <c r="G30" s="224">
        <v>2.8</v>
      </c>
      <c r="H30" s="247"/>
      <c r="I30" s="224"/>
      <c r="J30" s="232"/>
      <c r="K30" s="224"/>
      <c r="L30" s="223"/>
      <c r="M30" s="223"/>
      <c r="N30" s="223"/>
    </row>
    <row r="31" spans="2:15" ht="9" customHeight="1" x14ac:dyDescent="0.2">
      <c r="B31" s="243"/>
      <c r="C31" s="239"/>
      <c r="D31" s="230">
        <f>(C32-C30)*1000</f>
        <v>24.999999999999993</v>
      </c>
      <c r="E31" s="224"/>
      <c r="F31" s="253">
        <f>((E30+E32)/2)*D31</f>
        <v>164.99999999999994</v>
      </c>
      <c r="G31" s="224"/>
      <c r="H31" s="246">
        <f>((G30+G32)/2)*D31</f>
        <v>121.24999999999996</v>
      </c>
      <c r="I31" s="224"/>
      <c r="J31" s="232"/>
      <c r="K31" s="224"/>
      <c r="L31" s="223">
        <f>5*2.8*0.5</f>
        <v>7</v>
      </c>
      <c r="M31" s="223">
        <f>5*2.8*0.5</f>
        <v>7</v>
      </c>
      <c r="N31" s="223"/>
    </row>
    <row r="32" spans="2:15" ht="9" customHeight="1" x14ac:dyDescent="0.2">
      <c r="B32" s="243">
        <v>13</v>
      </c>
      <c r="C32" s="239">
        <v>0.245</v>
      </c>
      <c r="D32" s="230"/>
      <c r="E32" s="224">
        <v>8.1</v>
      </c>
      <c r="F32" s="254"/>
      <c r="G32" s="224">
        <v>6.9</v>
      </c>
      <c r="H32" s="247"/>
      <c r="I32" s="224"/>
      <c r="J32" s="232"/>
      <c r="K32" s="224"/>
      <c r="L32" s="223"/>
      <c r="M32" s="223"/>
      <c r="N32" s="223"/>
    </row>
    <row r="33" spans="2:14" ht="9" customHeight="1" x14ac:dyDescent="0.2">
      <c r="B33" s="243"/>
      <c r="C33" s="239"/>
      <c r="D33" s="230">
        <f>(C34-C32)*1000</f>
        <v>15.000000000000014</v>
      </c>
      <c r="E33" s="224"/>
      <c r="F33" s="253">
        <f>((E32+E34)/2)*D33</f>
        <v>136.50000000000011</v>
      </c>
      <c r="G33" s="224"/>
      <c r="H33" s="246">
        <f>((G32+G34)/2)*D33</f>
        <v>99.750000000000099</v>
      </c>
      <c r="I33" s="224"/>
      <c r="J33" s="232"/>
      <c r="K33" s="224"/>
      <c r="L33" s="223"/>
      <c r="M33" s="223"/>
      <c r="N33" s="223">
        <f>0.8*25</f>
        <v>20</v>
      </c>
    </row>
    <row r="34" spans="2:14" ht="9" customHeight="1" x14ac:dyDescent="0.2">
      <c r="B34" s="243">
        <v>14</v>
      </c>
      <c r="C34" s="239">
        <v>0.26</v>
      </c>
      <c r="D34" s="230"/>
      <c r="E34" s="224">
        <f>9.42+0.68</f>
        <v>10.1</v>
      </c>
      <c r="F34" s="254"/>
      <c r="G34" s="224">
        <v>6.4</v>
      </c>
      <c r="H34" s="247"/>
      <c r="I34" s="224"/>
      <c r="J34" s="232"/>
      <c r="K34" s="224"/>
      <c r="L34" s="223"/>
      <c r="M34" s="223"/>
      <c r="N34" s="223"/>
    </row>
    <row r="35" spans="2:14" ht="9" customHeight="1" x14ac:dyDescent="0.2">
      <c r="B35" s="243"/>
      <c r="C35" s="239"/>
      <c r="D35" s="230">
        <f>(C36-C34)*1000</f>
        <v>20.000000000000018</v>
      </c>
      <c r="E35" s="224"/>
      <c r="F35" s="253">
        <f>((E34+E36)/2)*D35</f>
        <v>166.00000000000017</v>
      </c>
      <c r="G35" s="224"/>
      <c r="H35" s="246">
        <f>((G34+G36)/2)*D35</f>
        <v>107.00000000000009</v>
      </c>
      <c r="I35" s="224"/>
      <c r="J35" s="232"/>
      <c r="K35" s="224"/>
      <c r="L35" s="223"/>
      <c r="M35" s="223"/>
      <c r="N35" s="223"/>
    </row>
    <row r="36" spans="2:14" ht="9" customHeight="1" x14ac:dyDescent="0.2">
      <c r="B36" s="243">
        <v>15</v>
      </c>
      <c r="C36" s="239">
        <v>0.28000000000000003</v>
      </c>
      <c r="D36" s="230"/>
      <c r="E36" s="224">
        <f>5.55+0.95</f>
        <v>6.5</v>
      </c>
      <c r="F36" s="254"/>
      <c r="G36" s="224">
        <v>4.3</v>
      </c>
      <c r="H36" s="247"/>
      <c r="I36" s="224"/>
      <c r="J36" s="232"/>
      <c r="K36" s="224"/>
      <c r="L36" s="223"/>
      <c r="M36" s="223"/>
      <c r="N36" s="223"/>
    </row>
    <row r="37" spans="2:14" ht="9" customHeight="1" x14ac:dyDescent="0.2">
      <c r="B37" s="243"/>
      <c r="C37" s="239"/>
      <c r="D37" s="230">
        <f>(C38-C36)*1000</f>
        <v>14.999999999999957</v>
      </c>
      <c r="E37" s="224"/>
      <c r="F37" s="253">
        <f>((E36+E38)/2)*D37</f>
        <v>61.499999999999822</v>
      </c>
      <c r="G37" s="224"/>
      <c r="H37" s="246">
        <f>((G36+G38)/2)*D37</f>
        <v>57.749999999999829</v>
      </c>
      <c r="I37" s="224"/>
      <c r="J37" s="232"/>
      <c r="K37" s="224"/>
      <c r="L37" s="223">
        <f t="shared" ref="L37:M37" si="5">3*2.8*0.5</f>
        <v>4.1999999999999993</v>
      </c>
      <c r="M37" s="223">
        <f t="shared" si="5"/>
        <v>4.1999999999999993</v>
      </c>
      <c r="N37" s="223">
        <f>0.8*6.5</f>
        <v>5.2</v>
      </c>
    </row>
    <row r="38" spans="2:14" ht="9" customHeight="1" x14ac:dyDescent="0.2">
      <c r="B38" s="243">
        <v>16</v>
      </c>
      <c r="C38" s="239">
        <v>0.29499999999999998</v>
      </c>
      <c r="D38" s="230"/>
      <c r="E38" s="224">
        <f>0.35+1.35</f>
        <v>1.7000000000000002</v>
      </c>
      <c r="F38" s="254"/>
      <c r="G38" s="224">
        <v>3.4</v>
      </c>
      <c r="H38" s="247"/>
      <c r="I38" s="224"/>
      <c r="J38" s="232"/>
      <c r="K38" s="224"/>
      <c r="L38" s="223"/>
      <c r="M38" s="223"/>
      <c r="N38" s="223"/>
    </row>
    <row r="39" spans="2:14" ht="9" customHeight="1" x14ac:dyDescent="0.2">
      <c r="B39" s="243"/>
      <c r="C39" s="239"/>
      <c r="D39" s="230">
        <f>(C40-C38)*1000</f>
        <v>30.000000000000028</v>
      </c>
      <c r="E39" s="224"/>
      <c r="F39" s="253">
        <f>((E38+E40)/2)*D39</f>
        <v>76.500000000000071</v>
      </c>
      <c r="G39" s="224"/>
      <c r="H39" s="246">
        <f>((G38+G40)/2)*D39</f>
        <v>141.00000000000014</v>
      </c>
      <c r="I39" s="224"/>
      <c r="J39" s="232"/>
      <c r="K39" s="224"/>
      <c r="L39" s="223">
        <f t="shared" ref="L39:M39" si="6">3*2.8*0.5</f>
        <v>4.1999999999999993</v>
      </c>
      <c r="M39" s="223">
        <f t="shared" si="6"/>
        <v>4.1999999999999993</v>
      </c>
      <c r="N39" s="223">
        <f>0.8*7.5</f>
        <v>6</v>
      </c>
    </row>
    <row r="40" spans="2:14" ht="9" customHeight="1" x14ac:dyDescent="0.2">
      <c r="B40" s="243">
        <v>17</v>
      </c>
      <c r="C40" s="239">
        <v>0.32500000000000001</v>
      </c>
      <c r="D40" s="230"/>
      <c r="E40" s="224">
        <v>3.4</v>
      </c>
      <c r="F40" s="254"/>
      <c r="G40" s="224">
        <v>6</v>
      </c>
      <c r="H40" s="247"/>
      <c r="I40" s="224"/>
      <c r="J40" s="232"/>
      <c r="K40" s="224"/>
      <c r="L40" s="223"/>
      <c r="M40" s="223"/>
      <c r="N40" s="223"/>
    </row>
    <row r="41" spans="2:14" ht="9" customHeight="1" x14ac:dyDescent="0.2">
      <c r="B41" s="243"/>
      <c r="C41" s="239"/>
      <c r="D41" s="230">
        <f>(C42-C40)*1000</f>
        <v>18.000000000000014</v>
      </c>
      <c r="E41" s="224"/>
      <c r="F41" s="238">
        <f>((E40+12.2)/2)*D41+(11.8*13)</f>
        <v>293.80000000000013</v>
      </c>
      <c r="G41" s="224"/>
      <c r="H41" s="246">
        <f>((G40+G42)/2)*D41</f>
        <v>54.000000000000043</v>
      </c>
      <c r="I41" s="224"/>
      <c r="J41" s="232"/>
      <c r="K41" s="224"/>
      <c r="L41" s="223">
        <f t="shared" ref="L41:M41" si="7">3*2.8*0.5</f>
        <v>4.1999999999999993</v>
      </c>
      <c r="M41" s="223">
        <f t="shared" si="7"/>
        <v>4.1999999999999993</v>
      </c>
      <c r="N41" s="223"/>
    </row>
    <row r="42" spans="2:14" ht="9" customHeight="1" x14ac:dyDescent="0.2">
      <c r="B42" s="243">
        <v>18</v>
      </c>
      <c r="C42" s="239">
        <v>0.34300000000000003</v>
      </c>
      <c r="D42" s="230"/>
      <c r="E42" s="224">
        <v>21.8</v>
      </c>
      <c r="F42" s="238"/>
      <c r="G42" s="224">
        <v>0</v>
      </c>
      <c r="H42" s="247"/>
      <c r="I42" s="224"/>
      <c r="J42" s="232"/>
      <c r="K42" s="224"/>
      <c r="L42" s="223"/>
      <c r="M42" s="223"/>
      <c r="N42" s="223"/>
    </row>
    <row r="43" spans="2:14" ht="9" customHeight="1" x14ac:dyDescent="0.2">
      <c r="B43" s="243"/>
      <c r="C43" s="239"/>
      <c r="D43" s="230">
        <f>(C44-C42)*1000</f>
        <v>16.999999999999961</v>
      </c>
      <c r="E43" s="224"/>
      <c r="F43" s="238">
        <f>((12.2+E44)/2)*D43+(11.8*7)</f>
        <v>312.94999999999948</v>
      </c>
      <c r="G43" s="224"/>
      <c r="H43" s="246">
        <f>((G42+G44)/2)*D43</f>
        <v>41.649999999999906</v>
      </c>
      <c r="I43" s="224"/>
      <c r="J43" s="232"/>
      <c r="K43" s="224"/>
      <c r="L43" s="223">
        <f t="shared" ref="L43:M43" si="8">3*2.8*0.5</f>
        <v>4.1999999999999993</v>
      </c>
      <c r="M43" s="223">
        <f t="shared" si="8"/>
        <v>4.1999999999999993</v>
      </c>
      <c r="N43" s="223">
        <f>0.8*7.5</f>
        <v>6</v>
      </c>
    </row>
    <row r="44" spans="2:14" ht="9" customHeight="1" x14ac:dyDescent="0.2">
      <c r="B44" s="243">
        <v>19</v>
      </c>
      <c r="C44" s="239">
        <v>0.36</v>
      </c>
      <c r="D44" s="230"/>
      <c r="E44" s="224">
        <f>14.35+0.55</f>
        <v>14.9</v>
      </c>
      <c r="F44" s="238"/>
      <c r="G44" s="224">
        <v>4.9000000000000004</v>
      </c>
      <c r="H44" s="247"/>
      <c r="I44" s="224"/>
      <c r="J44" s="232"/>
      <c r="K44" s="224"/>
      <c r="L44" s="223"/>
      <c r="M44" s="223"/>
      <c r="N44" s="223"/>
    </row>
    <row r="45" spans="2:14" ht="9" customHeight="1" x14ac:dyDescent="0.2">
      <c r="B45" s="243"/>
      <c r="C45" s="239"/>
      <c r="D45" s="230">
        <f>(C46-C44)*1000</f>
        <v>20.000000000000018</v>
      </c>
      <c r="E45" s="224"/>
      <c r="F45" s="232">
        <f>((E44+E46)/2)*D45</f>
        <v>310.00000000000028</v>
      </c>
      <c r="G45" s="224"/>
      <c r="H45" s="246">
        <f>((G44+G46)/2)*D45</f>
        <v>92.000000000000071</v>
      </c>
      <c r="I45" s="224"/>
      <c r="J45" s="232"/>
      <c r="K45" s="224"/>
      <c r="L45" s="223">
        <f t="shared" ref="L45:M45" si="9">3*2.8*0.5</f>
        <v>4.1999999999999993</v>
      </c>
      <c r="M45" s="223">
        <f t="shared" si="9"/>
        <v>4.1999999999999993</v>
      </c>
      <c r="N45" s="223">
        <f>0.8*5</f>
        <v>4</v>
      </c>
    </row>
    <row r="46" spans="2:14" ht="9" customHeight="1" x14ac:dyDescent="0.2">
      <c r="B46" s="243">
        <v>20</v>
      </c>
      <c r="C46" s="239">
        <v>0.38</v>
      </c>
      <c r="D46" s="230"/>
      <c r="E46" s="224">
        <f>15.68+0.42</f>
        <v>16.100000000000001</v>
      </c>
      <c r="F46" s="232"/>
      <c r="G46" s="224">
        <v>4.3</v>
      </c>
      <c r="H46" s="247"/>
      <c r="I46" s="224"/>
      <c r="J46" s="232"/>
      <c r="K46" s="224"/>
      <c r="L46" s="223"/>
      <c r="M46" s="223"/>
      <c r="N46" s="223"/>
    </row>
    <row r="47" spans="2:14" ht="9" customHeight="1" x14ac:dyDescent="0.2">
      <c r="B47" s="243"/>
      <c r="C47" s="239"/>
      <c r="D47" s="230">
        <f>(C48-C46)*1000</f>
        <v>20.000000000000018</v>
      </c>
      <c r="E47" s="224"/>
      <c r="F47" s="238">
        <f>((E46+E48)/2)*11</f>
        <v>495</v>
      </c>
      <c r="G47" s="224"/>
      <c r="H47" s="246">
        <f>((G46+G48)/2)*D47</f>
        <v>70.000000000000057</v>
      </c>
      <c r="I47" s="224"/>
      <c r="J47" s="232"/>
      <c r="K47" s="224"/>
      <c r="L47" s="223"/>
      <c r="M47" s="223"/>
      <c r="N47" s="223"/>
    </row>
    <row r="48" spans="2:14" ht="9" customHeight="1" x14ac:dyDescent="0.2">
      <c r="B48" s="243">
        <v>21</v>
      </c>
      <c r="C48" s="239">
        <v>0.4</v>
      </c>
      <c r="D48" s="230"/>
      <c r="E48" s="224">
        <v>73.900000000000006</v>
      </c>
      <c r="F48" s="238"/>
      <c r="G48" s="224">
        <v>2.7</v>
      </c>
      <c r="H48" s="247"/>
      <c r="I48" s="224"/>
      <c r="J48" s="232"/>
      <c r="K48" s="224"/>
      <c r="L48" s="223"/>
      <c r="M48" s="223"/>
      <c r="N48" s="223"/>
    </row>
    <row r="49" spans="2:15" ht="9" customHeight="1" x14ac:dyDescent="0.2">
      <c r="B49" s="243"/>
      <c r="C49" s="239"/>
      <c r="D49" s="230">
        <f>(C50-C48)*1000</f>
        <v>19.999999999999961</v>
      </c>
      <c r="E49" s="224"/>
      <c r="F49" s="238">
        <f>((E48+E50)/2)*15</f>
        <v>687.00000000000011</v>
      </c>
      <c r="G49" s="224"/>
      <c r="H49" s="246">
        <f>((G48+G50)/2)*D49</f>
        <v>69.999999999999858</v>
      </c>
      <c r="I49" s="224"/>
      <c r="J49" s="232"/>
      <c r="K49" s="224"/>
      <c r="L49" s="223"/>
      <c r="M49" s="223"/>
      <c r="N49" s="223"/>
    </row>
    <row r="50" spans="2:15" ht="9" customHeight="1" x14ac:dyDescent="0.2">
      <c r="B50" s="243">
        <v>22</v>
      </c>
      <c r="C50" s="239">
        <v>0.42</v>
      </c>
      <c r="D50" s="230"/>
      <c r="E50" s="224">
        <f>17.05+0.65</f>
        <v>17.7</v>
      </c>
      <c r="F50" s="238"/>
      <c r="G50" s="224">
        <v>4.3</v>
      </c>
      <c r="H50" s="247"/>
      <c r="I50" s="224"/>
      <c r="J50" s="232"/>
      <c r="K50" s="224"/>
      <c r="L50" s="223"/>
      <c r="M50" s="223"/>
      <c r="N50" s="223"/>
      <c r="O50" s="14"/>
    </row>
    <row r="51" spans="2:15" ht="9" customHeight="1" x14ac:dyDescent="0.2">
      <c r="B51" s="243"/>
      <c r="C51" s="239"/>
      <c r="D51" s="230">
        <f>(C52-C50)*1000</f>
        <v>20.000000000000018</v>
      </c>
      <c r="E51" s="224"/>
      <c r="F51" s="232">
        <f>((E50+E52)/2)*D51</f>
        <v>275.00000000000023</v>
      </c>
      <c r="G51" s="224"/>
      <c r="H51" s="246">
        <f>((G50+G52)/2)*D51</f>
        <v>70.000000000000057</v>
      </c>
      <c r="I51" s="224"/>
      <c r="J51" s="232"/>
      <c r="K51" s="224"/>
      <c r="L51" s="223"/>
      <c r="M51" s="223"/>
      <c r="N51" s="223"/>
    </row>
    <row r="52" spans="2:15" ht="9" customHeight="1" x14ac:dyDescent="0.2">
      <c r="B52" s="243">
        <v>23</v>
      </c>
      <c r="C52" s="239">
        <v>0.44</v>
      </c>
      <c r="D52" s="230"/>
      <c r="E52" s="224">
        <f>1.07+8.73</f>
        <v>9.8000000000000007</v>
      </c>
      <c r="F52" s="232"/>
      <c r="G52" s="224">
        <v>2.7</v>
      </c>
      <c r="H52" s="247"/>
      <c r="I52" s="224"/>
      <c r="J52" s="232"/>
      <c r="K52" s="224"/>
      <c r="L52" s="223"/>
      <c r="M52" s="223"/>
      <c r="N52" s="223"/>
    </row>
    <row r="53" spans="2:15" ht="9" customHeight="1" x14ac:dyDescent="0.2">
      <c r="B53" s="243"/>
      <c r="C53" s="239"/>
      <c r="D53" s="230">
        <f>(C54-C52)*1000</f>
        <v>20.000000000000018</v>
      </c>
      <c r="E53" s="224"/>
      <c r="F53" s="232">
        <f>((E52+E54)/2)*D53</f>
        <v>219.00000000000023</v>
      </c>
      <c r="G53" s="224"/>
      <c r="H53" s="246">
        <f>((G52+G54)/2)*D53</f>
        <v>70.000000000000057</v>
      </c>
      <c r="I53" s="224"/>
      <c r="J53" s="232"/>
      <c r="K53" s="224"/>
      <c r="L53" s="223">
        <f t="shared" ref="L53:M53" si="10">3*2.8*0.5</f>
        <v>4.1999999999999993</v>
      </c>
      <c r="M53" s="223">
        <f t="shared" si="10"/>
        <v>4.1999999999999993</v>
      </c>
      <c r="N53" s="223">
        <f>0.8*5</f>
        <v>4</v>
      </c>
    </row>
    <row r="54" spans="2:15" ht="9" customHeight="1" x14ac:dyDescent="0.2">
      <c r="B54" s="243">
        <v>24</v>
      </c>
      <c r="C54" s="239">
        <v>0.46</v>
      </c>
      <c r="D54" s="230"/>
      <c r="E54" s="224">
        <f>11.64+0.46</f>
        <v>12.100000000000001</v>
      </c>
      <c r="F54" s="232"/>
      <c r="G54" s="224">
        <v>4.3</v>
      </c>
      <c r="H54" s="247"/>
      <c r="I54" s="224"/>
      <c r="J54" s="232"/>
      <c r="K54" s="224"/>
      <c r="L54" s="223"/>
      <c r="M54" s="223"/>
      <c r="N54" s="223"/>
    </row>
    <row r="55" spans="2:15" ht="9" customHeight="1" x14ac:dyDescent="0.2">
      <c r="B55" s="243"/>
      <c r="C55" s="239"/>
      <c r="D55" s="230">
        <f>(C56-C54)*1000</f>
        <v>21.999999999999964</v>
      </c>
      <c r="E55" s="224"/>
      <c r="F55" s="232">
        <f>((E54+E56)/2)*D55</f>
        <v>201.29999999999967</v>
      </c>
      <c r="G55" s="224"/>
      <c r="H55" s="246">
        <f>((G54+G56)/2)*D55</f>
        <v>91.299999999999855</v>
      </c>
      <c r="I55" s="224"/>
      <c r="J55" s="232"/>
      <c r="K55" s="224"/>
      <c r="L55" s="223">
        <f t="shared" ref="L55:M55" si="11">3*2.8*0.5</f>
        <v>4.1999999999999993</v>
      </c>
      <c r="M55" s="223">
        <f t="shared" si="11"/>
        <v>4.1999999999999993</v>
      </c>
      <c r="N55" s="223">
        <f>0.8*4</f>
        <v>3.2</v>
      </c>
    </row>
    <row r="56" spans="2:15" ht="9" customHeight="1" x14ac:dyDescent="0.2">
      <c r="B56" s="243">
        <v>25</v>
      </c>
      <c r="C56" s="239">
        <v>0.48199999999999998</v>
      </c>
      <c r="D56" s="230"/>
      <c r="E56" s="224">
        <v>6.2</v>
      </c>
      <c r="F56" s="232"/>
      <c r="G56" s="224">
        <v>4</v>
      </c>
      <c r="H56" s="247"/>
      <c r="I56" s="224"/>
      <c r="J56" s="232"/>
      <c r="K56" s="224"/>
      <c r="L56" s="223"/>
      <c r="M56" s="223"/>
      <c r="N56" s="223"/>
    </row>
    <row r="57" spans="2:15" ht="9" customHeight="1" x14ac:dyDescent="0.2">
      <c r="B57" s="243"/>
      <c r="C57" s="239"/>
      <c r="D57" s="230">
        <f>(C58-C56)*1000</f>
        <v>18.000000000000014</v>
      </c>
      <c r="E57" s="224"/>
      <c r="F57" s="238">
        <f>((E56+4.4)/2)*D57+(6.8*1.5)</f>
        <v>105.60000000000009</v>
      </c>
      <c r="G57" s="224"/>
      <c r="H57" s="246">
        <f>((G56+G58)/2)*D57</f>
        <v>46.80000000000004</v>
      </c>
      <c r="I57" s="224"/>
      <c r="J57" s="232"/>
      <c r="K57" s="224"/>
      <c r="L57" s="223">
        <f t="shared" ref="L57:M57" si="12">3*2.8*0.5</f>
        <v>4.1999999999999993</v>
      </c>
      <c r="M57" s="223">
        <f t="shared" si="12"/>
        <v>4.1999999999999993</v>
      </c>
      <c r="N57" s="223">
        <f>0.8*8</f>
        <v>6.4</v>
      </c>
    </row>
    <row r="58" spans="2:15" ht="9" customHeight="1" x14ac:dyDescent="0.2">
      <c r="B58" s="243">
        <v>26</v>
      </c>
      <c r="C58" s="239">
        <v>0.5</v>
      </c>
      <c r="D58" s="230"/>
      <c r="E58" s="224">
        <f>1.39+2.11</f>
        <v>3.5</v>
      </c>
      <c r="F58" s="238"/>
      <c r="G58" s="224">
        <v>1.2</v>
      </c>
      <c r="H58" s="247"/>
      <c r="I58" s="224"/>
      <c r="J58" s="232"/>
      <c r="K58" s="224"/>
      <c r="L58" s="223"/>
      <c r="M58" s="223"/>
      <c r="N58" s="223"/>
    </row>
    <row r="59" spans="2:15" ht="9" customHeight="1" x14ac:dyDescent="0.2">
      <c r="B59" s="243"/>
      <c r="C59" s="239"/>
      <c r="D59" s="230">
        <f>(C60-C58)*1000</f>
        <v>20.000000000000018</v>
      </c>
      <c r="E59" s="224"/>
      <c r="F59" s="238">
        <f>((4.4+E60)/2)*D59+(17*20)</f>
        <v>480.00000000000011</v>
      </c>
      <c r="G59" s="224"/>
      <c r="H59" s="246">
        <f>((G58+G60)/2)*D59</f>
        <v>60.000000000000057</v>
      </c>
      <c r="I59" s="224"/>
      <c r="J59" s="232"/>
      <c r="K59" s="224"/>
      <c r="L59" s="223"/>
      <c r="M59" s="223"/>
      <c r="N59" s="223"/>
    </row>
    <row r="60" spans="2:15" ht="9" customHeight="1" x14ac:dyDescent="0.2">
      <c r="B60" s="243">
        <v>27</v>
      </c>
      <c r="C60" s="239">
        <v>0.52</v>
      </c>
      <c r="D60" s="230"/>
      <c r="E60" s="224">
        <v>9.6</v>
      </c>
      <c r="F60" s="238"/>
      <c r="G60" s="224">
        <v>4.8</v>
      </c>
      <c r="H60" s="247"/>
      <c r="I60" s="224"/>
      <c r="J60" s="232"/>
      <c r="K60" s="224"/>
      <c r="L60" s="223"/>
      <c r="M60" s="223"/>
      <c r="N60" s="223"/>
    </row>
    <row r="61" spans="2:15" ht="9" customHeight="1" x14ac:dyDescent="0.2">
      <c r="B61" s="243"/>
      <c r="C61" s="239"/>
      <c r="D61" s="230">
        <f>(C62-C60)*1000</f>
        <v>20.000000000000018</v>
      </c>
      <c r="E61" s="224"/>
      <c r="F61" s="232">
        <f>((E60+E62)/2)*D61</f>
        <v>173.00000000000011</v>
      </c>
      <c r="G61" s="224"/>
      <c r="H61" s="224">
        <f>((G60+G62)/2)*D61</f>
        <v>60.000000000000057</v>
      </c>
      <c r="I61" s="224"/>
      <c r="J61" s="232"/>
      <c r="K61" s="224"/>
      <c r="L61" s="223"/>
      <c r="M61" s="223"/>
      <c r="N61" s="223"/>
    </row>
    <row r="62" spans="2:15" ht="9" customHeight="1" x14ac:dyDescent="0.2">
      <c r="B62" s="243">
        <v>28</v>
      </c>
      <c r="C62" s="239">
        <v>0.54</v>
      </c>
      <c r="D62" s="230"/>
      <c r="E62" s="224">
        <f>4.6+3.1</f>
        <v>7.6999999999999993</v>
      </c>
      <c r="F62" s="232"/>
      <c r="G62" s="224">
        <v>1.2</v>
      </c>
      <c r="H62" s="224"/>
      <c r="I62" s="224"/>
      <c r="J62" s="232"/>
      <c r="K62" s="224"/>
      <c r="L62" s="223"/>
      <c r="M62" s="223"/>
      <c r="N62" s="223"/>
    </row>
    <row r="63" spans="2:15" ht="9" customHeight="1" thickBot="1" x14ac:dyDescent="0.25">
      <c r="B63" s="244"/>
      <c r="C63" s="245"/>
      <c r="D63" s="148"/>
      <c r="E63" s="231"/>
      <c r="F63" s="150"/>
      <c r="G63" s="231"/>
      <c r="H63" s="149"/>
      <c r="I63" s="231"/>
      <c r="J63" s="150"/>
      <c r="K63" s="231"/>
      <c r="L63" s="76"/>
      <c r="M63" s="76"/>
      <c r="N63" s="76"/>
    </row>
    <row r="64" spans="2:15" ht="27.75" customHeight="1" thickBot="1" x14ac:dyDescent="0.25">
      <c r="B64" s="17"/>
      <c r="C64" s="30"/>
      <c r="D64" s="73" t="s">
        <v>14</v>
      </c>
      <c r="F64" s="74">
        <f>SUM(F8:F62)</f>
        <v>6199.15</v>
      </c>
      <c r="G64" s="20"/>
      <c r="H64" s="74">
        <f>SUM(H8:H62)</f>
        <v>1970.4999999999998</v>
      </c>
      <c r="I64" s="20"/>
      <c r="J64" s="74">
        <f>SUM(J8:J62)</f>
        <v>34.799999999999997</v>
      </c>
      <c r="K64" s="20"/>
      <c r="L64" s="157">
        <f>SUM(L8:L62)</f>
        <v>65.800000000000011</v>
      </c>
      <c r="M64" s="157">
        <f>SUM(M9:M62)</f>
        <v>65.800000000000011</v>
      </c>
      <c r="N64" s="157">
        <f>SUM(N9:N62)</f>
        <v>94.40000000000002</v>
      </c>
    </row>
    <row r="65" spans="2:22" ht="9" customHeight="1" x14ac:dyDescent="0.2">
      <c r="B65" s="17"/>
      <c r="C65" s="30"/>
      <c r="D65" s="18"/>
      <c r="E65" s="31"/>
      <c r="F65" s="32"/>
      <c r="G65" s="31"/>
      <c r="H65" s="31"/>
      <c r="I65" s="31"/>
      <c r="J65" s="32"/>
    </row>
    <row r="66" spans="2:22" x14ac:dyDescent="0.2">
      <c r="B66" s="1"/>
      <c r="C66" s="21" t="s">
        <v>13</v>
      </c>
      <c r="D66" s="22"/>
      <c r="E66" s="23"/>
      <c r="F66" s="23"/>
      <c r="G66" s="23"/>
    </row>
    <row r="67" spans="2:22" x14ac:dyDescent="0.2">
      <c r="B67" s="1"/>
      <c r="C67" s="8" t="s">
        <v>63</v>
      </c>
      <c r="D67" s="1"/>
    </row>
    <row r="68" spans="2:22" ht="13.5" thickBot="1" x14ac:dyDescent="0.25">
      <c r="B68" s="1"/>
      <c r="C68" s="1"/>
      <c r="D68" s="1"/>
    </row>
    <row r="69" spans="2:22" x14ac:dyDescent="0.2">
      <c r="B69" s="213" t="s">
        <v>23</v>
      </c>
      <c r="C69" s="214"/>
      <c r="D69" s="214"/>
      <c r="E69" s="214"/>
      <c r="F69" s="214"/>
      <c r="G69" s="214"/>
      <c r="H69" s="214"/>
      <c r="I69" s="214"/>
      <c r="J69" s="215"/>
    </row>
    <row r="70" spans="2:22" x14ac:dyDescent="0.2">
      <c r="B70" s="216"/>
      <c r="C70" s="217"/>
      <c r="D70" s="217"/>
      <c r="E70" s="217"/>
      <c r="F70" s="217"/>
      <c r="G70" s="217"/>
      <c r="H70" s="217"/>
      <c r="I70" s="217"/>
      <c r="J70" s="218"/>
    </row>
    <row r="71" spans="2:22" x14ac:dyDescent="0.2">
      <c r="B71" s="103" t="s">
        <v>25</v>
      </c>
      <c r="C71" s="193"/>
      <c r="D71" s="194"/>
      <c r="E71" s="194"/>
      <c r="F71" s="194"/>
      <c r="G71" s="195"/>
      <c r="H71" s="195"/>
      <c r="I71" s="195"/>
      <c r="J71" s="196"/>
    </row>
    <row r="72" spans="2:22" x14ac:dyDescent="0.2">
      <c r="B72" s="116" t="s">
        <v>26</v>
      </c>
      <c r="C72" s="8"/>
      <c r="D72" s="34"/>
      <c r="E72" s="8"/>
      <c r="F72" s="36" t="s">
        <v>28</v>
      </c>
      <c r="G72" s="8"/>
      <c r="H72" s="8"/>
      <c r="I72" s="36">
        <f>60.5*6.5</f>
        <v>393.25</v>
      </c>
      <c r="J72" s="138" t="s">
        <v>15</v>
      </c>
    </row>
    <row r="73" spans="2:22" x14ac:dyDescent="0.2">
      <c r="B73" s="116" t="s">
        <v>27</v>
      </c>
      <c r="C73" s="8"/>
      <c r="D73" s="34"/>
      <c r="E73" s="8"/>
      <c r="F73" s="36" t="s">
        <v>29</v>
      </c>
      <c r="G73" s="8"/>
      <c r="H73" s="8"/>
      <c r="I73" s="36">
        <f>60.5*0.15</f>
        <v>9.0749999999999993</v>
      </c>
      <c r="J73" s="138" t="s">
        <v>15</v>
      </c>
    </row>
    <row r="74" spans="2:22" x14ac:dyDescent="0.2">
      <c r="B74" s="116" t="s">
        <v>30</v>
      </c>
      <c r="C74" s="8"/>
      <c r="D74" s="34"/>
      <c r="E74" s="8"/>
      <c r="F74" s="36" t="s">
        <v>31</v>
      </c>
      <c r="G74" s="8"/>
      <c r="H74" s="8"/>
      <c r="I74" s="36">
        <f>60.5*5</f>
        <v>302.5</v>
      </c>
      <c r="J74" s="138" t="s">
        <v>15</v>
      </c>
    </row>
    <row r="75" spans="2:22" x14ac:dyDescent="0.2">
      <c r="B75" s="116" t="s">
        <v>33</v>
      </c>
      <c r="C75" s="36"/>
      <c r="D75" s="34"/>
      <c r="E75" s="8"/>
      <c r="F75" s="8"/>
      <c r="G75" s="8"/>
      <c r="H75" s="8"/>
      <c r="I75" s="36">
        <v>11</v>
      </c>
      <c r="J75" s="138" t="s">
        <v>10</v>
      </c>
    </row>
    <row r="76" spans="2:22" ht="13.5" thickBot="1" x14ac:dyDescent="0.25">
      <c r="B76" s="139" t="s">
        <v>32</v>
      </c>
      <c r="C76" s="121"/>
      <c r="D76" s="111"/>
      <c r="E76" s="142"/>
      <c r="F76" s="142"/>
      <c r="G76" s="142"/>
      <c r="H76" s="142"/>
      <c r="I76" s="121">
        <v>76</v>
      </c>
      <c r="J76" s="140" t="s">
        <v>10</v>
      </c>
      <c r="M76" s="14"/>
      <c r="N76" s="14"/>
      <c r="P76" s="86"/>
      <c r="Q76" s="14"/>
    </row>
    <row r="77" spans="2:22" ht="13.5" thickBot="1" x14ac:dyDescent="0.25">
      <c r="B77" s="14"/>
      <c r="C77" s="14"/>
      <c r="D77" s="14"/>
      <c r="E77" s="14"/>
      <c r="F77" s="14"/>
      <c r="G77" s="14"/>
      <c r="H77" s="14"/>
      <c r="I77" s="14"/>
      <c r="J77" s="14"/>
      <c r="M77" s="14"/>
      <c r="N77" s="14"/>
      <c r="Q77" s="87"/>
      <c r="R77" s="14"/>
    </row>
    <row r="78" spans="2:22" x14ac:dyDescent="0.2">
      <c r="B78" s="213" t="s">
        <v>195</v>
      </c>
      <c r="C78" s="225"/>
      <c r="D78" s="225"/>
      <c r="E78" s="214"/>
      <c r="F78" s="214"/>
      <c r="G78" s="214"/>
      <c r="H78" s="214"/>
      <c r="I78" s="214"/>
      <c r="J78" s="215"/>
      <c r="M78" s="14"/>
      <c r="N78" s="14"/>
      <c r="O78" s="86"/>
      <c r="P78" s="14"/>
      <c r="R78" s="14"/>
    </row>
    <row r="79" spans="2:22" x14ac:dyDescent="0.2">
      <c r="B79" s="226"/>
      <c r="C79" s="227"/>
      <c r="D79" s="227"/>
      <c r="E79" s="221"/>
      <c r="F79" s="221"/>
      <c r="G79" s="221"/>
      <c r="H79" s="221"/>
      <c r="I79" s="221"/>
      <c r="J79" s="222"/>
      <c r="L79" s="14"/>
      <c r="O79" s="14"/>
      <c r="P79" s="14"/>
    </row>
    <row r="80" spans="2:22" ht="13.5" thickBot="1" x14ac:dyDescent="0.25">
      <c r="B80" s="228" t="s">
        <v>41</v>
      </c>
      <c r="C80" s="229"/>
      <c r="D80" s="229"/>
      <c r="E80" s="197"/>
      <c r="F80" s="197"/>
      <c r="G80" s="197"/>
      <c r="H80" s="197"/>
      <c r="I80" s="136">
        <f>I89</f>
        <v>14300</v>
      </c>
      <c r="J80" s="125" t="s">
        <v>34</v>
      </c>
      <c r="M80" s="14"/>
      <c r="N80" s="14"/>
      <c r="V80" s="14"/>
    </row>
    <row r="81" spans="2:23" ht="13.5" thickBot="1" x14ac:dyDescent="0.25">
      <c r="B81" s="44"/>
      <c r="C81" s="44"/>
      <c r="D81" s="44"/>
      <c r="E81" s="8"/>
      <c r="F81" s="8"/>
      <c r="G81" s="8"/>
      <c r="H81" s="8"/>
      <c r="I81" s="65"/>
      <c r="J81" s="8"/>
      <c r="M81" s="14"/>
      <c r="N81" s="14"/>
      <c r="V81" s="14"/>
    </row>
    <row r="82" spans="2:23" x14ac:dyDescent="0.2">
      <c r="B82" s="213" t="s">
        <v>198</v>
      </c>
      <c r="C82" s="225"/>
      <c r="D82" s="225"/>
      <c r="E82" s="214"/>
      <c r="F82" s="214"/>
      <c r="G82" s="214"/>
      <c r="H82" s="214"/>
      <c r="I82" s="214"/>
      <c r="J82" s="215"/>
      <c r="M82" s="14"/>
      <c r="N82" s="14"/>
      <c r="V82" s="14"/>
    </row>
    <row r="83" spans="2:23" x14ac:dyDescent="0.2">
      <c r="B83" s="226"/>
      <c r="C83" s="227"/>
      <c r="D83" s="227"/>
      <c r="E83" s="221"/>
      <c r="F83" s="221"/>
      <c r="G83" s="221"/>
      <c r="H83" s="221"/>
      <c r="I83" s="221"/>
      <c r="J83" s="222"/>
      <c r="M83" s="14"/>
      <c r="N83" s="14"/>
      <c r="V83" s="14"/>
    </row>
    <row r="84" spans="2:23" ht="13.5" thickBot="1" x14ac:dyDescent="0.25">
      <c r="B84" s="228" t="s">
        <v>199</v>
      </c>
      <c r="C84" s="229"/>
      <c r="D84" s="229"/>
      <c r="E84" s="229"/>
      <c r="F84" s="229"/>
      <c r="G84" s="229"/>
      <c r="H84" s="229"/>
      <c r="I84" s="136">
        <f>6820+8250</f>
        <v>15070</v>
      </c>
      <c r="J84" s="125" t="s">
        <v>34</v>
      </c>
      <c r="M84" s="14"/>
      <c r="N84" s="14"/>
      <c r="V84" s="14"/>
    </row>
    <row r="85" spans="2:23" ht="13.5" thickBot="1" x14ac:dyDescent="0.25">
      <c r="B85" s="144"/>
      <c r="C85" s="198"/>
      <c r="D85" s="144"/>
      <c r="E85" s="144"/>
      <c r="F85" s="144"/>
      <c r="G85" s="14"/>
      <c r="H85" s="14"/>
      <c r="I85" s="14"/>
      <c r="J85" s="14"/>
      <c r="M85" s="14"/>
      <c r="N85" s="14"/>
      <c r="V85" s="14"/>
    </row>
    <row r="86" spans="2:23" x14ac:dyDescent="0.2">
      <c r="B86" s="213" t="s">
        <v>35</v>
      </c>
      <c r="C86" s="225"/>
      <c r="D86" s="225"/>
      <c r="E86" s="214"/>
      <c r="F86" s="214"/>
      <c r="G86" s="214"/>
      <c r="H86" s="214"/>
      <c r="I86" s="214"/>
      <c r="J86" s="215"/>
      <c r="M86" s="14"/>
      <c r="N86" s="14"/>
      <c r="V86" s="14"/>
      <c r="W86" s="14"/>
    </row>
    <row r="87" spans="2:23" x14ac:dyDescent="0.2">
      <c r="B87" s="226"/>
      <c r="C87" s="227"/>
      <c r="D87" s="227"/>
      <c r="E87" s="221"/>
      <c r="F87" s="221"/>
      <c r="G87" s="221"/>
      <c r="H87" s="221"/>
      <c r="I87" s="221"/>
      <c r="J87" s="222"/>
      <c r="M87" s="14"/>
      <c r="N87" s="14"/>
      <c r="V87" s="14"/>
    </row>
    <row r="88" spans="2:23" x14ac:dyDescent="0.2">
      <c r="B88" s="255" t="s">
        <v>39</v>
      </c>
      <c r="C88" s="237"/>
      <c r="D88" s="237"/>
      <c r="E88" s="237"/>
      <c r="F88" s="237"/>
      <c r="G88" s="237"/>
      <c r="H88" s="237"/>
      <c r="I88" s="195">
        <f>14050-4500</f>
        <v>9550</v>
      </c>
      <c r="J88" s="141" t="s">
        <v>34</v>
      </c>
      <c r="M88" s="14"/>
      <c r="N88" s="14"/>
    </row>
    <row r="89" spans="2:23" x14ac:dyDescent="0.2">
      <c r="B89" s="191" t="s">
        <v>196</v>
      </c>
      <c r="C89" s="44"/>
      <c r="D89" s="44"/>
      <c r="E89" s="8"/>
      <c r="F89" s="8"/>
      <c r="G89" s="8"/>
      <c r="H89" s="8"/>
      <c r="I89" s="8">
        <f>8800+5500</f>
        <v>14300</v>
      </c>
      <c r="J89" s="138" t="s">
        <v>34</v>
      </c>
    </row>
    <row r="90" spans="2:23" ht="13.5" thickBot="1" x14ac:dyDescent="0.25">
      <c r="B90" s="127" t="s">
        <v>159</v>
      </c>
      <c r="C90" s="199"/>
      <c r="D90" s="199"/>
      <c r="E90" s="200"/>
      <c r="F90" s="200"/>
      <c r="G90" s="200"/>
      <c r="H90" s="200"/>
      <c r="I90" s="200"/>
      <c r="J90" s="131"/>
    </row>
    <row r="91" spans="2:23" ht="13.5" thickBot="1" x14ac:dyDescent="0.25">
      <c r="B91" s="8"/>
      <c r="C91" s="8"/>
      <c r="D91" s="8"/>
      <c r="E91" s="14"/>
      <c r="F91" s="14"/>
      <c r="G91" s="14"/>
      <c r="H91" s="14"/>
      <c r="I91" s="14"/>
      <c r="J91" s="14"/>
    </row>
    <row r="92" spans="2:23" x14ac:dyDescent="0.2">
      <c r="B92" s="213" t="s">
        <v>38</v>
      </c>
      <c r="C92" s="225"/>
      <c r="D92" s="225"/>
      <c r="E92" s="214"/>
      <c r="F92" s="214"/>
      <c r="G92" s="214"/>
      <c r="H92" s="214"/>
      <c r="I92" s="214"/>
      <c r="J92" s="215"/>
    </row>
    <row r="93" spans="2:23" x14ac:dyDescent="0.2">
      <c r="B93" s="226"/>
      <c r="C93" s="227"/>
      <c r="D93" s="227"/>
      <c r="E93" s="221"/>
      <c r="F93" s="221"/>
      <c r="G93" s="221"/>
      <c r="H93" s="221"/>
      <c r="I93" s="221"/>
      <c r="J93" s="222"/>
      <c r="O93" s="14"/>
    </row>
    <row r="94" spans="2:23" ht="13.5" thickBot="1" x14ac:dyDescent="0.25">
      <c r="B94" s="233" t="s">
        <v>197</v>
      </c>
      <c r="C94" s="234"/>
      <c r="D94" s="234"/>
      <c r="E94" s="229"/>
      <c r="F94" s="229"/>
      <c r="G94" s="229"/>
      <c r="H94" s="197"/>
      <c r="I94" s="178">
        <f>8250+6820</f>
        <v>15070</v>
      </c>
      <c r="J94" s="125" t="s">
        <v>34</v>
      </c>
    </row>
    <row r="95" spans="2:23" ht="13.5" thickBot="1" x14ac:dyDescent="0.25">
      <c r="B95" s="8"/>
      <c r="C95" s="8"/>
      <c r="D95" s="8"/>
      <c r="E95" s="14"/>
      <c r="F95" s="14"/>
      <c r="G95" s="14"/>
      <c r="H95" s="14"/>
      <c r="I95" s="14"/>
      <c r="J95" s="14"/>
    </row>
    <row r="96" spans="2:23" x14ac:dyDescent="0.2">
      <c r="B96" s="213" t="s">
        <v>211</v>
      </c>
      <c r="C96" s="225"/>
      <c r="D96" s="225"/>
      <c r="E96" s="214"/>
      <c r="F96" s="214"/>
      <c r="G96" s="214"/>
      <c r="H96" s="214"/>
      <c r="I96" s="214"/>
      <c r="J96" s="215"/>
    </row>
    <row r="97" spans="2:10" x14ac:dyDescent="0.2">
      <c r="B97" s="226"/>
      <c r="C97" s="227"/>
      <c r="D97" s="227"/>
      <c r="E97" s="221"/>
      <c r="F97" s="221"/>
      <c r="G97" s="221"/>
      <c r="H97" s="221"/>
      <c r="I97" s="221"/>
      <c r="J97" s="222"/>
    </row>
    <row r="98" spans="2:10" x14ac:dyDescent="0.2">
      <c r="B98" s="235" t="s">
        <v>208</v>
      </c>
      <c r="C98" s="236"/>
      <c r="D98" s="236"/>
      <c r="E98" s="237"/>
      <c r="F98" s="237"/>
      <c r="G98" s="237"/>
      <c r="H98" s="195"/>
      <c r="I98" s="48">
        <f>16.8</f>
        <v>16.8</v>
      </c>
      <c r="J98" s="141" t="s">
        <v>1</v>
      </c>
    </row>
    <row r="99" spans="2:10" x14ac:dyDescent="0.2">
      <c r="B99" s="116" t="s">
        <v>210</v>
      </c>
      <c r="C99" s="8"/>
      <c r="D99" s="8"/>
      <c r="E99" s="8"/>
      <c r="F99" s="8"/>
      <c r="G99" s="8"/>
      <c r="H99" s="8"/>
      <c r="I99" s="35">
        <f>(2.45*4.2+2.25*0.1*1)*2</f>
        <v>21.03</v>
      </c>
      <c r="J99" s="133" t="s">
        <v>15</v>
      </c>
    </row>
    <row r="100" spans="2:10" x14ac:dyDescent="0.2">
      <c r="B100" s="116" t="s">
        <v>209</v>
      </c>
      <c r="C100" s="8"/>
      <c r="D100" s="8"/>
      <c r="E100" s="8"/>
      <c r="F100" s="8"/>
      <c r="G100" s="8"/>
      <c r="H100" s="8"/>
      <c r="I100" s="35">
        <f>5.4*5.4*2</f>
        <v>58.320000000000007</v>
      </c>
      <c r="J100" s="133" t="s">
        <v>34</v>
      </c>
    </row>
    <row r="101" spans="2:10" x14ac:dyDescent="0.2">
      <c r="B101" s="116" t="s">
        <v>212</v>
      </c>
      <c r="C101" s="8"/>
      <c r="D101" s="8"/>
      <c r="E101" s="8"/>
      <c r="F101" s="8"/>
      <c r="G101" s="8"/>
      <c r="H101" s="8"/>
      <c r="I101" s="35">
        <f>4.4*4.2*2</f>
        <v>36.960000000000008</v>
      </c>
      <c r="J101" s="133" t="s">
        <v>34</v>
      </c>
    </row>
    <row r="102" spans="2:10" x14ac:dyDescent="0.2">
      <c r="B102" s="116" t="s">
        <v>40</v>
      </c>
      <c r="C102" s="8"/>
      <c r="D102" s="8"/>
      <c r="E102" s="8"/>
      <c r="F102" s="8"/>
      <c r="G102" s="8"/>
      <c r="H102" s="8"/>
      <c r="I102" s="35">
        <f>2.24*4.2*2</f>
        <v>18.816000000000003</v>
      </c>
      <c r="J102" s="133" t="s">
        <v>15</v>
      </c>
    </row>
    <row r="103" spans="2:10" ht="13.5" thickBot="1" x14ac:dyDescent="0.25">
      <c r="B103" s="139" t="s">
        <v>213</v>
      </c>
      <c r="C103" s="142"/>
      <c r="D103" s="142"/>
      <c r="E103" s="142"/>
      <c r="F103" s="142"/>
      <c r="G103" s="142"/>
      <c r="H103" s="142"/>
      <c r="I103" s="143">
        <f>9*4.2*2</f>
        <v>75.600000000000009</v>
      </c>
      <c r="J103" s="134" t="s">
        <v>34</v>
      </c>
    </row>
    <row r="104" spans="2:10" ht="13.5" thickBot="1" x14ac:dyDescent="0.25">
      <c r="B104" s="8"/>
      <c r="C104" s="8"/>
      <c r="D104" s="8"/>
      <c r="E104" s="14"/>
      <c r="F104" s="14"/>
      <c r="G104" s="14"/>
      <c r="H104" s="14"/>
      <c r="I104" s="14"/>
      <c r="J104" s="14"/>
    </row>
    <row r="105" spans="2:10" x14ac:dyDescent="0.2">
      <c r="B105" s="213" t="s">
        <v>54</v>
      </c>
      <c r="C105" s="225"/>
      <c r="D105" s="225"/>
      <c r="E105" s="214"/>
      <c r="F105" s="214"/>
      <c r="G105" s="214"/>
      <c r="H105" s="214"/>
      <c r="I105" s="214"/>
      <c r="J105" s="215"/>
    </row>
    <row r="106" spans="2:10" x14ac:dyDescent="0.2">
      <c r="B106" s="226"/>
      <c r="C106" s="227"/>
      <c r="D106" s="227"/>
      <c r="E106" s="221"/>
      <c r="F106" s="221"/>
      <c r="G106" s="221"/>
      <c r="H106" s="221"/>
      <c r="I106" s="221"/>
      <c r="J106" s="222"/>
    </row>
    <row r="107" spans="2:10" x14ac:dyDescent="0.2">
      <c r="B107" s="235" t="s">
        <v>58</v>
      </c>
      <c r="C107" s="236"/>
      <c r="D107" s="236"/>
      <c r="E107" s="237"/>
      <c r="F107" s="237"/>
      <c r="G107" s="237"/>
      <c r="H107" s="195"/>
      <c r="I107" s="48"/>
      <c r="J107" s="141"/>
    </row>
    <row r="108" spans="2:10" x14ac:dyDescent="0.2">
      <c r="B108" s="116" t="s">
        <v>120</v>
      </c>
      <c r="C108" s="8"/>
      <c r="D108" s="8"/>
      <c r="E108" s="8"/>
      <c r="F108" s="8"/>
      <c r="G108" s="8"/>
      <c r="H108" s="8"/>
      <c r="I108" s="35"/>
      <c r="J108" s="133"/>
    </row>
    <row r="109" spans="2:10" ht="24.75" customHeight="1" x14ac:dyDescent="0.2">
      <c r="B109" s="240" t="s">
        <v>55</v>
      </c>
      <c r="C109" s="241"/>
      <c r="D109" s="241"/>
      <c r="E109" s="241"/>
      <c r="F109" s="241"/>
      <c r="G109" s="241"/>
      <c r="H109" s="241"/>
      <c r="I109" s="241"/>
      <c r="J109" s="242"/>
    </row>
    <row r="110" spans="2:10" ht="13.5" thickBot="1" x14ac:dyDescent="0.25">
      <c r="B110" s="139" t="s">
        <v>56</v>
      </c>
      <c r="C110" s="142"/>
      <c r="D110" s="142"/>
      <c r="E110" s="159">
        <f>148/3*5</f>
        <v>246.66666666666669</v>
      </c>
      <c r="F110" s="111" t="s">
        <v>10</v>
      </c>
      <c r="G110" s="142"/>
      <c r="H110" s="142" t="s">
        <v>57</v>
      </c>
      <c r="I110" s="160">
        <f>3*0.15*1*247</f>
        <v>111.14999999999999</v>
      </c>
      <c r="J110" s="114" t="s">
        <v>15</v>
      </c>
    </row>
    <row r="111" spans="2:10" ht="13.5" hidden="1" thickBot="1" x14ac:dyDescent="0.25">
      <c r="B111" s="139"/>
      <c r="C111" s="142"/>
      <c r="D111" s="142"/>
      <c r="E111" s="142"/>
      <c r="F111" s="142"/>
      <c r="G111" s="142"/>
      <c r="H111" s="142"/>
      <c r="I111" s="143"/>
      <c r="J111" s="134"/>
    </row>
    <row r="112" spans="2:10" ht="13.5" thickBot="1" x14ac:dyDescent="0.25">
      <c r="B112" s="8"/>
      <c r="C112" s="8"/>
      <c r="D112" s="8"/>
      <c r="E112" s="14"/>
      <c r="F112" s="14"/>
      <c r="G112" s="14"/>
      <c r="H112" s="14"/>
      <c r="I112" s="14"/>
      <c r="J112" s="14"/>
    </row>
    <row r="113" spans="2:10" x14ac:dyDescent="0.2">
      <c r="B113" s="213" t="s">
        <v>59</v>
      </c>
      <c r="C113" s="214"/>
      <c r="D113" s="214"/>
      <c r="E113" s="214"/>
      <c r="F113" s="214"/>
      <c r="G113" s="214"/>
      <c r="H113" s="214"/>
      <c r="I113" s="214"/>
      <c r="J113" s="215"/>
    </row>
    <row r="114" spans="2:10" x14ac:dyDescent="0.2">
      <c r="B114" s="216"/>
      <c r="C114" s="217"/>
      <c r="D114" s="217"/>
      <c r="E114" s="217"/>
      <c r="F114" s="217"/>
      <c r="G114" s="217"/>
      <c r="H114" s="217"/>
      <c r="I114" s="217"/>
      <c r="J114" s="218"/>
    </row>
    <row r="115" spans="2:10" x14ac:dyDescent="0.2">
      <c r="B115" s="219" t="s">
        <v>60</v>
      </c>
      <c r="C115" s="220"/>
      <c r="D115" s="220"/>
      <c r="E115" s="221"/>
      <c r="F115" s="221"/>
      <c r="G115" s="221"/>
      <c r="H115" s="221"/>
      <c r="I115" s="221"/>
      <c r="J115" s="222"/>
    </row>
    <row r="116" spans="2:10" ht="13.5" thickBot="1" x14ac:dyDescent="0.25">
      <c r="B116" s="139" t="s">
        <v>61</v>
      </c>
      <c r="C116" s="142"/>
      <c r="D116" s="111"/>
      <c r="E116" s="142"/>
      <c r="F116" s="121" t="s">
        <v>62</v>
      </c>
      <c r="G116" s="142"/>
      <c r="H116" s="142"/>
      <c r="I116" s="201">
        <f>3.1*119</f>
        <v>368.90000000000003</v>
      </c>
      <c r="J116" s="114" t="s">
        <v>15</v>
      </c>
    </row>
    <row r="117" spans="2:10" ht="13.5" thickBot="1" x14ac:dyDescent="0.25">
      <c r="B117" s="8"/>
      <c r="C117" s="2"/>
      <c r="D117" s="3"/>
      <c r="E117" s="33"/>
      <c r="F117" s="36"/>
      <c r="G117" s="33"/>
      <c r="H117" s="33"/>
      <c r="I117" s="15"/>
      <c r="J117" s="34"/>
    </row>
    <row r="118" spans="2:10" x14ac:dyDescent="0.2">
      <c r="B118" s="213" t="s">
        <v>227</v>
      </c>
      <c r="C118" s="214"/>
      <c r="D118" s="214"/>
      <c r="E118" s="214"/>
      <c r="F118" s="214"/>
      <c r="G118" s="214"/>
      <c r="H118" s="214"/>
      <c r="I118" s="214"/>
      <c r="J118" s="215"/>
    </row>
    <row r="119" spans="2:10" x14ac:dyDescent="0.2">
      <c r="B119" s="216"/>
      <c r="C119" s="217"/>
      <c r="D119" s="217"/>
      <c r="E119" s="217"/>
      <c r="F119" s="217"/>
      <c r="G119" s="217"/>
      <c r="H119" s="217"/>
      <c r="I119" s="217"/>
      <c r="J119" s="218"/>
    </row>
    <row r="120" spans="2:10" x14ac:dyDescent="0.2">
      <c r="B120" s="219" t="s">
        <v>228</v>
      </c>
      <c r="C120" s="220"/>
      <c r="D120" s="220"/>
      <c r="E120" s="221"/>
      <c r="F120" s="221"/>
      <c r="G120" s="221"/>
      <c r="H120" s="221"/>
      <c r="I120" s="221"/>
      <c r="J120" s="222"/>
    </row>
    <row r="121" spans="2:10" ht="13.5" thickBot="1" x14ac:dyDescent="0.25">
      <c r="B121" s="139" t="s">
        <v>229</v>
      </c>
      <c r="C121" s="142"/>
      <c r="D121" s="111"/>
      <c r="E121" s="142"/>
      <c r="F121" s="121" t="s">
        <v>230</v>
      </c>
      <c r="G121" s="142"/>
      <c r="H121" s="142"/>
      <c r="I121" s="181">
        <f>97*0.8</f>
        <v>77.600000000000009</v>
      </c>
      <c r="J121" s="114" t="s">
        <v>15</v>
      </c>
    </row>
    <row r="122" spans="2:10" x14ac:dyDescent="0.2">
      <c r="B122" s="1"/>
      <c r="C122" s="1"/>
      <c r="D122" s="1"/>
    </row>
    <row r="123" spans="2:10" x14ac:dyDescent="0.2">
      <c r="B123" s="1"/>
      <c r="C123" s="1"/>
      <c r="D123" s="1"/>
    </row>
    <row r="124" spans="2:10" x14ac:dyDescent="0.2">
      <c r="B124" s="1"/>
      <c r="C124" s="1"/>
      <c r="D124" s="1"/>
    </row>
    <row r="125" spans="2:10" x14ac:dyDescent="0.2">
      <c r="B125" s="1"/>
      <c r="C125" s="1"/>
      <c r="D125" s="1"/>
    </row>
    <row r="126" spans="2:10" x14ac:dyDescent="0.2">
      <c r="B126" s="1"/>
      <c r="C126" s="1"/>
      <c r="D126" s="1"/>
    </row>
    <row r="127" spans="2:10" x14ac:dyDescent="0.2">
      <c r="B127" s="1"/>
      <c r="C127" s="1"/>
      <c r="D127" s="1"/>
    </row>
    <row r="128" spans="2:10" x14ac:dyDescent="0.2">
      <c r="B128" s="1"/>
      <c r="C128" s="1"/>
      <c r="D128" s="1"/>
    </row>
    <row r="129" spans="2:4" x14ac:dyDescent="0.2">
      <c r="B129" s="1"/>
      <c r="C129" s="1"/>
      <c r="D129" s="1"/>
    </row>
    <row r="130" spans="2:4" x14ac:dyDescent="0.2">
      <c r="B130" s="1"/>
      <c r="C130" s="1"/>
      <c r="D130" s="1"/>
    </row>
    <row r="131" spans="2:4" x14ac:dyDescent="0.2">
      <c r="B131" s="1"/>
      <c r="C131" s="1"/>
      <c r="D131" s="1"/>
    </row>
    <row r="132" spans="2:4" x14ac:dyDescent="0.2">
      <c r="B132" s="1"/>
      <c r="C132" s="1"/>
      <c r="D132" s="1"/>
    </row>
    <row r="133" spans="2:4" x14ac:dyDescent="0.2">
      <c r="B133" s="1"/>
      <c r="C133" s="1"/>
      <c r="D133" s="1"/>
    </row>
    <row r="134" spans="2:4" x14ac:dyDescent="0.2">
      <c r="B134" s="1"/>
      <c r="C134" s="1"/>
      <c r="D134" s="1"/>
    </row>
    <row r="135" spans="2:4" x14ac:dyDescent="0.2">
      <c r="B135" s="1"/>
      <c r="C135" s="1"/>
      <c r="D135" s="1"/>
    </row>
    <row r="136" spans="2:4" x14ac:dyDescent="0.2">
      <c r="B136" s="1"/>
      <c r="C136" s="1"/>
      <c r="D136" s="1"/>
    </row>
    <row r="137" spans="2:4" x14ac:dyDescent="0.2">
      <c r="B137" s="1"/>
      <c r="C137" s="1"/>
      <c r="D137" s="1"/>
    </row>
    <row r="138" spans="2:4" x14ac:dyDescent="0.2">
      <c r="B138" s="1"/>
      <c r="C138" s="1"/>
      <c r="D138" s="1"/>
    </row>
    <row r="139" spans="2:4" x14ac:dyDescent="0.2">
      <c r="B139" s="1"/>
      <c r="C139" s="1"/>
      <c r="D139" s="1"/>
    </row>
    <row r="140" spans="2:4" x14ac:dyDescent="0.2">
      <c r="B140" s="1"/>
      <c r="C140" s="1"/>
      <c r="D140" s="1"/>
    </row>
    <row r="141" spans="2:4" x14ac:dyDescent="0.2">
      <c r="B141" s="1"/>
      <c r="C141" s="1"/>
      <c r="D141" s="1"/>
    </row>
    <row r="142" spans="2:4" x14ac:dyDescent="0.2">
      <c r="B142" s="1"/>
      <c r="C142" s="1"/>
      <c r="D142" s="1"/>
    </row>
    <row r="143" spans="2:4" x14ac:dyDescent="0.2">
      <c r="B143" s="1"/>
      <c r="C143" s="1"/>
      <c r="D143" s="1"/>
    </row>
    <row r="144" spans="2:4" x14ac:dyDescent="0.2">
      <c r="B144" s="1"/>
      <c r="C144" s="1"/>
      <c r="D144" s="1"/>
    </row>
    <row r="145" spans="2:4" x14ac:dyDescent="0.2">
      <c r="B145" s="1"/>
      <c r="C145" s="1"/>
      <c r="D145" s="1"/>
    </row>
    <row r="146" spans="2:4" x14ac:dyDescent="0.2">
      <c r="B146" s="1"/>
      <c r="C146" s="1"/>
      <c r="D146" s="1"/>
    </row>
    <row r="147" spans="2:4" x14ac:dyDescent="0.2">
      <c r="B147" s="1"/>
      <c r="C147" s="1"/>
      <c r="D147" s="1"/>
    </row>
    <row r="148" spans="2:4" x14ac:dyDescent="0.2">
      <c r="B148" s="1"/>
      <c r="C148" s="1"/>
      <c r="D148" s="1"/>
    </row>
    <row r="149" spans="2:4" x14ac:dyDescent="0.2">
      <c r="B149" s="1"/>
      <c r="C149" s="1"/>
      <c r="D149" s="1"/>
    </row>
    <row r="150" spans="2:4" x14ac:dyDescent="0.2">
      <c r="B150" s="1"/>
      <c r="C150" s="1"/>
      <c r="D150" s="1"/>
    </row>
    <row r="151" spans="2:4" x14ac:dyDescent="0.2">
      <c r="B151" s="1"/>
      <c r="C151" s="1"/>
      <c r="D151" s="1"/>
    </row>
    <row r="152" spans="2:4" x14ac:dyDescent="0.2">
      <c r="B152" s="1"/>
      <c r="C152" s="1"/>
      <c r="D152" s="1"/>
    </row>
    <row r="153" spans="2:4" x14ac:dyDescent="0.2">
      <c r="B153" s="1"/>
      <c r="C153" s="1"/>
      <c r="D153" s="1"/>
    </row>
    <row r="154" spans="2:4" x14ac:dyDescent="0.2">
      <c r="B154" s="1"/>
      <c r="C154" s="1"/>
      <c r="D154" s="1"/>
    </row>
    <row r="155" spans="2:4" x14ac:dyDescent="0.2">
      <c r="B155" s="1"/>
      <c r="C155" s="1"/>
      <c r="D155" s="1"/>
    </row>
    <row r="156" spans="2:4" x14ac:dyDescent="0.2">
      <c r="B156" s="1"/>
      <c r="C156" s="1"/>
      <c r="D156" s="1"/>
    </row>
    <row r="157" spans="2:4" x14ac:dyDescent="0.2">
      <c r="B157" s="1"/>
      <c r="C157" s="1"/>
      <c r="D157" s="1"/>
    </row>
    <row r="158" spans="2:4" x14ac:dyDescent="0.2">
      <c r="B158" s="1"/>
      <c r="C158" s="1"/>
      <c r="D158" s="1"/>
    </row>
    <row r="159" spans="2:4" x14ac:dyDescent="0.2">
      <c r="B159" s="1"/>
      <c r="C159" s="1"/>
      <c r="D159" s="1"/>
    </row>
    <row r="160" spans="2:4" x14ac:dyDescent="0.2">
      <c r="B160" s="1"/>
      <c r="C160" s="1"/>
      <c r="D160" s="1"/>
    </row>
    <row r="161" spans="2:4" x14ac:dyDescent="0.2">
      <c r="B161" s="1"/>
      <c r="C161" s="1"/>
      <c r="D161" s="1"/>
    </row>
    <row r="162" spans="2:4" x14ac:dyDescent="0.2">
      <c r="B162" s="1"/>
      <c r="C162" s="1"/>
      <c r="D162" s="1"/>
    </row>
    <row r="163" spans="2:4" x14ac:dyDescent="0.2">
      <c r="B163" s="1"/>
      <c r="C163" s="1"/>
      <c r="D163" s="1"/>
    </row>
    <row r="164" spans="2:4" x14ac:dyDescent="0.2">
      <c r="B164" s="1"/>
      <c r="C164" s="1"/>
      <c r="D164" s="1"/>
    </row>
    <row r="165" spans="2:4" x14ac:dyDescent="0.2">
      <c r="B165" s="1"/>
      <c r="C165" s="1"/>
      <c r="D165" s="1"/>
    </row>
    <row r="166" spans="2:4" x14ac:dyDescent="0.2">
      <c r="B166" s="1"/>
      <c r="C166" s="1"/>
      <c r="D166" s="1"/>
    </row>
    <row r="167" spans="2:4" x14ac:dyDescent="0.2">
      <c r="B167" s="1"/>
      <c r="C167" s="1"/>
      <c r="D167" s="1"/>
    </row>
    <row r="168" spans="2:4" x14ac:dyDescent="0.2">
      <c r="B168" s="1"/>
      <c r="C168" s="1"/>
      <c r="D168" s="1"/>
    </row>
    <row r="169" spans="2:4" x14ac:dyDescent="0.2">
      <c r="B169" s="1"/>
      <c r="C169" s="1"/>
      <c r="D169" s="1"/>
    </row>
    <row r="170" spans="2:4" x14ac:dyDescent="0.2">
      <c r="B170" s="1"/>
      <c r="C170" s="1"/>
      <c r="D170" s="1"/>
    </row>
    <row r="171" spans="2:4" x14ac:dyDescent="0.2">
      <c r="B171" s="1"/>
      <c r="C171" s="1"/>
      <c r="D171" s="1"/>
    </row>
    <row r="172" spans="2:4" x14ac:dyDescent="0.2">
      <c r="B172" s="1"/>
      <c r="C172" s="1"/>
      <c r="D172" s="1"/>
    </row>
    <row r="173" spans="2:4" x14ac:dyDescent="0.2">
      <c r="B173" s="1"/>
      <c r="C173" s="1"/>
      <c r="D173" s="1"/>
    </row>
    <row r="174" spans="2:4" x14ac:dyDescent="0.2">
      <c r="B174" s="1"/>
      <c r="C174" s="1"/>
      <c r="D174" s="1"/>
    </row>
    <row r="175" spans="2:4" x14ac:dyDescent="0.2">
      <c r="B175" s="1"/>
      <c r="C175" s="1"/>
      <c r="D175" s="1"/>
    </row>
    <row r="176" spans="2:4" x14ac:dyDescent="0.2">
      <c r="B176" s="1"/>
      <c r="C176" s="1"/>
      <c r="D176" s="1"/>
    </row>
    <row r="177" spans="2:4" x14ac:dyDescent="0.2">
      <c r="B177" s="1"/>
      <c r="C177" s="1"/>
      <c r="D177" s="1"/>
    </row>
    <row r="178" spans="2:4" x14ac:dyDescent="0.2">
      <c r="B178" s="1"/>
      <c r="C178" s="1"/>
      <c r="D178" s="1"/>
    </row>
    <row r="179" spans="2:4" x14ac:dyDescent="0.2">
      <c r="B179" s="1"/>
      <c r="C179" s="1"/>
      <c r="D179" s="1"/>
    </row>
    <row r="180" spans="2:4" x14ac:dyDescent="0.2">
      <c r="B180" s="1"/>
      <c r="C180" s="1"/>
      <c r="D180" s="1"/>
    </row>
    <row r="181" spans="2:4" x14ac:dyDescent="0.2">
      <c r="B181" s="1"/>
      <c r="C181" s="1"/>
      <c r="D181" s="1"/>
    </row>
    <row r="182" spans="2:4" x14ac:dyDescent="0.2">
      <c r="B182" s="1"/>
      <c r="C182" s="1"/>
      <c r="D182" s="1"/>
    </row>
    <row r="183" spans="2:4" x14ac:dyDescent="0.2">
      <c r="B183" s="1"/>
      <c r="C183" s="1"/>
      <c r="D183" s="1"/>
    </row>
    <row r="184" spans="2:4" x14ac:dyDescent="0.2">
      <c r="B184" s="1"/>
      <c r="C184" s="1"/>
      <c r="D184" s="1"/>
    </row>
    <row r="185" spans="2:4" x14ac:dyDescent="0.2">
      <c r="B185" s="1"/>
      <c r="C185" s="1"/>
      <c r="D185" s="1"/>
    </row>
    <row r="186" spans="2:4" x14ac:dyDescent="0.2">
      <c r="B186" s="1"/>
      <c r="C186" s="1"/>
      <c r="D186" s="1"/>
    </row>
    <row r="187" spans="2:4" x14ac:dyDescent="0.2">
      <c r="B187" s="1"/>
      <c r="C187" s="1"/>
      <c r="D187" s="1"/>
    </row>
    <row r="188" spans="2:4" x14ac:dyDescent="0.2">
      <c r="B188" s="1"/>
      <c r="C188" s="1"/>
      <c r="D188" s="1"/>
    </row>
    <row r="189" spans="2:4" x14ac:dyDescent="0.2">
      <c r="B189" s="1"/>
      <c r="C189" s="1"/>
      <c r="D189" s="1"/>
    </row>
    <row r="190" spans="2:4" x14ac:dyDescent="0.2">
      <c r="B190" s="1"/>
      <c r="C190" s="1"/>
      <c r="D190" s="1"/>
    </row>
    <row r="191" spans="2:4" x14ac:dyDescent="0.2">
      <c r="B191" s="1"/>
      <c r="C191" s="1"/>
      <c r="D191" s="1"/>
    </row>
    <row r="192" spans="2:4" x14ac:dyDescent="0.2">
      <c r="B192" s="1"/>
      <c r="C192" s="1"/>
      <c r="D192" s="1"/>
    </row>
    <row r="193" spans="2:4" x14ac:dyDescent="0.2">
      <c r="B193" s="1"/>
      <c r="C193" s="1"/>
      <c r="D193" s="1"/>
    </row>
    <row r="194" spans="2:4" x14ac:dyDescent="0.2">
      <c r="B194" s="1"/>
      <c r="C194" s="1"/>
      <c r="D194" s="1"/>
    </row>
    <row r="195" spans="2:4" x14ac:dyDescent="0.2">
      <c r="B195" s="1"/>
      <c r="C195" s="1"/>
      <c r="D195" s="1"/>
    </row>
    <row r="196" spans="2:4" x14ac:dyDescent="0.2">
      <c r="B196" s="1"/>
      <c r="C196" s="1"/>
      <c r="D196" s="1"/>
    </row>
    <row r="197" spans="2:4" x14ac:dyDescent="0.2">
      <c r="B197" s="1"/>
      <c r="C197" s="1"/>
      <c r="D197" s="1"/>
    </row>
    <row r="198" spans="2:4" x14ac:dyDescent="0.2">
      <c r="B198" s="1"/>
      <c r="C198" s="1"/>
      <c r="D198" s="1"/>
    </row>
    <row r="199" spans="2:4" x14ac:dyDescent="0.2">
      <c r="B199" s="1"/>
      <c r="C199" s="1"/>
      <c r="D199" s="1"/>
    </row>
    <row r="200" spans="2:4" x14ac:dyDescent="0.2">
      <c r="B200" s="1"/>
      <c r="C200" s="1"/>
      <c r="D200" s="1"/>
    </row>
    <row r="201" spans="2:4" x14ac:dyDescent="0.2">
      <c r="B201" s="1"/>
      <c r="C201" s="1"/>
      <c r="D201" s="1"/>
    </row>
    <row r="202" spans="2:4" x14ac:dyDescent="0.2">
      <c r="B202" s="1"/>
      <c r="C202" s="1"/>
      <c r="D202" s="1"/>
    </row>
    <row r="203" spans="2:4" x14ac:dyDescent="0.2">
      <c r="B203" s="1"/>
      <c r="C203" s="1"/>
      <c r="D203" s="1"/>
    </row>
    <row r="204" spans="2:4" x14ac:dyDescent="0.2">
      <c r="B204" s="1"/>
      <c r="C204" s="1"/>
      <c r="D204" s="1"/>
    </row>
    <row r="205" spans="2:4" x14ac:dyDescent="0.2">
      <c r="B205" s="1"/>
      <c r="C205" s="1"/>
      <c r="D205" s="1"/>
    </row>
    <row r="206" spans="2:4" x14ac:dyDescent="0.2">
      <c r="B206" s="1"/>
      <c r="C206" s="1"/>
      <c r="D206" s="1"/>
    </row>
    <row r="207" spans="2:4" x14ac:dyDescent="0.2">
      <c r="B207" s="1"/>
      <c r="C207" s="1"/>
      <c r="D207" s="1"/>
    </row>
    <row r="208" spans="2:4" x14ac:dyDescent="0.2">
      <c r="B208" s="1"/>
      <c r="C208" s="1"/>
      <c r="D208" s="1"/>
    </row>
    <row r="209" spans="2:4" x14ac:dyDescent="0.2">
      <c r="B209" s="1"/>
      <c r="C209" s="1"/>
      <c r="D209" s="1"/>
    </row>
    <row r="210" spans="2:4" x14ac:dyDescent="0.2">
      <c r="B210" s="1"/>
      <c r="C210" s="1"/>
      <c r="D210" s="1"/>
    </row>
    <row r="211" spans="2:4" x14ac:dyDescent="0.2">
      <c r="B211" s="1"/>
      <c r="C211" s="1"/>
      <c r="D211" s="1"/>
    </row>
    <row r="212" spans="2:4" x14ac:dyDescent="0.2">
      <c r="B212" s="1"/>
      <c r="C212" s="1"/>
      <c r="D212" s="1"/>
    </row>
    <row r="213" spans="2:4" x14ac:dyDescent="0.2">
      <c r="B213" s="1"/>
      <c r="C213" s="1"/>
      <c r="D213" s="1"/>
    </row>
    <row r="214" spans="2:4" x14ac:dyDescent="0.2">
      <c r="B214" s="1"/>
      <c r="C214" s="1"/>
      <c r="D214" s="1"/>
    </row>
    <row r="215" spans="2:4" x14ac:dyDescent="0.2">
      <c r="B215" s="1"/>
      <c r="C215" s="1"/>
      <c r="D215" s="1"/>
    </row>
    <row r="216" spans="2:4" x14ac:dyDescent="0.2">
      <c r="B216" s="1"/>
      <c r="C216" s="1"/>
      <c r="D216" s="1"/>
    </row>
    <row r="217" spans="2:4" x14ac:dyDescent="0.2">
      <c r="B217" s="1"/>
      <c r="C217" s="1"/>
      <c r="D217" s="1"/>
    </row>
    <row r="218" spans="2:4" x14ac:dyDescent="0.2">
      <c r="B218" s="1"/>
      <c r="C218" s="1"/>
      <c r="D218" s="1"/>
    </row>
    <row r="219" spans="2:4" x14ac:dyDescent="0.2">
      <c r="B219" s="1"/>
      <c r="C219" s="1"/>
      <c r="D219" s="1"/>
    </row>
    <row r="220" spans="2:4" x14ac:dyDescent="0.2">
      <c r="B220" s="1"/>
      <c r="C220" s="1"/>
      <c r="D220" s="1"/>
    </row>
    <row r="221" spans="2:4" x14ac:dyDescent="0.2">
      <c r="B221" s="1"/>
      <c r="C221" s="1"/>
      <c r="D221" s="1"/>
    </row>
    <row r="222" spans="2:4" x14ac:dyDescent="0.2">
      <c r="B222" s="1"/>
      <c r="C222" s="1"/>
      <c r="D222" s="1"/>
    </row>
    <row r="223" spans="2:4" x14ac:dyDescent="0.2">
      <c r="B223" s="1"/>
      <c r="C223" s="1"/>
      <c r="D223" s="1"/>
    </row>
    <row r="224" spans="2:4" x14ac:dyDescent="0.2">
      <c r="B224" s="1"/>
      <c r="C224" s="1"/>
      <c r="D224" s="1"/>
    </row>
    <row r="225" spans="2:4" x14ac:dyDescent="0.2">
      <c r="B225" s="1"/>
      <c r="C225" s="1"/>
      <c r="D225" s="1"/>
    </row>
    <row r="226" spans="2:4" x14ac:dyDescent="0.2">
      <c r="B226" s="1"/>
      <c r="C226" s="1"/>
      <c r="D226" s="1"/>
    </row>
    <row r="227" spans="2:4" x14ac:dyDescent="0.2">
      <c r="B227" s="1"/>
      <c r="C227" s="1"/>
      <c r="D227" s="1"/>
    </row>
    <row r="228" spans="2:4" x14ac:dyDescent="0.2">
      <c r="B228" s="1"/>
      <c r="C228" s="1"/>
      <c r="D228" s="1"/>
    </row>
    <row r="229" spans="2:4" x14ac:dyDescent="0.2">
      <c r="B229" s="1"/>
      <c r="C229" s="1"/>
      <c r="D229" s="1"/>
    </row>
    <row r="230" spans="2:4" x14ac:dyDescent="0.2">
      <c r="B230" s="1"/>
      <c r="C230" s="1"/>
      <c r="D230" s="1"/>
    </row>
    <row r="231" spans="2:4" x14ac:dyDescent="0.2">
      <c r="B231" s="1"/>
      <c r="C231" s="1"/>
      <c r="D231" s="1"/>
    </row>
    <row r="232" spans="2:4" x14ac:dyDescent="0.2">
      <c r="B232" s="1"/>
      <c r="C232" s="1"/>
      <c r="D232" s="1"/>
    </row>
    <row r="233" spans="2:4" x14ac:dyDescent="0.2">
      <c r="B233" s="1"/>
      <c r="C233" s="1"/>
      <c r="D233" s="1"/>
    </row>
    <row r="234" spans="2:4" x14ac:dyDescent="0.2">
      <c r="B234" s="1"/>
      <c r="C234" s="1"/>
      <c r="D234" s="1"/>
    </row>
    <row r="235" spans="2:4" x14ac:dyDescent="0.2">
      <c r="B235" s="1"/>
      <c r="C235" s="1"/>
      <c r="D235" s="1"/>
    </row>
    <row r="236" spans="2:4" x14ac:dyDescent="0.2">
      <c r="B236" s="1"/>
      <c r="C236" s="1"/>
      <c r="D236" s="1"/>
    </row>
    <row r="237" spans="2:4" x14ac:dyDescent="0.2">
      <c r="B237" s="1"/>
      <c r="C237" s="1"/>
      <c r="D237" s="1"/>
    </row>
    <row r="238" spans="2:4" x14ac:dyDescent="0.2">
      <c r="B238" s="1"/>
      <c r="C238" s="1"/>
      <c r="D238" s="1"/>
    </row>
    <row r="239" spans="2:4" x14ac:dyDescent="0.2">
      <c r="B239" s="1"/>
      <c r="C239" s="1"/>
      <c r="D239" s="1"/>
    </row>
    <row r="240" spans="2:4" x14ac:dyDescent="0.2">
      <c r="B240" s="1"/>
      <c r="C240" s="1"/>
      <c r="D240" s="1"/>
    </row>
    <row r="241" spans="2:4" x14ac:dyDescent="0.2">
      <c r="B241" s="1"/>
      <c r="C241" s="1"/>
      <c r="D241" s="1"/>
    </row>
    <row r="242" spans="2:4" x14ac:dyDescent="0.2">
      <c r="B242" s="1"/>
      <c r="C242" s="1"/>
      <c r="D242" s="1"/>
    </row>
    <row r="243" spans="2:4" x14ac:dyDescent="0.2">
      <c r="B243" s="1"/>
      <c r="C243" s="1"/>
      <c r="D243" s="1"/>
    </row>
    <row r="244" spans="2:4" x14ac:dyDescent="0.2">
      <c r="B244" s="1"/>
      <c r="C244" s="1"/>
      <c r="D244" s="1"/>
    </row>
    <row r="245" spans="2:4" x14ac:dyDescent="0.2">
      <c r="B245" s="1"/>
      <c r="C245" s="1"/>
      <c r="D245" s="1"/>
    </row>
    <row r="246" spans="2:4" x14ac:dyDescent="0.2">
      <c r="B246" s="1"/>
      <c r="C246" s="1"/>
      <c r="D246" s="1"/>
    </row>
    <row r="247" spans="2:4" x14ac:dyDescent="0.2">
      <c r="B247" s="1"/>
      <c r="C247" s="1"/>
      <c r="D247" s="1"/>
    </row>
    <row r="248" spans="2:4" x14ac:dyDescent="0.2">
      <c r="B248" s="1"/>
      <c r="C248" s="1"/>
      <c r="D248" s="1"/>
    </row>
    <row r="249" spans="2:4" x14ac:dyDescent="0.2">
      <c r="B249" s="1"/>
      <c r="C249" s="1"/>
      <c r="D249" s="1"/>
    </row>
    <row r="250" spans="2:4" x14ac:dyDescent="0.2">
      <c r="B250" s="1"/>
      <c r="C250" s="1"/>
      <c r="D250" s="1"/>
    </row>
    <row r="251" spans="2:4" x14ac:dyDescent="0.2">
      <c r="B251" s="1"/>
      <c r="C251" s="1"/>
      <c r="D251" s="1"/>
    </row>
    <row r="252" spans="2:4" x14ac:dyDescent="0.2">
      <c r="B252" s="1"/>
      <c r="C252" s="1"/>
      <c r="D252" s="1"/>
    </row>
    <row r="253" spans="2:4" x14ac:dyDescent="0.2">
      <c r="B253" s="1"/>
      <c r="C253" s="1"/>
      <c r="D253" s="1"/>
    </row>
    <row r="254" spans="2:4" x14ac:dyDescent="0.2">
      <c r="B254" s="1"/>
      <c r="C254" s="1"/>
      <c r="D254" s="1"/>
    </row>
    <row r="255" spans="2:4" x14ac:dyDescent="0.2">
      <c r="B255" s="1"/>
      <c r="C255" s="1"/>
      <c r="D255" s="1"/>
    </row>
    <row r="256" spans="2:4" x14ac:dyDescent="0.2">
      <c r="B256" s="1"/>
      <c r="C256" s="1"/>
      <c r="D256" s="1"/>
    </row>
    <row r="257" spans="2:4" x14ac:dyDescent="0.2">
      <c r="B257" s="1"/>
      <c r="C257" s="1"/>
      <c r="D257" s="1"/>
    </row>
    <row r="258" spans="2:4" x14ac:dyDescent="0.2">
      <c r="B258" s="1"/>
      <c r="C258" s="1"/>
      <c r="D258" s="1"/>
    </row>
    <row r="259" spans="2:4" x14ac:dyDescent="0.2">
      <c r="B259" s="1"/>
      <c r="C259" s="1"/>
      <c r="D259" s="1"/>
    </row>
    <row r="260" spans="2:4" x14ac:dyDescent="0.2">
      <c r="B260" s="1"/>
      <c r="C260" s="1"/>
      <c r="D260" s="1"/>
    </row>
    <row r="261" spans="2:4" x14ac:dyDescent="0.2">
      <c r="B261" s="1"/>
      <c r="C261" s="1"/>
      <c r="D261" s="1"/>
    </row>
    <row r="262" spans="2:4" x14ac:dyDescent="0.2">
      <c r="B262" s="1"/>
      <c r="C262" s="1"/>
      <c r="D262" s="1"/>
    </row>
    <row r="263" spans="2:4" x14ac:dyDescent="0.2">
      <c r="B263" s="1"/>
      <c r="C263" s="1"/>
      <c r="D263" s="1"/>
    </row>
    <row r="264" spans="2:4" x14ac:dyDescent="0.2">
      <c r="B264" s="1"/>
      <c r="C264" s="1"/>
      <c r="D264" s="1"/>
    </row>
    <row r="265" spans="2:4" x14ac:dyDescent="0.2">
      <c r="B265" s="1"/>
      <c r="C265" s="1"/>
      <c r="D265" s="1"/>
    </row>
    <row r="266" spans="2:4" x14ac:dyDescent="0.2">
      <c r="B266" s="1"/>
      <c r="C266" s="1"/>
      <c r="D266" s="1"/>
    </row>
    <row r="267" spans="2:4" x14ac:dyDescent="0.2">
      <c r="B267" s="1"/>
      <c r="C267" s="1"/>
      <c r="D267" s="1"/>
    </row>
    <row r="268" spans="2:4" x14ac:dyDescent="0.2">
      <c r="B268" s="1"/>
      <c r="C268" s="1"/>
      <c r="D268" s="1"/>
    </row>
    <row r="269" spans="2:4" x14ac:dyDescent="0.2">
      <c r="B269" s="1"/>
      <c r="C269" s="1"/>
      <c r="D269" s="1"/>
    </row>
    <row r="270" spans="2:4" x14ac:dyDescent="0.2">
      <c r="B270" s="1"/>
      <c r="C270" s="1"/>
      <c r="D270" s="1"/>
    </row>
    <row r="271" spans="2:4" x14ac:dyDescent="0.2">
      <c r="B271" s="1"/>
      <c r="C271" s="1"/>
      <c r="D271" s="1"/>
    </row>
    <row r="272" spans="2:4" x14ac:dyDescent="0.2">
      <c r="B272" s="1"/>
      <c r="C272" s="1"/>
      <c r="D272" s="1"/>
    </row>
    <row r="273" spans="2:4" x14ac:dyDescent="0.2">
      <c r="B273" s="1"/>
      <c r="C273" s="1"/>
      <c r="D273" s="1"/>
    </row>
    <row r="274" spans="2:4" x14ac:dyDescent="0.2">
      <c r="B274" s="1"/>
      <c r="C274" s="1"/>
      <c r="D274" s="1"/>
    </row>
    <row r="275" spans="2:4" x14ac:dyDescent="0.2">
      <c r="B275" s="1"/>
      <c r="C275" s="1"/>
      <c r="D275" s="1"/>
    </row>
    <row r="276" spans="2:4" x14ac:dyDescent="0.2">
      <c r="B276" s="1"/>
      <c r="C276" s="1"/>
      <c r="D276" s="1"/>
    </row>
    <row r="277" spans="2:4" x14ac:dyDescent="0.2">
      <c r="B277" s="1"/>
      <c r="C277" s="1"/>
      <c r="D277" s="1"/>
    </row>
    <row r="278" spans="2:4" x14ac:dyDescent="0.2">
      <c r="B278" s="1"/>
      <c r="C278" s="1"/>
      <c r="D278" s="1"/>
    </row>
    <row r="279" spans="2:4" x14ac:dyDescent="0.2">
      <c r="B279" s="1"/>
      <c r="C279" s="1"/>
      <c r="D279" s="1"/>
    </row>
    <row r="280" spans="2:4" x14ac:dyDescent="0.2">
      <c r="B280" s="1"/>
      <c r="C280" s="1"/>
      <c r="D280" s="1"/>
    </row>
    <row r="281" spans="2:4" x14ac:dyDescent="0.2">
      <c r="B281" s="1"/>
      <c r="C281" s="1"/>
      <c r="D281" s="1"/>
    </row>
    <row r="282" spans="2:4" x14ac:dyDescent="0.2">
      <c r="B282" s="1"/>
      <c r="C282" s="1"/>
      <c r="D282" s="1"/>
    </row>
    <row r="283" spans="2:4" x14ac:dyDescent="0.2">
      <c r="B283" s="1"/>
      <c r="C283" s="1"/>
      <c r="D283" s="1"/>
    </row>
    <row r="284" spans="2:4" x14ac:dyDescent="0.2">
      <c r="B284" s="1"/>
      <c r="C284" s="1"/>
      <c r="D284" s="1"/>
    </row>
    <row r="285" spans="2:4" x14ac:dyDescent="0.2">
      <c r="B285" s="1"/>
      <c r="C285" s="1"/>
      <c r="D285" s="1"/>
    </row>
    <row r="286" spans="2:4" x14ac:dyDescent="0.2">
      <c r="B286" s="1"/>
      <c r="C286" s="1"/>
      <c r="D286" s="1"/>
    </row>
    <row r="287" spans="2:4" x14ac:dyDescent="0.2">
      <c r="B287" s="1"/>
      <c r="C287" s="1"/>
      <c r="D287" s="1"/>
    </row>
    <row r="288" spans="2:4" x14ac:dyDescent="0.2">
      <c r="B288" s="1"/>
      <c r="C288" s="1"/>
      <c r="D288" s="1"/>
    </row>
    <row r="289" spans="2:4" x14ac:dyDescent="0.2">
      <c r="B289" s="1"/>
      <c r="C289" s="1"/>
      <c r="D289" s="1"/>
    </row>
    <row r="290" spans="2:4" x14ac:dyDescent="0.2">
      <c r="B290" s="1"/>
      <c r="C290" s="1"/>
      <c r="D290" s="1"/>
    </row>
    <row r="291" spans="2:4" x14ac:dyDescent="0.2">
      <c r="B291" s="1"/>
      <c r="C291" s="1"/>
      <c r="D291" s="1"/>
    </row>
    <row r="292" spans="2:4" x14ac:dyDescent="0.2">
      <c r="B292" s="1"/>
      <c r="C292" s="1"/>
      <c r="D292" s="1"/>
    </row>
    <row r="293" spans="2:4" x14ac:dyDescent="0.2">
      <c r="B293" s="1"/>
      <c r="C293" s="1"/>
      <c r="D293" s="1"/>
    </row>
    <row r="294" spans="2:4" x14ac:dyDescent="0.2">
      <c r="B294" s="1"/>
      <c r="C294" s="1"/>
      <c r="D294" s="1"/>
    </row>
    <row r="295" spans="2:4" x14ac:dyDescent="0.2">
      <c r="B295" s="1"/>
      <c r="C295" s="1"/>
      <c r="D295" s="1"/>
    </row>
    <row r="296" spans="2:4" x14ac:dyDescent="0.2">
      <c r="B296" s="1"/>
      <c r="C296" s="1"/>
      <c r="D296" s="1"/>
    </row>
    <row r="297" spans="2:4" x14ac:dyDescent="0.2">
      <c r="B297" s="1"/>
      <c r="C297" s="1"/>
      <c r="D297" s="1"/>
    </row>
    <row r="298" spans="2:4" x14ac:dyDescent="0.2">
      <c r="B298" s="1"/>
      <c r="C298" s="1"/>
      <c r="D298" s="1"/>
    </row>
    <row r="299" spans="2:4" x14ac:dyDescent="0.2">
      <c r="B299" s="1"/>
      <c r="C299" s="1"/>
      <c r="D299" s="1"/>
    </row>
    <row r="300" spans="2:4" x14ac:dyDescent="0.2">
      <c r="B300" s="1"/>
      <c r="C300" s="1"/>
      <c r="D300" s="1"/>
    </row>
    <row r="301" spans="2:4" x14ac:dyDescent="0.2">
      <c r="B301" s="1"/>
      <c r="C301" s="1"/>
      <c r="D301" s="1"/>
    </row>
    <row r="302" spans="2:4" x14ac:dyDescent="0.2">
      <c r="B302" s="1"/>
      <c r="C302" s="1"/>
      <c r="D302" s="1"/>
    </row>
    <row r="303" spans="2:4" x14ac:dyDescent="0.2">
      <c r="B303" s="1"/>
      <c r="C303" s="1"/>
      <c r="D303" s="1"/>
    </row>
    <row r="304" spans="2:4" x14ac:dyDescent="0.2">
      <c r="B304" s="1"/>
      <c r="C304" s="1"/>
      <c r="D304" s="1"/>
    </row>
    <row r="305" spans="2:4" x14ac:dyDescent="0.2">
      <c r="B305" s="1"/>
      <c r="C305" s="1"/>
      <c r="D305" s="1"/>
    </row>
    <row r="306" spans="2:4" x14ac:dyDescent="0.2">
      <c r="B306" s="1"/>
      <c r="C306" s="1"/>
      <c r="D306" s="1"/>
    </row>
    <row r="307" spans="2:4" x14ac:dyDescent="0.2">
      <c r="B307" s="1"/>
      <c r="C307" s="1"/>
      <c r="D307" s="1"/>
    </row>
    <row r="308" spans="2:4" x14ac:dyDescent="0.2">
      <c r="B308" s="1"/>
      <c r="C308" s="1"/>
      <c r="D308" s="1"/>
    </row>
    <row r="309" spans="2:4" x14ac:dyDescent="0.2">
      <c r="B309" s="1"/>
      <c r="C309" s="1"/>
      <c r="D309" s="1"/>
    </row>
    <row r="310" spans="2:4" x14ac:dyDescent="0.2">
      <c r="B310" s="1"/>
      <c r="C310" s="1"/>
      <c r="D310" s="1"/>
    </row>
    <row r="311" spans="2:4" x14ac:dyDescent="0.2">
      <c r="B311" s="1"/>
      <c r="C311" s="1"/>
      <c r="D311" s="1"/>
    </row>
    <row r="312" spans="2:4" x14ac:dyDescent="0.2">
      <c r="B312" s="1"/>
      <c r="C312" s="1"/>
      <c r="D312" s="1"/>
    </row>
    <row r="313" spans="2:4" x14ac:dyDescent="0.2">
      <c r="B313" s="1"/>
      <c r="C313" s="1"/>
      <c r="D313" s="1"/>
    </row>
    <row r="314" spans="2:4" x14ac:dyDescent="0.2">
      <c r="B314" s="1"/>
      <c r="C314" s="1"/>
      <c r="D314" s="1"/>
    </row>
    <row r="315" spans="2:4" x14ac:dyDescent="0.2">
      <c r="B315" s="1"/>
      <c r="C315" s="1"/>
      <c r="D315" s="1"/>
    </row>
    <row r="316" spans="2:4" x14ac:dyDescent="0.2">
      <c r="B316" s="1"/>
      <c r="C316" s="1"/>
      <c r="D316" s="1"/>
    </row>
    <row r="317" spans="2:4" x14ac:dyDescent="0.2">
      <c r="B317" s="1"/>
      <c r="C317" s="1"/>
      <c r="D317" s="1"/>
    </row>
    <row r="318" spans="2:4" x14ac:dyDescent="0.2">
      <c r="B318" s="1"/>
      <c r="C318" s="1"/>
      <c r="D318" s="1"/>
    </row>
    <row r="319" spans="2:4" x14ac:dyDescent="0.2">
      <c r="B319" s="1"/>
      <c r="C319" s="1"/>
      <c r="D319" s="1"/>
    </row>
    <row r="320" spans="2:4" x14ac:dyDescent="0.2">
      <c r="B320" s="1"/>
      <c r="C320" s="1"/>
      <c r="D320" s="1"/>
    </row>
    <row r="321" spans="2:4" x14ac:dyDescent="0.2">
      <c r="B321" s="1"/>
      <c r="C321" s="1"/>
      <c r="D321" s="1"/>
    </row>
    <row r="322" spans="2:4" x14ac:dyDescent="0.2">
      <c r="B322" s="1"/>
      <c r="C322" s="1"/>
      <c r="D322" s="1"/>
    </row>
    <row r="323" spans="2:4" x14ac:dyDescent="0.2">
      <c r="B323" s="1"/>
      <c r="C323" s="1"/>
      <c r="D323" s="1"/>
    </row>
    <row r="324" spans="2:4" x14ac:dyDescent="0.2">
      <c r="B324" s="1"/>
      <c r="C324" s="1"/>
      <c r="D324" s="1"/>
    </row>
    <row r="325" spans="2:4" x14ac:dyDescent="0.2">
      <c r="B325" s="1"/>
      <c r="C325" s="1"/>
      <c r="D325" s="1"/>
    </row>
    <row r="326" spans="2:4" x14ac:dyDescent="0.2">
      <c r="B326" s="1"/>
      <c r="C326" s="1"/>
      <c r="D326" s="1"/>
    </row>
    <row r="327" spans="2:4" x14ac:dyDescent="0.2">
      <c r="B327" s="1"/>
      <c r="C327" s="1"/>
      <c r="D327" s="1"/>
    </row>
    <row r="328" spans="2:4" x14ac:dyDescent="0.2">
      <c r="B328" s="1"/>
      <c r="C328" s="1"/>
      <c r="D328" s="1"/>
    </row>
    <row r="329" spans="2:4" x14ac:dyDescent="0.2">
      <c r="B329" s="1"/>
      <c r="C329" s="1"/>
      <c r="D329" s="1"/>
    </row>
    <row r="330" spans="2:4" x14ac:dyDescent="0.2">
      <c r="B330" s="1"/>
      <c r="C330" s="1"/>
      <c r="D330" s="1"/>
    </row>
    <row r="331" spans="2:4" x14ac:dyDescent="0.2">
      <c r="B331" s="1"/>
      <c r="C331" s="1"/>
      <c r="D331" s="1"/>
    </row>
    <row r="332" spans="2:4" x14ac:dyDescent="0.2">
      <c r="B332" s="1"/>
      <c r="C332" s="1"/>
      <c r="D332" s="1"/>
    </row>
    <row r="333" spans="2:4" x14ac:dyDescent="0.2">
      <c r="B333" s="1"/>
      <c r="C333" s="1"/>
      <c r="D333" s="1"/>
    </row>
    <row r="334" spans="2:4" x14ac:dyDescent="0.2">
      <c r="B334" s="1"/>
      <c r="C334" s="1"/>
      <c r="D334" s="1"/>
    </row>
    <row r="335" spans="2:4" x14ac:dyDescent="0.2">
      <c r="B335" s="1"/>
      <c r="C335" s="1"/>
      <c r="D335" s="1"/>
    </row>
    <row r="336" spans="2:4" x14ac:dyDescent="0.2">
      <c r="B336" s="1"/>
      <c r="C336" s="1"/>
      <c r="D336" s="1"/>
    </row>
    <row r="337" spans="2:4" x14ac:dyDescent="0.2">
      <c r="B337" s="1"/>
      <c r="C337" s="1"/>
      <c r="D337" s="1"/>
    </row>
    <row r="338" spans="2:4" x14ac:dyDescent="0.2">
      <c r="B338" s="1"/>
      <c r="C338" s="1"/>
      <c r="D338" s="1"/>
    </row>
    <row r="339" spans="2:4" x14ac:dyDescent="0.2">
      <c r="B339" s="1"/>
      <c r="C339" s="1"/>
      <c r="D339" s="1"/>
    </row>
    <row r="340" spans="2:4" x14ac:dyDescent="0.2">
      <c r="B340" s="1"/>
      <c r="C340" s="1"/>
      <c r="D340" s="1"/>
    </row>
    <row r="341" spans="2:4" x14ac:dyDescent="0.2">
      <c r="B341" s="1"/>
      <c r="C341" s="1"/>
      <c r="D341" s="1"/>
    </row>
    <row r="342" spans="2:4" x14ac:dyDescent="0.2">
      <c r="B342" s="1"/>
      <c r="C342" s="1"/>
      <c r="D342" s="1"/>
    </row>
    <row r="343" spans="2:4" x14ac:dyDescent="0.2">
      <c r="B343" s="1"/>
      <c r="C343" s="1"/>
      <c r="D343" s="1"/>
    </row>
    <row r="344" spans="2:4" x14ac:dyDescent="0.2">
      <c r="B344" s="1"/>
      <c r="C344" s="1"/>
      <c r="D344" s="1"/>
    </row>
    <row r="345" spans="2:4" x14ac:dyDescent="0.2">
      <c r="B345" s="1"/>
      <c r="C345" s="1"/>
      <c r="D345" s="1"/>
    </row>
    <row r="346" spans="2:4" x14ac:dyDescent="0.2">
      <c r="B346" s="1"/>
      <c r="C346" s="1"/>
      <c r="D346" s="1"/>
    </row>
    <row r="347" spans="2:4" x14ac:dyDescent="0.2">
      <c r="B347" s="1"/>
      <c r="C347" s="1"/>
      <c r="D347" s="1"/>
    </row>
    <row r="348" spans="2:4" x14ac:dyDescent="0.2">
      <c r="B348" s="1"/>
      <c r="C348" s="1"/>
      <c r="D348" s="1"/>
    </row>
    <row r="349" spans="2:4" x14ac:dyDescent="0.2">
      <c r="B349" s="1"/>
      <c r="C349" s="1"/>
      <c r="D349" s="1"/>
    </row>
    <row r="350" spans="2:4" x14ac:dyDescent="0.2">
      <c r="B350" s="1"/>
      <c r="C350" s="1"/>
      <c r="D350" s="1"/>
    </row>
    <row r="351" spans="2:4" x14ac:dyDescent="0.2">
      <c r="B351" s="1"/>
      <c r="C351" s="1"/>
      <c r="D351" s="1"/>
    </row>
    <row r="352" spans="2:4" x14ac:dyDescent="0.2">
      <c r="B352" s="1"/>
      <c r="C352" s="1"/>
      <c r="D352" s="1"/>
    </row>
    <row r="353" spans="2:4" x14ac:dyDescent="0.2">
      <c r="B353" s="1"/>
      <c r="C353" s="1"/>
      <c r="D353" s="1"/>
    </row>
    <row r="354" spans="2:4" x14ac:dyDescent="0.2">
      <c r="B354" s="1"/>
      <c r="C354" s="1"/>
      <c r="D354" s="1"/>
    </row>
    <row r="355" spans="2:4" x14ac:dyDescent="0.2">
      <c r="B355" s="1"/>
      <c r="C355" s="1"/>
      <c r="D355" s="1"/>
    </row>
    <row r="356" spans="2:4" x14ac:dyDescent="0.2">
      <c r="B356" s="1"/>
      <c r="C356" s="1"/>
      <c r="D356" s="1"/>
    </row>
    <row r="357" spans="2:4" x14ac:dyDescent="0.2">
      <c r="B357" s="1"/>
      <c r="C357" s="1"/>
      <c r="D357" s="1"/>
    </row>
    <row r="358" spans="2:4" x14ac:dyDescent="0.2">
      <c r="B358" s="1"/>
      <c r="C358" s="1"/>
      <c r="D358" s="1"/>
    </row>
    <row r="359" spans="2:4" x14ac:dyDescent="0.2">
      <c r="B359" s="1"/>
      <c r="C359" s="1"/>
      <c r="D359" s="1"/>
    </row>
    <row r="360" spans="2:4" x14ac:dyDescent="0.2">
      <c r="B360" s="1"/>
      <c r="C360" s="1"/>
      <c r="D360" s="1"/>
    </row>
    <row r="361" spans="2:4" x14ac:dyDescent="0.2">
      <c r="B361" s="1"/>
      <c r="C361" s="1"/>
      <c r="D361" s="1"/>
    </row>
    <row r="362" spans="2:4" x14ac:dyDescent="0.2">
      <c r="B362" s="1"/>
      <c r="C362" s="1"/>
      <c r="D362" s="1"/>
    </row>
    <row r="363" spans="2:4" x14ac:dyDescent="0.2">
      <c r="B363" s="1"/>
      <c r="C363" s="1"/>
      <c r="D363" s="1"/>
    </row>
    <row r="364" spans="2:4" x14ac:dyDescent="0.2">
      <c r="B364" s="1"/>
      <c r="C364" s="1"/>
      <c r="D364" s="1"/>
    </row>
    <row r="365" spans="2:4" x14ac:dyDescent="0.2">
      <c r="B365" s="1"/>
      <c r="C365" s="1"/>
      <c r="D365" s="1"/>
    </row>
    <row r="366" spans="2:4" x14ac:dyDescent="0.2">
      <c r="B366" s="1"/>
      <c r="C366" s="1"/>
      <c r="D366" s="1"/>
    </row>
    <row r="367" spans="2:4" x14ac:dyDescent="0.2">
      <c r="B367" s="1"/>
      <c r="C367" s="1"/>
      <c r="D367" s="1"/>
    </row>
    <row r="368" spans="2:4" x14ac:dyDescent="0.2">
      <c r="B368" s="1"/>
      <c r="C368" s="1"/>
      <c r="D368" s="1"/>
    </row>
    <row r="369" spans="2:4" x14ac:dyDescent="0.2">
      <c r="B369" s="1"/>
      <c r="C369" s="1"/>
      <c r="D369" s="1"/>
    </row>
    <row r="370" spans="2:4" x14ac:dyDescent="0.2">
      <c r="B370" s="1"/>
      <c r="C370" s="1"/>
      <c r="D370" s="1"/>
    </row>
    <row r="371" spans="2:4" x14ac:dyDescent="0.2">
      <c r="B371" s="1"/>
      <c r="C371" s="1"/>
      <c r="D371" s="1"/>
    </row>
    <row r="372" spans="2:4" x14ac:dyDescent="0.2">
      <c r="B372" s="1"/>
      <c r="C372" s="1"/>
      <c r="D372" s="1"/>
    </row>
    <row r="373" spans="2:4" x14ac:dyDescent="0.2">
      <c r="B373" s="1"/>
      <c r="C373" s="1"/>
      <c r="D373" s="1"/>
    </row>
    <row r="374" spans="2:4" x14ac:dyDescent="0.2">
      <c r="B374" s="1"/>
      <c r="C374" s="1"/>
      <c r="D374" s="1"/>
    </row>
    <row r="375" spans="2:4" x14ac:dyDescent="0.2">
      <c r="B375" s="1"/>
      <c r="C375" s="1"/>
      <c r="D375" s="1"/>
    </row>
    <row r="376" spans="2:4" x14ac:dyDescent="0.2">
      <c r="B376" s="1"/>
      <c r="C376" s="1"/>
      <c r="D376" s="1"/>
    </row>
    <row r="377" spans="2:4" x14ac:dyDescent="0.2">
      <c r="B377" s="1"/>
      <c r="C377" s="1"/>
      <c r="D377" s="1"/>
    </row>
    <row r="378" spans="2:4" x14ac:dyDescent="0.2">
      <c r="B378" s="1"/>
      <c r="C378" s="1"/>
      <c r="D378" s="1"/>
    </row>
    <row r="379" spans="2:4" x14ac:dyDescent="0.2">
      <c r="B379" s="1"/>
      <c r="C379" s="1"/>
      <c r="D379" s="1"/>
    </row>
    <row r="380" spans="2:4" x14ac:dyDescent="0.2">
      <c r="B380" s="1"/>
      <c r="C380" s="1"/>
      <c r="D380" s="1"/>
    </row>
    <row r="381" spans="2:4" x14ac:dyDescent="0.2">
      <c r="B381" s="1"/>
      <c r="C381" s="1"/>
      <c r="D381" s="1"/>
    </row>
    <row r="382" spans="2:4" x14ac:dyDescent="0.2">
      <c r="B382" s="1"/>
      <c r="C382" s="1"/>
      <c r="D382" s="1"/>
    </row>
    <row r="383" spans="2:4" x14ac:dyDescent="0.2">
      <c r="B383" s="1"/>
      <c r="C383" s="1"/>
      <c r="D383" s="1"/>
    </row>
    <row r="384" spans="2:4" x14ac:dyDescent="0.2">
      <c r="B384" s="1"/>
      <c r="C384" s="1"/>
      <c r="D384" s="1"/>
    </row>
    <row r="385" spans="2:4" x14ac:dyDescent="0.2">
      <c r="B385" s="1"/>
      <c r="C385" s="1"/>
      <c r="D385" s="1"/>
    </row>
    <row r="386" spans="2:4" x14ac:dyDescent="0.2">
      <c r="B386" s="1"/>
      <c r="C386" s="1"/>
      <c r="D386" s="1"/>
    </row>
    <row r="387" spans="2:4" x14ac:dyDescent="0.2">
      <c r="B387" s="1"/>
      <c r="C387" s="1"/>
      <c r="D387" s="1"/>
    </row>
    <row r="388" spans="2:4" x14ac:dyDescent="0.2">
      <c r="B388" s="1"/>
      <c r="C388" s="1"/>
      <c r="D388" s="1"/>
    </row>
    <row r="389" spans="2:4" x14ac:dyDescent="0.2">
      <c r="B389" s="1"/>
      <c r="C389" s="1"/>
      <c r="D389" s="1"/>
    </row>
    <row r="390" spans="2:4" x14ac:dyDescent="0.2">
      <c r="B390" s="1"/>
      <c r="C390" s="1"/>
      <c r="D390" s="1"/>
    </row>
    <row r="391" spans="2:4" x14ac:dyDescent="0.2">
      <c r="B391" s="1"/>
      <c r="C391" s="1"/>
      <c r="D391" s="1"/>
    </row>
    <row r="392" spans="2:4" x14ac:dyDescent="0.2">
      <c r="B392" s="1"/>
      <c r="C392" s="1"/>
      <c r="D392" s="1"/>
    </row>
    <row r="393" spans="2:4" x14ac:dyDescent="0.2">
      <c r="B393" s="1"/>
      <c r="C393" s="1"/>
      <c r="D393" s="1"/>
    </row>
    <row r="394" spans="2:4" x14ac:dyDescent="0.2">
      <c r="B394" s="1"/>
      <c r="C394" s="1"/>
      <c r="D394" s="1"/>
    </row>
    <row r="395" spans="2:4" x14ac:dyDescent="0.2">
      <c r="B395" s="1"/>
      <c r="C395" s="1"/>
      <c r="D395" s="1"/>
    </row>
    <row r="396" spans="2:4" x14ac:dyDescent="0.2">
      <c r="B396" s="1"/>
      <c r="C396" s="1"/>
      <c r="D396" s="1"/>
    </row>
    <row r="397" spans="2:4" x14ac:dyDescent="0.2">
      <c r="B397" s="1"/>
      <c r="C397" s="1"/>
      <c r="D397" s="1"/>
    </row>
    <row r="398" spans="2:4" x14ac:dyDescent="0.2">
      <c r="B398" s="1"/>
      <c r="C398" s="1"/>
      <c r="D398" s="1"/>
    </row>
    <row r="399" spans="2:4" x14ac:dyDescent="0.2">
      <c r="B399" s="1"/>
      <c r="C399" s="1"/>
      <c r="D399" s="1"/>
    </row>
    <row r="400" spans="2:4" x14ac:dyDescent="0.2">
      <c r="B400" s="1"/>
      <c r="C400" s="1"/>
      <c r="D400" s="1"/>
    </row>
    <row r="401" spans="2:4" x14ac:dyDescent="0.2">
      <c r="B401" s="1"/>
      <c r="C401" s="1"/>
      <c r="D401" s="1"/>
    </row>
    <row r="402" spans="2:4" x14ac:dyDescent="0.2">
      <c r="B402" s="1"/>
      <c r="C402" s="1"/>
      <c r="D402" s="1"/>
    </row>
    <row r="403" spans="2:4" x14ac:dyDescent="0.2">
      <c r="B403" s="1"/>
      <c r="C403" s="1"/>
      <c r="D403" s="1"/>
    </row>
    <row r="404" spans="2:4" x14ac:dyDescent="0.2">
      <c r="B404" s="1"/>
      <c r="C404" s="1"/>
      <c r="D404" s="1"/>
    </row>
    <row r="405" spans="2:4" x14ac:dyDescent="0.2">
      <c r="B405" s="1"/>
      <c r="C405" s="1"/>
      <c r="D405" s="1"/>
    </row>
    <row r="406" spans="2:4" x14ac:dyDescent="0.2">
      <c r="B406" s="1"/>
      <c r="C406" s="1"/>
      <c r="D406" s="1"/>
    </row>
    <row r="407" spans="2:4" x14ac:dyDescent="0.2">
      <c r="B407" s="1"/>
      <c r="C407" s="1"/>
      <c r="D407" s="1"/>
    </row>
    <row r="408" spans="2:4" x14ac:dyDescent="0.2">
      <c r="B408" s="1"/>
      <c r="C408" s="1"/>
      <c r="D408" s="1"/>
    </row>
    <row r="409" spans="2:4" x14ac:dyDescent="0.2">
      <c r="B409" s="1"/>
      <c r="C409" s="1"/>
      <c r="D409" s="1"/>
    </row>
    <row r="410" spans="2:4" x14ac:dyDescent="0.2">
      <c r="B410" s="1"/>
      <c r="C410" s="1"/>
      <c r="D410" s="1"/>
    </row>
    <row r="411" spans="2:4" x14ac:dyDescent="0.2">
      <c r="B411" s="1"/>
      <c r="C411" s="1"/>
      <c r="D411" s="1"/>
    </row>
    <row r="412" spans="2:4" x14ac:dyDescent="0.2">
      <c r="B412" s="1"/>
      <c r="C412" s="1"/>
      <c r="D412" s="1"/>
    </row>
    <row r="413" spans="2:4" x14ac:dyDescent="0.2">
      <c r="B413" s="1"/>
      <c r="C413" s="1"/>
      <c r="D413" s="1"/>
    </row>
    <row r="414" spans="2:4" x14ac:dyDescent="0.2">
      <c r="B414" s="1"/>
      <c r="C414" s="1"/>
      <c r="D414" s="1"/>
    </row>
    <row r="415" spans="2:4" x14ac:dyDescent="0.2">
      <c r="B415" s="1"/>
      <c r="C415" s="1"/>
      <c r="D415" s="1"/>
    </row>
    <row r="416" spans="2:4" x14ac:dyDescent="0.2">
      <c r="B416" s="1"/>
      <c r="C416" s="1"/>
      <c r="D416" s="1"/>
    </row>
    <row r="417" spans="2:4" x14ac:dyDescent="0.2">
      <c r="B417" s="1"/>
      <c r="C417" s="1"/>
      <c r="D417" s="1"/>
    </row>
    <row r="418" spans="2:4" x14ac:dyDescent="0.2">
      <c r="B418" s="1"/>
      <c r="C418" s="1"/>
      <c r="D418" s="1"/>
    </row>
    <row r="419" spans="2:4" x14ac:dyDescent="0.2">
      <c r="B419" s="1"/>
      <c r="C419" s="1"/>
      <c r="D419" s="1"/>
    </row>
    <row r="420" spans="2:4" x14ac:dyDescent="0.2">
      <c r="B420" s="1"/>
      <c r="C420" s="1"/>
      <c r="D420" s="1"/>
    </row>
    <row r="421" spans="2:4" x14ac:dyDescent="0.2">
      <c r="B421" s="1"/>
      <c r="C421" s="1"/>
      <c r="D421" s="1"/>
    </row>
    <row r="422" spans="2:4" x14ac:dyDescent="0.2">
      <c r="B422" s="1"/>
      <c r="C422" s="1"/>
      <c r="D422" s="1"/>
    </row>
    <row r="423" spans="2:4" x14ac:dyDescent="0.2">
      <c r="B423" s="1"/>
      <c r="C423" s="1"/>
      <c r="D423" s="1"/>
    </row>
    <row r="424" spans="2:4" x14ac:dyDescent="0.2">
      <c r="B424" s="1"/>
      <c r="C424" s="1"/>
      <c r="D424" s="1"/>
    </row>
    <row r="425" spans="2:4" x14ac:dyDescent="0.2">
      <c r="B425" s="1"/>
      <c r="C425" s="1"/>
      <c r="D425" s="1"/>
    </row>
    <row r="426" spans="2:4" x14ac:dyDescent="0.2">
      <c r="B426" s="1"/>
      <c r="C426" s="1"/>
      <c r="D426" s="1"/>
    </row>
    <row r="427" spans="2:4" x14ac:dyDescent="0.2">
      <c r="B427" s="1"/>
      <c r="C427" s="1"/>
      <c r="D427" s="1"/>
    </row>
    <row r="428" spans="2:4" x14ac:dyDescent="0.2">
      <c r="B428" s="1"/>
      <c r="C428" s="1"/>
      <c r="D428" s="1"/>
    </row>
    <row r="429" spans="2:4" x14ac:dyDescent="0.2">
      <c r="B429" s="1"/>
      <c r="C429" s="1"/>
      <c r="D429" s="1"/>
    </row>
    <row r="430" spans="2:4" x14ac:dyDescent="0.2">
      <c r="B430" s="1"/>
      <c r="C430" s="1"/>
      <c r="D430" s="1"/>
    </row>
    <row r="431" spans="2:4" x14ac:dyDescent="0.2">
      <c r="B431" s="1"/>
      <c r="C431" s="1"/>
      <c r="D431" s="1"/>
    </row>
    <row r="432" spans="2:4" x14ac:dyDescent="0.2">
      <c r="B432" s="1"/>
      <c r="C432" s="1"/>
      <c r="D432" s="1"/>
    </row>
    <row r="433" spans="2:4" x14ac:dyDescent="0.2">
      <c r="B433" s="1"/>
      <c r="C433" s="1"/>
      <c r="D433" s="1"/>
    </row>
    <row r="434" spans="2:4" x14ac:dyDescent="0.2">
      <c r="B434" s="1"/>
      <c r="C434" s="1"/>
      <c r="D434" s="1"/>
    </row>
    <row r="435" spans="2:4" x14ac:dyDescent="0.2">
      <c r="B435" s="1"/>
      <c r="C435" s="1"/>
      <c r="D435" s="1"/>
    </row>
    <row r="436" spans="2:4" x14ac:dyDescent="0.2">
      <c r="B436" s="1"/>
      <c r="C436" s="1"/>
      <c r="D436" s="1"/>
    </row>
    <row r="437" spans="2:4" x14ac:dyDescent="0.2">
      <c r="B437" s="1"/>
      <c r="C437" s="1"/>
      <c r="D437" s="1"/>
    </row>
    <row r="438" spans="2:4" x14ac:dyDescent="0.2">
      <c r="B438" s="1"/>
      <c r="C438" s="1"/>
      <c r="D438" s="1"/>
    </row>
    <row r="439" spans="2:4" x14ac:dyDescent="0.2">
      <c r="B439" s="1"/>
      <c r="C439" s="1"/>
      <c r="D439" s="1"/>
    </row>
    <row r="440" spans="2:4" x14ac:dyDescent="0.2">
      <c r="B440" s="1"/>
      <c r="C440" s="1"/>
      <c r="D440" s="1"/>
    </row>
    <row r="441" spans="2:4" x14ac:dyDescent="0.2">
      <c r="B441" s="1"/>
      <c r="C441" s="1"/>
      <c r="D441" s="1"/>
    </row>
    <row r="442" spans="2:4" x14ac:dyDescent="0.2">
      <c r="B442" s="1"/>
      <c r="C442" s="1"/>
      <c r="D442" s="1"/>
    </row>
    <row r="443" spans="2:4" x14ac:dyDescent="0.2">
      <c r="B443" s="1"/>
      <c r="C443" s="1"/>
      <c r="D443" s="1"/>
    </row>
    <row r="444" spans="2:4" x14ac:dyDescent="0.2">
      <c r="B444" s="1"/>
      <c r="C444" s="1"/>
      <c r="D444" s="1"/>
    </row>
    <row r="445" spans="2:4" x14ac:dyDescent="0.2">
      <c r="B445" s="1"/>
      <c r="C445" s="1"/>
      <c r="D445" s="1"/>
    </row>
    <row r="446" spans="2:4" x14ac:dyDescent="0.2">
      <c r="B446" s="1"/>
      <c r="C446" s="1"/>
      <c r="D446" s="1"/>
    </row>
    <row r="447" spans="2:4" x14ac:dyDescent="0.2">
      <c r="B447" s="1"/>
      <c r="C447" s="1"/>
      <c r="D447" s="1"/>
    </row>
    <row r="448" spans="2:4" x14ac:dyDescent="0.2">
      <c r="B448" s="1"/>
      <c r="C448" s="1"/>
      <c r="D448" s="1"/>
    </row>
    <row r="449" spans="2:4" x14ac:dyDescent="0.2">
      <c r="B449" s="1"/>
      <c r="C449" s="1"/>
      <c r="D449" s="1"/>
    </row>
    <row r="450" spans="2:4" x14ac:dyDescent="0.2">
      <c r="B450" s="1"/>
      <c r="C450" s="1"/>
      <c r="D450" s="1"/>
    </row>
    <row r="451" spans="2:4" x14ac:dyDescent="0.2">
      <c r="B451" s="1"/>
      <c r="C451" s="1"/>
      <c r="D451" s="1"/>
    </row>
    <row r="452" spans="2:4" x14ac:dyDescent="0.2">
      <c r="B452" s="1"/>
      <c r="C452" s="1"/>
      <c r="D452" s="1"/>
    </row>
    <row r="453" spans="2:4" x14ac:dyDescent="0.2">
      <c r="B453" s="1"/>
      <c r="C453" s="1"/>
      <c r="D453" s="1"/>
    </row>
    <row r="454" spans="2:4" x14ac:dyDescent="0.2">
      <c r="B454" s="1"/>
      <c r="C454" s="1"/>
      <c r="D454" s="1"/>
    </row>
    <row r="455" spans="2:4" x14ac:dyDescent="0.2">
      <c r="B455" s="1"/>
      <c r="C455" s="1"/>
      <c r="D455" s="1"/>
    </row>
    <row r="456" spans="2:4" x14ac:dyDescent="0.2">
      <c r="B456" s="1"/>
      <c r="C456" s="1"/>
      <c r="D456" s="1"/>
    </row>
    <row r="457" spans="2:4" x14ac:dyDescent="0.2">
      <c r="B457" s="1"/>
      <c r="C457" s="1"/>
      <c r="D457" s="1"/>
    </row>
    <row r="458" spans="2:4" x14ac:dyDescent="0.2">
      <c r="B458" s="1"/>
      <c r="C458" s="1"/>
      <c r="D458" s="1"/>
    </row>
    <row r="459" spans="2:4" x14ac:dyDescent="0.2">
      <c r="B459" s="1"/>
      <c r="C459" s="1"/>
      <c r="D459" s="1"/>
    </row>
    <row r="460" spans="2:4" x14ac:dyDescent="0.2">
      <c r="B460" s="1"/>
      <c r="C460" s="1"/>
      <c r="D460" s="1"/>
    </row>
    <row r="461" spans="2:4" x14ac:dyDescent="0.2">
      <c r="B461" s="1"/>
      <c r="C461" s="1"/>
      <c r="D461" s="1"/>
    </row>
    <row r="462" spans="2:4" x14ac:dyDescent="0.2">
      <c r="B462" s="1"/>
      <c r="C462" s="1"/>
      <c r="D462" s="1"/>
    </row>
    <row r="463" spans="2:4" x14ac:dyDescent="0.2">
      <c r="B463" s="1"/>
      <c r="C463" s="1"/>
      <c r="D463" s="1"/>
    </row>
    <row r="464" spans="2:4" x14ac:dyDescent="0.2">
      <c r="B464" s="1"/>
      <c r="C464" s="1"/>
      <c r="D464" s="1"/>
    </row>
    <row r="465" spans="2:4" x14ac:dyDescent="0.2">
      <c r="B465" s="1"/>
      <c r="C465" s="1"/>
      <c r="D465" s="1"/>
    </row>
    <row r="466" spans="2:4" x14ac:dyDescent="0.2">
      <c r="B466" s="1"/>
      <c r="C466" s="1"/>
      <c r="D466" s="1"/>
    </row>
    <row r="467" spans="2:4" x14ac:dyDescent="0.2">
      <c r="B467" s="1"/>
      <c r="C467" s="1"/>
      <c r="D467" s="1"/>
    </row>
    <row r="468" spans="2:4" x14ac:dyDescent="0.2">
      <c r="B468" s="1"/>
      <c r="C468" s="1"/>
      <c r="D468" s="1"/>
    </row>
    <row r="469" spans="2:4" x14ac:dyDescent="0.2">
      <c r="B469" s="1"/>
      <c r="C469" s="1"/>
      <c r="D469" s="1"/>
    </row>
    <row r="470" spans="2:4" x14ac:dyDescent="0.2">
      <c r="B470" s="11"/>
      <c r="C470" s="11"/>
      <c r="D470" s="11"/>
    </row>
    <row r="471" spans="2:4" x14ac:dyDescent="0.2">
      <c r="B471" s="11"/>
      <c r="C471" s="11"/>
      <c r="D471" s="11"/>
    </row>
    <row r="472" spans="2:4" x14ac:dyDescent="0.2">
      <c r="B472" s="11"/>
      <c r="C472" s="11"/>
      <c r="D472" s="11"/>
    </row>
    <row r="473" spans="2:4" x14ac:dyDescent="0.2">
      <c r="B473" s="11"/>
      <c r="C473" s="11"/>
      <c r="D473" s="11"/>
    </row>
    <row r="474" spans="2:4" x14ac:dyDescent="0.2">
      <c r="B474" s="11"/>
      <c r="C474" s="11"/>
      <c r="D474" s="11"/>
    </row>
    <row r="475" spans="2:4" x14ac:dyDescent="0.2">
      <c r="B475" s="11"/>
      <c r="C475" s="11"/>
      <c r="D475" s="11"/>
    </row>
    <row r="476" spans="2:4" x14ac:dyDescent="0.2">
      <c r="B476" s="11"/>
      <c r="C476" s="11"/>
      <c r="D476" s="11"/>
    </row>
    <row r="477" spans="2:4" x14ac:dyDescent="0.2">
      <c r="B477" s="11"/>
      <c r="C477" s="11"/>
      <c r="D477" s="11"/>
    </row>
    <row r="478" spans="2:4" x14ac:dyDescent="0.2">
      <c r="B478" s="11"/>
      <c r="C478" s="11"/>
      <c r="D478" s="11"/>
    </row>
    <row r="479" spans="2:4" x14ac:dyDescent="0.2">
      <c r="B479" s="11"/>
      <c r="C479" s="11"/>
      <c r="D479" s="11"/>
    </row>
    <row r="480" spans="2:4" x14ac:dyDescent="0.2">
      <c r="B480" s="11"/>
      <c r="C480" s="11"/>
      <c r="D480" s="11"/>
    </row>
    <row r="481" spans="2:4" x14ac:dyDescent="0.2">
      <c r="B481" s="11"/>
      <c r="C481" s="11"/>
      <c r="D481" s="11"/>
    </row>
    <row r="482" spans="2:4" x14ac:dyDescent="0.2">
      <c r="B482" s="11"/>
      <c r="C482" s="11"/>
      <c r="D482" s="11"/>
    </row>
    <row r="483" spans="2:4" x14ac:dyDescent="0.2">
      <c r="B483" s="11"/>
      <c r="C483" s="11"/>
      <c r="D483" s="11"/>
    </row>
    <row r="484" spans="2:4" x14ac:dyDescent="0.2">
      <c r="B484" s="11"/>
      <c r="C484" s="11"/>
      <c r="D484" s="11"/>
    </row>
    <row r="485" spans="2:4" x14ac:dyDescent="0.2">
      <c r="B485" s="11"/>
      <c r="C485" s="11"/>
      <c r="D485" s="11"/>
    </row>
    <row r="486" spans="2:4" x14ac:dyDescent="0.2">
      <c r="B486" s="11"/>
      <c r="C486" s="11"/>
      <c r="D486" s="11"/>
    </row>
    <row r="487" spans="2:4" x14ac:dyDescent="0.2">
      <c r="B487" s="11"/>
      <c r="C487" s="11"/>
      <c r="D487" s="11"/>
    </row>
    <row r="488" spans="2:4" x14ac:dyDescent="0.2">
      <c r="B488" s="11"/>
      <c r="C488" s="11"/>
      <c r="D488" s="11"/>
    </row>
    <row r="489" spans="2:4" x14ac:dyDescent="0.2">
      <c r="B489" s="11"/>
      <c r="C489" s="11"/>
      <c r="D489" s="11"/>
    </row>
    <row r="490" spans="2:4" x14ac:dyDescent="0.2">
      <c r="B490" s="11"/>
      <c r="C490" s="11"/>
      <c r="D490" s="11"/>
    </row>
    <row r="491" spans="2:4" x14ac:dyDescent="0.2">
      <c r="B491" s="11"/>
      <c r="C491" s="11"/>
      <c r="D491" s="11"/>
    </row>
    <row r="492" spans="2:4" x14ac:dyDescent="0.2">
      <c r="B492" s="11"/>
      <c r="C492" s="11"/>
      <c r="D492" s="11"/>
    </row>
    <row r="493" spans="2:4" x14ac:dyDescent="0.2">
      <c r="B493" s="11"/>
      <c r="C493" s="11"/>
      <c r="D493" s="11"/>
    </row>
    <row r="494" spans="2:4" x14ac:dyDescent="0.2">
      <c r="B494" s="11"/>
      <c r="C494" s="11"/>
      <c r="D494" s="11"/>
    </row>
    <row r="495" spans="2:4" x14ac:dyDescent="0.2">
      <c r="B495" s="11"/>
      <c r="C495" s="11"/>
      <c r="D495" s="11"/>
    </row>
    <row r="496" spans="2:4" x14ac:dyDescent="0.2">
      <c r="B496" s="11"/>
      <c r="C496" s="11"/>
      <c r="D496" s="11"/>
    </row>
    <row r="497" spans="2:4" x14ac:dyDescent="0.2">
      <c r="B497" s="11"/>
      <c r="C497" s="11"/>
      <c r="D497" s="11"/>
    </row>
    <row r="498" spans="2:4" x14ac:dyDescent="0.2">
      <c r="B498" s="11"/>
      <c r="C498" s="11"/>
      <c r="D498" s="11"/>
    </row>
    <row r="499" spans="2:4" x14ac:dyDescent="0.2">
      <c r="B499" s="11"/>
      <c r="C499" s="11"/>
      <c r="D499" s="11"/>
    </row>
    <row r="500" spans="2:4" x14ac:dyDescent="0.2">
      <c r="B500" s="11"/>
      <c r="C500" s="11"/>
      <c r="D500" s="11"/>
    </row>
    <row r="501" spans="2:4" x14ac:dyDescent="0.2">
      <c r="B501" s="11"/>
      <c r="C501" s="11"/>
      <c r="D501" s="11"/>
    </row>
    <row r="502" spans="2:4" x14ac:dyDescent="0.2">
      <c r="B502" s="11"/>
      <c r="C502" s="11"/>
      <c r="D502" s="11"/>
    </row>
    <row r="503" spans="2:4" x14ac:dyDescent="0.2">
      <c r="B503" s="11"/>
      <c r="C503" s="11"/>
      <c r="D503" s="11"/>
    </row>
    <row r="504" spans="2:4" x14ac:dyDescent="0.2">
      <c r="B504" s="11"/>
      <c r="C504" s="11"/>
      <c r="D504" s="11"/>
    </row>
    <row r="505" spans="2:4" x14ac:dyDescent="0.2">
      <c r="B505" s="11"/>
      <c r="C505" s="11"/>
      <c r="D505" s="11"/>
    </row>
    <row r="506" spans="2:4" x14ac:dyDescent="0.2">
      <c r="B506" s="11"/>
      <c r="C506" s="11"/>
      <c r="D506" s="11"/>
    </row>
    <row r="507" spans="2:4" x14ac:dyDescent="0.2">
      <c r="B507" s="11"/>
      <c r="C507" s="11"/>
      <c r="D507" s="11"/>
    </row>
    <row r="508" spans="2:4" x14ac:dyDescent="0.2">
      <c r="B508" s="11"/>
      <c r="C508" s="11"/>
      <c r="D508" s="11"/>
    </row>
    <row r="509" spans="2:4" x14ac:dyDescent="0.2">
      <c r="B509" s="11"/>
      <c r="C509" s="11"/>
      <c r="D509" s="11"/>
    </row>
    <row r="510" spans="2:4" x14ac:dyDescent="0.2">
      <c r="B510" s="11"/>
      <c r="C510" s="11"/>
      <c r="D510" s="11"/>
    </row>
    <row r="511" spans="2:4" x14ac:dyDescent="0.2">
      <c r="B511" s="11"/>
      <c r="C511" s="11"/>
      <c r="D511" s="11"/>
    </row>
    <row r="512" spans="2:4" x14ac:dyDescent="0.2">
      <c r="B512" s="11"/>
      <c r="C512" s="11"/>
      <c r="D512" s="11"/>
    </row>
    <row r="513" spans="2:4" x14ac:dyDescent="0.2">
      <c r="B513" s="11"/>
      <c r="C513" s="11"/>
      <c r="D513" s="11"/>
    </row>
    <row r="514" spans="2:4" x14ac:dyDescent="0.2">
      <c r="B514" s="11"/>
      <c r="C514" s="11"/>
      <c r="D514" s="11"/>
    </row>
    <row r="515" spans="2:4" x14ac:dyDescent="0.2">
      <c r="B515" s="11"/>
      <c r="C515" s="11"/>
      <c r="D515" s="11"/>
    </row>
    <row r="516" spans="2:4" x14ac:dyDescent="0.2">
      <c r="B516" s="11"/>
      <c r="C516" s="11"/>
      <c r="D516" s="11"/>
    </row>
    <row r="517" spans="2:4" x14ac:dyDescent="0.2">
      <c r="B517" s="11"/>
      <c r="C517" s="11"/>
      <c r="D517" s="11"/>
    </row>
    <row r="518" spans="2:4" x14ac:dyDescent="0.2">
      <c r="B518" s="11"/>
      <c r="C518" s="11"/>
      <c r="D518" s="11"/>
    </row>
    <row r="519" spans="2:4" x14ac:dyDescent="0.2">
      <c r="B519" s="11"/>
      <c r="C519" s="11"/>
      <c r="D519" s="11"/>
    </row>
    <row r="520" spans="2:4" x14ac:dyDescent="0.2">
      <c r="B520" s="11"/>
      <c r="C520" s="11"/>
      <c r="D520" s="11"/>
    </row>
    <row r="521" spans="2:4" x14ac:dyDescent="0.2">
      <c r="B521" s="11"/>
      <c r="C521" s="11"/>
      <c r="D521" s="11"/>
    </row>
    <row r="522" spans="2:4" x14ac:dyDescent="0.2">
      <c r="B522" s="11"/>
      <c r="C522" s="11"/>
      <c r="D522" s="11"/>
    </row>
    <row r="523" spans="2:4" x14ac:dyDescent="0.2">
      <c r="B523" s="11"/>
      <c r="C523" s="11"/>
      <c r="D523" s="11"/>
    </row>
    <row r="524" spans="2:4" x14ac:dyDescent="0.2">
      <c r="B524" s="11"/>
      <c r="C524" s="11"/>
      <c r="D524" s="11"/>
    </row>
    <row r="525" spans="2:4" x14ac:dyDescent="0.2">
      <c r="B525" s="11"/>
      <c r="C525" s="11"/>
      <c r="D525" s="11"/>
    </row>
    <row r="526" spans="2:4" x14ac:dyDescent="0.2">
      <c r="B526" s="11"/>
      <c r="C526" s="11"/>
      <c r="D526" s="11"/>
    </row>
    <row r="527" spans="2:4" x14ac:dyDescent="0.2">
      <c r="B527" s="11"/>
      <c r="C527" s="11"/>
      <c r="D527" s="11"/>
    </row>
    <row r="528" spans="2:4" x14ac:dyDescent="0.2">
      <c r="B528" s="11"/>
      <c r="C528" s="11"/>
      <c r="D528" s="11"/>
    </row>
    <row r="529" spans="2:4" x14ac:dyDescent="0.2">
      <c r="B529" s="11"/>
      <c r="C529" s="11"/>
      <c r="D529" s="11"/>
    </row>
    <row r="530" spans="2:4" x14ac:dyDescent="0.2">
      <c r="B530" s="11"/>
      <c r="C530" s="11"/>
      <c r="D530" s="11"/>
    </row>
    <row r="531" spans="2:4" x14ac:dyDescent="0.2">
      <c r="B531" s="11"/>
      <c r="C531" s="11"/>
      <c r="D531" s="11"/>
    </row>
    <row r="532" spans="2:4" x14ac:dyDescent="0.2">
      <c r="B532" s="11"/>
      <c r="C532" s="11"/>
      <c r="D532" s="11"/>
    </row>
    <row r="533" spans="2:4" x14ac:dyDescent="0.2">
      <c r="B533" s="11"/>
      <c r="C533" s="11"/>
      <c r="D533" s="11"/>
    </row>
    <row r="534" spans="2:4" x14ac:dyDescent="0.2">
      <c r="B534" s="11"/>
      <c r="C534" s="11"/>
      <c r="D534" s="11"/>
    </row>
    <row r="535" spans="2:4" x14ac:dyDescent="0.2">
      <c r="B535" s="11"/>
      <c r="C535" s="11"/>
      <c r="D535" s="11"/>
    </row>
    <row r="536" spans="2:4" x14ac:dyDescent="0.2">
      <c r="B536" s="11"/>
      <c r="C536" s="11"/>
      <c r="D536" s="11"/>
    </row>
    <row r="537" spans="2:4" x14ac:dyDescent="0.2">
      <c r="B537" s="11"/>
      <c r="C537" s="11"/>
      <c r="D537" s="11"/>
    </row>
    <row r="538" spans="2:4" x14ac:dyDescent="0.2">
      <c r="B538" s="11"/>
      <c r="C538" s="11"/>
      <c r="D538" s="11"/>
    </row>
    <row r="539" spans="2:4" x14ac:dyDescent="0.2">
      <c r="B539" s="11"/>
      <c r="C539" s="11"/>
      <c r="D539" s="11"/>
    </row>
    <row r="540" spans="2:4" x14ac:dyDescent="0.2">
      <c r="B540" s="11"/>
      <c r="C540" s="11"/>
      <c r="D540" s="11"/>
    </row>
    <row r="541" spans="2:4" x14ac:dyDescent="0.2">
      <c r="B541" s="11"/>
      <c r="C541" s="11"/>
      <c r="D541" s="11"/>
    </row>
    <row r="542" spans="2:4" x14ac:dyDescent="0.2">
      <c r="B542" s="11"/>
      <c r="C542" s="11"/>
      <c r="D542" s="11"/>
    </row>
    <row r="543" spans="2:4" x14ac:dyDescent="0.2">
      <c r="B543" s="11"/>
      <c r="C543" s="11"/>
      <c r="D543" s="11"/>
    </row>
    <row r="544" spans="2:4" x14ac:dyDescent="0.2">
      <c r="B544" s="11"/>
      <c r="C544" s="11"/>
      <c r="D544" s="11"/>
    </row>
    <row r="545" spans="2:4" x14ac:dyDescent="0.2">
      <c r="B545" s="11"/>
      <c r="C545" s="11"/>
      <c r="D545" s="11"/>
    </row>
    <row r="546" spans="2:4" x14ac:dyDescent="0.2">
      <c r="B546" s="11"/>
      <c r="C546" s="11"/>
      <c r="D546" s="11"/>
    </row>
    <row r="547" spans="2:4" x14ac:dyDescent="0.2">
      <c r="B547" s="11"/>
      <c r="C547" s="11"/>
      <c r="D547" s="11"/>
    </row>
    <row r="548" spans="2:4" x14ac:dyDescent="0.2">
      <c r="B548" s="11"/>
      <c r="C548" s="11"/>
      <c r="D548" s="11"/>
    </row>
    <row r="549" spans="2:4" x14ac:dyDescent="0.2">
      <c r="B549" s="11"/>
      <c r="C549" s="11"/>
      <c r="D549" s="11"/>
    </row>
    <row r="550" spans="2:4" x14ac:dyDescent="0.2">
      <c r="B550" s="11"/>
      <c r="C550" s="11"/>
      <c r="D550" s="11"/>
    </row>
    <row r="551" spans="2:4" x14ac:dyDescent="0.2">
      <c r="B551" s="11"/>
      <c r="C551" s="11"/>
      <c r="D551" s="11"/>
    </row>
    <row r="552" spans="2:4" x14ac:dyDescent="0.2">
      <c r="B552" s="11"/>
      <c r="C552" s="11"/>
      <c r="D552" s="11"/>
    </row>
    <row r="553" spans="2:4" x14ac:dyDescent="0.2">
      <c r="B553" s="11"/>
      <c r="C553" s="11"/>
      <c r="D553" s="11"/>
    </row>
    <row r="554" spans="2:4" x14ac:dyDescent="0.2">
      <c r="B554" s="11"/>
      <c r="C554" s="11"/>
      <c r="D554" s="11"/>
    </row>
    <row r="555" spans="2:4" x14ac:dyDescent="0.2">
      <c r="B555" s="11"/>
      <c r="C555" s="11"/>
      <c r="D555" s="11"/>
    </row>
    <row r="556" spans="2:4" x14ac:dyDescent="0.2">
      <c r="B556" s="11"/>
      <c r="C556" s="11"/>
      <c r="D556" s="11"/>
    </row>
    <row r="557" spans="2:4" x14ac:dyDescent="0.2">
      <c r="B557" s="11"/>
      <c r="C557" s="11"/>
      <c r="D557" s="11"/>
    </row>
    <row r="558" spans="2:4" x14ac:dyDescent="0.2">
      <c r="B558" s="11"/>
      <c r="C558" s="11"/>
      <c r="D558" s="11"/>
    </row>
    <row r="559" spans="2:4" x14ac:dyDescent="0.2">
      <c r="B559" s="11"/>
      <c r="C559" s="11"/>
      <c r="D559" s="11"/>
    </row>
    <row r="560" spans="2:4" x14ac:dyDescent="0.2">
      <c r="B560" s="11"/>
      <c r="C560" s="11"/>
      <c r="D560" s="11"/>
    </row>
    <row r="561" spans="2:4" x14ac:dyDescent="0.2">
      <c r="B561" s="11"/>
      <c r="C561" s="11"/>
      <c r="D561" s="11"/>
    </row>
    <row r="562" spans="2:4" x14ac:dyDescent="0.2">
      <c r="B562" s="11"/>
      <c r="C562" s="11"/>
      <c r="D562" s="11"/>
    </row>
    <row r="563" spans="2:4" x14ac:dyDescent="0.2">
      <c r="B563" s="11"/>
      <c r="C563" s="11"/>
      <c r="D563" s="11"/>
    </row>
    <row r="564" spans="2:4" x14ac:dyDescent="0.2">
      <c r="B564" s="11"/>
      <c r="C564" s="11"/>
      <c r="D564" s="11"/>
    </row>
    <row r="565" spans="2:4" x14ac:dyDescent="0.2">
      <c r="B565" s="11"/>
      <c r="C565" s="11"/>
      <c r="D565" s="11"/>
    </row>
    <row r="566" spans="2:4" x14ac:dyDescent="0.2">
      <c r="B566" s="11"/>
      <c r="C566" s="11"/>
      <c r="D566" s="11"/>
    </row>
    <row r="567" spans="2:4" x14ac:dyDescent="0.2">
      <c r="B567" s="11"/>
      <c r="C567" s="11"/>
      <c r="D567" s="11"/>
    </row>
    <row r="568" spans="2:4" x14ac:dyDescent="0.2">
      <c r="B568" s="11"/>
      <c r="C568" s="11"/>
      <c r="D568" s="11"/>
    </row>
    <row r="569" spans="2:4" x14ac:dyDescent="0.2">
      <c r="B569" s="11"/>
      <c r="C569" s="11"/>
      <c r="D569" s="11"/>
    </row>
    <row r="570" spans="2:4" x14ac:dyDescent="0.2">
      <c r="B570" s="11"/>
      <c r="C570" s="11"/>
      <c r="D570" s="11"/>
    </row>
    <row r="571" spans="2:4" x14ac:dyDescent="0.2">
      <c r="B571" s="11"/>
      <c r="C571" s="11"/>
      <c r="D571" s="11"/>
    </row>
    <row r="572" spans="2:4" x14ac:dyDescent="0.2">
      <c r="B572" s="11"/>
      <c r="C572" s="11"/>
      <c r="D572" s="11"/>
    </row>
    <row r="573" spans="2:4" x14ac:dyDescent="0.2">
      <c r="B573" s="11"/>
      <c r="C573" s="11"/>
      <c r="D573" s="11"/>
    </row>
    <row r="574" spans="2:4" x14ac:dyDescent="0.2">
      <c r="B574" s="11"/>
      <c r="C574" s="11"/>
      <c r="D574" s="11"/>
    </row>
    <row r="575" spans="2:4" x14ac:dyDescent="0.2">
      <c r="B575" s="11"/>
      <c r="C575" s="11"/>
      <c r="D575" s="11"/>
    </row>
    <row r="576" spans="2:4" x14ac:dyDescent="0.2">
      <c r="B576" s="11"/>
      <c r="C576" s="11"/>
      <c r="D576" s="11"/>
    </row>
    <row r="577" spans="2:4" x14ac:dyDescent="0.2">
      <c r="B577" s="11"/>
      <c r="C577" s="11"/>
      <c r="D577" s="11"/>
    </row>
    <row r="578" spans="2:4" x14ac:dyDescent="0.2">
      <c r="B578" s="11"/>
      <c r="C578" s="11"/>
      <c r="D578" s="11"/>
    </row>
    <row r="579" spans="2:4" x14ac:dyDescent="0.2">
      <c r="B579" s="11"/>
      <c r="C579" s="11"/>
      <c r="D579" s="11"/>
    </row>
    <row r="580" spans="2:4" x14ac:dyDescent="0.2">
      <c r="B580" s="11"/>
      <c r="C580" s="11"/>
      <c r="D580" s="11"/>
    </row>
    <row r="581" spans="2:4" x14ac:dyDescent="0.2">
      <c r="B581" s="11"/>
      <c r="C581" s="11"/>
      <c r="D581" s="11"/>
    </row>
    <row r="582" spans="2:4" x14ac:dyDescent="0.2">
      <c r="B582" s="11"/>
      <c r="C582" s="11"/>
      <c r="D582" s="11"/>
    </row>
    <row r="583" spans="2:4" x14ac:dyDescent="0.2">
      <c r="B583" s="11"/>
      <c r="C583" s="11"/>
      <c r="D583" s="11"/>
    </row>
    <row r="584" spans="2:4" x14ac:dyDescent="0.2">
      <c r="B584" s="11"/>
      <c r="C584" s="11"/>
      <c r="D584" s="11"/>
    </row>
    <row r="585" spans="2:4" x14ac:dyDescent="0.2">
      <c r="B585" s="11"/>
      <c r="C585" s="11"/>
      <c r="D585" s="11"/>
    </row>
    <row r="586" spans="2:4" x14ac:dyDescent="0.2">
      <c r="B586" s="11"/>
      <c r="C586" s="11"/>
      <c r="D586" s="11"/>
    </row>
    <row r="587" spans="2:4" x14ac:dyDescent="0.2">
      <c r="B587" s="11"/>
      <c r="C587" s="11"/>
      <c r="D587" s="11"/>
    </row>
    <row r="588" spans="2:4" x14ac:dyDescent="0.2">
      <c r="B588" s="11"/>
      <c r="C588" s="11"/>
      <c r="D588" s="11"/>
    </row>
    <row r="589" spans="2:4" x14ac:dyDescent="0.2">
      <c r="B589" s="11"/>
      <c r="C589" s="11"/>
      <c r="D589" s="11"/>
    </row>
    <row r="590" spans="2:4" x14ac:dyDescent="0.2">
      <c r="B590" s="11"/>
      <c r="C590" s="11"/>
      <c r="D590" s="11"/>
    </row>
    <row r="591" spans="2:4" x14ac:dyDescent="0.2">
      <c r="B591" s="11"/>
      <c r="C591" s="11"/>
      <c r="D591" s="11"/>
    </row>
    <row r="592" spans="2:4" x14ac:dyDescent="0.2">
      <c r="B592" s="11"/>
      <c r="C592" s="11"/>
      <c r="D592" s="11"/>
    </row>
    <row r="593" spans="2:4" x14ac:dyDescent="0.2">
      <c r="B593" s="11"/>
      <c r="C593" s="11"/>
      <c r="D593" s="11"/>
    </row>
    <row r="594" spans="2:4" x14ac:dyDescent="0.2">
      <c r="B594" s="11"/>
      <c r="C594" s="11"/>
      <c r="D594" s="11"/>
    </row>
    <row r="595" spans="2:4" x14ac:dyDescent="0.2">
      <c r="B595" s="11"/>
      <c r="C595" s="11"/>
      <c r="D595" s="11"/>
    </row>
    <row r="596" spans="2:4" x14ac:dyDescent="0.2">
      <c r="B596" s="11"/>
      <c r="C596" s="11"/>
      <c r="D596" s="11"/>
    </row>
    <row r="597" spans="2:4" x14ac:dyDescent="0.2">
      <c r="B597" s="11"/>
      <c r="C597" s="11"/>
      <c r="D597" s="11"/>
    </row>
    <row r="598" spans="2:4" x14ac:dyDescent="0.2">
      <c r="B598" s="11"/>
      <c r="C598" s="11"/>
      <c r="D598" s="11"/>
    </row>
    <row r="599" spans="2:4" x14ac:dyDescent="0.2">
      <c r="B599" s="11"/>
      <c r="C599" s="11"/>
      <c r="D599" s="11"/>
    </row>
    <row r="600" spans="2:4" x14ac:dyDescent="0.2">
      <c r="B600" s="11"/>
      <c r="C600" s="11"/>
      <c r="D600" s="11"/>
    </row>
    <row r="601" spans="2:4" x14ac:dyDescent="0.2">
      <c r="B601" s="11"/>
      <c r="C601" s="11"/>
      <c r="D601" s="11"/>
    </row>
    <row r="602" spans="2:4" x14ac:dyDescent="0.2">
      <c r="B602" s="11"/>
      <c r="C602" s="11"/>
      <c r="D602" s="11"/>
    </row>
    <row r="603" spans="2:4" x14ac:dyDescent="0.2">
      <c r="B603" s="11"/>
      <c r="C603" s="11"/>
      <c r="D603" s="11"/>
    </row>
    <row r="604" spans="2:4" x14ac:dyDescent="0.2">
      <c r="B604" s="11"/>
      <c r="C604" s="11"/>
      <c r="D604" s="11"/>
    </row>
    <row r="605" spans="2:4" x14ac:dyDescent="0.2">
      <c r="B605" s="11"/>
      <c r="C605" s="11"/>
      <c r="D605" s="11"/>
    </row>
    <row r="606" spans="2:4" x14ac:dyDescent="0.2">
      <c r="B606" s="11"/>
      <c r="C606" s="11"/>
      <c r="D606" s="11"/>
    </row>
    <row r="607" spans="2:4" x14ac:dyDescent="0.2">
      <c r="B607" s="11"/>
      <c r="C607" s="11"/>
      <c r="D607" s="11"/>
    </row>
    <row r="608" spans="2:4" x14ac:dyDescent="0.2">
      <c r="B608" s="11"/>
      <c r="C608" s="11"/>
      <c r="D608" s="11"/>
    </row>
    <row r="609" spans="2:4" x14ac:dyDescent="0.2">
      <c r="B609" s="11"/>
      <c r="C609" s="11"/>
      <c r="D609" s="11"/>
    </row>
    <row r="610" spans="2:4" x14ac:dyDescent="0.2">
      <c r="B610" s="11"/>
      <c r="C610" s="11"/>
      <c r="D610" s="11"/>
    </row>
    <row r="611" spans="2:4" x14ac:dyDescent="0.2">
      <c r="B611" s="11"/>
      <c r="C611" s="11"/>
      <c r="D611" s="11"/>
    </row>
    <row r="612" spans="2:4" x14ac:dyDescent="0.2">
      <c r="B612" s="11"/>
      <c r="C612" s="11"/>
      <c r="D612" s="11"/>
    </row>
    <row r="613" spans="2:4" x14ac:dyDescent="0.2">
      <c r="B613" s="11"/>
      <c r="C613" s="11"/>
      <c r="D613" s="11"/>
    </row>
    <row r="614" spans="2:4" x14ac:dyDescent="0.2">
      <c r="B614" s="11"/>
      <c r="C614" s="11"/>
      <c r="D614" s="11"/>
    </row>
    <row r="615" spans="2:4" x14ac:dyDescent="0.2">
      <c r="B615" s="11"/>
      <c r="C615" s="11"/>
      <c r="D615" s="11"/>
    </row>
    <row r="616" spans="2:4" x14ac:dyDescent="0.2">
      <c r="B616" s="11"/>
      <c r="C616" s="11"/>
      <c r="D616" s="11"/>
    </row>
    <row r="617" spans="2:4" x14ac:dyDescent="0.2">
      <c r="B617" s="11"/>
      <c r="C617" s="11"/>
      <c r="D617" s="11"/>
    </row>
    <row r="618" spans="2:4" x14ac:dyDescent="0.2">
      <c r="B618" s="11"/>
      <c r="C618" s="11"/>
      <c r="D618" s="11"/>
    </row>
    <row r="619" spans="2:4" x14ac:dyDescent="0.2">
      <c r="B619" s="11"/>
      <c r="C619" s="11"/>
      <c r="D619" s="11"/>
    </row>
    <row r="620" spans="2:4" x14ac:dyDescent="0.2">
      <c r="B620" s="11"/>
      <c r="C620" s="11"/>
      <c r="D620" s="11"/>
    </row>
    <row r="621" spans="2:4" x14ac:dyDescent="0.2">
      <c r="B621" s="11"/>
      <c r="C621" s="11"/>
      <c r="D621" s="11"/>
    </row>
    <row r="622" spans="2:4" x14ac:dyDescent="0.2">
      <c r="B622" s="11"/>
      <c r="C622" s="11"/>
      <c r="D622" s="11"/>
    </row>
    <row r="623" spans="2:4" x14ac:dyDescent="0.2">
      <c r="B623" s="11"/>
      <c r="C623" s="11"/>
      <c r="D623" s="11"/>
    </row>
    <row r="624" spans="2:4" x14ac:dyDescent="0.2">
      <c r="B624" s="11"/>
      <c r="C624" s="11"/>
      <c r="D624" s="11"/>
    </row>
    <row r="625" spans="2:4" x14ac:dyDescent="0.2">
      <c r="B625" s="11"/>
      <c r="C625" s="11"/>
      <c r="D625" s="11"/>
    </row>
    <row r="626" spans="2:4" x14ac:dyDescent="0.2">
      <c r="B626" s="11"/>
      <c r="C626" s="11"/>
      <c r="D626" s="11"/>
    </row>
    <row r="627" spans="2:4" x14ac:dyDescent="0.2">
      <c r="B627" s="11"/>
      <c r="C627" s="11"/>
      <c r="D627" s="11"/>
    </row>
    <row r="628" spans="2:4" x14ac:dyDescent="0.2">
      <c r="B628" s="11"/>
      <c r="C628" s="11"/>
      <c r="D628" s="11"/>
    </row>
    <row r="629" spans="2:4" x14ac:dyDescent="0.2">
      <c r="B629" s="11"/>
      <c r="C629" s="11"/>
      <c r="D629" s="11"/>
    </row>
    <row r="630" spans="2:4" x14ac:dyDescent="0.2">
      <c r="B630" s="11"/>
      <c r="C630" s="11"/>
      <c r="D630" s="11"/>
    </row>
    <row r="631" spans="2:4" x14ac:dyDescent="0.2">
      <c r="B631" s="11"/>
      <c r="C631" s="11"/>
      <c r="D631" s="11"/>
    </row>
    <row r="632" spans="2:4" x14ac:dyDescent="0.2">
      <c r="B632" s="11"/>
      <c r="C632" s="11"/>
      <c r="D632" s="11"/>
    </row>
    <row r="633" spans="2:4" x14ac:dyDescent="0.2">
      <c r="B633" s="11"/>
      <c r="C633" s="11"/>
      <c r="D633" s="11"/>
    </row>
    <row r="634" spans="2:4" x14ac:dyDescent="0.2">
      <c r="B634" s="11"/>
      <c r="C634" s="11"/>
      <c r="D634" s="11"/>
    </row>
    <row r="635" spans="2:4" x14ac:dyDescent="0.2">
      <c r="B635" s="11"/>
      <c r="C635" s="11"/>
      <c r="D635" s="11"/>
    </row>
    <row r="636" spans="2:4" x14ac:dyDescent="0.2">
      <c r="B636" s="11"/>
      <c r="C636" s="11"/>
      <c r="D636" s="11"/>
    </row>
    <row r="637" spans="2:4" x14ac:dyDescent="0.2">
      <c r="B637" s="11"/>
      <c r="C637" s="11"/>
      <c r="D637" s="11"/>
    </row>
    <row r="638" spans="2:4" x14ac:dyDescent="0.2">
      <c r="B638" s="11"/>
      <c r="C638" s="11"/>
      <c r="D638" s="11"/>
    </row>
    <row r="639" spans="2:4" x14ac:dyDescent="0.2">
      <c r="B639" s="11"/>
      <c r="C639" s="11"/>
      <c r="D639" s="11"/>
    </row>
    <row r="640" spans="2:4" x14ac:dyDescent="0.2">
      <c r="B640" s="11"/>
      <c r="C640" s="11"/>
      <c r="D640" s="11"/>
    </row>
    <row r="641" spans="2:4" x14ac:dyDescent="0.2">
      <c r="B641" s="11"/>
      <c r="C641" s="11"/>
      <c r="D641" s="11"/>
    </row>
    <row r="642" spans="2:4" x14ac:dyDescent="0.2">
      <c r="B642" s="11"/>
      <c r="C642" s="11"/>
      <c r="D642" s="11"/>
    </row>
    <row r="643" spans="2:4" x14ac:dyDescent="0.2">
      <c r="B643" s="11"/>
      <c r="C643" s="11"/>
      <c r="D643" s="11"/>
    </row>
    <row r="644" spans="2:4" x14ac:dyDescent="0.2">
      <c r="B644" s="11"/>
      <c r="C644" s="11"/>
      <c r="D644" s="11"/>
    </row>
    <row r="645" spans="2:4" x14ac:dyDescent="0.2">
      <c r="B645" s="11"/>
      <c r="C645" s="11"/>
      <c r="D645" s="11"/>
    </row>
    <row r="646" spans="2:4" x14ac:dyDescent="0.2">
      <c r="B646" s="11"/>
      <c r="C646" s="11"/>
      <c r="D646" s="11"/>
    </row>
    <row r="647" spans="2:4" x14ac:dyDescent="0.2">
      <c r="B647" s="11"/>
      <c r="C647" s="11"/>
      <c r="D647" s="11"/>
    </row>
    <row r="648" spans="2:4" x14ac:dyDescent="0.2">
      <c r="B648" s="11"/>
      <c r="C648" s="11"/>
      <c r="D648" s="11"/>
    </row>
    <row r="649" spans="2:4" x14ac:dyDescent="0.2">
      <c r="B649" s="11"/>
      <c r="C649" s="11"/>
      <c r="D649" s="11"/>
    </row>
    <row r="650" spans="2:4" x14ac:dyDescent="0.2">
      <c r="B650" s="11"/>
      <c r="C650" s="11"/>
      <c r="D650" s="11"/>
    </row>
    <row r="651" spans="2:4" x14ac:dyDescent="0.2">
      <c r="B651" s="11"/>
      <c r="C651" s="11"/>
      <c r="D651" s="11"/>
    </row>
    <row r="652" spans="2:4" x14ac:dyDescent="0.2">
      <c r="B652" s="11"/>
      <c r="C652" s="11"/>
      <c r="D652" s="11"/>
    </row>
    <row r="653" spans="2:4" x14ac:dyDescent="0.2">
      <c r="B653" s="11"/>
      <c r="C653" s="11"/>
      <c r="D653" s="11"/>
    </row>
    <row r="654" spans="2:4" x14ac:dyDescent="0.2">
      <c r="B654" s="11"/>
      <c r="C654" s="11"/>
      <c r="D654" s="11"/>
    </row>
    <row r="655" spans="2:4" x14ac:dyDescent="0.2">
      <c r="B655" s="11"/>
      <c r="C655" s="11"/>
      <c r="D655" s="11"/>
    </row>
    <row r="656" spans="2:4" x14ac:dyDescent="0.2">
      <c r="B656" s="11"/>
      <c r="C656" s="11"/>
      <c r="D656" s="11"/>
    </row>
    <row r="657" spans="2:4" x14ac:dyDescent="0.2">
      <c r="B657" s="11"/>
      <c r="C657" s="11"/>
      <c r="D657" s="11"/>
    </row>
    <row r="658" spans="2:4" x14ac:dyDescent="0.2">
      <c r="B658" s="11"/>
      <c r="C658" s="11"/>
      <c r="D658" s="11"/>
    </row>
    <row r="659" spans="2:4" x14ac:dyDescent="0.2">
      <c r="B659" s="11"/>
      <c r="C659" s="11"/>
      <c r="D659" s="11"/>
    </row>
    <row r="660" spans="2:4" x14ac:dyDescent="0.2">
      <c r="B660" s="11"/>
      <c r="C660" s="11"/>
      <c r="D660" s="11"/>
    </row>
    <row r="661" spans="2:4" x14ac:dyDescent="0.2">
      <c r="B661" s="11"/>
      <c r="C661" s="11"/>
      <c r="D661" s="11"/>
    </row>
    <row r="662" spans="2:4" x14ac:dyDescent="0.2">
      <c r="B662" s="11"/>
      <c r="C662" s="11"/>
      <c r="D662" s="11"/>
    </row>
    <row r="663" spans="2:4" x14ac:dyDescent="0.2">
      <c r="B663" s="11"/>
      <c r="C663" s="11"/>
      <c r="D663" s="11"/>
    </row>
    <row r="664" spans="2:4" x14ac:dyDescent="0.2">
      <c r="B664" s="11"/>
      <c r="C664" s="11"/>
      <c r="D664" s="11"/>
    </row>
    <row r="665" spans="2:4" x14ac:dyDescent="0.2">
      <c r="B665" s="11"/>
      <c r="C665" s="11"/>
      <c r="D665" s="11"/>
    </row>
    <row r="666" spans="2:4" x14ac:dyDescent="0.2">
      <c r="B666" s="11"/>
      <c r="C666" s="11"/>
      <c r="D666" s="11"/>
    </row>
    <row r="667" spans="2:4" x14ac:dyDescent="0.2">
      <c r="B667" s="11"/>
      <c r="C667" s="11"/>
      <c r="D667" s="11"/>
    </row>
    <row r="668" spans="2:4" x14ac:dyDescent="0.2">
      <c r="B668" s="11"/>
      <c r="C668" s="11"/>
      <c r="D668" s="11"/>
    </row>
    <row r="669" spans="2:4" x14ac:dyDescent="0.2">
      <c r="B669" s="11"/>
      <c r="C669" s="11"/>
      <c r="D669" s="11"/>
    </row>
    <row r="670" spans="2:4" x14ac:dyDescent="0.2">
      <c r="B670" s="11"/>
      <c r="C670" s="11"/>
      <c r="D670" s="11"/>
    </row>
    <row r="671" spans="2:4" x14ac:dyDescent="0.2">
      <c r="B671" s="11"/>
      <c r="C671" s="11"/>
      <c r="D671" s="11"/>
    </row>
    <row r="672" spans="2:4" x14ac:dyDescent="0.2">
      <c r="B672" s="11"/>
      <c r="C672" s="11"/>
      <c r="D672" s="11"/>
    </row>
    <row r="673" spans="2:4" x14ac:dyDescent="0.2">
      <c r="B673" s="11"/>
      <c r="C673" s="11"/>
      <c r="D673" s="11"/>
    </row>
    <row r="674" spans="2:4" x14ac:dyDescent="0.2">
      <c r="B674" s="11"/>
      <c r="C674" s="11"/>
      <c r="D674" s="11"/>
    </row>
    <row r="675" spans="2:4" x14ac:dyDescent="0.2">
      <c r="B675" s="11"/>
      <c r="C675" s="11"/>
      <c r="D675" s="11"/>
    </row>
    <row r="676" spans="2:4" x14ac:dyDescent="0.2">
      <c r="B676" s="11"/>
      <c r="C676" s="11"/>
      <c r="D676" s="11"/>
    </row>
    <row r="677" spans="2:4" x14ac:dyDescent="0.2">
      <c r="B677" s="11"/>
      <c r="C677" s="11"/>
      <c r="D677" s="11"/>
    </row>
    <row r="678" spans="2:4" x14ac:dyDescent="0.2">
      <c r="B678" s="11"/>
      <c r="C678" s="11"/>
      <c r="D678" s="11"/>
    </row>
    <row r="679" spans="2:4" x14ac:dyDescent="0.2">
      <c r="B679" s="11"/>
      <c r="C679" s="11"/>
      <c r="D679" s="11"/>
    </row>
    <row r="680" spans="2:4" x14ac:dyDescent="0.2">
      <c r="B680" s="11"/>
      <c r="C680" s="11"/>
      <c r="D680" s="11"/>
    </row>
    <row r="681" spans="2:4" x14ac:dyDescent="0.2">
      <c r="B681" s="11"/>
      <c r="C681" s="11"/>
      <c r="D681" s="11"/>
    </row>
    <row r="682" spans="2:4" x14ac:dyDescent="0.2">
      <c r="B682" s="11"/>
      <c r="C682" s="11"/>
      <c r="D682" s="11"/>
    </row>
    <row r="683" spans="2:4" x14ac:dyDescent="0.2">
      <c r="B683" s="11"/>
      <c r="C683" s="11"/>
      <c r="D683" s="11"/>
    </row>
    <row r="684" spans="2:4" x14ac:dyDescent="0.2">
      <c r="B684" s="11"/>
      <c r="C684" s="11"/>
      <c r="D684" s="11"/>
    </row>
    <row r="685" spans="2:4" x14ac:dyDescent="0.2">
      <c r="B685" s="11"/>
      <c r="C685" s="11"/>
      <c r="D685" s="11"/>
    </row>
    <row r="686" spans="2:4" x14ac:dyDescent="0.2">
      <c r="B686" s="11"/>
      <c r="C686" s="11"/>
      <c r="D686" s="11"/>
    </row>
    <row r="687" spans="2:4" x14ac:dyDescent="0.2">
      <c r="B687" s="11"/>
      <c r="C687" s="11"/>
      <c r="D687" s="11"/>
    </row>
    <row r="688" spans="2:4" x14ac:dyDescent="0.2">
      <c r="B688" s="11"/>
      <c r="C688" s="11"/>
      <c r="D688" s="11"/>
    </row>
    <row r="689" spans="2:4" x14ac:dyDescent="0.2">
      <c r="B689" s="11"/>
      <c r="C689" s="11"/>
      <c r="D689" s="11"/>
    </row>
    <row r="690" spans="2:4" x14ac:dyDescent="0.2">
      <c r="B690" s="11"/>
      <c r="C690" s="11"/>
      <c r="D690" s="11"/>
    </row>
    <row r="691" spans="2:4" x14ac:dyDescent="0.2">
      <c r="B691" s="11"/>
      <c r="C691" s="11"/>
      <c r="D691" s="11"/>
    </row>
    <row r="692" spans="2:4" x14ac:dyDescent="0.2">
      <c r="B692" s="11"/>
      <c r="C692" s="11"/>
      <c r="D692" s="11"/>
    </row>
    <row r="693" spans="2:4" x14ac:dyDescent="0.2">
      <c r="B693" s="11"/>
      <c r="C693" s="11"/>
      <c r="D693" s="11"/>
    </row>
    <row r="694" spans="2:4" x14ac:dyDescent="0.2">
      <c r="B694" s="11"/>
      <c r="C694" s="11"/>
      <c r="D694" s="11"/>
    </row>
    <row r="695" spans="2:4" x14ac:dyDescent="0.2">
      <c r="B695" s="11"/>
      <c r="C695" s="11"/>
      <c r="D695" s="11"/>
    </row>
    <row r="696" spans="2:4" x14ac:dyDescent="0.2">
      <c r="B696" s="11"/>
      <c r="C696" s="11"/>
      <c r="D696" s="11"/>
    </row>
    <row r="697" spans="2:4" x14ac:dyDescent="0.2">
      <c r="B697" s="11"/>
      <c r="C697" s="11"/>
      <c r="D697" s="11"/>
    </row>
    <row r="698" spans="2:4" x14ac:dyDescent="0.2">
      <c r="B698" s="11"/>
      <c r="C698" s="11"/>
      <c r="D698" s="11"/>
    </row>
    <row r="699" spans="2:4" x14ac:dyDescent="0.2">
      <c r="B699" s="11"/>
      <c r="C699" s="11"/>
      <c r="D699" s="11"/>
    </row>
    <row r="700" spans="2:4" x14ac:dyDescent="0.2">
      <c r="B700" s="11"/>
      <c r="C700" s="11"/>
      <c r="D700" s="11"/>
    </row>
    <row r="701" spans="2:4" x14ac:dyDescent="0.2">
      <c r="B701" s="11"/>
      <c r="C701" s="11"/>
      <c r="D701" s="11"/>
    </row>
    <row r="702" spans="2:4" x14ac:dyDescent="0.2">
      <c r="B702" s="11"/>
      <c r="C702" s="11"/>
      <c r="D702" s="11"/>
    </row>
    <row r="703" spans="2:4" x14ac:dyDescent="0.2">
      <c r="B703" s="11"/>
      <c r="C703" s="11"/>
      <c r="D703" s="11"/>
    </row>
    <row r="704" spans="2:4" x14ac:dyDescent="0.2">
      <c r="B704" s="11"/>
      <c r="C704" s="11"/>
      <c r="D704" s="11"/>
    </row>
    <row r="705" spans="2:4" x14ac:dyDescent="0.2">
      <c r="B705" s="11"/>
      <c r="C705" s="11"/>
      <c r="D705" s="11"/>
    </row>
    <row r="706" spans="2:4" x14ac:dyDescent="0.2">
      <c r="B706" s="11"/>
      <c r="C706" s="11"/>
      <c r="D706" s="11"/>
    </row>
    <row r="707" spans="2:4" x14ac:dyDescent="0.2">
      <c r="B707" s="11"/>
      <c r="C707" s="11"/>
      <c r="D707" s="11"/>
    </row>
    <row r="708" spans="2:4" x14ac:dyDescent="0.2">
      <c r="B708" s="11"/>
      <c r="C708" s="11"/>
      <c r="D708" s="11"/>
    </row>
    <row r="709" spans="2:4" x14ac:dyDescent="0.2">
      <c r="B709" s="11"/>
      <c r="C709" s="11"/>
      <c r="D709" s="11"/>
    </row>
    <row r="710" spans="2:4" x14ac:dyDescent="0.2">
      <c r="B710" s="11"/>
      <c r="C710" s="11"/>
      <c r="D710" s="11"/>
    </row>
    <row r="711" spans="2:4" x14ac:dyDescent="0.2">
      <c r="B711" s="11"/>
      <c r="C711" s="11"/>
      <c r="D711" s="11"/>
    </row>
    <row r="712" spans="2:4" x14ac:dyDescent="0.2">
      <c r="B712" s="11"/>
      <c r="C712" s="11"/>
      <c r="D712" s="11"/>
    </row>
    <row r="713" spans="2:4" x14ac:dyDescent="0.2">
      <c r="B713" s="11"/>
      <c r="C713" s="11"/>
      <c r="D713" s="11"/>
    </row>
    <row r="714" spans="2:4" x14ac:dyDescent="0.2">
      <c r="B714" s="11"/>
      <c r="C714" s="11"/>
      <c r="D714" s="11"/>
    </row>
    <row r="715" spans="2:4" x14ac:dyDescent="0.2">
      <c r="B715" s="11"/>
      <c r="C715" s="11"/>
      <c r="D715" s="11"/>
    </row>
    <row r="716" spans="2:4" x14ac:dyDescent="0.2">
      <c r="B716" s="11"/>
      <c r="C716" s="11"/>
      <c r="D716" s="11"/>
    </row>
    <row r="717" spans="2:4" x14ac:dyDescent="0.2">
      <c r="B717" s="11"/>
      <c r="C717" s="11"/>
      <c r="D717" s="11"/>
    </row>
    <row r="718" spans="2:4" x14ac:dyDescent="0.2">
      <c r="B718" s="11"/>
      <c r="C718" s="11"/>
      <c r="D718" s="11"/>
    </row>
    <row r="719" spans="2:4" x14ac:dyDescent="0.2">
      <c r="B719" s="11"/>
      <c r="C719" s="11"/>
      <c r="D719" s="11"/>
    </row>
    <row r="720" spans="2:4" x14ac:dyDescent="0.2">
      <c r="B720" s="11"/>
      <c r="C720" s="11"/>
      <c r="D720" s="11"/>
    </row>
    <row r="721" spans="2:4" x14ac:dyDescent="0.2">
      <c r="B721" s="11"/>
      <c r="C721" s="11"/>
      <c r="D721" s="11"/>
    </row>
    <row r="722" spans="2:4" x14ac:dyDescent="0.2">
      <c r="B722" s="11"/>
      <c r="C722" s="11"/>
      <c r="D722" s="11"/>
    </row>
    <row r="723" spans="2:4" x14ac:dyDescent="0.2">
      <c r="B723" s="11"/>
      <c r="C723" s="11"/>
      <c r="D723" s="11"/>
    </row>
    <row r="724" spans="2:4" x14ac:dyDescent="0.2">
      <c r="B724" s="11"/>
      <c r="C724" s="11"/>
      <c r="D724" s="11"/>
    </row>
    <row r="725" spans="2:4" x14ac:dyDescent="0.2">
      <c r="B725" s="11"/>
      <c r="C725" s="11"/>
      <c r="D725" s="11"/>
    </row>
    <row r="726" spans="2:4" x14ac:dyDescent="0.2">
      <c r="B726" s="11"/>
      <c r="C726" s="11"/>
      <c r="D726" s="11"/>
    </row>
    <row r="727" spans="2:4" x14ac:dyDescent="0.2">
      <c r="B727" s="11"/>
      <c r="C727" s="11"/>
      <c r="D727" s="11"/>
    </row>
    <row r="728" spans="2:4" x14ac:dyDescent="0.2">
      <c r="B728" s="11"/>
      <c r="C728" s="11"/>
      <c r="D728" s="11"/>
    </row>
    <row r="729" spans="2:4" x14ac:dyDescent="0.2">
      <c r="B729" s="11"/>
      <c r="C729" s="11"/>
      <c r="D729" s="11"/>
    </row>
    <row r="730" spans="2:4" x14ac:dyDescent="0.2">
      <c r="B730" s="11"/>
      <c r="C730" s="11"/>
      <c r="D730" s="11"/>
    </row>
    <row r="731" spans="2:4" x14ac:dyDescent="0.2">
      <c r="B731" s="11"/>
      <c r="C731" s="11"/>
      <c r="D731" s="11"/>
    </row>
    <row r="732" spans="2:4" x14ac:dyDescent="0.2">
      <c r="B732" s="11"/>
      <c r="C732" s="11"/>
      <c r="D732" s="11"/>
    </row>
    <row r="733" spans="2:4" x14ac:dyDescent="0.2">
      <c r="B733" s="11"/>
      <c r="C733" s="11"/>
      <c r="D733" s="11"/>
    </row>
    <row r="734" spans="2:4" x14ac:dyDescent="0.2">
      <c r="B734" s="11"/>
      <c r="C734" s="11"/>
      <c r="D734" s="11"/>
    </row>
    <row r="735" spans="2:4" x14ac:dyDescent="0.2">
      <c r="B735" s="11"/>
      <c r="C735" s="11"/>
      <c r="D735" s="11"/>
    </row>
    <row r="736" spans="2:4" x14ac:dyDescent="0.2">
      <c r="B736" s="11"/>
      <c r="C736" s="11"/>
      <c r="D736" s="11"/>
    </row>
    <row r="737" spans="2:4" x14ac:dyDescent="0.2">
      <c r="B737" s="11"/>
      <c r="C737" s="11"/>
      <c r="D737" s="11"/>
    </row>
    <row r="738" spans="2:4" x14ac:dyDescent="0.2">
      <c r="B738" s="11"/>
      <c r="C738" s="11"/>
      <c r="D738" s="11"/>
    </row>
    <row r="739" spans="2:4" x14ac:dyDescent="0.2">
      <c r="B739" s="11"/>
      <c r="C739" s="11"/>
      <c r="D739" s="11"/>
    </row>
    <row r="740" spans="2:4" x14ac:dyDescent="0.2">
      <c r="B740" s="11"/>
      <c r="C740" s="11"/>
      <c r="D740" s="11"/>
    </row>
    <row r="741" spans="2:4" x14ac:dyDescent="0.2">
      <c r="B741" s="11"/>
      <c r="C741" s="11"/>
      <c r="D741" s="11"/>
    </row>
    <row r="742" spans="2:4" x14ac:dyDescent="0.2">
      <c r="B742" s="11"/>
      <c r="C742" s="11"/>
      <c r="D742" s="11"/>
    </row>
    <row r="743" spans="2:4" x14ac:dyDescent="0.2">
      <c r="B743" s="11"/>
      <c r="C743" s="11"/>
      <c r="D743" s="11"/>
    </row>
    <row r="744" spans="2:4" x14ac:dyDescent="0.2">
      <c r="B744" s="11"/>
      <c r="C744" s="11"/>
      <c r="D744" s="11"/>
    </row>
    <row r="745" spans="2:4" x14ac:dyDescent="0.2">
      <c r="B745" s="11"/>
      <c r="C745" s="11"/>
      <c r="D745" s="11"/>
    </row>
    <row r="746" spans="2:4" x14ac:dyDescent="0.2">
      <c r="B746" s="11"/>
      <c r="C746" s="11"/>
      <c r="D746" s="11"/>
    </row>
    <row r="747" spans="2:4" x14ac:dyDescent="0.2">
      <c r="B747" s="11"/>
      <c r="C747" s="11"/>
      <c r="D747" s="11"/>
    </row>
    <row r="748" spans="2:4" x14ac:dyDescent="0.2">
      <c r="B748" s="11"/>
      <c r="C748" s="11"/>
      <c r="D748" s="11"/>
    </row>
    <row r="749" spans="2:4" x14ac:dyDescent="0.2">
      <c r="B749" s="11"/>
      <c r="C749" s="11"/>
      <c r="D749" s="11"/>
    </row>
    <row r="750" spans="2:4" x14ac:dyDescent="0.2">
      <c r="B750" s="11"/>
      <c r="C750" s="11"/>
      <c r="D750" s="11"/>
    </row>
    <row r="751" spans="2:4" x14ac:dyDescent="0.2">
      <c r="B751" s="11"/>
      <c r="C751" s="11"/>
      <c r="D751" s="11"/>
    </row>
    <row r="752" spans="2:4" x14ac:dyDescent="0.2">
      <c r="B752" s="11"/>
      <c r="C752" s="11"/>
      <c r="D752" s="11"/>
    </row>
    <row r="753" spans="2:4" x14ac:dyDescent="0.2">
      <c r="B753" s="11"/>
      <c r="C753" s="11"/>
      <c r="D753" s="11"/>
    </row>
    <row r="754" spans="2:4" x14ac:dyDescent="0.2">
      <c r="B754" s="11"/>
      <c r="C754" s="11"/>
      <c r="D754" s="11"/>
    </row>
    <row r="755" spans="2:4" x14ac:dyDescent="0.2">
      <c r="B755" s="11"/>
      <c r="C755" s="11"/>
      <c r="D755" s="11"/>
    </row>
    <row r="756" spans="2:4" x14ac:dyDescent="0.2">
      <c r="B756" s="11"/>
      <c r="C756" s="11"/>
      <c r="D756" s="11"/>
    </row>
    <row r="757" spans="2:4" x14ac:dyDescent="0.2">
      <c r="B757" s="11"/>
      <c r="C757" s="11"/>
      <c r="D757" s="11"/>
    </row>
    <row r="758" spans="2:4" x14ac:dyDescent="0.2">
      <c r="B758" s="11"/>
      <c r="C758" s="11"/>
      <c r="D758" s="11"/>
    </row>
    <row r="759" spans="2:4" x14ac:dyDescent="0.2">
      <c r="B759" s="11"/>
      <c r="C759" s="11"/>
      <c r="D759" s="11"/>
    </row>
    <row r="760" spans="2:4" x14ac:dyDescent="0.2">
      <c r="B760" s="11"/>
      <c r="C760" s="11"/>
      <c r="D760" s="11"/>
    </row>
    <row r="761" spans="2:4" x14ac:dyDescent="0.2">
      <c r="B761" s="11"/>
      <c r="C761" s="11"/>
      <c r="D761" s="11"/>
    </row>
    <row r="762" spans="2:4" x14ac:dyDescent="0.2">
      <c r="B762" s="11"/>
      <c r="C762" s="11"/>
      <c r="D762" s="11"/>
    </row>
    <row r="763" spans="2:4" x14ac:dyDescent="0.2">
      <c r="B763" s="11"/>
      <c r="C763" s="11"/>
      <c r="D763" s="11"/>
    </row>
    <row r="764" spans="2:4" x14ac:dyDescent="0.2">
      <c r="B764" s="11"/>
      <c r="C764" s="11"/>
      <c r="D764" s="11"/>
    </row>
    <row r="765" spans="2:4" x14ac:dyDescent="0.2">
      <c r="B765" s="11"/>
      <c r="C765" s="11"/>
      <c r="D765" s="11"/>
    </row>
    <row r="766" spans="2:4" x14ac:dyDescent="0.2">
      <c r="B766" s="11"/>
      <c r="C766" s="11"/>
      <c r="D766" s="11"/>
    </row>
    <row r="767" spans="2:4" x14ac:dyDescent="0.2">
      <c r="B767" s="11"/>
      <c r="C767" s="11"/>
      <c r="D767" s="11"/>
    </row>
    <row r="768" spans="2:4" x14ac:dyDescent="0.2">
      <c r="B768" s="11"/>
      <c r="C768" s="11"/>
      <c r="D768" s="11"/>
    </row>
    <row r="769" spans="2:4" x14ac:dyDescent="0.2">
      <c r="B769" s="11"/>
      <c r="C769" s="11"/>
      <c r="D769" s="11"/>
    </row>
    <row r="770" spans="2:4" x14ac:dyDescent="0.2">
      <c r="B770" s="11"/>
      <c r="C770" s="11"/>
      <c r="D770" s="11"/>
    </row>
    <row r="771" spans="2:4" x14ac:dyDescent="0.2">
      <c r="B771" s="11"/>
      <c r="C771" s="11"/>
      <c r="D771" s="11"/>
    </row>
    <row r="772" spans="2:4" x14ac:dyDescent="0.2">
      <c r="B772" s="11"/>
      <c r="C772" s="11"/>
      <c r="D772" s="11"/>
    </row>
    <row r="773" spans="2:4" x14ac:dyDescent="0.2">
      <c r="B773" s="11"/>
      <c r="C773" s="11"/>
      <c r="D773" s="11"/>
    </row>
    <row r="774" spans="2:4" x14ac:dyDescent="0.2">
      <c r="B774" s="11"/>
      <c r="C774" s="11"/>
      <c r="D774" s="11"/>
    </row>
    <row r="775" spans="2:4" x14ac:dyDescent="0.2">
      <c r="B775" s="11"/>
      <c r="C775" s="11"/>
      <c r="D775" s="11"/>
    </row>
    <row r="776" spans="2:4" x14ac:dyDescent="0.2">
      <c r="B776" s="11"/>
      <c r="C776" s="11"/>
      <c r="D776" s="11"/>
    </row>
    <row r="777" spans="2:4" x14ac:dyDescent="0.2">
      <c r="B777" s="11"/>
      <c r="C777" s="11"/>
      <c r="D777" s="11"/>
    </row>
    <row r="778" spans="2:4" x14ac:dyDescent="0.2">
      <c r="B778" s="11"/>
      <c r="C778" s="11"/>
      <c r="D778" s="11"/>
    </row>
    <row r="779" spans="2:4" x14ac:dyDescent="0.2">
      <c r="B779" s="11"/>
      <c r="C779" s="11"/>
      <c r="D779" s="11"/>
    </row>
    <row r="780" spans="2:4" x14ac:dyDescent="0.2">
      <c r="B780" s="11"/>
      <c r="C780" s="11"/>
      <c r="D780" s="11"/>
    </row>
    <row r="781" spans="2:4" x14ac:dyDescent="0.2">
      <c r="B781" s="11"/>
      <c r="C781" s="11"/>
      <c r="D781" s="11"/>
    </row>
    <row r="782" spans="2:4" x14ac:dyDescent="0.2">
      <c r="B782" s="11"/>
      <c r="C782" s="11"/>
      <c r="D782" s="11"/>
    </row>
    <row r="783" spans="2:4" x14ac:dyDescent="0.2">
      <c r="B783" s="11"/>
      <c r="C783" s="11"/>
      <c r="D783" s="11"/>
    </row>
    <row r="784" spans="2:4" x14ac:dyDescent="0.2">
      <c r="B784" s="11"/>
      <c r="C784" s="11"/>
      <c r="D784" s="11"/>
    </row>
    <row r="785" spans="2:4" x14ac:dyDescent="0.2">
      <c r="B785" s="11"/>
      <c r="C785" s="11"/>
      <c r="D785" s="11"/>
    </row>
    <row r="786" spans="2:4" x14ac:dyDescent="0.2">
      <c r="B786" s="11"/>
      <c r="C786" s="11"/>
      <c r="D786" s="11"/>
    </row>
    <row r="787" spans="2:4" x14ac:dyDescent="0.2">
      <c r="B787" s="11"/>
      <c r="C787" s="11"/>
      <c r="D787" s="11"/>
    </row>
    <row r="788" spans="2:4" x14ac:dyDescent="0.2">
      <c r="B788" s="11"/>
      <c r="C788" s="11"/>
      <c r="D788" s="11"/>
    </row>
    <row r="789" spans="2:4" x14ac:dyDescent="0.2">
      <c r="B789" s="11"/>
      <c r="C789" s="11"/>
      <c r="D789" s="11"/>
    </row>
    <row r="790" spans="2:4" x14ac:dyDescent="0.2">
      <c r="B790" s="11"/>
      <c r="C790" s="11"/>
      <c r="D790" s="11"/>
    </row>
    <row r="791" spans="2:4" x14ac:dyDescent="0.2">
      <c r="B791" s="11"/>
      <c r="C791" s="11"/>
      <c r="D791" s="11"/>
    </row>
    <row r="792" spans="2:4" x14ac:dyDescent="0.2">
      <c r="B792" s="11"/>
      <c r="C792" s="11"/>
      <c r="D792" s="11"/>
    </row>
    <row r="793" spans="2:4" x14ac:dyDescent="0.2">
      <c r="B793" s="11"/>
      <c r="C793" s="11"/>
      <c r="D793" s="11"/>
    </row>
    <row r="794" spans="2:4" x14ac:dyDescent="0.2">
      <c r="B794" s="11"/>
      <c r="C794" s="11"/>
      <c r="D794" s="11"/>
    </row>
    <row r="795" spans="2:4" x14ac:dyDescent="0.2">
      <c r="B795" s="11"/>
      <c r="C795" s="11"/>
      <c r="D795" s="11"/>
    </row>
    <row r="796" spans="2:4" x14ac:dyDescent="0.2">
      <c r="B796" s="11"/>
      <c r="C796" s="11"/>
      <c r="D796" s="11"/>
    </row>
    <row r="797" spans="2:4" x14ac:dyDescent="0.2">
      <c r="B797" s="11"/>
      <c r="C797" s="11"/>
      <c r="D797" s="11"/>
    </row>
    <row r="798" spans="2:4" x14ac:dyDescent="0.2">
      <c r="B798" s="11"/>
      <c r="C798" s="11"/>
      <c r="D798" s="11"/>
    </row>
    <row r="799" spans="2:4" x14ac:dyDescent="0.2">
      <c r="B799" s="11"/>
      <c r="C799" s="11"/>
      <c r="D799" s="11"/>
    </row>
    <row r="800" spans="2:4" x14ac:dyDescent="0.2">
      <c r="B800" s="11"/>
      <c r="C800" s="11"/>
      <c r="D800" s="11"/>
    </row>
    <row r="801" spans="2:4" x14ac:dyDescent="0.2">
      <c r="B801" s="11"/>
      <c r="C801" s="11"/>
      <c r="D801" s="11"/>
    </row>
    <row r="802" spans="2:4" x14ac:dyDescent="0.2">
      <c r="B802" s="11"/>
      <c r="C802" s="11"/>
      <c r="D802" s="11"/>
    </row>
    <row r="803" spans="2:4" x14ac:dyDescent="0.2">
      <c r="B803" s="11"/>
      <c r="C803" s="11"/>
      <c r="D803" s="11"/>
    </row>
    <row r="804" spans="2:4" x14ac:dyDescent="0.2">
      <c r="B804" s="11"/>
      <c r="C804" s="11"/>
      <c r="D804" s="11"/>
    </row>
    <row r="805" spans="2:4" x14ac:dyDescent="0.2">
      <c r="B805" s="11"/>
      <c r="C805" s="11"/>
      <c r="D805" s="11"/>
    </row>
    <row r="806" spans="2:4" x14ac:dyDescent="0.2">
      <c r="B806" s="11"/>
      <c r="C806" s="11"/>
      <c r="D806" s="11"/>
    </row>
    <row r="807" spans="2:4" x14ac:dyDescent="0.2">
      <c r="B807" s="11"/>
      <c r="C807" s="11"/>
      <c r="D807" s="11"/>
    </row>
    <row r="808" spans="2:4" x14ac:dyDescent="0.2">
      <c r="B808" s="11"/>
      <c r="C808" s="11"/>
      <c r="D808" s="11"/>
    </row>
    <row r="809" spans="2:4" x14ac:dyDescent="0.2">
      <c r="B809" s="11"/>
      <c r="C809" s="11"/>
      <c r="D809" s="11"/>
    </row>
    <row r="810" spans="2:4" x14ac:dyDescent="0.2">
      <c r="B810" s="11"/>
      <c r="C810" s="11"/>
      <c r="D810" s="11"/>
    </row>
    <row r="811" spans="2:4" x14ac:dyDescent="0.2">
      <c r="B811" s="11"/>
      <c r="C811" s="11"/>
      <c r="D811" s="11"/>
    </row>
    <row r="812" spans="2:4" x14ac:dyDescent="0.2">
      <c r="B812" s="11"/>
      <c r="C812" s="11"/>
      <c r="D812" s="11"/>
    </row>
    <row r="813" spans="2:4" x14ac:dyDescent="0.2">
      <c r="B813" s="11"/>
      <c r="C813" s="11"/>
      <c r="D813" s="11"/>
    </row>
    <row r="814" spans="2:4" x14ac:dyDescent="0.2">
      <c r="B814" s="11"/>
      <c r="C814" s="11"/>
      <c r="D814" s="11"/>
    </row>
    <row r="815" spans="2:4" x14ac:dyDescent="0.2">
      <c r="B815" s="11"/>
      <c r="C815" s="11"/>
      <c r="D815" s="11"/>
    </row>
    <row r="816" spans="2:4" x14ac:dyDescent="0.2">
      <c r="B816" s="11"/>
      <c r="C816" s="11"/>
      <c r="D816" s="11"/>
    </row>
    <row r="817" spans="2:4" x14ac:dyDescent="0.2">
      <c r="B817" s="11"/>
      <c r="C817" s="11"/>
      <c r="D817" s="11"/>
    </row>
    <row r="818" spans="2:4" x14ac:dyDescent="0.2">
      <c r="B818" s="11"/>
      <c r="C818" s="11"/>
      <c r="D818" s="11"/>
    </row>
    <row r="819" spans="2:4" x14ac:dyDescent="0.2">
      <c r="B819" s="11"/>
      <c r="C819" s="11"/>
      <c r="D819" s="11"/>
    </row>
    <row r="820" spans="2:4" x14ac:dyDescent="0.2">
      <c r="B820" s="11"/>
      <c r="C820" s="11"/>
      <c r="D820" s="11"/>
    </row>
    <row r="821" spans="2:4" x14ac:dyDescent="0.2">
      <c r="B821" s="11"/>
      <c r="C821" s="11"/>
      <c r="D821" s="11"/>
    </row>
    <row r="822" spans="2:4" x14ac:dyDescent="0.2">
      <c r="B822" s="11"/>
      <c r="C822" s="11"/>
      <c r="D822" s="11"/>
    </row>
    <row r="823" spans="2:4" x14ac:dyDescent="0.2">
      <c r="B823" s="11"/>
      <c r="C823" s="11"/>
      <c r="D823" s="11"/>
    </row>
    <row r="824" spans="2:4" x14ac:dyDescent="0.2">
      <c r="B824" s="11"/>
      <c r="C824" s="11"/>
      <c r="D824" s="11"/>
    </row>
    <row r="825" spans="2:4" x14ac:dyDescent="0.2">
      <c r="B825" s="11"/>
      <c r="C825" s="11"/>
      <c r="D825" s="11"/>
    </row>
    <row r="826" spans="2:4" x14ac:dyDescent="0.2">
      <c r="B826" s="11"/>
      <c r="C826" s="11"/>
      <c r="D826" s="11"/>
    </row>
    <row r="827" spans="2:4" x14ac:dyDescent="0.2">
      <c r="B827" s="11"/>
      <c r="C827" s="11"/>
      <c r="D827" s="11"/>
    </row>
    <row r="828" spans="2:4" x14ac:dyDescent="0.2">
      <c r="B828" s="11"/>
      <c r="C828" s="11"/>
      <c r="D828" s="11"/>
    </row>
    <row r="829" spans="2:4" x14ac:dyDescent="0.2">
      <c r="B829" s="11"/>
      <c r="C829" s="11"/>
      <c r="D829" s="11"/>
    </row>
    <row r="830" spans="2:4" x14ac:dyDescent="0.2">
      <c r="B830" s="11"/>
      <c r="C830" s="11"/>
      <c r="D830" s="11"/>
    </row>
    <row r="831" spans="2:4" x14ac:dyDescent="0.2">
      <c r="B831" s="11"/>
      <c r="C831" s="11"/>
      <c r="D831" s="11"/>
    </row>
    <row r="832" spans="2:4" x14ac:dyDescent="0.2">
      <c r="B832" s="11"/>
      <c r="C832" s="11"/>
      <c r="D832" s="11"/>
    </row>
    <row r="833" spans="2:4" x14ac:dyDescent="0.2">
      <c r="B833" s="11"/>
      <c r="C833" s="11"/>
      <c r="D833" s="11"/>
    </row>
    <row r="834" spans="2:4" x14ac:dyDescent="0.2">
      <c r="B834" s="11"/>
      <c r="C834" s="11"/>
      <c r="D834" s="11"/>
    </row>
    <row r="835" spans="2:4" x14ac:dyDescent="0.2">
      <c r="B835" s="11"/>
      <c r="C835" s="11"/>
      <c r="D835" s="11"/>
    </row>
    <row r="836" spans="2:4" x14ac:dyDescent="0.2">
      <c r="B836" s="11"/>
      <c r="C836" s="11"/>
      <c r="D836" s="11"/>
    </row>
    <row r="837" spans="2:4" x14ac:dyDescent="0.2">
      <c r="B837" s="11"/>
      <c r="C837" s="11"/>
      <c r="D837" s="11"/>
    </row>
    <row r="838" spans="2:4" x14ac:dyDescent="0.2">
      <c r="B838" s="11"/>
      <c r="C838" s="11"/>
      <c r="D838" s="11"/>
    </row>
    <row r="839" spans="2:4" x14ac:dyDescent="0.2">
      <c r="B839" s="11"/>
      <c r="C839" s="11"/>
      <c r="D839" s="11"/>
    </row>
    <row r="840" spans="2:4" x14ac:dyDescent="0.2">
      <c r="B840" s="11"/>
      <c r="C840" s="11"/>
      <c r="D840" s="11"/>
    </row>
    <row r="841" spans="2:4" x14ac:dyDescent="0.2">
      <c r="B841" s="11"/>
      <c r="C841" s="11"/>
      <c r="D841" s="11"/>
    </row>
    <row r="842" spans="2:4" x14ac:dyDescent="0.2">
      <c r="B842" s="11"/>
      <c r="C842" s="11"/>
      <c r="D842" s="11"/>
    </row>
    <row r="843" spans="2:4" x14ac:dyDescent="0.2">
      <c r="B843" s="11"/>
      <c r="C843" s="11"/>
      <c r="D843" s="11"/>
    </row>
    <row r="844" spans="2:4" x14ac:dyDescent="0.2">
      <c r="B844" s="11"/>
      <c r="C844" s="11"/>
      <c r="D844" s="11"/>
    </row>
    <row r="845" spans="2:4" x14ac:dyDescent="0.2">
      <c r="B845" s="11"/>
      <c r="C845" s="11"/>
      <c r="D845" s="11"/>
    </row>
    <row r="846" spans="2:4" x14ac:dyDescent="0.2">
      <c r="B846" s="11"/>
      <c r="C846" s="11"/>
      <c r="D846" s="11"/>
    </row>
    <row r="847" spans="2:4" x14ac:dyDescent="0.2">
      <c r="B847" s="11"/>
      <c r="C847" s="11"/>
      <c r="D847" s="11"/>
    </row>
    <row r="848" spans="2:4" x14ac:dyDescent="0.2">
      <c r="B848" s="11"/>
      <c r="C848" s="11"/>
      <c r="D848" s="11"/>
    </row>
    <row r="849" spans="2:4" x14ac:dyDescent="0.2">
      <c r="B849" s="11"/>
      <c r="C849" s="11"/>
      <c r="D849" s="11"/>
    </row>
    <row r="850" spans="2:4" x14ac:dyDescent="0.2">
      <c r="B850" s="11"/>
      <c r="C850" s="11"/>
      <c r="D850" s="11"/>
    </row>
    <row r="851" spans="2:4" x14ac:dyDescent="0.2">
      <c r="B851" s="11"/>
      <c r="C851" s="11"/>
      <c r="D851" s="11"/>
    </row>
    <row r="852" spans="2:4" x14ac:dyDescent="0.2">
      <c r="B852" s="11"/>
      <c r="C852" s="11"/>
      <c r="D852" s="11"/>
    </row>
    <row r="853" spans="2:4" x14ac:dyDescent="0.2">
      <c r="B853" s="11"/>
      <c r="C853" s="11"/>
      <c r="D853" s="11"/>
    </row>
    <row r="854" spans="2:4" x14ac:dyDescent="0.2">
      <c r="B854" s="11"/>
      <c r="C854" s="11"/>
      <c r="D854" s="11"/>
    </row>
    <row r="855" spans="2:4" x14ac:dyDescent="0.2">
      <c r="B855" s="11"/>
      <c r="C855" s="11"/>
      <c r="D855" s="11"/>
    </row>
    <row r="856" spans="2:4" x14ac:dyDescent="0.2">
      <c r="B856" s="11"/>
      <c r="C856" s="11"/>
      <c r="D856" s="11"/>
    </row>
    <row r="857" spans="2:4" x14ac:dyDescent="0.2">
      <c r="B857" s="11"/>
      <c r="C857" s="11"/>
      <c r="D857" s="11"/>
    </row>
    <row r="858" spans="2:4" x14ac:dyDescent="0.2">
      <c r="B858" s="11"/>
      <c r="C858" s="11"/>
      <c r="D858" s="11"/>
    </row>
    <row r="859" spans="2:4" x14ac:dyDescent="0.2">
      <c r="B859" s="11"/>
      <c r="C859" s="11"/>
      <c r="D859" s="11"/>
    </row>
    <row r="860" spans="2:4" x14ac:dyDescent="0.2">
      <c r="B860" s="11"/>
      <c r="C860" s="11"/>
      <c r="D860" s="11"/>
    </row>
    <row r="861" spans="2:4" x14ac:dyDescent="0.2">
      <c r="B861" s="11"/>
      <c r="C861" s="11"/>
      <c r="D861" s="11"/>
    </row>
    <row r="862" spans="2:4" x14ac:dyDescent="0.2">
      <c r="B862" s="11"/>
      <c r="C862" s="11"/>
      <c r="D862" s="11"/>
    </row>
    <row r="863" spans="2:4" x14ac:dyDescent="0.2">
      <c r="B863" s="11"/>
      <c r="C863" s="11"/>
      <c r="D863" s="11"/>
    </row>
    <row r="864" spans="2:4" x14ac:dyDescent="0.2">
      <c r="B864" s="11"/>
      <c r="C864" s="11"/>
      <c r="D864" s="11"/>
    </row>
    <row r="865" spans="2:4" x14ac:dyDescent="0.2">
      <c r="B865" s="11"/>
      <c r="C865" s="11"/>
      <c r="D865" s="11"/>
    </row>
    <row r="866" spans="2:4" x14ac:dyDescent="0.2">
      <c r="B866" s="11"/>
      <c r="C866" s="11"/>
      <c r="D866" s="11"/>
    </row>
    <row r="867" spans="2:4" x14ac:dyDescent="0.2">
      <c r="B867" s="11"/>
      <c r="C867" s="11"/>
      <c r="D867" s="11"/>
    </row>
    <row r="868" spans="2:4" x14ac:dyDescent="0.2">
      <c r="B868" s="11"/>
      <c r="C868" s="11"/>
      <c r="D868" s="11"/>
    </row>
    <row r="869" spans="2:4" x14ac:dyDescent="0.2">
      <c r="B869" s="11"/>
      <c r="C869" s="11"/>
      <c r="D869" s="11"/>
    </row>
    <row r="870" spans="2:4" x14ac:dyDescent="0.2">
      <c r="B870" s="11"/>
      <c r="C870" s="11"/>
      <c r="D870" s="11"/>
    </row>
    <row r="871" spans="2:4" x14ac:dyDescent="0.2">
      <c r="B871" s="11"/>
      <c r="C871" s="11"/>
      <c r="D871" s="11"/>
    </row>
    <row r="872" spans="2:4" x14ac:dyDescent="0.2">
      <c r="B872" s="11"/>
      <c r="C872" s="11"/>
      <c r="D872" s="11"/>
    </row>
    <row r="873" spans="2:4" x14ac:dyDescent="0.2">
      <c r="B873" s="11"/>
      <c r="C873" s="11"/>
      <c r="D873" s="11"/>
    </row>
    <row r="874" spans="2:4" x14ac:dyDescent="0.2">
      <c r="B874" s="11"/>
      <c r="C874" s="11"/>
      <c r="D874" s="11"/>
    </row>
    <row r="875" spans="2:4" x14ac:dyDescent="0.2">
      <c r="B875" s="11"/>
      <c r="C875" s="11"/>
      <c r="D875" s="11"/>
    </row>
    <row r="876" spans="2:4" x14ac:dyDescent="0.2">
      <c r="B876" s="11"/>
      <c r="C876" s="11"/>
      <c r="D876" s="11"/>
    </row>
    <row r="877" spans="2:4" x14ac:dyDescent="0.2">
      <c r="B877" s="11"/>
      <c r="C877" s="11"/>
      <c r="D877" s="11"/>
    </row>
    <row r="878" spans="2:4" x14ac:dyDescent="0.2">
      <c r="B878" s="11"/>
      <c r="C878" s="11"/>
      <c r="D878" s="11"/>
    </row>
    <row r="879" spans="2:4" x14ac:dyDescent="0.2">
      <c r="B879" s="11"/>
      <c r="C879" s="11"/>
      <c r="D879" s="11"/>
    </row>
    <row r="880" spans="2:4" x14ac:dyDescent="0.2">
      <c r="B880" s="11"/>
      <c r="C880" s="11"/>
      <c r="D880" s="11"/>
    </row>
    <row r="881" spans="2:4" x14ac:dyDescent="0.2">
      <c r="B881" s="11"/>
      <c r="C881" s="11"/>
      <c r="D881" s="11"/>
    </row>
    <row r="882" spans="2:4" x14ac:dyDescent="0.2">
      <c r="B882" s="11"/>
      <c r="C882" s="11"/>
      <c r="D882" s="11"/>
    </row>
    <row r="883" spans="2:4" x14ac:dyDescent="0.2">
      <c r="B883" s="11"/>
      <c r="C883" s="11"/>
      <c r="D883" s="11"/>
    </row>
    <row r="884" spans="2:4" x14ac:dyDescent="0.2">
      <c r="B884" s="11"/>
      <c r="C884" s="11"/>
      <c r="D884" s="11"/>
    </row>
    <row r="885" spans="2:4" x14ac:dyDescent="0.2">
      <c r="B885" s="11"/>
      <c r="C885" s="11"/>
      <c r="D885" s="11"/>
    </row>
    <row r="886" spans="2:4" x14ac:dyDescent="0.2">
      <c r="B886" s="11"/>
      <c r="C886" s="11"/>
      <c r="D886" s="11"/>
    </row>
    <row r="887" spans="2:4" x14ac:dyDescent="0.2">
      <c r="B887" s="11"/>
      <c r="C887" s="11"/>
      <c r="D887" s="11"/>
    </row>
    <row r="888" spans="2:4" x14ac:dyDescent="0.2">
      <c r="B888" s="11"/>
      <c r="C888" s="11"/>
      <c r="D888" s="11"/>
    </row>
    <row r="889" spans="2:4" x14ac:dyDescent="0.2">
      <c r="B889" s="11"/>
      <c r="C889" s="11"/>
      <c r="D889" s="11"/>
    </row>
    <row r="890" spans="2:4" x14ac:dyDescent="0.2">
      <c r="B890" s="11"/>
      <c r="C890" s="11"/>
      <c r="D890" s="11"/>
    </row>
    <row r="891" spans="2:4" x14ac:dyDescent="0.2">
      <c r="B891" s="11"/>
      <c r="C891" s="11"/>
      <c r="D891" s="11"/>
    </row>
    <row r="892" spans="2:4" x14ac:dyDescent="0.2">
      <c r="B892" s="11"/>
      <c r="C892" s="11"/>
      <c r="D892" s="11"/>
    </row>
    <row r="893" spans="2:4" x14ac:dyDescent="0.2">
      <c r="B893" s="11"/>
      <c r="C893" s="11"/>
      <c r="D893" s="11"/>
    </row>
    <row r="894" spans="2:4" x14ac:dyDescent="0.2">
      <c r="B894" s="11"/>
      <c r="C894" s="11"/>
      <c r="D894" s="11"/>
    </row>
    <row r="895" spans="2:4" x14ac:dyDescent="0.2">
      <c r="B895" s="11"/>
      <c r="C895" s="11"/>
      <c r="D895" s="11"/>
    </row>
    <row r="896" spans="2:4" x14ac:dyDescent="0.2">
      <c r="B896" s="11"/>
      <c r="C896" s="11"/>
      <c r="D896" s="11"/>
    </row>
    <row r="897" spans="2:4" x14ac:dyDescent="0.2">
      <c r="B897" s="11"/>
      <c r="C897" s="11"/>
      <c r="D897" s="11"/>
    </row>
    <row r="898" spans="2:4" x14ac:dyDescent="0.2">
      <c r="B898" s="11"/>
      <c r="C898" s="11"/>
      <c r="D898" s="11"/>
    </row>
    <row r="899" spans="2:4" x14ac:dyDescent="0.2">
      <c r="B899" s="11"/>
      <c r="C899" s="11"/>
      <c r="D899" s="11"/>
    </row>
    <row r="900" spans="2:4" x14ac:dyDescent="0.2">
      <c r="B900" s="11"/>
      <c r="C900" s="11"/>
      <c r="D900" s="11"/>
    </row>
    <row r="901" spans="2:4" x14ac:dyDescent="0.2">
      <c r="B901" s="11"/>
      <c r="C901" s="11"/>
      <c r="D901" s="11"/>
    </row>
    <row r="902" spans="2:4" x14ac:dyDescent="0.2">
      <c r="B902" s="11"/>
      <c r="C902" s="11"/>
      <c r="D902" s="11"/>
    </row>
    <row r="903" spans="2:4" x14ac:dyDescent="0.2">
      <c r="B903" s="11"/>
      <c r="C903" s="11"/>
      <c r="D903" s="11"/>
    </row>
    <row r="904" spans="2:4" x14ac:dyDescent="0.2">
      <c r="B904" s="11"/>
      <c r="C904" s="11"/>
      <c r="D904" s="11"/>
    </row>
    <row r="905" spans="2:4" x14ac:dyDescent="0.2">
      <c r="B905" s="11"/>
      <c r="C905" s="11"/>
      <c r="D905" s="11"/>
    </row>
    <row r="906" spans="2:4" x14ac:dyDescent="0.2">
      <c r="B906" s="11"/>
      <c r="C906" s="11"/>
      <c r="D906" s="11"/>
    </row>
    <row r="907" spans="2:4" x14ac:dyDescent="0.2">
      <c r="B907" s="11"/>
      <c r="C907" s="11"/>
      <c r="D907" s="11"/>
    </row>
    <row r="908" spans="2:4" x14ac:dyDescent="0.2">
      <c r="B908" s="11"/>
      <c r="C908" s="11"/>
      <c r="D908" s="11"/>
    </row>
    <row r="909" spans="2:4" x14ac:dyDescent="0.2">
      <c r="B909" s="11"/>
      <c r="C909" s="11"/>
      <c r="D909" s="11"/>
    </row>
    <row r="910" spans="2:4" x14ac:dyDescent="0.2">
      <c r="B910" s="11"/>
      <c r="C910" s="11"/>
      <c r="D910" s="11"/>
    </row>
    <row r="911" spans="2:4" x14ac:dyDescent="0.2">
      <c r="B911" s="11"/>
      <c r="C911" s="11"/>
      <c r="D911" s="11"/>
    </row>
    <row r="912" spans="2:4" x14ac:dyDescent="0.2">
      <c r="B912" s="11"/>
      <c r="C912" s="11"/>
      <c r="D912" s="11"/>
    </row>
    <row r="913" spans="2:4" x14ac:dyDescent="0.2">
      <c r="B913" s="11"/>
      <c r="C913" s="11"/>
      <c r="D913" s="11"/>
    </row>
    <row r="914" spans="2:4" x14ac:dyDescent="0.2">
      <c r="B914" s="11"/>
      <c r="C914" s="11"/>
      <c r="D914" s="11"/>
    </row>
    <row r="915" spans="2:4" x14ac:dyDescent="0.2">
      <c r="B915" s="11"/>
      <c r="C915" s="11"/>
      <c r="D915" s="11"/>
    </row>
    <row r="916" spans="2:4" x14ac:dyDescent="0.2">
      <c r="B916" s="11"/>
      <c r="C916" s="11"/>
      <c r="D916" s="11"/>
    </row>
    <row r="917" spans="2:4" x14ac:dyDescent="0.2">
      <c r="B917" s="11"/>
      <c r="C917" s="11"/>
      <c r="D917" s="11"/>
    </row>
    <row r="918" spans="2:4" x14ac:dyDescent="0.2">
      <c r="B918" s="11"/>
      <c r="C918" s="11"/>
      <c r="D918" s="11"/>
    </row>
    <row r="919" spans="2:4" x14ac:dyDescent="0.2">
      <c r="B919" s="11"/>
      <c r="C919" s="11"/>
      <c r="D919" s="11"/>
    </row>
    <row r="920" spans="2:4" x14ac:dyDescent="0.2">
      <c r="B920" s="11"/>
      <c r="C920" s="11"/>
      <c r="D920" s="11"/>
    </row>
    <row r="921" spans="2:4" x14ac:dyDescent="0.2">
      <c r="B921" s="11"/>
      <c r="C921" s="11"/>
      <c r="D921" s="11"/>
    </row>
    <row r="922" spans="2:4" x14ac:dyDescent="0.2">
      <c r="B922" s="11"/>
      <c r="C922" s="11"/>
      <c r="D922" s="11"/>
    </row>
    <row r="923" spans="2:4" x14ac:dyDescent="0.2">
      <c r="B923" s="11"/>
      <c r="C923" s="11"/>
      <c r="D923" s="11"/>
    </row>
    <row r="924" spans="2:4" x14ac:dyDescent="0.2">
      <c r="B924" s="11"/>
      <c r="C924" s="11"/>
      <c r="D924" s="11"/>
    </row>
    <row r="925" spans="2:4" x14ac:dyDescent="0.2">
      <c r="B925" s="11"/>
      <c r="C925" s="11"/>
      <c r="D925" s="11"/>
    </row>
    <row r="926" spans="2:4" x14ac:dyDescent="0.2">
      <c r="B926" s="11"/>
      <c r="C926" s="11"/>
      <c r="D926" s="11"/>
    </row>
    <row r="927" spans="2:4" x14ac:dyDescent="0.2">
      <c r="B927" s="11"/>
      <c r="C927" s="11"/>
      <c r="D927" s="11"/>
    </row>
    <row r="928" spans="2:4" x14ac:dyDescent="0.2">
      <c r="B928" s="11"/>
      <c r="C928" s="11"/>
      <c r="D928" s="11"/>
    </row>
    <row r="929" spans="2:4" x14ac:dyDescent="0.2">
      <c r="B929" s="11"/>
      <c r="C929" s="11"/>
      <c r="D929" s="11"/>
    </row>
    <row r="930" spans="2:4" x14ac:dyDescent="0.2">
      <c r="B930" s="11"/>
      <c r="C930" s="11"/>
      <c r="D930" s="11"/>
    </row>
    <row r="931" spans="2:4" x14ac:dyDescent="0.2">
      <c r="B931" s="11"/>
      <c r="C931" s="11"/>
      <c r="D931" s="11"/>
    </row>
    <row r="932" spans="2:4" x14ac:dyDescent="0.2">
      <c r="B932" s="11"/>
      <c r="C932" s="11"/>
      <c r="D932" s="11"/>
    </row>
    <row r="933" spans="2:4" x14ac:dyDescent="0.2">
      <c r="B933" s="11"/>
      <c r="C933" s="11"/>
      <c r="D933" s="11"/>
    </row>
    <row r="934" spans="2:4" x14ac:dyDescent="0.2">
      <c r="B934" s="11"/>
      <c r="C934" s="11"/>
      <c r="D934" s="11"/>
    </row>
    <row r="935" spans="2:4" x14ac:dyDescent="0.2">
      <c r="B935" s="11"/>
      <c r="C935" s="11"/>
      <c r="D935" s="11"/>
    </row>
    <row r="936" spans="2:4" x14ac:dyDescent="0.2">
      <c r="B936" s="11"/>
      <c r="C936" s="11"/>
      <c r="D936" s="11"/>
    </row>
    <row r="937" spans="2:4" x14ac:dyDescent="0.2">
      <c r="B937" s="11"/>
      <c r="C937" s="11"/>
      <c r="D937" s="11"/>
    </row>
    <row r="938" spans="2:4" x14ac:dyDescent="0.2">
      <c r="B938" s="11"/>
      <c r="C938" s="11"/>
      <c r="D938" s="11"/>
    </row>
    <row r="939" spans="2:4" x14ac:dyDescent="0.2">
      <c r="B939" s="11"/>
      <c r="C939" s="11"/>
      <c r="D939" s="11"/>
    </row>
    <row r="940" spans="2:4" x14ac:dyDescent="0.2">
      <c r="B940" s="11"/>
      <c r="C940" s="11"/>
      <c r="D940" s="11"/>
    </row>
    <row r="941" spans="2:4" x14ac:dyDescent="0.2">
      <c r="B941" s="11"/>
      <c r="C941" s="11"/>
      <c r="D941" s="11"/>
    </row>
    <row r="942" spans="2:4" x14ac:dyDescent="0.2">
      <c r="B942" s="11"/>
      <c r="C942" s="11"/>
      <c r="D942" s="11"/>
    </row>
    <row r="943" spans="2:4" x14ac:dyDescent="0.2">
      <c r="B943" s="11"/>
      <c r="C943" s="11"/>
      <c r="D943" s="11"/>
    </row>
    <row r="944" spans="2:4" x14ac:dyDescent="0.2">
      <c r="B944" s="11"/>
      <c r="C944" s="11"/>
      <c r="D944" s="11"/>
    </row>
    <row r="945" spans="2:4" x14ac:dyDescent="0.2">
      <c r="B945" s="11"/>
      <c r="C945" s="11"/>
      <c r="D945" s="11"/>
    </row>
    <row r="946" spans="2:4" x14ac:dyDescent="0.2">
      <c r="B946" s="11"/>
      <c r="C946" s="11"/>
      <c r="D946" s="11"/>
    </row>
    <row r="947" spans="2:4" x14ac:dyDescent="0.2">
      <c r="B947" s="11"/>
      <c r="C947" s="11"/>
      <c r="D947" s="11"/>
    </row>
    <row r="948" spans="2:4" x14ac:dyDescent="0.2">
      <c r="B948" s="11"/>
      <c r="C948" s="11"/>
      <c r="D948" s="11"/>
    </row>
    <row r="949" spans="2:4" x14ac:dyDescent="0.2">
      <c r="B949" s="11"/>
      <c r="C949" s="11"/>
      <c r="D949" s="11"/>
    </row>
    <row r="950" spans="2:4" x14ac:dyDescent="0.2">
      <c r="B950" s="11"/>
      <c r="C950" s="11"/>
      <c r="D950" s="11"/>
    </row>
    <row r="951" spans="2:4" x14ac:dyDescent="0.2">
      <c r="B951" s="11"/>
      <c r="C951" s="11"/>
      <c r="D951" s="11"/>
    </row>
    <row r="952" spans="2:4" x14ac:dyDescent="0.2">
      <c r="B952" s="11"/>
      <c r="C952" s="11"/>
      <c r="D952" s="11"/>
    </row>
    <row r="953" spans="2:4" x14ac:dyDescent="0.2">
      <c r="B953" s="11"/>
      <c r="C953" s="11"/>
      <c r="D953" s="11"/>
    </row>
    <row r="954" spans="2:4" x14ac:dyDescent="0.2">
      <c r="B954" s="11"/>
      <c r="C954" s="11"/>
      <c r="D954" s="11"/>
    </row>
    <row r="955" spans="2:4" x14ac:dyDescent="0.2">
      <c r="B955" s="11"/>
      <c r="C955" s="11"/>
      <c r="D955" s="11"/>
    </row>
    <row r="956" spans="2:4" x14ac:dyDescent="0.2">
      <c r="B956" s="11"/>
      <c r="C956" s="11"/>
      <c r="D956" s="11"/>
    </row>
    <row r="957" spans="2:4" x14ac:dyDescent="0.2">
      <c r="B957" s="11"/>
      <c r="C957" s="11"/>
      <c r="D957" s="11"/>
    </row>
    <row r="958" spans="2:4" x14ac:dyDescent="0.2">
      <c r="B958" s="11"/>
      <c r="C958" s="11"/>
      <c r="D958" s="11"/>
    </row>
    <row r="959" spans="2:4" x14ac:dyDescent="0.2">
      <c r="B959" s="11"/>
      <c r="C959" s="11"/>
      <c r="D959" s="11"/>
    </row>
    <row r="960" spans="2:4" x14ac:dyDescent="0.2">
      <c r="B960" s="11"/>
      <c r="C960" s="11"/>
      <c r="D960" s="11"/>
    </row>
    <row r="961" spans="2:4" x14ac:dyDescent="0.2">
      <c r="B961" s="11"/>
      <c r="C961" s="11"/>
      <c r="D961" s="11"/>
    </row>
    <row r="962" spans="2:4" x14ac:dyDescent="0.2">
      <c r="B962" s="11"/>
      <c r="C962" s="11"/>
      <c r="D962" s="11"/>
    </row>
    <row r="963" spans="2:4" x14ac:dyDescent="0.2">
      <c r="B963" s="11"/>
      <c r="C963" s="11"/>
      <c r="D963" s="11"/>
    </row>
    <row r="964" spans="2:4" x14ac:dyDescent="0.2">
      <c r="B964" s="11"/>
      <c r="C964" s="11"/>
      <c r="D964" s="11"/>
    </row>
    <row r="965" spans="2:4" x14ac:dyDescent="0.2">
      <c r="B965" s="11"/>
      <c r="C965" s="11"/>
      <c r="D965" s="11"/>
    </row>
    <row r="966" spans="2:4" x14ac:dyDescent="0.2">
      <c r="B966" s="11"/>
      <c r="C966" s="11"/>
      <c r="D966" s="11"/>
    </row>
    <row r="967" spans="2:4" x14ac:dyDescent="0.2">
      <c r="B967" s="11"/>
      <c r="C967" s="11"/>
      <c r="D967" s="11"/>
    </row>
    <row r="968" spans="2:4" x14ac:dyDescent="0.2">
      <c r="B968" s="11"/>
      <c r="C968" s="11"/>
      <c r="D968" s="11"/>
    </row>
    <row r="969" spans="2:4" x14ac:dyDescent="0.2">
      <c r="B969" s="11"/>
      <c r="C969" s="11"/>
      <c r="D969" s="11"/>
    </row>
    <row r="970" spans="2:4" x14ac:dyDescent="0.2">
      <c r="B970" s="11"/>
      <c r="C970" s="11"/>
      <c r="D970" s="11"/>
    </row>
    <row r="971" spans="2:4" x14ac:dyDescent="0.2">
      <c r="B971" s="11"/>
      <c r="C971" s="11"/>
      <c r="D971" s="11"/>
    </row>
    <row r="972" spans="2:4" x14ac:dyDescent="0.2">
      <c r="B972" s="11"/>
      <c r="C972" s="11"/>
      <c r="D972" s="11"/>
    </row>
    <row r="973" spans="2:4" x14ac:dyDescent="0.2">
      <c r="B973" s="11"/>
      <c r="C973" s="11"/>
      <c r="D973" s="11"/>
    </row>
    <row r="974" spans="2:4" x14ac:dyDescent="0.2">
      <c r="B974" s="11"/>
      <c r="C974" s="11"/>
      <c r="D974" s="11"/>
    </row>
    <row r="975" spans="2:4" x14ac:dyDescent="0.2">
      <c r="B975" s="11"/>
      <c r="C975" s="11"/>
      <c r="D975" s="11"/>
    </row>
    <row r="976" spans="2:4" x14ac:dyDescent="0.2">
      <c r="B976" s="11"/>
      <c r="C976" s="11"/>
      <c r="D976" s="11"/>
    </row>
    <row r="977" spans="2:4" x14ac:dyDescent="0.2">
      <c r="B977" s="11"/>
      <c r="C977" s="11"/>
      <c r="D977" s="11"/>
    </row>
    <row r="978" spans="2:4" x14ac:dyDescent="0.2">
      <c r="B978" s="11"/>
      <c r="C978" s="11"/>
      <c r="D978" s="11"/>
    </row>
    <row r="979" spans="2:4" x14ac:dyDescent="0.2">
      <c r="B979" s="11"/>
      <c r="C979" s="11"/>
      <c r="D979" s="11"/>
    </row>
    <row r="980" spans="2:4" x14ac:dyDescent="0.2">
      <c r="B980" s="11"/>
      <c r="C980" s="11"/>
      <c r="D980" s="11"/>
    </row>
    <row r="981" spans="2:4" x14ac:dyDescent="0.2">
      <c r="B981" s="11"/>
      <c r="C981" s="11"/>
      <c r="D981" s="11"/>
    </row>
    <row r="982" spans="2:4" x14ac:dyDescent="0.2">
      <c r="B982" s="11"/>
      <c r="C982" s="11"/>
      <c r="D982" s="11"/>
    </row>
    <row r="983" spans="2:4" x14ac:dyDescent="0.2">
      <c r="B983" s="11"/>
      <c r="C983" s="11"/>
      <c r="D983" s="11"/>
    </row>
    <row r="984" spans="2:4" x14ac:dyDescent="0.2">
      <c r="B984" s="11"/>
      <c r="C984" s="11"/>
      <c r="D984" s="11"/>
    </row>
    <row r="985" spans="2:4" x14ac:dyDescent="0.2">
      <c r="B985" s="11"/>
      <c r="C985" s="11"/>
      <c r="D985" s="11"/>
    </row>
    <row r="986" spans="2:4" x14ac:dyDescent="0.2">
      <c r="B986" s="11"/>
      <c r="C986" s="11"/>
      <c r="D986" s="11"/>
    </row>
    <row r="987" spans="2:4" x14ac:dyDescent="0.2">
      <c r="B987" s="11"/>
      <c r="C987" s="11"/>
      <c r="D987" s="11"/>
    </row>
    <row r="988" spans="2:4" x14ac:dyDescent="0.2">
      <c r="B988" s="11"/>
      <c r="C988" s="11"/>
      <c r="D988" s="11"/>
    </row>
    <row r="989" spans="2:4" x14ac:dyDescent="0.2">
      <c r="B989" s="11"/>
      <c r="C989" s="11"/>
      <c r="D989" s="11"/>
    </row>
    <row r="990" spans="2:4" x14ac:dyDescent="0.2">
      <c r="B990" s="11"/>
      <c r="C990" s="11"/>
      <c r="D990" s="11"/>
    </row>
    <row r="991" spans="2:4" x14ac:dyDescent="0.2">
      <c r="B991" s="11"/>
      <c r="C991" s="11"/>
      <c r="D991" s="11"/>
    </row>
    <row r="992" spans="2:4" x14ac:dyDescent="0.2">
      <c r="B992" s="11"/>
      <c r="C992" s="11"/>
      <c r="D992" s="11"/>
    </row>
    <row r="993" spans="2:4" x14ac:dyDescent="0.2">
      <c r="B993" s="11"/>
      <c r="C993" s="11"/>
      <c r="D993" s="11"/>
    </row>
    <row r="994" spans="2:4" x14ac:dyDescent="0.2">
      <c r="B994" s="11"/>
      <c r="C994" s="11"/>
      <c r="D994" s="11"/>
    </row>
    <row r="995" spans="2:4" x14ac:dyDescent="0.2">
      <c r="B995" s="11"/>
      <c r="C995" s="11"/>
      <c r="D995" s="11"/>
    </row>
    <row r="996" spans="2:4" x14ac:dyDescent="0.2">
      <c r="B996" s="11"/>
      <c r="C996" s="11"/>
      <c r="D996" s="11"/>
    </row>
    <row r="997" spans="2:4" x14ac:dyDescent="0.2">
      <c r="B997" s="11"/>
      <c r="C997" s="11"/>
      <c r="D997" s="11"/>
    </row>
    <row r="998" spans="2:4" x14ac:dyDescent="0.2">
      <c r="B998" s="11"/>
      <c r="C998" s="11"/>
      <c r="D998" s="11"/>
    </row>
    <row r="999" spans="2:4" x14ac:dyDescent="0.2">
      <c r="B999" s="11"/>
      <c r="C999" s="11"/>
      <c r="D999" s="11"/>
    </row>
    <row r="1000" spans="2:4" x14ac:dyDescent="0.2">
      <c r="B1000" s="11"/>
      <c r="C1000" s="11"/>
      <c r="D1000" s="11"/>
    </row>
    <row r="1001" spans="2:4" x14ac:dyDescent="0.2">
      <c r="B1001" s="11"/>
      <c r="C1001" s="11"/>
      <c r="D1001" s="11"/>
    </row>
    <row r="1002" spans="2:4" x14ac:dyDescent="0.2">
      <c r="B1002" s="11"/>
      <c r="C1002" s="11"/>
      <c r="D1002" s="11"/>
    </row>
    <row r="1003" spans="2:4" x14ac:dyDescent="0.2">
      <c r="B1003" s="11"/>
      <c r="C1003" s="11"/>
      <c r="D1003" s="11"/>
    </row>
    <row r="1004" spans="2:4" x14ac:dyDescent="0.2">
      <c r="B1004" s="11"/>
      <c r="C1004" s="11"/>
      <c r="D1004" s="11"/>
    </row>
    <row r="1005" spans="2:4" x14ac:dyDescent="0.2">
      <c r="B1005" s="11"/>
      <c r="C1005" s="11"/>
      <c r="D1005" s="11"/>
    </row>
    <row r="1006" spans="2:4" x14ac:dyDescent="0.2">
      <c r="B1006" s="11"/>
      <c r="C1006" s="11"/>
      <c r="D1006" s="11"/>
    </row>
    <row r="1007" spans="2:4" x14ac:dyDescent="0.2">
      <c r="B1007" s="11"/>
      <c r="C1007" s="11"/>
      <c r="D1007" s="11"/>
    </row>
    <row r="1008" spans="2:4" x14ac:dyDescent="0.2">
      <c r="B1008" s="11"/>
      <c r="C1008" s="11"/>
      <c r="D1008" s="11"/>
    </row>
    <row r="1009" spans="2:4" x14ac:dyDescent="0.2">
      <c r="B1009" s="11"/>
      <c r="C1009" s="11"/>
      <c r="D1009" s="11"/>
    </row>
    <row r="1010" spans="2:4" x14ac:dyDescent="0.2">
      <c r="B1010" s="11"/>
      <c r="C1010" s="11"/>
      <c r="D1010" s="11"/>
    </row>
    <row r="1011" spans="2:4" x14ac:dyDescent="0.2">
      <c r="B1011" s="11"/>
      <c r="C1011" s="11"/>
      <c r="D1011" s="11"/>
    </row>
    <row r="1012" spans="2:4" x14ac:dyDescent="0.2">
      <c r="B1012" s="11"/>
      <c r="C1012" s="11"/>
      <c r="D1012" s="11"/>
    </row>
    <row r="1013" spans="2:4" x14ac:dyDescent="0.2">
      <c r="B1013" s="11"/>
      <c r="C1013" s="11"/>
      <c r="D1013" s="11"/>
    </row>
    <row r="1014" spans="2:4" x14ac:dyDescent="0.2">
      <c r="B1014" s="11"/>
      <c r="C1014" s="11"/>
      <c r="D1014" s="11"/>
    </row>
    <row r="1015" spans="2:4" x14ac:dyDescent="0.2">
      <c r="B1015" s="11"/>
      <c r="C1015" s="11"/>
      <c r="D1015" s="11"/>
    </row>
    <row r="1016" spans="2:4" x14ac:dyDescent="0.2">
      <c r="B1016" s="11"/>
      <c r="C1016" s="11"/>
      <c r="D1016" s="11"/>
    </row>
    <row r="1017" spans="2:4" x14ac:dyDescent="0.2">
      <c r="B1017" s="11"/>
      <c r="C1017" s="11"/>
      <c r="D1017" s="11"/>
    </row>
    <row r="1018" spans="2:4" x14ac:dyDescent="0.2">
      <c r="B1018" s="11"/>
      <c r="C1018" s="11"/>
      <c r="D1018" s="11"/>
    </row>
    <row r="1019" spans="2:4" x14ac:dyDescent="0.2">
      <c r="B1019" s="11"/>
      <c r="C1019" s="11"/>
      <c r="D1019" s="11"/>
    </row>
    <row r="1020" spans="2:4" x14ac:dyDescent="0.2">
      <c r="B1020" s="11"/>
      <c r="C1020" s="11"/>
      <c r="D1020" s="11"/>
    </row>
    <row r="1021" spans="2:4" x14ac:dyDescent="0.2">
      <c r="B1021" s="11"/>
      <c r="C1021" s="11"/>
      <c r="D1021" s="11"/>
    </row>
    <row r="1022" spans="2:4" x14ac:dyDescent="0.2">
      <c r="B1022" s="11"/>
      <c r="C1022" s="11"/>
      <c r="D1022" s="11"/>
    </row>
    <row r="1023" spans="2:4" x14ac:dyDescent="0.2">
      <c r="B1023" s="11"/>
      <c r="C1023" s="11"/>
      <c r="D1023" s="11"/>
    </row>
    <row r="1024" spans="2:4" x14ac:dyDescent="0.2">
      <c r="B1024" s="11"/>
      <c r="C1024" s="11"/>
      <c r="D1024" s="11"/>
    </row>
    <row r="1025" spans="2:4" x14ac:dyDescent="0.2">
      <c r="B1025" s="11"/>
      <c r="C1025" s="11"/>
      <c r="D1025" s="11"/>
    </row>
    <row r="1026" spans="2:4" x14ac:dyDescent="0.2">
      <c r="B1026" s="11"/>
      <c r="C1026" s="11"/>
      <c r="D1026" s="11"/>
    </row>
    <row r="1027" spans="2:4" x14ac:dyDescent="0.2">
      <c r="B1027" s="11"/>
      <c r="C1027" s="11"/>
      <c r="D1027" s="11"/>
    </row>
    <row r="1028" spans="2:4" x14ac:dyDescent="0.2">
      <c r="B1028" s="11"/>
      <c r="C1028" s="11"/>
      <c r="D1028" s="11"/>
    </row>
    <row r="1029" spans="2:4" x14ac:dyDescent="0.2">
      <c r="B1029" s="11"/>
      <c r="C1029" s="11"/>
      <c r="D1029" s="11"/>
    </row>
    <row r="1030" spans="2:4" x14ac:dyDescent="0.2">
      <c r="B1030" s="11"/>
      <c r="C1030" s="11"/>
      <c r="D1030" s="11"/>
    </row>
    <row r="1031" spans="2:4" x14ac:dyDescent="0.2">
      <c r="B1031" s="11"/>
      <c r="C1031" s="11"/>
      <c r="D1031" s="11"/>
    </row>
    <row r="1032" spans="2:4" x14ac:dyDescent="0.2">
      <c r="B1032" s="11"/>
      <c r="C1032" s="11"/>
      <c r="D1032" s="11"/>
    </row>
    <row r="1033" spans="2:4" x14ac:dyDescent="0.2">
      <c r="B1033" s="11"/>
      <c r="C1033" s="11"/>
      <c r="D1033" s="11"/>
    </row>
    <row r="1034" spans="2:4" x14ac:dyDescent="0.2">
      <c r="B1034" s="11"/>
      <c r="C1034" s="11"/>
      <c r="D1034" s="11"/>
    </row>
    <row r="1035" spans="2:4" x14ac:dyDescent="0.2">
      <c r="B1035" s="11"/>
      <c r="C1035" s="11"/>
      <c r="D1035" s="11"/>
    </row>
    <row r="1036" spans="2:4" x14ac:dyDescent="0.2">
      <c r="B1036" s="11"/>
      <c r="C1036" s="11"/>
      <c r="D1036" s="11"/>
    </row>
    <row r="1037" spans="2:4" x14ac:dyDescent="0.2">
      <c r="B1037" s="11"/>
      <c r="C1037" s="11"/>
      <c r="D1037" s="11"/>
    </row>
    <row r="1038" spans="2:4" x14ac:dyDescent="0.2">
      <c r="B1038" s="11"/>
      <c r="C1038" s="11"/>
      <c r="D1038" s="11"/>
    </row>
    <row r="1039" spans="2:4" x14ac:dyDescent="0.2">
      <c r="B1039" s="11"/>
      <c r="C1039" s="11"/>
      <c r="D1039" s="11"/>
    </row>
    <row r="1040" spans="2:4" x14ac:dyDescent="0.2">
      <c r="B1040" s="11"/>
      <c r="C1040" s="11"/>
      <c r="D1040" s="11"/>
    </row>
    <row r="1041" spans="2:4" x14ac:dyDescent="0.2">
      <c r="B1041" s="11"/>
      <c r="C1041" s="11"/>
      <c r="D1041" s="11"/>
    </row>
    <row r="1042" spans="2:4" x14ac:dyDescent="0.2">
      <c r="B1042" s="11"/>
      <c r="C1042" s="11"/>
      <c r="D1042" s="11"/>
    </row>
    <row r="1043" spans="2:4" x14ac:dyDescent="0.2">
      <c r="B1043" s="11"/>
      <c r="C1043" s="11"/>
      <c r="D1043" s="11"/>
    </row>
    <row r="1044" spans="2:4" x14ac:dyDescent="0.2">
      <c r="B1044" s="11"/>
      <c r="C1044" s="11"/>
      <c r="D1044" s="11"/>
    </row>
    <row r="1045" spans="2:4" x14ac:dyDescent="0.2">
      <c r="B1045" s="11"/>
      <c r="C1045" s="11"/>
      <c r="D1045" s="11"/>
    </row>
    <row r="1046" spans="2:4" x14ac:dyDescent="0.2">
      <c r="B1046" s="11"/>
      <c r="C1046" s="11"/>
      <c r="D1046" s="11"/>
    </row>
    <row r="1047" spans="2:4" x14ac:dyDescent="0.2">
      <c r="B1047" s="11"/>
      <c r="C1047" s="11"/>
      <c r="D1047" s="11"/>
    </row>
    <row r="1048" spans="2:4" x14ac:dyDescent="0.2">
      <c r="B1048" s="11"/>
      <c r="C1048" s="11"/>
      <c r="D1048" s="11"/>
    </row>
    <row r="1049" spans="2:4" x14ac:dyDescent="0.2">
      <c r="B1049" s="11"/>
      <c r="C1049" s="11"/>
      <c r="D1049" s="11"/>
    </row>
    <row r="1050" spans="2:4" x14ac:dyDescent="0.2">
      <c r="B1050" s="11"/>
      <c r="C1050" s="11"/>
      <c r="D1050" s="11"/>
    </row>
    <row r="1051" spans="2:4" x14ac:dyDescent="0.2">
      <c r="B1051" s="11"/>
      <c r="C1051" s="11"/>
      <c r="D1051" s="11"/>
    </row>
    <row r="1052" spans="2:4" x14ac:dyDescent="0.2">
      <c r="B1052" s="11"/>
      <c r="C1052" s="11"/>
      <c r="D1052" s="11"/>
    </row>
    <row r="1053" spans="2:4" x14ac:dyDescent="0.2">
      <c r="B1053" s="11"/>
      <c r="C1053" s="11"/>
      <c r="D1053" s="11"/>
    </row>
    <row r="1054" spans="2:4" x14ac:dyDescent="0.2">
      <c r="B1054" s="11"/>
      <c r="C1054" s="11"/>
      <c r="D1054" s="11"/>
    </row>
    <row r="1055" spans="2:4" x14ac:dyDescent="0.2">
      <c r="B1055" s="11"/>
      <c r="C1055" s="11"/>
      <c r="D1055" s="11"/>
    </row>
    <row r="1056" spans="2:4" x14ac:dyDescent="0.2">
      <c r="B1056" s="11"/>
      <c r="C1056" s="11"/>
      <c r="D1056" s="11"/>
    </row>
    <row r="1057" spans="2:4" x14ac:dyDescent="0.2">
      <c r="B1057" s="11"/>
      <c r="C1057" s="11"/>
      <c r="D1057" s="11"/>
    </row>
    <row r="1058" spans="2:4" x14ac:dyDescent="0.2">
      <c r="B1058" s="11"/>
      <c r="C1058" s="11"/>
      <c r="D1058" s="11"/>
    </row>
    <row r="1059" spans="2:4" x14ac:dyDescent="0.2">
      <c r="B1059" s="11"/>
      <c r="C1059" s="11"/>
      <c r="D1059" s="11"/>
    </row>
    <row r="1060" spans="2:4" x14ac:dyDescent="0.2">
      <c r="B1060" s="11"/>
      <c r="C1060" s="11"/>
      <c r="D1060" s="11"/>
    </row>
    <row r="1061" spans="2:4" x14ac:dyDescent="0.2">
      <c r="B1061" s="11"/>
      <c r="C1061" s="11"/>
      <c r="D1061" s="11"/>
    </row>
    <row r="1062" spans="2:4" x14ac:dyDescent="0.2">
      <c r="B1062" s="11"/>
      <c r="C1062" s="11"/>
      <c r="D1062" s="11"/>
    </row>
    <row r="1063" spans="2:4" x14ac:dyDescent="0.2">
      <c r="B1063" s="11"/>
      <c r="C1063" s="11"/>
      <c r="D1063" s="11"/>
    </row>
    <row r="1064" spans="2:4" x14ac:dyDescent="0.2">
      <c r="B1064" s="11"/>
      <c r="C1064" s="11"/>
      <c r="D1064" s="11"/>
    </row>
    <row r="1065" spans="2:4" x14ac:dyDescent="0.2">
      <c r="B1065" s="11"/>
      <c r="C1065" s="11"/>
      <c r="D1065" s="11"/>
    </row>
    <row r="1066" spans="2:4" x14ac:dyDescent="0.2">
      <c r="B1066" s="11"/>
      <c r="C1066" s="11"/>
      <c r="D1066" s="11"/>
    </row>
    <row r="1067" spans="2:4" x14ac:dyDescent="0.2">
      <c r="B1067" s="11"/>
      <c r="C1067" s="11"/>
      <c r="D1067" s="11"/>
    </row>
  </sheetData>
  <mergeCells count="379">
    <mergeCell ref="B118:J119"/>
    <mergeCell ref="B120:J120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K6:L6"/>
    <mergeCell ref="K8:K9"/>
    <mergeCell ref="L9:L10"/>
    <mergeCell ref="K10:K11"/>
    <mergeCell ref="L11:L12"/>
    <mergeCell ref="I56:I57"/>
    <mergeCell ref="E44:E45"/>
    <mergeCell ref="H45:H46"/>
    <mergeCell ref="H47:H48"/>
    <mergeCell ref="G42:G43"/>
    <mergeCell ref="H49:H50"/>
    <mergeCell ref="L13:L14"/>
    <mergeCell ref="K12:K13"/>
    <mergeCell ref="J35:J36"/>
    <mergeCell ref="J37:J38"/>
    <mergeCell ref="J39:J40"/>
    <mergeCell ref="J41:J42"/>
    <mergeCell ref="I44:I45"/>
    <mergeCell ref="I46:I47"/>
    <mergeCell ref="I34:I35"/>
    <mergeCell ref="I36:I37"/>
    <mergeCell ref="I38:I39"/>
    <mergeCell ref="H37:H38"/>
    <mergeCell ref="F39:F40"/>
    <mergeCell ref="B42:B43"/>
    <mergeCell ref="C42:C43"/>
    <mergeCell ref="B44:B45"/>
    <mergeCell ref="C44:C45"/>
    <mergeCell ref="D49:D50"/>
    <mergeCell ref="B92:J93"/>
    <mergeCell ref="B88:H88"/>
    <mergeCell ref="D59:D60"/>
    <mergeCell ref="C60:C61"/>
    <mergeCell ref="B46:B47"/>
    <mergeCell ref="J49:J50"/>
    <mergeCell ref="J51:J52"/>
    <mergeCell ref="J45:J46"/>
    <mergeCell ref="J47:J48"/>
    <mergeCell ref="D53:D54"/>
    <mergeCell ref="J59:J60"/>
    <mergeCell ref="H59:H60"/>
    <mergeCell ref="J61:J62"/>
    <mergeCell ref="G58:G59"/>
    <mergeCell ref="H57:H58"/>
    <mergeCell ref="B36:B37"/>
    <mergeCell ref="C36:C37"/>
    <mergeCell ref="B38:B39"/>
    <mergeCell ref="C38:C39"/>
    <mergeCell ref="B40:B41"/>
    <mergeCell ref="C40:C41"/>
    <mergeCell ref="J33:J34"/>
    <mergeCell ref="I54:I55"/>
    <mergeCell ref="E34:E35"/>
    <mergeCell ref="E36:E37"/>
    <mergeCell ref="E38:E39"/>
    <mergeCell ref="E40:E41"/>
    <mergeCell ref="E42:E43"/>
    <mergeCell ref="E50:E51"/>
    <mergeCell ref="G50:G51"/>
    <mergeCell ref="I50:I51"/>
    <mergeCell ref="H43:H44"/>
    <mergeCell ref="G44:G45"/>
    <mergeCell ref="F43:F44"/>
    <mergeCell ref="G36:G37"/>
    <mergeCell ref="G38:G39"/>
    <mergeCell ref="G40:G41"/>
    <mergeCell ref="H41:H42"/>
    <mergeCell ref="H39:H40"/>
    <mergeCell ref="G34:G35"/>
    <mergeCell ref="B32:B33"/>
    <mergeCell ref="C28:C29"/>
    <mergeCell ref="E32:E33"/>
    <mergeCell ref="C32:C33"/>
    <mergeCell ref="J57:J58"/>
    <mergeCell ref="J53:J54"/>
    <mergeCell ref="J55:J56"/>
    <mergeCell ref="B50:B51"/>
    <mergeCell ref="C50:C51"/>
    <mergeCell ref="I58:I59"/>
    <mergeCell ref="I48:I49"/>
    <mergeCell ref="G46:G47"/>
    <mergeCell ref="G48:G49"/>
    <mergeCell ref="G56:G57"/>
    <mergeCell ref="H55:H56"/>
    <mergeCell ref="G54:G55"/>
    <mergeCell ref="H53:H54"/>
    <mergeCell ref="F59:F60"/>
    <mergeCell ref="E56:E57"/>
    <mergeCell ref="E58:E59"/>
    <mergeCell ref="B52:B53"/>
    <mergeCell ref="C52:C53"/>
    <mergeCell ref="D51:D52"/>
    <mergeCell ref="H33:H34"/>
    <mergeCell ref="I32:I33"/>
    <mergeCell ref="H35:H36"/>
    <mergeCell ref="C34:C35"/>
    <mergeCell ref="F53:F54"/>
    <mergeCell ref="F37:F38"/>
    <mergeCell ref="E52:E53"/>
    <mergeCell ref="D37:D38"/>
    <mergeCell ref="F47:F48"/>
    <mergeCell ref="C46:C47"/>
    <mergeCell ref="I40:I41"/>
    <mergeCell ref="I42:I43"/>
    <mergeCell ref="D39:D40"/>
    <mergeCell ref="E54:E55"/>
    <mergeCell ref="D55:D56"/>
    <mergeCell ref="F49:F50"/>
    <mergeCell ref="F45:F46"/>
    <mergeCell ref="D41:D42"/>
    <mergeCell ref="D43:D44"/>
    <mergeCell ref="F41:F42"/>
    <mergeCell ref="F31:F32"/>
    <mergeCell ref="E46:E47"/>
    <mergeCell ref="E48:E49"/>
    <mergeCell ref="C48:C49"/>
    <mergeCell ref="B20:B21"/>
    <mergeCell ref="C20:C21"/>
    <mergeCell ref="B22:B23"/>
    <mergeCell ref="C22:C23"/>
    <mergeCell ref="B24:B25"/>
    <mergeCell ref="B18:B19"/>
    <mergeCell ref="C24:C25"/>
    <mergeCell ref="D57:D58"/>
    <mergeCell ref="F27:F28"/>
    <mergeCell ref="F29:F30"/>
    <mergeCell ref="B30:B31"/>
    <mergeCell ref="D29:D30"/>
    <mergeCell ref="B26:B27"/>
    <mergeCell ref="C30:C31"/>
    <mergeCell ref="E26:E27"/>
    <mergeCell ref="E28:E29"/>
    <mergeCell ref="E30:E31"/>
    <mergeCell ref="F35:F36"/>
    <mergeCell ref="B34:B35"/>
    <mergeCell ref="F33:F34"/>
    <mergeCell ref="D33:D34"/>
    <mergeCell ref="D35:D36"/>
    <mergeCell ref="B28:B29"/>
    <mergeCell ref="D31:D32"/>
    <mergeCell ref="D23:D24"/>
    <mergeCell ref="G52:G53"/>
    <mergeCell ref="C26:C27"/>
    <mergeCell ref="G60:G61"/>
    <mergeCell ref="G32:G33"/>
    <mergeCell ref="D15:D16"/>
    <mergeCell ref="F23:F24"/>
    <mergeCell ref="C14:C15"/>
    <mergeCell ref="F25:F26"/>
    <mergeCell ref="E24:E25"/>
    <mergeCell ref="E20:E21"/>
    <mergeCell ref="C16:C17"/>
    <mergeCell ref="D25:D26"/>
    <mergeCell ref="D19:D20"/>
    <mergeCell ref="D13:D14"/>
    <mergeCell ref="C18:C19"/>
    <mergeCell ref="E18:E19"/>
    <mergeCell ref="D21:D22"/>
    <mergeCell ref="C12:C13"/>
    <mergeCell ref="E14:E15"/>
    <mergeCell ref="E22:E23"/>
    <mergeCell ref="G30:G31"/>
    <mergeCell ref="D27:D28"/>
    <mergeCell ref="G28:G29"/>
    <mergeCell ref="J31:J32"/>
    <mergeCell ref="G26:G27"/>
    <mergeCell ref="H27:H28"/>
    <mergeCell ref="J21:J22"/>
    <mergeCell ref="I26:I27"/>
    <mergeCell ref="I28:I29"/>
    <mergeCell ref="J25:J26"/>
    <mergeCell ref="I20:I21"/>
    <mergeCell ref="J27:J28"/>
    <mergeCell ref="J29:J30"/>
    <mergeCell ref="H29:H30"/>
    <mergeCell ref="I30:I31"/>
    <mergeCell ref="H31:H32"/>
    <mergeCell ref="J23:J24"/>
    <mergeCell ref="G24:G25"/>
    <mergeCell ref="H25:H26"/>
    <mergeCell ref="J19:J20"/>
    <mergeCell ref="F21:F22"/>
    <mergeCell ref="F17:F18"/>
    <mergeCell ref="G18:G19"/>
    <mergeCell ref="G20:G21"/>
    <mergeCell ref="I22:I23"/>
    <mergeCell ref="G22:G23"/>
    <mergeCell ref="H23:H24"/>
    <mergeCell ref="F19:F20"/>
    <mergeCell ref="H21:H22"/>
    <mergeCell ref="I24:I25"/>
    <mergeCell ref="H19:H20"/>
    <mergeCell ref="I16:I17"/>
    <mergeCell ref="I18:I19"/>
    <mergeCell ref="I6:J6"/>
    <mergeCell ref="G6:H6"/>
    <mergeCell ref="H9:H10"/>
    <mergeCell ref="J9:J10"/>
    <mergeCell ref="J11:J12"/>
    <mergeCell ref="D17:D18"/>
    <mergeCell ref="E6:F6"/>
    <mergeCell ref="J15:J16"/>
    <mergeCell ref="J17:J18"/>
    <mergeCell ref="I8:I9"/>
    <mergeCell ref="E12:E13"/>
    <mergeCell ref="G12:G13"/>
    <mergeCell ref="E10:E11"/>
    <mergeCell ref="G8:G9"/>
    <mergeCell ref="G14:G15"/>
    <mergeCell ref="H15:H16"/>
    <mergeCell ref="G10:G11"/>
    <mergeCell ref="H11:H12"/>
    <mergeCell ref="I10:I11"/>
    <mergeCell ref="I12:I13"/>
    <mergeCell ref="E16:E17"/>
    <mergeCell ref="H17:H18"/>
    <mergeCell ref="I14:I15"/>
    <mergeCell ref="G16:G17"/>
    <mergeCell ref="B8:B9"/>
    <mergeCell ref="B10:B11"/>
    <mergeCell ref="C10:C11"/>
    <mergeCell ref="D11:D12"/>
    <mergeCell ref="D9:D10"/>
    <mergeCell ref="B14:B15"/>
    <mergeCell ref="F9:F10"/>
    <mergeCell ref="C8:C9"/>
    <mergeCell ref="F11:F12"/>
    <mergeCell ref="E8:E9"/>
    <mergeCell ref="F15:F16"/>
    <mergeCell ref="F13:F14"/>
    <mergeCell ref="B16:B17"/>
    <mergeCell ref="B12:B13"/>
    <mergeCell ref="J13:J14"/>
    <mergeCell ref="H13:H14"/>
    <mergeCell ref="K14:K15"/>
    <mergeCell ref="L15:L16"/>
    <mergeCell ref="K16:K17"/>
    <mergeCell ref="L17:L18"/>
    <mergeCell ref="K18:K19"/>
    <mergeCell ref="L19:L20"/>
    <mergeCell ref="K20:K21"/>
    <mergeCell ref="L21:L22"/>
    <mergeCell ref="K22:K23"/>
    <mergeCell ref="L23:L24"/>
    <mergeCell ref="K24:K25"/>
    <mergeCell ref="L25:L26"/>
    <mergeCell ref="K26:K27"/>
    <mergeCell ref="L27:L28"/>
    <mergeCell ref="K28:K29"/>
    <mergeCell ref="L29:L30"/>
    <mergeCell ref="K30:K31"/>
    <mergeCell ref="L31:L32"/>
    <mergeCell ref="K32:K33"/>
    <mergeCell ref="L33:L34"/>
    <mergeCell ref="K34:K35"/>
    <mergeCell ref="L35:L36"/>
    <mergeCell ref="L51:L52"/>
    <mergeCell ref="K52:K53"/>
    <mergeCell ref="L53:L54"/>
    <mergeCell ref="K54:K55"/>
    <mergeCell ref="L55:L56"/>
    <mergeCell ref="K50:K51"/>
    <mergeCell ref="H51:H52"/>
    <mergeCell ref="K36:K37"/>
    <mergeCell ref="L37:L38"/>
    <mergeCell ref="K38:K39"/>
    <mergeCell ref="L39:L40"/>
    <mergeCell ref="K40:K41"/>
    <mergeCell ref="L41:L42"/>
    <mergeCell ref="K42:K43"/>
    <mergeCell ref="L43:L44"/>
    <mergeCell ref="K44:K45"/>
    <mergeCell ref="L45:L46"/>
    <mergeCell ref="K46:K47"/>
    <mergeCell ref="L47:L48"/>
    <mergeCell ref="K48:K49"/>
    <mergeCell ref="L49:L50"/>
    <mergeCell ref="I52:I53"/>
    <mergeCell ref="J43:J44"/>
    <mergeCell ref="B109:J109"/>
    <mergeCell ref="B105:J106"/>
    <mergeCell ref="B107:G107"/>
    <mergeCell ref="G62:G63"/>
    <mergeCell ref="E60:E61"/>
    <mergeCell ref="H61:H62"/>
    <mergeCell ref="I62:I63"/>
    <mergeCell ref="B48:B49"/>
    <mergeCell ref="D45:D46"/>
    <mergeCell ref="D47:D48"/>
    <mergeCell ref="F51:F52"/>
    <mergeCell ref="F55:F56"/>
    <mergeCell ref="B56:B57"/>
    <mergeCell ref="C56:C57"/>
    <mergeCell ref="B62:B63"/>
    <mergeCell ref="C62:C63"/>
    <mergeCell ref="B58:B59"/>
    <mergeCell ref="B60:B61"/>
    <mergeCell ref="B54:B55"/>
    <mergeCell ref="C54:C55"/>
    <mergeCell ref="B113:J114"/>
    <mergeCell ref="B115:J115"/>
    <mergeCell ref="L57:L58"/>
    <mergeCell ref="K58:K59"/>
    <mergeCell ref="L59:L60"/>
    <mergeCell ref="K60:K61"/>
    <mergeCell ref="L61:L62"/>
    <mergeCell ref="B82:J83"/>
    <mergeCell ref="B84:H84"/>
    <mergeCell ref="K56:K57"/>
    <mergeCell ref="D61:D62"/>
    <mergeCell ref="E62:E63"/>
    <mergeCell ref="F61:F62"/>
    <mergeCell ref="B94:G94"/>
    <mergeCell ref="B96:J97"/>
    <mergeCell ref="B98:G98"/>
    <mergeCell ref="B80:D80"/>
    <mergeCell ref="B78:J79"/>
    <mergeCell ref="B86:J87"/>
    <mergeCell ref="B69:J70"/>
    <mergeCell ref="F57:F58"/>
    <mergeCell ref="K62:K63"/>
    <mergeCell ref="C58:C59"/>
    <mergeCell ref="I60:I6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96" fitToHeight="0" orientation="portrait" verticalDpi="300" r:id="rId1"/>
  <headerFooter alignWithMargins="0"/>
  <rowBreaks count="1" manualBreakCount="1">
    <brk id="67" min="1" max="14" man="1"/>
  </rowBreaks>
  <ignoredErrors>
    <ignoredError sqref="N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9"/>
  <sheetViews>
    <sheetView view="pageBreakPreview" zoomScaleNormal="40" zoomScaleSheetLayoutView="100" workbookViewId="0">
      <selection activeCell="L44" sqref="L44"/>
    </sheetView>
  </sheetViews>
  <sheetFormatPr defaultColWidth="15.7109375" defaultRowHeight="12.75" x14ac:dyDescent="0.2"/>
  <cols>
    <col min="1" max="1" width="5" customWidth="1"/>
    <col min="2" max="2" width="6.42578125" customWidth="1"/>
    <col min="3" max="3" width="10.7109375" style="16" customWidth="1"/>
    <col min="4" max="4" width="10.7109375" customWidth="1"/>
    <col min="5" max="5" width="7.42578125" customWidth="1"/>
    <col min="6" max="6" width="7.85546875" customWidth="1"/>
    <col min="7" max="8" width="8.28515625" customWidth="1"/>
    <col min="9" max="9" width="8.140625" customWidth="1"/>
    <col min="10" max="10" width="8" customWidth="1"/>
    <col min="11" max="11" width="8.28515625" customWidth="1"/>
    <col min="12" max="12" width="8.140625" customWidth="1"/>
    <col min="13" max="13" width="7.42578125" customWidth="1"/>
    <col min="14" max="14" width="7.28515625" customWidth="1"/>
    <col min="15" max="15" width="8.85546875" customWidth="1"/>
    <col min="16" max="16" width="9.140625" customWidth="1"/>
    <col min="17" max="17" width="8.85546875" customWidth="1"/>
    <col min="18" max="18" width="7.5703125" customWidth="1"/>
    <col min="19" max="19" width="7.7109375" customWidth="1"/>
    <col min="20" max="20" width="7.85546875" customWidth="1"/>
    <col min="21" max="21" width="10.42578125" customWidth="1"/>
    <col min="22" max="22" width="4.42578125" customWidth="1"/>
  </cols>
  <sheetData>
    <row r="1" spans="2:20" s="4" customFormat="1" ht="33.75" customHeight="1" thickBot="1" x14ac:dyDescent="0.3">
      <c r="B1" s="10" t="s">
        <v>139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2:20" s="4" customFormat="1" ht="53.25" customHeight="1" thickBot="1" x14ac:dyDescent="0.25">
      <c r="B2" s="53" t="s">
        <v>8</v>
      </c>
      <c r="C2" s="55" t="s">
        <v>7</v>
      </c>
      <c r="D2" s="81" t="s">
        <v>6</v>
      </c>
      <c r="E2" s="269" t="s">
        <v>217</v>
      </c>
      <c r="F2" s="270" t="s">
        <v>2</v>
      </c>
      <c r="G2" s="269" t="s">
        <v>216</v>
      </c>
      <c r="H2" s="270" t="s">
        <v>2</v>
      </c>
      <c r="I2" s="269" t="s">
        <v>219</v>
      </c>
      <c r="J2" s="270"/>
      <c r="K2" s="269" t="s">
        <v>218</v>
      </c>
      <c r="L2" s="270"/>
      <c r="M2" s="269" t="s">
        <v>222</v>
      </c>
      <c r="N2" s="270"/>
      <c r="O2" s="269" t="s">
        <v>223</v>
      </c>
      <c r="P2" s="270"/>
      <c r="Q2" s="269" t="s">
        <v>76</v>
      </c>
      <c r="R2" s="270"/>
      <c r="S2" s="269" t="s">
        <v>140</v>
      </c>
      <c r="T2" s="270"/>
    </row>
    <row r="3" spans="2:20" s="4" customFormat="1" ht="21" customHeight="1" thickBot="1" x14ac:dyDescent="0.25">
      <c r="B3" s="53"/>
      <c r="C3" s="55" t="s">
        <v>0</v>
      </c>
      <c r="D3" s="81" t="s">
        <v>1</v>
      </c>
      <c r="E3" s="205" t="s">
        <v>5</v>
      </c>
      <c r="F3" s="66" t="s">
        <v>4</v>
      </c>
      <c r="G3" s="53" t="s">
        <v>5</v>
      </c>
      <c r="H3" s="66" t="s">
        <v>4</v>
      </c>
      <c r="I3" s="205" t="s">
        <v>5</v>
      </c>
      <c r="J3" s="66" t="s">
        <v>4</v>
      </c>
      <c r="K3" s="53" t="s">
        <v>5</v>
      </c>
      <c r="L3" s="66" t="s">
        <v>4</v>
      </c>
      <c r="M3" s="205" t="s">
        <v>5</v>
      </c>
      <c r="N3" s="66" t="s">
        <v>4</v>
      </c>
      <c r="O3" s="53" t="s">
        <v>5</v>
      </c>
      <c r="P3" s="66" t="s">
        <v>4</v>
      </c>
      <c r="Q3" s="53" t="s">
        <v>5</v>
      </c>
      <c r="R3" s="66" t="s">
        <v>4</v>
      </c>
      <c r="S3" s="53" t="s">
        <v>1</v>
      </c>
      <c r="T3" s="66" t="s">
        <v>34</v>
      </c>
    </row>
    <row r="4" spans="2:20" s="4" customFormat="1" ht="9" customHeight="1" x14ac:dyDescent="0.2">
      <c r="B4" s="294">
        <v>28</v>
      </c>
      <c r="C4" s="295">
        <v>0.54</v>
      </c>
      <c r="D4" s="82"/>
      <c r="E4" s="271"/>
      <c r="F4" s="78"/>
      <c r="G4" s="271">
        <f>4.6+3.1+0.5</f>
        <v>8.1999999999999993</v>
      </c>
      <c r="H4" s="78"/>
      <c r="I4" s="271"/>
      <c r="J4" s="79"/>
      <c r="K4" s="271">
        <v>1.2</v>
      </c>
      <c r="L4" s="79"/>
      <c r="M4" s="202"/>
      <c r="N4" s="78"/>
      <c r="O4" s="77"/>
      <c r="P4" s="78"/>
      <c r="Q4" s="271">
        <f>0.44+3.1</f>
        <v>3.54</v>
      </c>
      <c r="R4" s="75"/>
      <c r="S4" s="275"/>
      <c r="T4" s="75"/>
    </row>
    <row r="5" spans="2:20" s="4" customFormat="1" ht="9" customHeight="1" x14ac:dyDescent="0.2">
      <c r="B5" s="243"/>
      <c r="C5" s="286"/>
      <c r="D5" s="282">
        <f>(C6-C4)*1000</f>
        <v>22.999999999999908</v>
      </c>
      <c r="E5" s="256"/>
      <c r="F5" s="223">
        <v>0</v>
      </c>
      <c r="G5" s="256"/>
      <c r="H5" s="296">
        <f>((G4+G6)/2)*D5+(5.8*10)</f>
        <v>290.29999999999905</v>
      </c>
      <c r="I5" s="256"/>
      <c r="J5" s="257">
        <f>((I4+I6)/2)*B5</f>
        <v>0</v>
      </c>
      <c r="K5" s="256"/>
      <c r="L5" s="257">
        <f>((K4+K6)/2)*D5</f>
        <v>74.749999999999702</v>
      </c>
      <c r="M5" s="203"/>
      <c r="N5" s="223"/>
      <c r="O5" s="27"/>
      <c r="P5" s="223"/>
      <c r="Q5" s="256"/>
      <c r="R5" s="223">
        <f>((Q4+Q6)/2)*D5</f>
        <v>86.709999999999653</v>
      </c>
      <c r="S5" s="276"/>
      <c r="T5" s="274"/>
    </row>
    <row r="6" spans="2:20" s="4" customFormat="1" ht="9" customHeight="1" x14ac:dyDescent="0.2">
      <c r="B6" s="243">
        <v>29</v>
      </c>
      <c r="C6" s="286">
        <v>0.56299999999999994</v>
      </c>
      <c r="D6" s="282"/>
      <c r="E6" s="256"/>
      <c r="F6" s="223"/>
      <c r="G6" s="256">
        <f>11.1+0.9</f>
        <v>12</v>
      </c>
      <c r="H6" s="296"/>
      <c r="I6" s="256"/>
      <c r="J6" s="257"/>
      <c r="K6" s="256">
        <v>5.3</v>
      </c>
      <c r="L6" s="257"/>
      <c r="M6" s="256"/>
      <c r="N6" s="223"/>
      <c r="O6" s="256"/>
      <c r="P6" s="223"/>
      <c r="Q6" s="256">
        <v>4</v>
      </c>
      <c r="R6" s="223"/>
      <c r="S6" s="276"/>
      <c r="T6" s="274"/>
    </row>
    <row r="7" spans="2:20" s="4" customFormat="1" ht="9" customHeight="1" x14ac:dyDescent="0.2">
      <c r="B7" s="243"/>
      <c r="C7" s="286"/>
      <c r="D7" s="282">
        <f>(C8-C6)*1000</f>
        <v>20.000000000000018</v>
      </c>
      <c r="E7" s="256"/>
      <c r="F7" s="223">
        <f>((E6+E8)/2)*D7</f>
        <v>0</v>
      </c>
      <c r="G7" s="256"/>
      <c r="H7" s="223">
        <f>((G6+G8)/2)*D7</f>
        <v>211.0000000000002</v>
      </c>
      <c r="I7" s="256"/>
      <c r="J7" s="257">
        <f>((I6+I8)/2)*B7</f>
        <v>0</v>
      </c>
      <c r="K7" s="256"/>
      <c r="L7" s="257">
        <f>((K6+K8)/2)*D7</f>
        <v>141.00000000000014</v>
      </c>
      <c r="M7" s="256"/>
      <c r="N7" s="223"/>
      <c r="O7" s="256"/>
      <c r="P7" s="223"/>
      <c r="Q7" s="256"/>
      <c r="R7" s="223">
        <f>((Q6+Q8)/2)*D7</f>
        <v>71.000000000000057</v>
      </c>
      <c r="S7" s="276"/>
      <c r="T7" s="274"/>
    </row>
    <row r="8" spans="2:20" s="4" customFormat="1" ht="9" customHeight="1" x14ac:dyDescent="0.2">
      <c r="B8" s="243">
        <v>30</v>
      </c>
      <c r="C8" s="286">
        <v>0.58299999999999996</v>
      </c>
      <c r="D8" s="282"/>
      <c r="E8" s="256"/>
      <c r="F8" s="223"/>
      <c r="G8" s="256">
        <f>8.2+0.9</f>
        <v>9.1</v>
      </c>
      <c r="H8" s="223"/>
      <c r="I8" s="256"/>
      <c r="J8" s="257"/>
      <c r="K8" s="256">
        <v>8.8000000000000007</v>
      </c>
      <c r="L8" s="257"/>
      <c r="M8" s="256"/>
      <c r="N8" s="223"/>
      <c r="O8" s="256"/>
      <c r="P8" s="223"/>
      <c r="Q8" s="256">
        <v>3.1</v>
      </c>
      <c r="R8" s="223"/>
      <c r="S8" s="276"/>
      <c r="T8" s="274"/>
    </row>
    <row r="9" spans="2:20" s="4" customFormat="1" ht="9" customHeight="1" x14ac:dyDescent="0.2">
      <c r="B9" s="243"/>
      <c r="C9" s="286"/>
      <c r="D9" s="282">
        <f>(C10-C8)*1000</f>
        <v>18.000000000000014</v>
      </c>
      <c r="E9" s="256"/>
      <c r="F9" s="272">
        <f>(E8*5)+(E10*13)</f>
        <v>0</v>
      </c>
      <c r="G9" s="256"/>
      <c r="H9" s="223">
        <f>(G8*5)+(G10*13)</f>
        <v>232.70000000000002</v>
      </c>
      <c r="I9" s="256"/>
      <c r="J9" s="223">
        <v>0</v>
      </c>
      <c r="K9" s="256"/>
      <c r="L9" s="223">
        <f>(K8*5)+(K10*13)</f>
        <v>285.8</v>
      </c>
      <c r="M9" s="256"/>
      <c r="N9" s="223"/>
      <c r="O9" s="256"/>
      <c r="P9" s="223"/>
      <c r="Q9" s="256"/>
      <c r="R9" s="223">
        <f>(Q8*5)+(1.2*17)</f>
        <v>35.9</v>
      </c>
      <c r="S9" s="276"/>
      <c r="T9" s="274"/>
    </row>
    <row r="10" spans="2:20" s="4" customFormat="1" ht="9" customHeight="1" x14ac:dyDescent="0.2">
      <c r="B10" s="243">
        <v>31</v>
      </c>
      <c r="C10" s="286">
        <v>0.60099999999999998</v>
      </c>
      <c r="D10" s="282"/>
      <c r="E10" s="256"/>
      <c r="F10" s="273"/>
      <c r="G10" s="256">
        <v>14.4</v>
      </c>
      <c r="H10" s="223"/>
      <c r="I10" s="256"/>
      <c r="J10" s="223"/>
      <c r="K10" s="256">
        <v>18.600000000000001</v>
      </c>
      <c r="L10" s="223"/>
      <c r="M10" s="256"/>
      <c r="N10" s="223"/>
      <c r="O10" s="256"/>
      <c r="P10" s="223"/>
      <c r="Q10" s="256">
        <v>8.1</v>
      </c>
      <c r="R10" s="223"/>
      <c r="S10" s="276"/>
      <c r="T10" s="274"/>
    </row>
    <row r="11" spans="2:20" s="4" customFormat="1" ht="9" customHeight="1" x14ac:dyDescent="0.2">
      <c r="B11" s="243"/>
      <c r="C11" s="286"/>
      <c r="D11" s="282">
        <f>(C12-C10)*1000</f>
        <v>19.000000000000018</v>
      </c>
      <c r="E11" s="256"/>
      <c r="F11" s="223">
        <f>(E10*9)+(E12*10)</f>
        <v>0</v>
      </c>
      <c r="G11" s="256"/>
      <c r="H11" s="223">
        <f>(G10*9)+(G12*10)</f>
        <v>699.6</v>
      </c>
      <c r="I11" s="256"/>
      <c r="J11" s="223">
        <v>0</v>
      </c>
      <c r="K11" s="256"/>
      <c r="L11" s="223">
        <f>(K10*9)+(K12*10)</f>
        <v>171.4</v>
      </c>
      <c r="M11" s="256"/>
      <c r="N11" s="257"/>
      <c r="O11" s="256"/>
      <c r="P11" s="257">
        <f>O12*18+(22.5*23)</f>
        <v>760.5</v>
      </c>
      <c r="Q11" s="256"/>
      <c r="R11" s="223">
        <f>(Q10*15)+(Q12*35)</f>
        <v>265</v>
      </c>
      <c r="S11" s="276"/>
      <c r="T11" s="257">
        <f>S12*32</f>
        <v>230.4</v>
      </c>
    </row>
    <row r="12" spans="2:20" s="4" customFormat="1" ht="9" customHeight="1" x14ac:dyDescent="0.2">
      <c r="B12" s="243">
        <v>32</v>
      </c>
      <c r="C12" s="286">
        <v>0.62</v>
      </c>
      <c r="D12" s="282"/>
      <c r="E12" s="256"/>
      <c r="F12" s="223"/>
      <c r="G12" s="256">
        <f>24+33</f>
        <v>57</v>
      </c>
      <c r="H12" s="223"/>
      <c r="I12" s="256"/>
      <c r="J12" s="223"/>
      <c r="K12" s="256">
        <v>0.4</v>
      </c>
      <c r="L12" s="223"/>
      <c r="M12" s="256"/>
      <c r="N12" s="257"/>
      <c r="O12" s="256">
        <v>13.5</v>
      </c>
      <c r="P12" s="257"/>
      <c r="Q12" s="256">
        <v>4.0999999999999996</v>
      </c>
      <c r="R12" s="223"/>
      <c r="S12" s="256">
        <v>7.2</v>
      </c>
      <c r="T12" s="257"/>
    </row>
    <row r="13" spans="2:20" s="4" customFormat="1" ht="9" customHeight="1" x14ac:dyDescent="0.2">
      <c r="B13" s="243"/>
      <c r="C13" s="286"/>
      <c r="D13" s="282">
        <f>(C14-C12)*1000</f>
        <v>20.000000000000018</v>
      </c>
      <c r="E13" s="256"/>
      <c r="F13" s="223">
        <f>((E12+E14)/2)*D13</f>
        <v>0</v>
      </c>
      <c r="G13" s="256"/>
      <c r="H13" s="223">
        <f>((G12+G14)/2)*D13</f>
        <v>1190.0000000000011</v>
      </c>
      <c r="I13" s="256"/>
      <c r="J13" s="257">
        <f>((I12+I14)/2)*B13</f>
        <v>0</v>
      </c>
      <c r="K13" s="256"/>
      <c r="L13" s="257">
        <f>((K12+K14)/2)*D13</f>
        <v>12.000000000000012</v>
      </c>
      <c r="M13" s="256"/>
      <c r="N13" s="257"/>
      <c r="O13" s="256"/>
      <c r="P13" s="257">
        <f>((O12+O14)/2)*D13</f>
        <v>248.00000000000023</v>
      </c>
      <c r="Q13" s="256"/>
      <c r="R13" s="257">
        <f>((Q12+Q14)/2)*D13</f>
        <v>80.000000000000071</v>
      </c>
      <c r="S13" s="256"/>
      <c r="T13" s="257">
        <f>((S12+S14)/2)*D13</f>
        <v>132.00000000000011</v>
      </c>
    </row>
    <row r="14" spans="2:20" s="4" customFormat="1" ht="9" customHeight="1" x14ac:dyDescent="0.2">
      <c r="B14" s="243">
        <v>33</v>
      </c>
      <c r="C14" s="286">
        <v>0.64</v>
      </c>
      <c r="D14" s="282"/>
      <c r="E14" s="256"/>
      <c r="F14" s="223"/>
      <c r="G14" s="256">
        <f>35+27</f>
        <v>62</v>
      </c>
      <c r="H14" s="223"/>
      <c r="I14" s="256"/>
      <c r="J14" s="257"/>
      <c r="K14" s="256">
        <v>0.8</v>
      </c>
      <c r="L14" s="257"/>
      <c r="M14" s="256"/>
      <c r="N14" s="257"/>
      <c r="O14" s="256">
        <v>11.3</v>
      </c>
      <c r="P14" s="257"/>
      <c r="Q14" s="256">
        <v>3.9</v>
      </c>
      <c r="R14" s="257"/>
      <c r="S14" s="256">
        <v>6</v>
      </c>
      <c r="T14" s="257"/>
    </row>
    <row r="15" spans="2:20" s="4" customFormat="1" ht="9" customHeight="1" x14ac:dyDescent="0.2">
      <c r="B15" s="243"/>
      <c r="C15" s="286"/>
      <c r="D15" s="288">
        <f>(C16-C14)*1000</f>
        <v>20.000000000000018</v>
      </c>
      <c r="E15" s="256"/>
      <c r="F15" s="223">
        <f t="shared" ref="F15" si="0">((E14+E16)/2)*D15</f>
        <v>0</v>
      </c>
      <c r="G15" s="256"/>
      <c r="H15" s="223">
        <f>((G14+G16)/2)*D15</f>
        <v>983.0000000000008</v>
      </c>
      <c r="I15" s="256"/>
      <c r="J15" s="257">
        <f>((I14+I16)/2)*B15</f>
        <v>0</v>
      </c>
      <c r="K15" s="256"/>
      <c r="L15" s="257">
        <f>((K14+K16)/2)*D15</f>
        <v>21.000000000000021</v>
      </c>
      <c r="M15" s="256"/>
      <c r="N15" s="257"/>
      <c r="O15" s="256"/>
      <c r="P15" s="257">
        <f>((O14+O16)/2)*D15</f>
        <v>211.0000000000002</v>
      </c>
      <c r="Q15" s="256"/>
      <c r="R15" s="257">
        <f>((Q14+Q16)/2)*D15</f>
        <v>75.000000000000071</v>
      </c>
      <c r="S15" s="256"/>
      <c r="T15" s="257">
        <f>((S14+S16)/2)*D15</f>
        <v>114.0000000000001</v>
      </c>
    </row>
    <row r="16" spans="2:20" s="4" customFormat="1" ht="9" customHeight="1" x14ac:dyDescent="0.2">
      <c r="B16" s="243">
        <v>34</v>
      </c>
      <c r="C16" s="286">
        <v>0.66</v>
      </c>
      <c r="D16" s="288"/>
      <c r="E16" s="256"/>
      <c r="F16" s="223"/>
      <c r="G16" s="256">
        <f>36.3</f>
        <v>36.299999999999997</v>
      </c>
      <c r="H16" s="223"/>
      <c r="I16" s="256"/>
      <c r="J16" s="257"/>
      <c r="K16" s="256">
        <v>1.3</v>
      </c>
      <c r="L16" s="257"/>
      <c r="M16" s="256"/>
      <c r="N16" s="257"/>
      <c r="O16" s="256">
        <v>9.8000000000000007</v>
      </c>
      <c r="P16" s="257"/>
      <c r="Q16" s="256">
        <v>3.6</v>
      </c>
      <c r="R16" s="257"/>
      <c r="S16" s="256">
        <v>5.4</v>
      </c>
      <c r="T16" s="257"/>
    </row>
    <row r="17" spans="2:20" s="4" customFormat="1" ht="9" customHeight="1" x14ac:dyDescent="0.2">
      <c r="B17" s="243"/>
      <c r="C17" s="286"/>
      <c r="D17" s="288">
        <f>(C18-C16)*1000</f>
        <v>20.000000000000018</v>
      </c>
      <c r="E17" s="256"/>
      <c r="F17" s="223">
        <f t="shared" ref="F17" si="1">((E16+E18)/2)*D17</f>
        <v>0</v>
      </c>
      <c r="G17" s="256"/>
      <c r="H17" s="223">
        <f>((G16+G18)/2)*D17</f>
        <v>1042.0000000000009</v>
      </c>
      <c r="I17" s="256"/>
      <c r="J17" s="257">
        <f>((I16+I18)/2)*B17</f>
        <v>0</v>
      </c>
      <c r="K17" s="256"/>
      <c r="L17" s="257">
        <f>((K16+K18)/2)*D17</f>
        <v>28.000000000000021</v>
      </c>
      <c r="M17" s="256"/>
      <c r="N17" s="257"/>
      <c r="O17" s="256"/>
      <c r="P17" s="257">
        <f>((O16+O18)/2)*D17</f>
        <v>183.00000000000017</v>
      </c>
      <c r="Q17" s="256"/>
      <c r="R17" s="257">
        <f>((Q16+Q18)/2)*D17</f>
        <v>70.000000000000057</v>
      </c>
      <c r="S17" s="256"/>
      <c r="T17" s="257">
        <f>((S16+S18)/2)*D17</f>
        <v>103.0000000000001</v>
      </c>
    </row>
    <row r="18" spans="2:20" s="4" customFormat="1" ht="9" customHeight="1" x14ac:dyDescent="0.2">
      <c r="B18" s="243">
        <v>35</v>
      </c>
      <c r="C18" s="286">
        <v>0.68</v>
      </c>
      <c r="D18" s="288"/>
      <c r="E18" s="256"/>
      <c r="F18" s="223"/>
      <c r="G18" s="256">
        <f>36.7+31.2</f>
        <v>67.900000000000006</v>
      </c>
      <c r="H18" s="223"/>
      <c r="I18" s="256"/>
      <c r="J18" s="257"/>
      <c r="K18" s="256">
        <v>1.5</v>
      </c>
      <c r="L18" s="257"/>
      <c r="M18" s="256"/>
      <c r="N18" s="257"/>
      <c r="O18" s="256">
        <v>8.5</v>
      </c>
      <c r="P18" s="257"/>
      <c r="Q18" s="256">
        <v>3.4</v>
      </c>
      <c r="R18" s="257"/>
      <c r="S18" s="256">
        <v>4.9000000000000004</v>
      </c>
      <c r="T18" s="257"/>
    </row>
    <row r="19" spans="2:20" s="4" customFormat="1" ht="9" customHeight="1" x14ac:dyDescent="0.2">
      <c r="B19" s="243"/>
      <c r="C19" s="286"/>
      <c r="D19" s="288">
        <f>(C20-C18)*1000</f>
        <v>19.999999999999908</v>
      </c>
      <c r="E19" s="256"/>
      <c r="F19" s="223">
        <f t="shared" ref="F19" si="2">((E18+E20)/2)*D19</f>
        <v>0</v>
      </c>
      <c r="G19" s="256"/>
      <c r="H19" s="223">
        <f>((G18+G20)/2)*D19</f>
        <v>1351.9999999999936</v>
      </c>
      <c r="I19" s="256"/>
      <c r="J19" s="257">
        <f>((I18+I20)/2)*B19</f>
        <v>0</v>
      </c>
      <c r="K19" s="256"/>
      <c r="L19" s="257">
        <f>((K18+K20)/2)*D19</f>
        <v>32.999999999999844</v>
      </c>
      <c r="M19" s="256"/>
      <c r="N19" s="257"/>
      <c r="O19" s="256"/>
      <c r="P19" s="257">
        <f>((O18+O20)/2)*D19</f>
        <v>159.99999999999926</v>
      </c>
      <c r="Q19" s="256"/>
      <c r="R19" s="257">
        <f>((Q18+Q20)/2)*D19</f>
        <v>65.999999999999687</v>
      </c>
      <c r="S19" s="256"/>
      <c r="T19" s="257">
        <f>((S18+S20)/2)*D19</f>
        <v>93.999999999999574</v>
      </c>
    </row>
    <row r="20" spans="2:20" s="4" customFormat="1" ht="9" customHeight="1" x14ac:dyDescent="0.2">
      <c r="B20" s="243">
        <v>36</v>
      </c>
      <c r="C20" s="286">
        <v>0.7</v>
      </c>
      <c r="D20" s="288"/>
      <c r="E20" s="256"/>
      <c r="F20" s="223"/>
      <c r="G20" s="256">
        <f>33.8+33.5</f>
        <v>67.3</v>
      </c>
      <c r="H20" s="223"/>
      <c r="I20" s="256"/>
      <c r="J20" s="257"/>
      <c r="K20" s="256">
        <v>1.8</v>
      </c>
      <c r="L20" s="257"/>
      <c r="M20" s="256"/>
      <c r="N20" s="257"/>
      <c r="O20" s="256">
        <v>7.5</v>
      </c>
      <c r="P20" s="257"/>
      <c r="Q20" s="256">
        <v>3.2</v>
      </c>
      <c r="R20" s="257"/>
      <c r="S20" s="256">
        <v>4.5</v>
      </c>
      <c r="T20" s="257"/>
    </row>
    <row r="21" spans="2:20" s="4" customFormat="1" ht="9" customHeight="1" x14ac:dyDescent="0.2">
      <c r="B21" s="243"/>
      <c r="C21" s="286"/>
      <c r="D21" s="288">
        <f>(C22-C20)*1000</f>
        <v>20.000000000000018</v>
      </c>
      <c r="E21" s="256"/>
      <c r="F21" s="223">
        <f t="shared" ref="F21" si="3">((E20+E22)/2)*D21</f>
        <v>0</v>
      </c>
      <c r="G21" s="256"/>
      <c r="H21" s="223">
        <f>((G20+G22)/2)*D21</f>
        <v>1381.0000000000011</v>
      </c>
      <c r="I21" s="256"/>
      <c r="J21" s="257">
        <f>((I20+I22)/2)*B21</f>
        <v>0</v>
      </c>
      <c r="K21" s="256"/>
      <c r="L21" s="257">
        <f>((K20+K22)/2)*D21</f>
        <v>38.000000000000028</v>
      </c>
      <c r="M21" s="256"/>
      <c r="N21" s="257"/>
      <c r="O21" s="256"/>
      <c r="P21" s="257">
        <f>((O20+O22)/2)*D21</f>
        <v>147.00000000000011</v>
      </c>
      <c r="Q21" s="256"/>
      <c r="R21" s="257">
        <f>((Q20+Q22)/2)*D21</f>
        <v>60.000000000000057</v>
      </c>
      <c r="S21" s="256"/>
      <c r="T21" s="257">
        <f>((S20+S22)/2)*D21</f>
        <v>85.000000000000071</v>
      </c>
    </row>
    <row r="22" spans="2:20" s="4" customFormat="1" ht="9" customHeight="1" x14ac:dyDescent="0.2">
      <c r="B22" s="243">
        <v>37</v>
      </c>
      <c r="C22" s="286">
        <v>0.72</v>
      </c>
      <c r="D22" s="288"/>
      <c r="E22" s="256"/>
      <c r="F22" s="223"/>
      <c r="G22" s="256">
        <f>44.4+26.4</f>
        <v>70.8</v>
      </c>
      <c r="H22" s="223"/>
      <c r="I22" s="256"/>
      <c r="J22" s="257"/>
      <c r="K22" s="256">
        <v>2</v>
      </c>
      <c r="L22" s="257"/>
      <c r="M22" s="256"/>
      <c r="N22" s="257"/>
      <c r="O22" s="256">
        <v>7.2</v>
      </c>
      <c r="P22" s="257"/>
      <c r="Q22" s="256">
        <v>2.8</v>
      </c>
      <c r="R22" s="257"/>
      <c r="S22" s="256">
        <v>4</v>
      </c>
      <c r="T22" s="257"/>
    </row>
    <row r="23" spans="2:20" s="4" customFormat="1" ht="9" customHeight="1" x14ac:dyDescent="0.2">
      <c r="B23" s="243"/>
      <c r="C23" s="286"/>
      <c r="D23" s="288">
        <f>(C24-C22)*1000</f>
        <v>20.000000000000018</v>
      </c>
      <c r="E23" s="256"/>
      <c r="F23" s="223">
        <f t="shared" ref="F23" si="4">((E22+E24)/2)*D23</f>
        <v>0</v>
      </c>
      <c r="G23" s="256"/>
      <c r="H23" s="223">
        <f>((G22+G24)/2)*D23</f>
        <v>1585.0000000000014</v>
      </c>
      <c r="I23" s="256"/>
      <c r="J23" s="257">
        <f>((I22+I24)/2)*B23</f>
        <v>0</v>
      </c>
      <c r="K23" s="256"/>
      <c r="L23" s="257">
        <f>((K22+K24)/2)*D23</f>
        <v>38.000000000000028</v>
      </c>
      <c r="M23" s="256"/>
      <c r="N23" s="257"/>
      <c r="O23" s="256"/>
      <c r="P23" s="257">
        <f>O22*6.5</f>
        <v>46.800000000000004</v>
      </c>
      <c r="Q23" s="256"/>
      <c r="R23" s="223">
        <f>Q22*6.5</f>
        <v>18.2</v>
      </c>
      <c r="S23" s="256"/>
      <c r="T23" s="223">
        <f>S22*6.5</f>
        <v>26</v>
      </c>
    </row>
    <row r="24" spans="2:20" s="4" customFormat="1" ht="9" customHeight="1" x14ac:dyDescent="0.2">
      <c r="B24" s="243">
        <v>38</v>
      </c>
      <c r="C24" s="286">
        <v>0.74</v>
      </c>
      <c r="D24" s="288"/>
      <c r="E24" s="256"/>
      <c r="F24" s="223"/>
      <c r="G24" s="256">
        <f>87.7</f>
        <v>87.7</v>
      </c>
      <c r="H24" s="223"/>
      <c r="I24" s="256"/>
      <c r="J24" s="257"/>
      <c r="K24" s="256">
        <v>1.8</v>
      </c>
      <c r="L24" s="257"/>
      <c r="M24" s="256"/>
      <c r="N24" s="257"/>
      <c r="O24" s="256"/>
      <c r="P24" s="257"/>
      <c r="Q24" s="256"/>
      <c r="R24" s="223"/>
      <c r="S24" s="256"/>
      <c r="T24" s="223"/>
    </row>
    <row r="25" spans="2:20" s="4" customFormat="1" ht="9" customHeight="1" x14ac:dyDescent="0.2">
      <c r="B25" s="243"/>
      <c r="C25" s="286"/>
      <c r="D25" s="288">
        <f>(C26-C24)*1000</f>
        <v>20.000000000000018</v>
      </c>
      <c r="E25" s="256"/>
      <c r="F25" s="223">
        <f t="shared" ref="F25" si="5">((E24+E26)/2)*D25</f>
        <v>0</v>
      </c>
      <c r="G25" s="256"/>
      <c r="H25" s="223">
        <f>((G24+G26)/2)*D25</f>
        <v>1814.0000000000014</v>
      </c>
      <c r="I25" s="256"/>
      <c r="J25" s="257">
        <f>((I24+I26)/2)*B25</f>
        <v>0</v>
      </c>
      <c r="K25" s="256"/>
      <c r="L25" s="257">
        <f>((K24+K26)/2)*D25</f>
        <v>33.000000000000028</v>
      </c>
      <c r="M25" s="256"/>
      <c r="N25" s="223"/>
      <c r="O25" s="256"/>
      <c r="P25" s="223"/>
      <c r="Q25" s="256"/>
      <c r="R25" s="223"/>
      <c r="S25" s="256"/>
      <c r="T25" s="223"/>
    </row>
    <row r="26" spans="2:20" s="4" customFormat="1" ht="9" customHeight="1" x14ac:dyDescent="0.2">
      <c r="B26" s="243">
        <v>39</v>
      </c>
      <c r="C26" s="286">
        <v>0.76</v>
      </c>
      <c r="D26" s="288"/>
      <c r="E26" s="256"/>
      <c r="F26" s="223"/>
      <c r="G26" s="256">
        <f>67.1+26.6</f>
        <v>93.699999999999989</v>
      </c>
      <c r="H26" s="223"/>
      <c r="I26" s="256"/>
      <c r="J26" s="257"/>
      <c r="K26" s="256">
        <v>1.5</v>
      </c>
      <c r="L26" s="257"/>
      <c r="M26" s="256"/>
      <c r="N26" s="223"/>
      <c r="O26" s="256"/>
      <c r="P26" s="223"/>
      <c r="Q26" s="256"/>
      <c r="R26" s="223"/>
      <c r="S26" s="256"/>
      <c r="T26" s="223"/>
    </row>
    <row r="27" spans="2:20" s="4" customFormat="1" ht="9" customHeight="1" x14ac:dyDescent="0.2">
      <c r="B27" s="243"/>
      <c r="C27" s="286"/>
      <c r="D27" s="288">
        <f>(C28-C26)*1000</f>
        <v>20.000000000000018</v>
      </c>
      <c r="E27" s="256"/>
      <c r="F27" s="223">
        <f t="shared" ref="F27" si="6">((E26+E28)/2)*D27</f>
        <v>0</v>
      </c>
      <c r="G27" s="256"/>
      <c r="H27" s="223">
        <f>((G26+G28)/2)*D27</f>
        <v>1783.0000000000014</v>
      </c>
      <c r="I27" s="256"/>
      <c r="J27" s="257">
        <f>((I26+I28)/2)*B27</f>
        <v>0</v>
      </c>
      <c r="K27" s="256"/>
      <c r="L27" s="257">
        <f>((K26+K28)/2)*D27</f>
        <v>32.000000000000028</v>
      </c>
      <c r="M27" s="256"/>
      <c r="N27" s="223"/>
      <c r="O27" s="256"/>
      <c r="P27" s="223"/>
      <c r="Q27" s="256"/>
      <c r="R27" s="223"/>
      <c r="S27" s="256"/>
      <c r="T27" s="223"/>
    </row>
    <row r="28" spans="2:20" s="4" customFormat="1" ht="9" customHeight="1" x14ac:dyDescent="0.2">
      <c r="B28" s="243">
        <v>40</v>
      </c>
      <c r="C28" s="286">
        <v>0.78</v>
      </c>
      <c r="D28" s="288"/>
      <c r="E28" s="256"/>
      <c r="F28" s="223"/>
      <c r="G28" s="256">
        <f>62.5+22.1</f>
        <v>84.6</v>
      </c>
      <c r="H28" s="223"/>
      <c r="I28" s="256"/>
      <c r="J28" s="257"/>
      <c r="K28" s="256">
        <v>1.7</v>
      </c>
      <c r="L28" s="257"/>
      <c r="M28" s="256"/>
      <c r="N28" s="223"/>
      <c r="O28" s="256"/>
      <c r="P28" s="223"/>
      <c r="Q28" s="256"/>
      <c r="R28" s="223"/>
      <c r="S28" s="256"/>
      <c r="T28" s="223"/>
    </row>
    <row r="29" spans="2:20" s="4" customFormat="1" ht="9" customHeight="1" x14ac:dyDescent="0.2">
      <c r="B29" s="243"/>
      <c r="C29" s="286"/>
      <c r="D29" s="288">
        <f>(C30-C28)*1000</f>
        <v>20.000000000000018</v>
      </c>
      <c r="E29" s="256"/>
      <c r="F29" s="223">
        <f t="shared" ref="F29" si="7">((E28+E30)/2)*D29</f>
        <v>0</v>
      </c>
      <c r="G29" s="256"/>
      <c r="H29" s="223">
        <f>((G28+G30)/2)*D29</f>
        <v>1376.0000000000011</v>
      </c>
      <c r="I29" s="256"/>
      <c r="J29" s="257">
        <f>((I28+I30)/2)*B29</f>
        <v>0</v>
      </c>
      <c r="K29" s="256"/>
      <c r="L29" s="257">
        <f>((K28+K30)/2)*D29</f>
        <v>36.000000000000028</v>
      </c>
      <c r="M29" s="256"/>
      <c r="N29" s="223"/>
      <c r="O29" s="256"/>
      <c r="P29" s="223"/>
      <c r="Q29" s="256"/>
      <c r="R29" s="223"/>
      <c r="S29" s="256"/>
      <c r="T29" s="223"/>
    </row>
    <row r="30" spans="2:20" s="4" customFormat="1" ht="9" customHeight="1" x14ac:dyDescent="0.2">
      <c r="B30" s="243">
        <v>41</v>
      </c>
      <c r="C30" s="286">
        <v>0.8</v>
      </c>
      <c r="D30" s="288"/>
      <c r="E30" s="256"/>
      <c r="F30" s="223"/>
      <c r="G30" s="256">
        <f>53</f>
        <v>53</v>
      </c>
      <c r="H30" s="223"/>
      <c r="I30" s="256"/>
      <c r="J30" s="257"/>
      <c r="K30" s="256">
        <v>1.9</v>
      </c>
      <c r="L30" s="257"/>
      <c r="M30" s="256"/>
      <c r="N30" s="223"/>
      <c r="O30" s="256"/>
      <c r="P30" s="223"/>
      <c r="Q30" s="256"/>
      <c r="R30" s="223"/>
      <c r="S30" s="256"/>
      <c r="T30" s="223"/>
    </row>
    <row r="31" spans="2:20" s="4" customFormat="1" ht="9" customHeight="1" x14ac:dyDescent="0.2">
      <c r="B31" s="243"/>
      <c r="C31" s="286"/>
      <c r="D31" s="288">
        <f>(C32-C30)*1000</f>
        <v>19.999999999999908</v>
      </c>
      <c r="E31" s="256"/>
      <c r="F31" s="223">
        <v>0</v>
      </c>
      <c r="G31" s="256"/>
      <c r="H31" s="223">
        <f>((G30+G32)/2)*D31</f>
        <v>827.99999999999613</v>
      </c>
      <c r="I31" s="256"/>
      <c r="J31" s="257">
        <v>0</v>
      </c>
      <c r="K31" s="256"/>
      <c r="L31" s="257">
        <f>((K30+K32)/2)*D31</f>
        <v>41.999999999999801</v>
      </c>
      <c r="M31" s="256"/>
      <c r="N31" s="223"/>
      <c r="O31" s="256"/>
      <c r="P31" s="223"/>
      <c r="Q31" s="256"/>
      <c r="R31" s="223"/>
      <c r="S31" s="256"/>
      <c r="T31" s="223"/>
    </row>
    <row r="32" spans="2:20" s="4" customFormat="1" ht="9" customHeight="1" x14ac:dyDescent="0.2">
      <c r="B32" s="243">
        <v>42</v>
      </c>
      <c r="C32" s="286">
        <v>0.82</v>
      </c>
      <c r="D32" s="288"/>
      <c r="E32" s="256">
        <f>23.7+6.1</f>
        <v>29.799999999999997</v>
      </c>
      <c r="F32" s="223"/>
      <c r="G32" s="256">
        <f>23.7+6.1</f>
        <v>29.799999999999997</v>
      </c>
      <c r="H32" s="223"/>
      <c r="I32" s="256">
        <v>2.2999999999999998</v>
      </c>
      <c r="J32" s="257"/>
      <c r="K32" s="256">
        <v>2.2999999999999998</v>
      </c>
      <c r="L32" s="257"/>
      <c r="M32" s="256"/>
      <c r="N32" s="223"/>
      <c r="O32" s="256"/>
      <c r="P32" s="223"/>
      <c r="Q32" s="256"/>
      <c r="R32" s="223"/>
      <c r="S32" s="256"/>
      <c r="T32" s="223"/>
    </row>
    <row r="33" spans="2:20" s="4" customFormat="1" ht="9" customHeight="1" x14ac:dyDescent="0.2">
      <c r="B33" s="243"/>
      <c r="C33" s="286"/>
      <c r="D33" s="288">
        <f>(C34-C32)*1000</f>
        <v>20.000000000000018</v>
      </c>
      <c r="E33" s="256"/>
      <c r="F33" s="223">
        <f t="shared" ref="F33" si="8">((E32+E34)/2)*D33</f>
        <v>896.00000000000068</v>
      </c>
      <c r="G33" s="256"/>
      <c r="H33" s="223">
        <v>0</v>
      </c>
      <c r="I33" s="256"/>
      <c r="J33" s="257">
        <f t="shared" ref="J33" si="9">((I32+I34)/2)*D33</f>
        <v>23.000000000000018</v>
      </c>
      <c r="K33" s="256"/>
      <c r="L33" s="257">
        <v>0</v>
      </c>
      <c r="M33" s="256"/>
      <c r="N33" s="223"/>
      <c r="O33" s="256"/>
      <c r="P33" s="223"/>
      <c r="Q33" s="256"/>
      <c r="R33" s="223"/>
      <c r="S33" s="256"/>
      <c r="T33" s="223"/>
    </row>
    <row r="34" spans="2:20" s="4" customFormat="1" ht="9" customHeight="1" x14ac:dyDescent="0.2">
      <c r="B34" s="243">
        <v>43</v>
      </c>
      <c r="C34" s="286">
        <v>0.84</v>
      </c>
      <c r="D34" s="288"/>
      <c r="E34" s="256">
        <v>59.8</v>
      </c>
      <c r="F34" s="223"/>
      <c r="G34" s="256"/>
      <c r="H34" s="223"/>
      <c r="I34" s="256">
        <v>0</v>
      </c>
      <c r="J34" s="257"/>
      <c r="K34" s="256"/>
      <c r="L34" s="257"/>
      <c r="M34" s="256"/>
      <c r="N34" s="223"/>
      <c r="O34" s="256"/>
      <c r="P34" s="223"/>
      <c r="Q34" s="256"/>
      <c r="R34" s="223"/>
      <c r="S34" s="256"/>
      <c r="T34" s="223"/>
    </row>
    <row r="35" spans="2:20" s="4" customFormat="1" ht="9" customHeight="1" x14ac:dyDescent="0.2">
      <c r="B35" s="243"/>
      <c r="C35" s="286"/>
      <c r="D35" s="288">
        <f>(C36-C34)*1000</f>
        <v>20.000000000000018</v>
      </c>
      <c r="E35" s="256"/>
      <c r="F35" s="223">
        <f t="shared" ref="F35" si="10">((E34+E36)/2)*D35</f>
        <v>674.00000000000057</v>
      </c>
      <c r="G35" s="256"/>
      <c r="H35" s="223">
        <v>0</v>
      </c>
      <c r="I35" s="256"/>
      <c r="J35" s="257">
        <f t="shared" ref="J35" si="11">((I34+I36)/2)*D35</f>
        <v>35.000000000000028</v>
      </c>
      <c r="K35" s="256"/>
      <c r="L35" s="257">
        <f>((K34+K36)/2)*D35</f>
        <v>0</v>
      </c>
      <c r="M35" s="256"/>
      <c r="N35" s="223"/>
      <c r="O35" s="256"/>
      <c r="P35" s="223"/>
      <c r="Q35" s="256"/>
      <c r="R35" s="223"/>
      <c r="S35" s="256"/>
      <c r="T35" s="223"/>
    </row>
    <row r="36" spans="2:20" s="4" customFormat="1" ht="9" customHeight="1" x14ac:dyDescent="0.2">
      <c r="B36" s="243">
        <v>44</v>
      </c>
      <c r="C36" s="286">
        <v>0.86</v>
      </c>
      <c r="D36" s="288"/>
      <c r="E36" s="256">
        <v>7.6</v>
      </c>
      <c r="F36" s="223"/>
      <c r="G36" s="256"/>
      <c r="H36" s="223"/>
      <c r="I36" s="256">
        <v>3.5</v>
      </c>
      <c r="J36" s="257"/>
      <c r="K36" s="256"/>
      <c r="L36" s="257"/>
      <c r="M36" s="256"/>
      <c r="N36" s="223"/>
      <c r="O36" s="256"/>
      <c r="P36" s="223"/>
      <c r="Q36" s="256"/>
      <c r="R36" s="223"/>
      <c r="S36" s="256"/>
      <c r="T36" s="223"/>
    </row>
    <row r="37" spans="2:20" s="4" customFormat="1" ht="9" customHeight="1" x14ac:dyDescent="0.2">
      <c r="B37" s="243"/>
      <c r="C37" s="286"/>
      <c r="D37" s="288">
        <f>(C38-C36)*1000</f>
        <v>20.000000000000018</v>
      </c>
      <c r="E37" s="256"/>
      <c r="F37" s="223">
        <f t="shared" ref="F37" si="12">((E36+E38)/2)*D37</f>
        <v>173.00000000000011</v>
      </c>
      <c r="G37" s="256"/>
      <c r="H37" s="223">
        <f>((G36+G38)/2)*D37</f>
        <v>0</v>
      </c>
      <c r="I37" s="256"/>
      <c r="J37" s="257">
        <f t="shared" ref="J37" si="13">((I36+I38)/2)*D37</f>
        <v>37.000000000000036</v>
      </c>
      <c r="K37" s="256"/>
      <c r="L37" s="257">
        <f>((K36+K38)/2)*D37</f>
        <v>0</v>
      </c>
      <c r="M37" s="256"/>
      <c r="N37" s="223"/>
      <c r="O37" s="256"/>
      <c r="P37" s="223"/>
      <c r="Q37" s="256"/>
      <c r="R37" s="223"/>
      <c r="S37" s="256"/>
      <c r="T37" s="223"/>
    </row>
    <row r="38" spans="2:20" s="4" customFormat="1" ht="9" customHeight="1" x14ac:dyDescent="0.2">
      <c r="B38" s="243">
        <v>45</v>
      </c>
      <c r="C38" s="286">
        <v>0.88</v>
      </c>
      <c r="D38" s="288"/>
      <c r="E38" s="256">
        <v>9.6999999999999993</v>
      </c>
      <c r="F38" s="223"/>
      <c r="G38" s="256"/>
      <c r="H38" s="223"/>
      <c r="I38" s="256">
        <v>0.2</v>
      </c>
      <c r="J38" s="257"/>
      <c r="K38" s="256"/>
      <c r="L38" s="257"/>
      <c r="M38" s="256"/>
      <c r="N38" s="223"/>
      <c r="O38" s="256"/>
      <c r="P38" s="223"/>
      <c r="Q38" s="256"/>
      <c r="R38" s="223"/>
      <c r="S38" s="256"/>
      <c r="T38" s="223"/>
    </row>
    <row r="39" spans="2:20" s="4" customFormat="1" ht="9" customHeight="1" x14ac:dyDescent="0.2">
      <c r="B39" s="243"/>
      <c r="C39" s="286"/>
      <c r="D39" s="288">
        <f>(C40-C38)*1000</f>
        <v>20.000000000000018</v>
      </c>
      <c r="E39" s="256"/>
      <c r="F39" s="223">
        <f t="shared" ref="F39" si="14">((E38+E40)/2)*D39</f>
        <v>179.00000000000014</v>
      </c>
      <c r="G39" s="256"/>
      <c r="H39" s="223">
        <f>((G38+G40)/2)*D39</f>
        <v>0</v>
      </c>
      <c r="I39" s="256"/>
      <c r="J39" s="257">
        <f t="shared" ref="J39" si="15">((I38+I40)/2)*D39</f>
        <v>5.0000000000000044</v>
      </c>
      <c r="K39" s="256"/>
      <c r="L39" s="257">
        <f>((K38+K40)/2)*D39</f>
        <v>0</v>
      </c>
      <c r="M39" s="256"/>
      <c r="N39" s="223"/>
      <c r="O39" s="256"/>
      <c r="P39" s="223"/>
      <c r="Q39" s="256"/>
      <c r="R39" s="223"/>
      <c r="S39" s="256"/>
      <c r="T39" s="223"/>
    </row>
    <row r="40" spans="2:20" s="4" customFormat="1" ht="9" customHeight="1" x14ac:dyDescent="0.2">
      <c r="B40" s="243">
        <v>46</v>
      </c>
      <c r="C40" s="286">
        <v>0.9</v>
      </c>
      <c r="D40" s="288"/>
      <c r="E40" s="256">
        <v>8.1999999999999993</v>
      </c>
      <c r="F40" s="223"/>
      <c r="G40" s="256"/>
      <c r="H40" s="223"/>
      <c r="I40" s="256">
        <v>0.3</v>
      </c>
      <c r="J40" s="257"/>
      <c r="K40" s="256"/>
      <c r="L40" s="257"/>
      <c r="M40" s="256">
        <v>0.6</v>
      </c>
      <c r="N40" s="223"/>
      <c r="O40" s="256"/>
      <c r="P40" s="223"/>
      <c r="Q40" s="256"/>
      <c r="R40" s="223"/>
      <c r="S40" s="256"/>
      <c r="T40" s="223"/>
    </row>
    <row r="41" spans="2:20" s="4" customFormat="1" ht="12" customHeight="1" x14ac:dyDescent="0.2">
      <c r="B41" s="243"/>
      <c r="C41" s="286"/>
      <c r="D41" s="288">
        <v>25.6</v>
      </c>
      <c r="E41" s="256"/>
      <c r="F41" s="223">
        <f t="shared" ref="F41" si="16">((E40+E42)/2)*D41</f>
        <v>209.92</v>
      </c>
      <c r="G41" s="256"/>
      <c r="H41" s="223">
        <f>((G40+G42)/2)*D41</f>
        <v>0</v>
      </c>
      <c r="I41" s="256"/>
      <c r="J41" s="257">
        <f t="shared" ref="J41" si="17">((I40+I42)/2)*D41</f>
        <v>7.68</v>
      </c>
      <c r="K41" s="256"/>
      <c r="L41" s="257">
        <f>((K40+K42)/2)*D41</f>
        <v>0</v>
      </c>
      <c r="M41" s="256"/>
      <c r="N41" s="223">
        <f>M40*13.7</f>
        <v>8.2199999999999989</v>
      </c>
      <c r="O41" s="256"/>
      <c r="P41" s="223"/>
      <c r="Q41" s="256"/>
      <c r="R41" s="223">
        <f>Q42*11</f>
        <v>4.4000000000000004</v>
      </c>
      <c r="S41" s="256"/>
      <c r="T41" s="223"/>
    </row>
    <row r="42" spans="2:20" s="4" customFormat="1" ht="12" customHeight="1" x14ac:dyDescent="0.2">
      <c r="B42" s="243" t="s">
        <v>116</v>
      </c>
      <c r="C42" s="286">
        <f>C40+0.0256</f>
        <v>0.92559999999999998</v>
      </c>
      <c r="D42" s="289"/>
      <c r="E42" s="256">
        <v>8.1999999999999993</v>
      </c>
      <c r="F42" s="223"/>
      <c r="G42" s="256"/>
      <c r="H42" s="223"/>
      <c r="I42" s="256">
        <v>0.3</v>
      </c>
      <c r="J42" s="257"/>
      <c r="K42" s="256"/>
      <c r="L42" s="257"/>
      <c r="M42" s="256">
        <v>0.6</v>
      </c>
      <c r="N42" s="267"/>
      <c r="O42" s="256"/>
      <c r="P42" s="267"/>
      <c r="Q42" s="256">
        <v>0.4</v>
      </c>
      <c r="R42" s="267"/>
      <c r="S42" s="256"/>
      <c r="T42" s="267"/>
    </row>
    <row r="43" spans="2:20" s="4" customFormat="1" ht="12" customHeight="1" thickBot="1" x14ac:dyDescent="0.25">
      <c r="B43" s="244"/>
      <c r="C43" s="287"/>
      <c r="D43" s="83"/>
      <c r="E43" s="256"/>
      <c r="F43" s="76"/>
      <c r="G43" s="256"/>
      <c r="H43" s="76"/>
      <c r="I43" s="256"/>
      <c r="J43" s="80"/>
      <c r="K43" s="256"/>
      <c r="L43" s="80"/>
      <c r="M43" s="268"/>
      <c r="N43" s="76"/>
      <c r="O43" s="268"/>
      <c r="P43" s="76"/>
      <c r="Q43" s="268"/>
      <c r="R43" s="76"/>
      <c r="S43" s="268"/>
      <c r="T43" s="76"/>
    </row>
    <row r="44" spans="2:20" s="4" customFormat="1" ht="18" customHeight="1" thickBot="1" x14ac:dyDescent="0.25">
      <c r="B44" s="1"/>
      <c r="D44" s="73" t="s">
        <v>14</v>
      </c>
      <c r="E44" s="13"/>
      <c r="F44" s="157">
        <f>SUM(F5:F42)</f>
        <v>2131.9200000000014</v>
      </c>
      <c r="G44" s="13"/>
      <c r="H44" s="74">
        <f>SUM(H5:H42)</f>
        <v>14767.6</v>
      </c>
      <c r="I44" s="20"/>
      <c r="J44" s="74">
        <f>SUM(J5:J42)</f>
        <v>107.68000000000009</v>
      </c>
      <c r="K44" s="20"/>
      <c r="L44" s="74">
        <f>SUM(L5:L42)</f>
        <v>985.94999999999948</v>
      </c>
      <c r="M44" s="20"/>
      <c r="N44" s="157">
        <f>SUM(N5:N42)</f>
        <v>8.2199999999999989</v>
      </c>
      <c r="O44" s="20"/>
      <c r="P44" s="157">
        <f>SUM(P5:P42)</f>
        <v>1756.3</v>
      </c>
      <c r="R44" s="157">
        <f>SUM(R5:R42)</f>
        <v>832.2099999999997</v>
      </c>
      <c r="T44" s="157">
        <f>SUM(T5:T42)</f>
        <v>784.4</v>
      </c>
    </row>
    <row r="45" spans="2:20" s="4" customFormat="1" ht="9" customHeight="1" x14ac:dyDescent="0.2">
      <c r="B45" s="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2:20" ht="13.5" thickBot="1" x14ac:dyDescent="0.25">
      <c r="C46" s="25" t="s">
        <v>77</v>
      </c>
      <c r="D46" s="26"/>
      <c r="E46" s="24"/>
      <c r="F46" s="24"/>
      <c r="G46" s="24"/>
      <c r="H46" s="24"/>
      <c r="I46" s="24"/>
      <c r="J46" s="24"/>
      <c r="K46" s="24"/>
      <c r="L46" s="24"/>
    </row>
    <row r="47" spans="2:20" x14ac:dyDescent="0.2">
      <c r="B47" s="213" t="s">
        <v>23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8"/>
    </row>
    <row r="48" spans="2:20" x14ac:dyDescent="0.2">
      <c r="B48" s="283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5"/>
    </row>
    <row r="49" spans="2:19" x14ac:dyDescent="0.2">
      <c r="B49" s="103" t="s">
        <v>78</v>
      </c>
      <c r="C49" s="38"/>
      <c r="D49" s="39"/>
      <c r="E49" s="39"/>
      <c r="F49" s="39"/>
      <c r="G49" s="39"/>
      <c r="H49" s="39"/>
      <c r="I49" s="40"/>
      <c r="J49" s="40"/>
      <c r="K49" s="40"/>
      <c r="L49" s="40"/>
      <c r="M49" s="40"/>
      <c r="N49" s="132"/>
      <c r="O49" s="40"/>
      <c r="P49" s="132"/>
    </row>
    <row r="50" spans="2:19" x14ac:dyDescent="0.2">
      <c r="B50" s="107" t="s">
        <v>79</v>
      </c>
      <c r="C50" s="15"/>
      <c r="D50" s="3"/>
      <c r="E50" s="33"/>
      <c r="F50" s="36"/>
      <c r="G50" s="33"/>
      <c r="H50" s="36"/>
      <c r="I50" s="33"/>
      <c r="J50" s="33"/>
      <c r="K50" s="33"/>
      <c r="L50" s="33"/>
      <c r="M50" s="3"/>
      <c r="N50" s="161"/>
      <c r="O50" s="3"/>
      <c r="P50" s="161"/>
      <c r="R50" s="93"/>
    </row>
    <row r="51" spans="2:19" x14ac:dyDescent="0.2">
      <c r="B51" s="109" t="s">
        <v>30</v>
      </c>
      <c r="C51" s="15"/>
      <c r="D51" s="3"/>
      <c r="E51" s="33"/>
      <c r="F51" s="36"/>
      <c r="G51" s="33"/>
      <c r="H51" s="36" t="s">
        <v>80</v>
      </c>
      <c r="I51" s="33"/>
      <c r="J51" s="33"/>
      <c r="K51" s="33"/>
      <c r="L51" s="33"/>
      <c r="M51" s="2"/>
      <c r="N51" s="173"/>
      <c r="O51" s="45">
        <f>54.5*6</f>
        <v>327</v>
      </c>
      <c r="P51" s="108" t="s">
        <v>15</v>
      </c>
      <c r="R51" s="93"/>
    </row>
    <row r="52" spans="2:19" x14ac:dyDescent="0.2">
      <c r="B52" s="107" t="s">
        <v>81</v>
      </c>
      <c r="C52" s="15"/>
      <c r="D52" s="3"/>
      <c r="E52" s="33"/>
      <c r="F52" s="33"/>
      <c r="G52" s="33"/>
      <c r="H52" s="33"/>
      <c r="I52" s="33"/>
      <c r="J52" s="33"/>
      <c r="K52" s="33"/>
      <c r="L52" s="33"/>
      <c r="M52" s="2"/>
      <c r="N52" s="173"/>
      <c r="O52" s="45">
        <v>8</v>
      </c>
      <c r="P52" s="108" t="s">
        <v>10</v>
      </c>
    </row>
    <row r="53" spans="2:19" ht="13.5" thickBot="1" x14ac:dyDescent="0.25">
      <c r="B53" s="110" t="s">
        <v>32</v>
      </c>
      <c r="C53" s="122"/>
      <c r="D53" s="112"/>
      <c r="E53" s="120"/>
      <c r="F53" s="120"/>
      <c r="G53" s="120"/>
      <c r="H53" s="120"/>
      <c r="I53" s="120"/>
      <c r="J53" s="120"/>
      <c r="K53" s="120"/>
      <c r="L53" s="120"/>
      <c r="M53" s="119"/>
      <c r="N53" s="101"/>
      <c r="O53" s="162">
        <f>4*8</f>
        <v>32</v>
      </c>
      <c r="P53" s="163" t="s">
        <v>10</v>
      </c>
      <c r="R53" s="93"/>
      <c r="S53" s="93"/>
    </row>
    <row r="54" spans="2:19" ht="13.5" thickBo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9" x14ac:dyDescent="0.2">
      <c r="B55" s="213" t="s">
        <v>36</v>
      </c>
      <c r="C55" s="225"/>
      <c r="D55" s="225"/>
      <c r="E55" s="225"/>
      <c r="F55" s="225"/>
      <c r="G55" s="277"/>
      <c r="H55" s="277"/>
      <c r="I55" s="277"/>
      <c r="J55" s="277"/>
      <c r="K55" s="277"/>
      <c r="L55" s="277"/>
      <c r="M55" s="277"/>
      <c r="N55" s="277"/>
      <c r="O55" s="277"/>
      <c r="P55" s="278"/>
    </row>
    <row r="56" spans="2:19" x14ac:dyDescent="0.2">
      <c r="B56" s="226"/>
      <c r="C56" s="227"/>
      <c r="D56" s="227"/>
      <c r="E56" s="227"/>
      <c r="F56" s="227"/>
      <c r="G56" s="279"/>
      <c r="H56" s="279"/>
      <c r="I56" s="279"/>
      <c r="J56" s="279"/>
      <c r="K56" s="279"/>
      <c r="L56" s="279"/>
      <c r="M56" s="279"/>
      <c r="N56" s="279"/>
      <c r="O56" s="279"/>
      <c r="P56" s="280"/>
    </row>
    <row r="57" spans="2:19" ht="13.5" thickBot="1" x14ac:dyDescent="0.25">
      <c r="B57" s="228" t="s">
        <v>115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06"/>
      <c r="N57" s="207"/>
      <c r="O57" s="136">
        <f>800+1800+12</f>
        <v>2612</v>
      </c>
      <c r="P57" s="125" t="s">
        <v>34</v>
      </c>
    </row>
    <row r="58" spans="2:19" ht="13.5" thickBo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9" x14ac:dyDescent="0.2">
      <c r="B59" s="213" t="s">
        <v>187</v>
      </c>
      <c r="C59" s="225"/>
      <c r="D59" s="225"/>
      <c r="E59" s="225"/>
      <c r="F59" s="225"/>
      <c r="G59" s="277"/>
      <c r="H59" s="277"/>
      <c r="I59" s="277"/>
      <c r="J59" s="277"/>
      <c r="K59" s="277"/>
      <c r="L59" s="277"/>
      <c r="M59" s="277"/>
      <c r="N59" s="277"/>
      <c r="O59" s="277"/>
      <c r="P59" s="278"/>
    </row>
    <row r="60" spans="2:19" x14ac:dyDescent="0.2">
      <c r="B60" s="226"/>
      <c r="C60" s="227"/>
      <c r="D60" s="227"/>
      <c r="E60" s="227"/>
      <c r="F60" s="227"/>
      <c r="G60" s="279"/>
      <c r="H60" s="279"/>
      <c r="I60" s="279"/>
      <c r="J60" s="279"/>
      <c r="K60" s="279"/>
      <c r="L60" s="279"/>
      <c r="M60" s="279"/>
      <c r="N60" s="279"/>
      <c r="O60" s="279"/>
      <c r="P60" s="280"/>
    </row>
    <row r="61" spans="2:19" ht="13.5" thickBot="1" x14ac:dyDescent="0.25">
      <c r="B61" s="228" t="s">
        <v>188</v>
      </c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06"/>
      <c r="N61" s="207"/>
      <c r="O61" s="136">
        <f>475+250+105</f>
        <v>830</v>
      </c>
      <c r="P61" s="125" t="s">
        <v>34</v>
      </c>
    </row>
    <row r="62" spans="2:19" ht="13.5" thickBot="1" x14ac:dyDescent="0.25">
      <c r="B62" s="44"/>
      <c r="C62" s="37"/>
      <c r="D62" s="37"/>
      <c r="E62" s="33"/>
      <c r="F62" s="33"/>
      <c r="G62" s="33"/>
      <c r="H62" s="33"/>
      <c r="I62" s="33"/>
      <c r="J62" s="33"/>
      <c r="K62" s="33"/>
      <c r="L62" s="33"/>
      <c r="M62" s="65"/>
      <c r="N62" s="8"/>
      <c r="O62" s="65"/>
      <c r="P62" s="8"/>
    </row>
    <row r="63" spans="2:19" x14ac:dyDescent="0.2">
      <c r="B63" s="213" t="s">
        <v>38</v>
      </c>
      <c r="C63" s="225"/>
      <c r="D63" s="225"/>
      <c r="E63" s="225"/>
      <c r="F63" s="225"/>
      <c r="G63" s="277"/>
      <c r="H63" s="277"/>
      <c r="I63" s="277"/>
      <c r="J63" s="277"/>
      <c r="K63" s="277"/>
      <c r="L63" s="277"/>
      <c r="M63" s="277"/>
      <c r="N63" s="277"/>
      <c r="O63" s="277"/>
      <c r="P63" s="278"/>
    </row>
    <row r="64" spans="2:19" x14ac:dyDescent="0.2">
      <c r="B64" s="226"/>
      <c r="C64" s="227"/>
      <c r="D64" s="227"/>
      <c r="E64" s="227"/>
      <c r="F64" s="227"/>
      <c r="G64" s="279"/>
      <c r="H64" s="279"/>
      <c r="I64" s="279"/>
      <c r="J64" s="279"/>
      <c r="K64" s="279"/>
      <c r="L64" s="279"/>
      <c r="M64" s="279"/>
      <c r="N64" s="279"/>
      <c r="O64" s="279"/>
      <c r="P64" s="280"/>
    </row>
    <row r="65" spans="2:16" ht="13.5" thickBot="1" x14ac:dyDescent="0.25">
      <c r="B65" s="228" t="s">
        <v>82</v>
      </c>
      <c r="C65" s="281"/>
      <c r="D65" s="281"/>
      <c r="E65" s="281"/>
      <c r="F65" s="281"/>
      <c r="G65" s="281"/>
      <c r="H65" s="281"/>
      <c r="I65" s="135"/>
      <c r="J65" s="135"/>
      <c r="K65" s="135"/>
      <c r="L65" s="135"/>
      <c r="M65" s="206"/>
      <c r="N65" s="207"/>
      <c r="O65" s="136">
        <f>350+700+230+3300+4500+750+320</f>
        <v>10150</v>
      </c>
      <c r="P65" s="125" t="s">
        <v>34</v>
      </c>
    </row>
    <row r="66" spans="2:16" ht="13.5" thickBot="1" x14ac:dyDescent="0.25">
      <c r="I66" s="13"/>
      <c r="J66" s="13"/>
      <c r="K66" s="13"/>
      <c r="L66" s="13"/>
      <c r="M66" s="13"/>
      <c r="N66" s="13"/>
      <c r="O66" s="13"/>
      <c r="P66" s="13"/>
    </row>
    <row r="67" spans="2:16" x14ac:dyDescent="0.2">
      <c r="B67" s="213" t="s">
        <v>35</v>
      </c>
      <c r="C67" s="225"/>
      <c r="D67" s="225"/>
      <c r="E67" s="225"/>
      <c r="F67" s="225"/>
      <c r="G67" s="277"/>
      <c r="H67" s="277"/>
      <c r="I67" s="277"/>
      <c r="J67" s="277"/>
      <c r="K67" s="277"/>
      <c r="L67" s="277"/>
      <c r="M67" s="277"/>
      <c r="N67" s="277"/>
      <c r="O67" s="277"/>
      <c r="P67" s="278"/>
    </row>
    <row r="68" spans="2:16" x14ac:dyDescent="0.2">
      <c r="B68" s="226"/>
      <c r="C68" s="227"/>
      <c r="D68" s="227"/>
      <c r="E68" s="227"/>
      <c r="F68" s="227"/>
      <c r="G68" s="279"/>
      <c r="H68" s="279"/>
      <c r="I68" s="279"/>
      <c r="J68" s="279"/>
      <c r="K68" s="279"/>
      <c r="L68" s="279"/>
      <c r="M68" s="279"/>
      <c r="N68" s="279"/>
      <c r="O68" s="279"/>
      <c r="P68" s="280"/>
    </row>
    <row r="69" spans="2:16" x14ac:dyDescent="0.2">
      <c r="B69" s="292" t="s">
        <v>110</v>
      </c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08"/>
      <c r="N69" s="209"/>
      <c r="O69" s="47">
        <f>20400+2200+1800-3100</f>
        <v>21300</v>
      </c>
      <c r="P69" s="126" t="s">
        <v>34</v>
      </c>
    </row>
    <row r="70" spans="2:16" ht="13.5" thickBot="1" x14ac:dyDescent="0.25">
      <c r="B70" s="127" t="s">
        <v>159</v>
      </c>
      <c r="C70" s="128"/>
      <c r="D70" s="128"/>
      <c r="E70" s="129"/>
      <c r="F70" s="129"/>
      <c r="G70" s="129"/>
      <c r="H70" s="129"/>
      <c r="I70" s="129"/>
      <c r="J70" s="129"/>
      <c r="K70" s="129"/>
      <c r="L70" s="129"/>
      <c r="M70" s="130"/>
      <c r="N70" s="131"/>
      <c r="O70" s="130"/>
      <c r="P70" s="131"/>
    </row>
    <row r="71" spans="2:16" ht="13.5" thickBot="1" x14ac:dyDescent="0.25"/>
    <row r="72" spans="2:16" x14ac:dyDescent="0.2">
      <c r="B72" s="213" t="s">
        <v>65</v>
      </c>
      <c r="C72" s="225"/>
      <c r="D72" s="225"/>
      <c r="E72" s="225"/>
      <c r="F72" s="225"/>
      <c r="G72" s="277"/>
      <c r="H72" s="277"/>
      <c r="I72" s="277"/>
      <c r="J72" s="277"/>
      <c r="K72" s="277"/>
      <c r="L72" s="277"/>
      <c r="M72" s="277"/>
      <c r="N72" s="277"/>
      <c r="O72" s="277"/>
      <c r="P72" s="278"/>
    </row>
    <row r="73" spans="2:16" x14ac:dyDescent="0.2">
      <c r="B73" s="226"/>
      <c r="C73" s="227"/>
      <c r="D73" s="227"/>
      <c r="E73" s="227"/>
      <c r="F73" s="227"/>
      <c r="G73" s="279"/>
      <c r="H73" s="279"/>
      <c r="I73" s="279"/>
      <c r="J73" s="279"/>
      <c r="K73" s="279"/>
      <c r="L73" s="279"/>
      <c r="M73" s="279"/>
      <c r="N73" s="279"/>
      <c r="O73" s="279"/>
      <c r="P73" s="280"/>
    </row>
    <row r="74" spans="2:16" x14ac:dyDescent="0.2">
      <c r="B74" s="164" t="s">
        <v>66</v>
      </c>
      <c r="C74" s="69"/>
      <c r="D74" s="39"/>
      <c r="E74" s="39"/>
      <c r="F74" s="46"/>
      <c r="G74" s="39"/>
      <c r="H74" s="46"/>
      <c r="I74" s="39"/>
      <c r="J74" s="39"/>
      <c r="K74" s="39"/>
      <c r="L74" s="39"/>
      <c r="M74" s="46"/>
      <c r="N74" s="165"/>
      <c r="O74" s="46">
        <v>45</v>
      </c>
      <c r="P74" s="165" t="s">
        <v>1</v>
      </c>
    </row>
    <row r="75" spans="2:16" x14ac:dyDescent="0.2">
      <c r="B75" s="166" t="s">
        <v>67</v>
      </c>
      <c r="C75" s="15"/>
      <c r="D75" s="3"/>
      <c r="E75" s="3"/>
      <c r="F75" s="2"/>
      <c r="G75" s="3"/>
      <c r="H75" s="2" t="s">
        <v>68</v>
      </c>
      <c r="I75" s="3"/>
      <c r="J75" s="3"/>
      <c r="K75" s="3"/>
      <c r="L75" s="3"/>
      <c r="M75" s="62"/>
      <c r="N75" s="167"/>
      <c r="O75" s="62">
        <f>0.8*45</f>
        <v>36</v>
      </c>
      <c r="P75" s="167" t="s">
        <v>15</v>
      </c>
    </row>
    <row r="76" spans="2:16" x14ac:dyDescent="0.2">
      <c r="B76" s="168"/>
      <c r="C76" s="17"/>
      <c r="D76" s="64"/>
      <c r="E76" s="204"/>
      <c r="F76" s="204"/>
      <c r="G76" s="63"/>
      <c r="H76" s="63"/>
      <c r="I76" s="3"/>
      <c r="J76" s="3"/>
      <c r="K76" s="3"/>
      <c r="L76" s="3"/>
      <c r="M76" s="3"/>
      <c r="N76" s="161"/>
      <c r="O76" s="3"/>
      <c r="P76" s="161"/>
    </row>
    <row r="77" spans="2:16" x14ac:dyDescent="0.2">
      <c r="B77" s="169" t="s">
        <v>84</v>
      </c>
      <c r="C77" s="61"/>
      <c r="D77" s="61"/>
      <c r="E77" s="2"/>
      <c r="F77" s="2"/>
      <c r="G77" s="2"/>
      <c r="H77" s="2"/>
      <c r="I77" s="3"/>
      <c r="J77" s="3"/>
      <c r="K77" s="3"/>
      <c r="L77" s="3"/>
      <c r="M77" s="3"/>
      <c r="N77" s="161"/>
      <c r="O77" s="3"/>
      <c r="P77" s="161"/>
    </row>
    <row r="78" spans="2:16" x14ac:dyDescent="0.2">
      <c r="B78" s="116" t="s">
        <v>69</v>
      </c>
      <c r="C78" s="15"/>
      <c r="D78" s="3"/>
      <c r="E78" s="3"/>
      <c r="F78" s="35"/>
      <c r="G78" s="3"/>
      <c r="H78" s="35" t="s">
        <v>86</v>
      </c>
      <c r="I78" s="3"/>
      <c r="J78" s="3"/>
      <c r="K78" s="3"/>
      <c r="L78" s="3"/>
      <c r="M78" s="61"/>
      <c r="N78" s="133"/>
      <c r="O78" s="61">
        <f>6.23*0.2</f>
        <v>1.2460000000000002</v>
      </c>
      <c r="P78" s="133" t="s">
        <v>15</v>
      </c>
    </row>
    <row r="79" spans="2:16" x14ac:dyDescent="0.2">
      <c r="B79" s="116" t="s">
        <v>70</v>
      </c>
      <c r="C79" s="15"/>
      <c r="D79" s="3"/>
      <c r="E79" s="3"/>
      <c r="F79" s="35"/>
      <c r="G79" s="3"/>
      <c r="H79" s="35" t="s">
        <v>86</v>
      </c>
      <c r="I79" s="3"/>
      <c r="J79" s="3"/>
      <c r="K79" s="3"/>
      <c r="L79" s="3"/>
      <c r="M79" s="61"/>
      <c r="N79" s="133"/>
      <c r="O79" s="61">
        <f>6.23*0.2</f>
        <v>1.2460000000000002</v>
      </c>
      <c r="P79" s="133" t="s">
        <v>15</v>
      </c>
    </row>
    <row r="80" spans="2:16" x14ac:dyDescent="0.2">
      <c r="B80" s="116" t="s">
        <v>83</v>
      </c>
      <c r="C80" s="35"/>
      <c r="D80" s="3"/>
      <c r="E80" s="3"/>
      <c r="F80" s="34"/>
      <c r="G80" s="3"/>
      <c r="H80" s="34" t="s">
        <v>181</v>
      </c>
      <c r="I80" s="3"/>
      <c r="J80" s="3"/>
      <c r="K80" s="3"/>
      <c r="L80" s="3"/>
      <c r="M80" s="35"/>
      <c r="N80" s="133"/>
      <c r="O80" s="35">
        <f>(3.36*2)+(0.76*2)</f>
        <v>8.24</v>
      </c>
      <c r="P80" s="133" t="s">
        <v>1</v>
      </c>
    </row>
    <row r="81" spans="2:16" x14ac:dyDescent="0.2">
      <c r="B81" s="116" t="s">
        <v>71</v>
      </c>
      <c r="C81" s="35" t="s">
        <v>85</v>
      </c>
      <c r="D81" s="3"/>
      <c r="E81" s="3"/>
      <c r="F81" s="8"/>
      <c r="G81" s="3"/>
      <c r="H81" s="8"/>
      <c r="I81" s="3"/>
      <c r="J81" s="3"/>
      <c r="K81" s="3"/>
      <c r="L81" s="3"/>
      <c r="M81" s="61"/>
      <c r="N81" s="133"/>
      <c r="O81" s="61">
        <v>1</v>
      </c>
      <c r="P81" s="133" t="s">
        <v>10</v>
      </c>
    </row>
    <row r="82" spans="2:16" x14ac:dyDescent="0.2">
      <c r="B82" s="116" t="s">
        <v>72</v>
      </c>
      <c r="C82" s="15"/>
      <c r="D82" s="3"/>
      <c r="E82" s="3"/>
      <c r="F82" s="35"/>
      <c r="G82" s="3"/>
      <c r="H82" s="35" t="s">
        <v>87</v>
      </c>
      <c r="I82" s="3"/>
      <c r="J82" s="3"/>
      <c r="K82" s="3"/>
      <c r="L82" s="3"/>
      <c r="M82" s="61"/>
      <c r="N82" s="170"/>
      <c r="O82" s="61">
        <f>4.5*0.4</f>
        <v>1.8</v>
      </c>
      <c r="P82" s="170" t="s">
        <v>15</v>
      </c>
    </row>
    <row r="83" spans="2:16" x14ac:dyDescent="0.2">
      <c r="B83" s="116" t="s">
        <v>73</v>
      </c>
      <c r="C83" s="15"/>
      <c r="D83" s="3"/>
      <c r="E83" s="3"/>
      <c r="F83" s="35"/>
      <c r="G83" s="3"/>
      <c r="H83" s="35" t="s">
        <v>88</v>
      </c>
      <c r="I83" s="3"/>
      <c r="J83" s="3"/>
      <c r="K83" s="3"/>
      <c r="L83" s="3"/>
      <c r="M83" s="61"/>
      <c r="N83" s="170"/>
      <c r="O83" s="61">
        <f>0.23*4.5</f>
        <v>1.0350000000000001</v>
      </c>
      <c r="P83" s="170" t="s">
        <v>15</v>
      </c>
    </row>
    <row r="84" spans="2:16" x14ac:dyDescent="0.2">
      <c r="B84" s="171" t="s">
        <v>74</v>
      </c>
      <c r="C84" s="15"/>
      <c r="D84" s="3"/>
      <c r="E84" s="3"/>
      <c r="F84" s="35"/>
      <c r="G84" s="3"/>
      <c r="H84" s="35" t="s">
        <v>89</v>
      </c>
      <c r="I84" s="3"/>
      <c r="J84" s="3"/>
      <c r="K84" s="3"/>
      <c r="L84" s="3"/>
      <c r="M84" s="61"/>
      <c r="N84" s="172"/>
      <c r="O84" s="61">
        <f>0.5*4.5</f>
        <v>2.25</v>
      </c>
      <c r="P84" s="172" t="s">
        <v>15</v>
      </c>
    </row>
    <row r="85" spans="2:16" x14ac:dyDescent="0.2">
      <c r="B85" s="171" t="s">
        <v>92</v>
      </c>
      <c r="C85" s="15"/>
      <c r="D85" s="34" t="s">
        <v>93</v>
      </c>
      <c r="E85" s="3"/>
      <c r="F85" s="35"/>
      <c r="G85" s="3"/>
      <c r="H85" s="35" t="s">
        <v>94</v>
      </c>
      <c r="I85" s="3"/>
      <c r="J85" s="3"/>
      <c r="K85" s="3"/>
      <c r="L85" s="3"/>
      <c r="M85" s="61"/>
      <c r="N85" s="172"/>
      <c r="O85" s="61"/>
      <c r="P85" s="172"/>
    </row>
    <row r="86" spans="2:16" x14ac:dyDescent="0.2">
      <c r="B86" s="171"/>
      <c r="C86" s="15"/>
      <c r="D86" s="3"/>
      <c r="E86" s="3"/>
      <c r="F86" s="35"/>
      <c r="G86" s="3"/>
      <c r="H86" s="35"/>
      <c r="I86" s="3"/>
      <c r="J86" s="3"/>
      <c r="K86" s="3"/>
      <c r="L86" s="3"/>
      <c r="M86" s="61"/>
      <c r="N86" s="172"/>
      <c r="O86" s="61"/>
      <c r="P86" s="172"/>
    </row>
    <row r="87" spans="2:16" x14ac:dyDescent="0.2">
      <c r="B87" s="169" t="s">
        <v>95</v>
      </c>
      <c r="C87" s="61"/>
      <c r="D87" s="3"/>
      <c r="E87" s="3"/>
      <c r="F87" s="2"/>
      <c r="G87" s="3"/>
      <c r="H87" s="2"/>
      <c r="I87" s="3"/>
      <c r="J87" s="3"/>
      <c r="K87" s="3"/>
      <c r="L87" s="3"/>
      <c r="M87" s="61"/>
      <c r="N87" s="173"/>
      <c r="O87" s="61"/>
      <c r="P87" s="173"/>
    </row>
    <row r="88" spans="2:16" x14ac:dyDescent="0.2">
      <c r="B88" s="171" t="s">
        <v>91</v>
      </c>
      <c r="C88" s="61"/>
      <c r="D88" s="3"/>
      <c r="E88" s="34"/>
      <c r="F88" s="8"/>
      <c r="G88" s="34" t="s">
        <v>111</v>
      </c>
      <c r="H88" s="8"/>
      <c r="I88" s="3"/>
      <c r="J88" s="3"/>
      <c r="K88" s="3"/>
      <c r="L88" s="3"/>
      <c r="M88" s="61"/>
      <c r="N88" s="170"/>
      <c r="O88" s="61">
        <v>1</v>
      </c>
      <c r="P88" s="170" t="s">
        <v>10</v>
      </c>
    </row>
    <row r="89" spans="2:16" x14ac:dyDescent="0.2">
      <c r="B89" s="171" t="s">
        <v>75</v>
      </c>
      <c r="C89" s="15"/>
      <c r="D89" s="3"/>
      <c r="E89" s="3"/>
      <c r="F89" s="35"/>
      <c r="G89" s="3"/>
      <c r="H89" s="35" t="s">
        <v>90</v>
      </c>
      <c r="I89" s="3"/>
      <c r="J89" s="3"/>
      <c r="K89" s="3"/>
      <c r="L89" s="3"/>
      <c r="M89" s="61"/>
      <c r="N89" s="170"/>
      <c r="O89" s="61">
        <f>4.9*0.9</f>
        <v>4.41</v>
      </c>
      <c r="P89" s="170" t="s">
        <v>15</v>
      </c>
    </row>
    <row r="90" spans="2:16" x14ac:dyDescent="0.2">
      <c r="B90" s="171" t="s">
        <v>172</v>
      </c>
      <c r="C90" s="15"/>
      <c r="D90" s="3"/>
      <c r="E90" s="3"/>
      <c r="F90" s="35"/>
      <c r="G90" s="3"/>
      <c r="H90" s="35"/>
      <c r="I90" s="3"/>
      <c r="J90" s="3"/>
      <c r="K90" s="3"/>
      <c r="L90" s="3"/>
      <c r="M90" s="61"/>
      <c r="N90" s="173"/>
      <c r="O90" s="61">
        <f>1.6</f>
        <v>1.6</v>
      </c>
      <c r="P90" s="173" t="s">
        <v>34</v>
      </c>
    </row>
    <row r="91" spans="2:16" x14ac:dyDescent="0.2">
      <c r="B91" s="171" t="s">
        <v>164</v>
      </c>
      <c r="C91" s="15"/>
      <c r="D91" s="3"/>
      <c r="E91" s="3"/>
      <c r="F91" s="35"/>
      <c r="G91" s="3"/>
      <c r="H91" s="35"/>
      <c r="I91" s="3"/>
      <c r="J91" s="3"/>
      <c r="K91" s="3"/>
      <c r="L91" s="3"/>
      <c r="M91" s="61"/>
      <c r="N91" s="173"/>
      <c r="O91" s="61">
        <f>4.8*0.4*2</f>
        <v>3.84</v>
      </c>
      <c r="P91" s="173" t="s">
        <v>15</v>
      </c>
    </row>
    <row r="92" spans="2:16" x14ac:dyDescent="0.2">
      <c r="B92" s="171"/>
      <c r="C92" s="15"/>
      <c r="D92" s="3"/>
      <c r="E92" s="3"/>
      <c r="F92" s="35"/>
      <c r="G92" s="3"/>
      <c r="H92" s="35"/>
      <c r="I92" s="3"/>
      <c r="J92" s="3"/>
      <c r="K92" s="3"/>
      <c r="L92" s="3"/>
      <c r="M92" s="61"/>
      <c r="N92" s="173"/>
      <c r="O92" s="61"/>
      <c r="P92" s="173"/>
    </row>
    <row r="93" spans="2:16" x14ac:dyDescent="0.2">
      <c r="B93" s="174" t="s">
        <v>165</v>
      </c>
      <c r="C93" s="15"/>
      <c r="D93" s="3"/>
      <c r="E93" s="3"/>
      <c r="F93" s="35"/>
      <c r="G93" s="3"/>
      <c r="H93" s="35"/>
      <c r="I93" s="3"/>
      <c r="J93" s="3"/>
      <c r="K93" s="3"/>
      <c r="L93" s="3"/>
      <c r="M93" s="61"/>
      <c r="N93" s="173"/>
      <c r="O93" s="61"/>
      <c r="P93" s="173"/>
    </row>
    <row r="94" spans="2:16" x14ac:dyDescent="0.2">
      <c r="B94" s="171" t="s">
        <v>168</v>
      </c>
      <c r="C94" s="15"/>
      <c r="D94" s="3"/>
      <c r="E94" s="3"/>
      <c r="F94" s="35"/>
      <c r="G94" s="3"/>
      <c r="H94" s="35"/>
      <c r="I94" s="3"/>
      <c r="J94" s="3"/>
      <c r="K94" s="3"/>
      <c r="L94" s="3"/>
      <c r="M94" s="61"/>
      <c r="N94" s="133"/>
      <c r="O94" s="61">
        <f>82*1*0.4</f>
        <v>32.800000000000004</v>
      </c>
      <c r="P94" s="133" t="s">
        <v>15</v>
      </c>
    </row>
    <row r="95" spans="2:16" x14ac:dyDescent="0.2">
      <c r="B95" s="171"/>
      <c r="C95" s="15"/>
      <c r="D95" s="3"/>
      <c r="E95" s="3"/>
      <c r="F95" s="35"/>
      <c r="G95" s="3"/>
      <c r="H95" s="35"/>
      <c r="I95" s="3"/>
      <c r="J95" s="3"/>
      <c r="K95" s="3"/>
      <c r="L95" s="3"/>
      <c r="M95" s="61"/>
      <c r="N95" s="133"/>
      <c r="O95" s="61"/>
      <c r="P95" s="133"/>
    </row>
    <row r="96" spans="2:16" x14ac:dyDescent="0.2">
      <c r="B96" s="174" t="s">
        <v>169</v>
      </c>
      <c r="C96" s="15"/>
      <c r="D96" s="3"/>
      <c r="E96" s="3"/>
      <c r="F96" s="35"/>
      <c r="G96" s="3"/>
      <c r="H96" s="35"/>
      <c r="I96" s="3"/>
      <c r="J96" s="3"/>
      <c r="K96" s="3"/>
      <c r="L96" s="3"/>
      <c r="M96" s="61"/>
      <c r="N96" s="133"/>
      <c r="O96" s="61"/>
      <c r="P96" s="133"/>
    </row>
    <row r="97" spans="2:16" x14ac:dyDescent="0.2">
      <c r="B97" s="171" t="s">
        <v>170</v>
      </c>
      <c r="C97" s="15"/>
      <c r="D97" s="3"/>
      <c r="E97" s="3"/>
      <c r="F97" s="35"/>
      <c r="G97" s="3"/>
      <c r="H97" s="35"/>
      <c r="I97" s="3"/>
      <c r="J97" s="3"/>
      <c r="K97" s="3"/>
      <c r="L97" s="3"/>
      <c r="M97" s="61"/>
      <c r="N97" s="133"/>
      <c r="O97" s="61">
        <f>1.2*1*20</f>
        <v>24</v>
      </c>
      <c r="P97" s="133" t="s">
        <v>15</v>
      </c>
    </row>
    <row r="98" spans="2:16" x14ac:dyDescent="0.2">
      <c r="B98" s="171" t="s">
        <v>171</v>
      </c>
      <c r="C98" s="15"/>
      <c r="D98" s="3"/>
      <c r="E98" s="3"/>
      <c r="F98" s="35"/>
      <c r="G98" s="3"/>
      <c r="H98" s="35"/>
      <c r="I98" s="3"/>
      <c r="J98" s="3"/>
      <c r="K98" s="3"/>
      <c r="L98" s="3"/>
      <c r="M98" s="61"/>
      <c r="N98" s="133"/>
      <c r="O98" s="61">
        <v>25</v>
      </c>
      <c r="P98" s="133" t="s">
        <v>34</v>
      </c>
    </row>
    <row r="99" spans="2:16" x14ac:dyDescent="0.2">
      <c r="B99" s="174"/>
      <c r="C99" s="15"/>
      <c r="D99" s="3"/>
      <c r="E99" s="3"/>
      <c r="F99" s="35"/>
      <c r="G99" s="3"/>
      <c r="H99" s="35"/>
      <c r="I99" s="3"/>
      <c r="J99" s="3"/>
      <c r="K99" s="3"/>
      <c r="L99" s="3"/>
      <c r="M99" s="61"/>
      <c r="N99" s="173"/>
      <c r="O99" s="61"/>
      <c r="P99" s="173"/>
    </row>
    <row r="100" spans="2:16" x14ac:dyDescent="0.2">
      <c r="B100" s="174" t="s">
        <v>166</v>
      </c>
      <c r="C100" s="15"/>
      <c r="D100" s="3"/>
      <c r="E100" s="3"/>
      <c r="F100" s="35"/>
      <c r="G100" s="3"/>
      <c r="H100" s="35"/>
      <c r="I100" s="3"/>
      <c r="J100" s="3"/>
      <c r="K100" s="3"/>
      <c r="L100" s="3"/>
      <c r="M100" s="61"/>
      <c r="N100" s="173"/>
      <c r="O100" s="61"/>
      <c r="P100" s="173"/>
    </row>
    <row r="101" spans="2:16" x14ac:dyDescent="0.2">
      <c r="B101" s="171" t="s">
        <v>167</v>
      </c>
      <c r="C101" s="15"/>
      <c r="D101" s="3"/>
      <c r="E101" s="3"/>
      <c r="F101" s="35"/>
      <c r="G101" s="3"/>
      <c r="H101" s="35"/>
      <c r="I101" s="3"/>
      <c r="J101" s="3"/>
      <c r="K101" s="3"/>
      <c r="L101" s="3"/>
      <c r="M101" s="61"/>
      <c r="N101" s="133"/>
      <c r="O101" s="61">
        <v>373</v>
      </c>
      <c r="P101" s="133" t="s">
        <v>34</v>
      </c>
    </row>
    <row r="102" spans="2:16" x14ac:dyDescent="0.2">
      <c r="B102" s="175"/>
      <c r="C102" s="61"/>
      <c r="D102" s="61"/>
      <c r="E102" s="3"/>
      <c r="F102" s="3"/>
      <c r="G102" s="3"/>
      <c r="H102" s="3"/>
      <c r="I102" s="3"/>
      <c r="J102" s="3"/>
      <c r="K102" s="3"/>
      <c r="L102" s="3"/>
      <c r="M102" s="3"/>
      <c r="N102" s="161"/>
      <c r="O102" s="3"/>
      <c r="P102" s="161"/>
    </row>
    <row r="103" spans="2:16" x14ac:dyDescent="0.2">
      <c r="B103" s="169" t="s">
        <v>96</v>
      </c>
      <c r="C103" s="61"/>
      <c r="D103" s="61"/>
      <c r="E103" s="3"/>
      <c r="F103" s="3"/>
      <c r="G103" s="3"/>
      <c r="H103" s="3"/>
      <c r="I103" s="3"/>
      <c r="J103" s="3"/>
      <c r="K103" s="3"/>
      <c r="L103" s="3"/>
      <c r="M103" s="3"/>
      <c r="N103" s="161"/>
      <c r="O103" s="3"/>
      <c r="P103" s="161"/>
    </row>
    <row r="104" spans="2:16" x14ac:dyDescent="0.2">
      <c r="B104" s="171" t="s">
        <v>97</v>
      </c>
      <c r="C104" s="1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38"/>
      <c r="O104" s="3">
        <v>1</v>
      </c>
      <c r="P104" s="138" t="s">
        <v>10</v>
      </c>
    </row>
    <row r="105" spans="2:16" x14ac:dyDescent="0.2">
      <c r="B105" s="171" t="s">
        <v>98</v>
      </c>
      <c r="C105" s="1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38"/>
      <c r="O105" s="3">
        <v>2</v>
      </c>
      <c r="P105" s="138" t="s">
        <v>10</v>
      </c>
    </row>
    <row r="106" spans="2:16" x14ac:dyDescent="0.2">
      <c r="B106" s="171" t="s">
        <v>179</v>
      </c>
      <c r="C106" s="1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38"/>
      <c r="O106" s="3">
        <v>12</v>
      </c>
      <c r="P106" s="138" t="s">
        <v>10</v>
      </c>
    </row>
    <row r="107" spans="2:16" x14ac:dyDescent="0.2">
      <c r="B107" s="171" t="s">
        <v>99</v>
      </c>
      <c r="C107" s="1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38"/>
      <c r="O107" s="3">
        <v>14</v>
      </c>
      <c r="P107" s="138" t="s">
        <v>10</v>
      </c>
    </row>
    <row r="108" spans="2:16" x14ac:dyDescent="0.2">
      <c r="B108" s="171" t="s">
        <v>100</v>
      </c>
      <c r="C108" s="15"/>
      <c r="D108" s="3"/>
      <c r="E108" s="3"/>
      <c r="F108" s="34"/>
      <c r="G108" s="3"/>
      <c r="H108" s="34" t="s">
        <v>102</v>
      </c>
      <c r="I108" s="3"/>
      <c r="J108" s="3"/>
      <c r="K108" s="3"/>
      <c r="L108" s="3"/>
      <c r="M108" s="3"/>
      <c r="N108" s="138"/>
      <c r="O108" s="3">
        <v>4</v>
      </c>
      <c r="P108" s="138" t="s">
        <v>10</v>
      </c>
    </row>
    <row r="109" spans="2:16" x14ac:dyDescent="0.2">
      <c r="B109" s="109"/>
      <c r="C109" s="15"/>
      <c r="D109" s="3"/>
      <c r="E109" s="3"/>
      <c r="F109" s="34"/>
      <c r="G109" s="3"/>
      <c r="H109" s="34" t="s">
        <v>103</v>
      </c>
      <c r="I109" s="3"/>
      <c r="J109" s="3"/>
      <c r="K109" s="3"/>
      <c r="L109" s="3"/>
      <c r="M109" s="3"/>
      <c r="N109" s="138"/>
      <c r="O109" s="3">
        <v>12</v>
      </c>
      <c r="P109" s="138" t="s">
        <v>10</v>
      </c>
    </row>
    <row r="110" spans="2:16" x14ac:dyDescent="0.2">
      <c r="B110" s="171" t="s">
        <v>101</v>
      </c>
      <c r="C110" s="15"/>
      <c r="D110" s="3"/>
      <c r="E110" s="3"/>
      <c r="F110" s="34"/>
      <c r="G110" s="3"/>
      <c r="H110" s="34" t="s">
        <v>104</v>
      </c>
      <c r="I110" s="3"/>
      <c r="J110" s="3"/>
      <c r="K110" s="3"/>
      <c r="L110" s="3"/>
      <c r="M110" s="3"/>
      <c r="N110" s="138"/>
      <c r="O110" s="3">
        <v>3</v>
      </c>
      <c r="P110" s="138" t="s">
        <v>10</v>
      </c>
    </row>
    <row r="111" spans="2:16" x14ac:dyDescent="0.2">
      <c r="B111" s="109"/>
      <c r="C111" s="15"/>
      <c r="D111" s="3"/>
      <c r="E111" s="3"/>
      <c r="F111" s="34"/>
      <c r="G111" s="3"/>
      <c r="H111" s="34" t="s">
        <v>105</v>
      </c>
      <c r="I111" s="3"/>
      <c r="J111" s="3"/>
      <c r="K111" s="3"/>
      <c r="L111" s="3"/>
      <c r="M111" s="3"/>
      <c r="N111" s="138"/>
      <c r="O111" s="3">
        <v>1</v>
      </c>
      <c r="P111" s="138" t="s">
        <v>10</v>
      </c>
    </row>
    <row r="112" spans="2:16" x14ac:dyDescent="0.2">
      <c r="B112" s="171" t="s">
        <v>106</v>
      </c>
      <c r="C112" s="3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38"/>
      <c r="O112" s="3">
        <v>1</v>
      </c>
      <c r="P112" s="138" t="s">
        <v>10</v>
      </c>
    </row>
    <row r="113" spans="2:16" x14ac:dyDescent="0.2">
      <c r="B113" s="107" t="s">
        <v>107</v>
      </c>
      <c r="C113" s="1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38"/>
      <c r="O113" s="3">
        <v>1</v>
      </c>
      <c r="P113" s="138" t="s">
        <v>10</v>
      </c>
    </row>
    <row r="114" spans="2:16" ht="13.5" thickBot="1" x14ac:dyDescent="0.25">
      <c r="B114" s="118" t="s">
        <v>108</v>
      </c>
      <c r="C114" s="122"/>
      <c r="D114" s="112"/>
      <c r="E114" s="112"/>
      <c r="F114" s="111" t="s">
        <v>215</v>
      </c>
      <c r="G114" s="112"/>
      <c r="H114" s="111" t="s">
        <v>109</v>
      </c>
      <c r="I114" s="112"/>
      <c r="J114" s="112"/>
      <c r="K114" s="112"/>
      <c r="L114" s="112"/>
      <c r="M114" s="112"/>
      <c r="N114" s="140"/>
      <c r="O114" s="112">
        <f>0.3*0.3*1</f>
        <v>0.09</v>
      </c>
      <c r="P114" s="140" t="s">
        <v>15</v>
      </c>
    </row>
    <row r="115" spans="2:16" ht="13.5" thickBot="1" x14ac:dyDescent="0.25"/>
    <row r="116" spans="2:16" x14ac:dyDescent="0.2">
      <c r="B116" s="213" t="s">
        <v>113</v>
      </c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8"/>
    </row>
    <row r="117" spans="2:16" x14ac:dyDescent="0.2">
      <c r="B117" s="283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5"/>
    </row>
    <row r="118" spans="2:16" x14ac:dyDescent="0.2">
      <c r="B118" s="103" t="s">
        <v>114</v>
      </c>
      <c r="C118" s="38"/>
      <c r="D118" s="39"/>
      <c r="E118" s="39"/>
      <c r="F118" s="39"/>
      <c r="G118" s="39"/>
      <c r="H118" s="39"/>
      <c r="I118" s="40"/>
      <c r="J118" s="40"/>
      <c r="K118" s="40"/>
      <c r="L118" s="40"/>
      <c r="M118" s="40"/>
      <c r="N118" s="132"/>
      <c r="O118" s="40"/>
      <c r="P118" s="132"/>
    </row>
    <row r="119" spans="2:16" x14ac:dyDescent="0.2">
      <c r="B119" s="107" t="s">
        <v>127</v>
      </c>
      <c r="C119" s="35"/>
      <c r="D119" s="2"/>
      <c r="E119" s="2"/>
      <c r="F119" s="8"/>
      <c r="G119" s="2"/>
      <c r="H119" s="8"/>
      <c r="I119" s="8" t="s">
        <v>200</v>
      </c>
      <c r="J119" s="33"/>
      <c r="K119" s="8" t="s">
        <v>200</v>
      </c>
      <c r="L119" s="33"/>
      <c r="M119" s="35"/>
      <c r="N119" s="133"/>
      <c r="O119" s="35">
        <f>0.8*1.2*(11.375+2.93)</f>
        <v>13.732799999999999</v>
      </c>
      <c r="P119" s="133" t="s">
        <v>15</v>
      </c>
    </row>
    <row r="120" spans="2:16" x14ac:dyDescent="0.2">
      <c r="B120" s="107" t="s">
        <v>206</v>
      </c>
      <c r="C120" s="15"/>
      <c r="D120" s="3"/>
      <c r="E120" s="33"/>
      <c r="F120" s="36"/>
      <c r="G120" s="33"/>
      <c r="H120" s="36"/>
      <c r="I120" s="8" t="s">
        <v>207</v>
      </c>
      <c r="J120" s="33"/>
      <c r="K120" s="8" t="s">
        <v>207</v>
      </c>
      <c r="L120" s="33"/>
      <c r="M120" s="61"/>
      <c r="N120" s="133"/>
      <c r="O120" s="61">
        <f>13.7*1.7*0.6</f>
        <v>13.973999999999998</v>
      </c>
      <c r="P120" s="133" t="s">
        <v>15</v>
      </c>
    </row>
    <row r="121" spans="2:16" x14ac:dyDescent="0.2">
      <c r="B121" s="107" t="s">
        <v>201</v>
      </c>
      <c r="C121" s="15"/>
      <c r="D121" s="3"/>
      <c r="E121" s="33"/>
      <c r="F121" s="8"/>
      <c r="G121" s="33"/>
      <c r="H121" s="8"/>
      <c r="I121" s="8"/>
      <c r="J121" s="33"/>
      <c r="K121" s="8"/>
      <c r="L121" s="33"/>
      <c r="M121" s="61"/>
      <c r="N121" s="133"/>
      <c r="O121" s="61">
        <f>0.1*1.2*14.305</f>
        <v>1.7165999999999999</v>
      </c>
      <c r="P121" s="133" t="s">
        <v>15</v>
      </c>
    </row>
    <row r="122" spans="2:16" x14ac:dyDescent="0.2">
      <c r="B122" s="107" t="s">
        <v>117</v>
      </c>
      <c r="C122" s="15"/>
      <c r="D122" s="3"/>
      <c r="E122" s="33"/>
      <c r="F122" s="8"/>
      <c r="G122" s="33"/>
      <c r="H122" s="8"/>
      <c r="I122" s="8" t="s">
        <v>118</v>
      </c>
      <c r="J122" s="33"/>
      <c r="K122" s="8" t="s">
        <v>118</v>
      </c>
      <c r="L122" s="33"/>
      <c r="M122" s="61"/>
      <c r="N122" s="133"/>
      <c r="O122" s="61">
        <f>0.25*13.7</f>
        <v>3.4249999999999998</v>
      </c>
      <c r="P122" s="133" t="s">
        <v>15</v>
      </c>
    </row>
    <row r="123" spans="2:16" ht="13.5" thickBot="1" x14ac:dyDescent="0.25">
      <c r="B123" s="118" t="s">
        <v>205</v>
      </c>
      <c r="C123" s="122"/>
      <c r="D123" s="112"/>
      <c r="E123" s="120"/>
      <c r="F123" s="120"/>
      <c r="G123" s="120"/>
      <c r="H123" s="120"/>
      <c r="I123" s="120"/>
      <c r="J123" s="120"/>
      <c r="K123" s="120"/>
      <c r="L123" s="120"/>
      <c r="M123" s="176"/>
      <c r="N123" s="134"/>
      <c r="O123" s="176">
        <v>13</v>
      </c>
      <c r="P123" s="134" t="s">
        <v>1</v>
      </c>
    </row>
    <row r="125" spans="2:16" ht="13.5" thickBot="1" x14ac:dyDescent="0.25"/>
    <row r="126" spans="2:16" x14ac:dyDescent="0.2">
      <c r="B126" s="213" t="s">
        <v>54</v>
      </c>
      <c r="C126" s="225"/>
      <c r="D126" s="225"/>
      <c r="E126" s="225"/>
      <c r="F126" s="225"/>
      <c r="G126" s="277"/>
      <c r="H126" s="277"/>
      <c r="I126" s="277"/>
      <c r="J126" s="277"/>
      <c r="K126" s="277"/>
      <c r="L126" s="277"/>
      <c r="M126" s="277"/>
      <c r="N126" s="277"/>
      <c r="O126" s="277"/>
      <c r="P126" s="278"/>
    </row>
    <row r="127" spans="2:16" x14ac:dyDescent="0.2">
      <c r="B127" s="226"/>
      <c r="C127" s="227"/>
      <c r="D127" s="227"/>
      <c r="E127" s="227"/>
      <c r="F127" s="227"/>
      <c r="G127" s="279"/>
      <c r="H127" s="279"/>
      <c r="I127" s="279"/>
      <c r="J127" s="279"/>
      <c r="K127" s="279"/>
      <c r="L127" s="279"/>
      <c r="M127" s="279"/>
      <c r="N127" s="279"/>
      <c r="O127" s="279"/>
      <c r="P127" s="280"/>
    </row>
    <row r="128" spans="2:16" x14ac:dyDescent="0.2">
      <c r="B128" s="235" t="s">
        <v>119</v>
      </c>
      <c r="C128" s="290"/>
      <c r="D128" s="290"/>
      <c r="E128" s="290"/>
      <c r="F128" s="290"/>
      <c r="G128" s="291"/>
      <c r="H128" s="291"/>
      <c r="I128" s="291"/>
      <c r="J128" s="291"/>
      <c r="K128" s="291"/>
      <c r="L128" s="40"/>
      <c r="M128" s="48"/>
      <c r="N128" s="141"/>
      <c r="O128" s="48"/>
      <c r="P128" s="141"/>
    </row>
    <row r="129" spans="2:16" x14ac:dyDescent="0.2">
      <c r="B129" s="116" t="s">
        <v>120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35"/>
      <c r="N129" s="133"/>
      <c r="O129" s="35"/>
      <c r="P129" s="133"/>
    </row>
    <row r="130" spans="2:16" ht="26.25" customHeight="1" x14ac:dyDescent="0.2">
      <c r="B130" s="240" t="s">
        <v>55</v>
      </c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2"/>
      <c r="O130" s="210"/>
      <c r="P130" s="211"/>
    </row>
    <row r="131" spans="2:16" ht="13.5" thickBot="1" x14ac:dyDescent="0.25">
      <c r="B131" s="139" t="s">
        <v>56</v>
      </c>
      <c r="C131" s="158"/>
      <c r="D131" s="158"/>
      <c r="E131" s="159"/>
      <c r="F131" s="111"/>
      <c r="G131" s="159">
        <f>372/3*5</f>
        <v>620</v>
      </c>
      <c r="H131" s="111" t="s">
        <v>10</v>
      </c>
      <c r="I131" s="120"/>
      <c r="J131" s="142"/>
      <c r="K131" s="120"/>
      <c r="L131" s="142" t="s">
        <v>57</v>
      </c>
      <c r="M131" s="142"/>
      <c r="N131" s="134"/>
      <c r="O131" s="160">
        <f>3*0.15*1*G131</f>
        <v>279</v>
      </c>
      <c r="P131" s="114" t="s">
        <v>15</v>
      </c>
    </row>
    <row r="132" spans="2:16" ht="13.5" thickBot="1" x14ac:dyDescent="0.25"/>
    <row r="133" spans="2:16" ht="12.75" customHeight="1" x14ac:dyDescent="0.2">
      <c r="B133" s="258" t="s">
        <v>121</v>
      </c>
      <c r="C133" s="259"/>
      <c r="D133" s="259"/>
      <c r="E133" s="259"/>
      <c r="F133" s="259"/>
      <c r="G133" s="259"/>
      <c r="H133" s="259"/>
      <c r="I133" s="259"/>
      <c r="J133" s="259"/>
      <c r="K133" s="259"/>
      <c r="L133" s="259"/>
      <c r="M133" s="259"/>
      <c r="N133" s="259"/>
      <c r="O133" s="259"/>
      <c r="P133" s="260"/>
    </row>
    <row r="134" spans="2:16" x14ac:dyDescent="0.2">
      <c r="B134" s="261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3"/>
    </row>
    <row r="135" spans="2:16" x14ac:dyDescent="0.2">
      <c r="B135" s="261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3"/>
    </row>
    <row r="136" spans="2:16" ht="13.5" thickBot="1" x14ac:dyDescent="0.25">
      <c r="B136" s="264"/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6"/>
    </row>
    <row r="137" spans="2:16" x14ac:dyDescent="0.2">
      <c r="B137" s="213" t="s">
        <v>130</v>
      </c>
      <c r="C137" s="225"/>
      <c r="D137" s="225"/>
      <c r="E137" s="225"/>
      <c r="F137" s="225"/>
      <c r="G137" s="277"/>
      <c r="H137" s="277"/>
      <c r="I137" s="277"/>
      <c r="J137" s="277"/>
      <c r="K137" s="277"/>
      <c r="L137" s="277"/>
      <c r="M137" s="277"/>
      <c r="N137" s="277"/>
      <c r="O137" s="277"/>
      <c r="P137" s="278"/>
    </row>
    <row r="138" spans="2:16" x14ac:dyDescent="0.2">
      <c r="B138" s="226"/>
      <c r="C138" s="227"/>
      <c r="D138" s="227"/>
      <c r="E138" s="227"/>
      <c r="F138" s="227"/>
      <c r="G138" s="279"/>
      <c r="H138" s="279"/>
      <c r="I138" s="279"/>
      <c r="J138" s="279"/>
      <c r="K138" s="279"/>
      <c r="L138" s="279"/>
      <c r="M138" s="279"/>
      <c r="N138" s="279"/>
      <c r="O138" s="279"/>
      <c r="P138" s="280"/>
    </row>
    <row r="139" spans="2:16" ht="13.5" thickBot="1" x14ac:dyDescent="0.25">
      <c r="B139" s="228" t="s">
        <v>214</v>
      </c>
      <c r="C139" s="281"/>
      <c r="D139" s="281"/>
      <c r="E139" s="281"/>
      <c r="F139" s="281"/>
      <c r="G139" s="281"/>
      <c r="H139" s="281"/>
      <c r="I139" s="281"/>
      <c r="J139" s="281"/>
      <c r="K139" s="281"/>
      <c r="L139" s="281"/>
      <c r="M139" s="177">
        <v>30</v>
      </c>
      <c r="N139" s="125" t="s">
        <v>34</v>
      </c>
      <c r="O139" s="177">
        <v>30</v>
      </c>
      <c r="P139" s="125" t="s">
        <v>34</v>
      </c>
    </row>
  </sheetData>
  <mergeCells count="394">
    <mergeCell ref="S2:T2"/>
    <mergeCell ref="B10:B11"/>
    <mergeCell ref="C10:C11"/>
    <mergeCell ref="G10:G11"/>
    <mergeCell ref="K10:K11"/>
    <mergeCell ref="O10:O11"/>
    <mergeCell ref="Q2:R2"/>
    <mergeCell ref="C6:C7"/>
    <mergeCell ref="G6:G7"/>
    <mergeCell ref="K6:K7"/>
    <mergeCell ref="G8:G9"/>
    <mergeCell ref="K8:K9"/>
    <mergeCell ref="O8:O9"/>
    <mergeCell ref="G2:H2"/>
    <mergeCell ref="K2:L2"/>
    <mergeCell ref="O2:P2"/>
    <mergeCell ref="Q8:Q9"/>
    <mergeCell ref="Q10:Q11"/>
    <mergeCell ref="S6:S7"/>
    <mergeCell ref="S8:S9"/>
    <mergeCell ref="S10:S11"/>
    <mergeCell ref="R7:R8"/>
    <mergeCell ref="R9:R10"/>
    <mergeCell ref="P5:P6"/>
    <mergeCell ref="R39:R40"/>
    <mergeCell ref="S36:S37"/>
    <mergeCell ref="P37:P38"/>
    <mergeCell ref="R37:R38"/>
    <mergeCell ref="S34:S35"/>
    <mergeCell ref="P35:P36"/>
    <mergeCell ref="R35:R36"/>
    <mergeCell ref="S30:S31"/>
    <mergeCell ref="K32:K33"/>
    <mergeCell ref="O32:O33"/>
    <mergeCell ref="Q32:Q33"/>
    <mergeCell ref="B4:B5"/>
    <mergeCell ref="C4:C5"/>
    <mergeCell ref="G4:G5"/>
    <mergeCell ref="K4:K5"/>
    <mergeCell ref="D5:D6"/>
    <mergeCell ref="H5:H6"/>
    <mergeCell ref="P9:P10"/>
    <mergeCell ref="L5:L6"/>
    <mergeCell ref="B6:B7"/>
    <mergeCell ref="P7:P8"/>
    <mergeCell ref="B8:B9"/>
    <mergeCell ref="C8:C9"/>
    <mergeCell ref="D9:D10"/>
    <mergeCell ref="H9:H10"/>
    <mergeCell ref="L9:L10"/>
    <mergeCell ref="O6:O7"/>
    <mergeCell ref="D7:D8"/>
    <mergeCell ref="H7:H8"/>
    <mergeCell ref="L7:L8"/>
    <mergeCell ref="T39:T40"/>
    <mergeCell ref="B40:B41"/>
    <mergeCell ref="C40:C41"/>
    <mergeCell ref="G40:G41"/>
    <mergeCell ref="K40:K41"/>
    <mergeCell ref="O40:O41"/>
    <mergeCell ref="Q40:Q41"/>
    <mergeCell ref="T37:T38"/>
    <mergeCell ref="B38:B39"/>
    <mergeCell ref="C38:C39"/>
    <mergeCell ref="G38:G39"/>
    <mergeCell ref="K38:K39"/>
    <mergeCell ref="O38:O39"/>
    <mergeCell ref="Q38:Q39"/>
    <mergeCell ref="D39:D40"/>
    <mergeCell ref="H39:H40"/>
    <mergeCell ref="L39:L40"/>
    <mergeCell ref="R41:R42"/>
    <mergeCell ref="T41:T42"/>
    <mergeCell ref="Q42:Q43"/>
    <mergeCell ref="S42:S43"/>
    <mergeCell ref="S40:S41"/>
    <mergeCell ref="S38:S39"/>
    <mergeCell ref="P39:P40"/>
    <mergeCell ref="T35:T36"/>
    <mergeCell ref="B36:B37"/>
    <mergeCell ref="C36:C37"/>
    <mergeCell ref="G36:G37"/>
    <mergeCell ref="K36:K37"/>
    <mergeCell ref="O36:O37"/>
    <mergeCell ref="Q36:Q37"/>
    <mergeCell ref="D37:D38"/>
    <mergeCell ref="S32:S33"/>
    <mergeCell ref="P33:P34"/>
    <mergeCell ref="R33:R34"/>
    <mergeCell ref="T33:T34"/>
    <mergeCell ref="B34:B35"/>
    <mergeCell ref="C34:C35"/>
    <mergeCell ref="G34:G35"/>
    <mergeCell ref="K34:K35"/>
    <mergeCell ref="O34:O35"/>
    <mergeCell ref="Q34:Q35"/>
    <mergeCell ref="P31:P32"/>
    <mergeCell ref="R31:R32"/>
    <mergeCell ref="T31:T32"/>
    <mergeCell ref="B32:B33"/>
    <mergeCell ref="C32:C33"/>
    <mergeCell ref="G32:G33"/>
    <mergeCell ref="T29:T30"/>
    <mergeCell ref="B30:B31"/>
    <mergeCell ref="C30:C31"/>
    <mergeCell ref="G30:G31"/>
    <mergeCell ref="K30:K31"/>
    <mergeCell ref="O30:O31"/>
    <mergeCell ref="Q30:Q31"/>
    <mergeCell ref="D31:D32"/>
    <mergeCell ref="H31:H32"/>
    <mergeCell ref="L31:L32"/>
    <mergeCell ref="S28:S29"/>
    <mergeCell ref="J27:J28"/>
    <mergeCell ref="I28:I29"/>
    <mergeCell ref="J29:J30"/>
    <mergeCell ref="I30:I31"/>
    <mergeCell ref="J31:J32"/>
    <mergeCell ref="I32:I33"/>
    <mergeCell ref="J33:J34"/>
    <mergeCell ref="I34:I35"/>
    <mergeCell ref="J35:J36"/>
    <mergeCell ref="I36:I37"/>
    <mergeCell ref="J37:J38"/>
    <mergeCell ref="I38:I39"/>
    <mergeCell ref="J39:J40"/>
    <mergeCell ref="Q22:Q23"/>
    <mergeCell ref="H25:H26"/>
    <mergeCell ref="S24:S25"/>
    <mergeCell ref="P25:P26"/>
    <mergeCell ref="R25:R26"/>
    <mergeCell ref="T25:T26"/>
    <mergeCell ref="B26:B27"/>
    <mergeCell ref="C26:C27"/>
    <mergeCell ref="G26:G27"/>
    <mergeCell ref="K26:K27"/>
    <mergeCell ref="O26:O27"/>
    <mergeCell ref="Q26:Q27"/>
    <mergeCell ref="S26:S27"/>
    <mergeCell ref="P27:P28"/>
    <mergeCell ref="R27:R28"/>
    <mergeCell ref="T27:T28"/>
    <mergeCell ref="B28:B29"/>
    <mergeCell ref="C28:C29"/>
    <mergeCell ref="G28:G29"/>
    <mergeCell ref="K28:K29"/>
    <mergeCell ref="O28:O29"/>
    <mergeCell ref="Q28:Q29"/>
    <mergeCell ref="P29:P30"/>
    <mergeCell ref="R29:R30"/>
    <mergeCell ref="R19:R20"/>
    <mergeCell ref="B16:B17"/>
    <mergeCell ref="C16:C17"/>
    <mergeCell ref="G16:G17"/>
    <mergeCell ref="K16:K17"/>
    <mergeCell ref="S22:S23"/>
    <mergeCell ref="P23:P24"/>
    <mergeCell ref="R23:R24"/>
    <mergeCell ref="T23:T24"/>
    <mergeCell ref="B24:B25"/>
    <mergeCell ref="C24:C25"/>
    <mergeCell ref="G24:G25"/>
    <mergeCell ref="K24:K25"/>
    <mergeCell ref="O24:O25"/>
    <mergeCell ref="Q24:Q25"/>
    <mergeCell ref="H21:H22"/>
    <mergeCell ref="P21:P22"/>
    <mergeCell ref="R21:R22"/>
    <mergeCell ref="T21:T22"/>
    <mergeCell ref="B22:B23"/>
    <mergeCell ref="C22:C23"/>
    <mergeCell ref="G22:G23"/>
    <mergeCell ref="K22:K23"/>
    <mergeCell ref="O22:O23"/>
    <mergeCell ref="P15:P16"/>
    <mergeCell ref="R15:R16"/>
    <mergeCell ref="H13:H14"/>
    <mergeCell ref="L13:L14"/>
    <mergeCell ref="P13:P14"/>
    <mergeCell ref="R17:R18"/>
    <mergeCell ref="T19:T20"/>
    <mergeCell ref="B20:B21"/>
    <mergeCell ref="C20:C21"/>
    <mergeCell ref="G20:G21"/>
    <mergeCell ref="K20:K21"/>
    <mergeCell ref="O20:O21"/>
    <mergeCell ref="Q20:Q21"/>
    <mergeCell ref="S20:S21"/>
    <mergeCell ref="D21:D22"/>
    <mergeCell ref="G18:G19"/>
    <mergeCell ref="K18:K19"/>
    <mergeCell ref="O18:O19"/>
    <mergeCell ref="Q18:Q19"/>
    <mergeCell ref="S18:S19"/>
    <mergeCell ref="D19:D20"/>
    <mergeCell ref="H19:H20"/>
    <mergeCell ref="L19:L20"/>
    <mergeCell ref="P19:P20"/>
    <mergeCell ref="T15:T16"/>
    <mergeCell ref="S16:S17"/>
    <mergeCell ref="T17:T18"/>
    <mergeCell ref="L17:L18"/>
    <mergeCell ref="P17:P18"/>
    <mergeCell ref="T13:T14"/>
    <mergeCell ref="B14:B15"/>
    <mergeCell ref="C14:C15"/>
    <mergeCell ref="G14:G15"/>
    <mergeCell ref="K14:K15"/>
    <mergeCell ref="O14:O15"/>
    <mergeCell ref="Q14:Q15"/>
    <mergeCell ref="S14:S15"/>
    <mergeCell ref="D15:D16"/>
    <mergeCell ref="H15:H16"/>
    <mergeCell ref="Q12:Q13"/>
    <mergeCell ref="T11:T12"/>
    <mergeCell ref="S12:S13"/>
    <mergeCell ref="R13:R14"/>
    <mergeCell ref="O16:O17"/>
    <mergeCell ref="Q16:Q17"/>
    <mergeCell ref="D17:D18"/>
    <mergeCell ref="H17:H18"/>
    <mergeCell ref="B18:B19"/>
    <mergeCell ref="B12:B13"/>
    <mergeCell ref="C12:C13"/>
    <mergeCell ref="G12:G13"/>
    <mergeCell ref="K12:K13"/>
    <mergeCell ref="O12:O13"/>
    <mergeCell ref="D13:D14"/>
    <mergeCell ref="L15:L16"/>
    <mergeCell ref="K42:K43"/>
    <mergeCell ref="O42:O43"/>
    <mergeCell ref="L33:L34"/>
    <mergeCell ref="D29:D30"/>
    <mergeCell ref="H29:H30"/>
    <mergeCell ref="H37:H38"/>
    <mergeCell ref="D35:D36"/>
    <mergeCell ref="H35:H36"/>
    <mergeCell ref="L35:L36"/>
    <mergeCell ref="L37:L38"/>
    <mergeCell ref="D33:D34"/>
    <mergeCell ref="H33:H34"/>
    <mergeCell ref="L29:L30"/>
    <mergeCell ref="D25:D26"/>
    <mergeCell ref="C18:C19"/>
    <mergeCell ref="L21:L22"/>
    <mergeCell ref="E32:E33"/>
    <mergeCell ref="P41:P42"/>
    <mergeCell ref="G42:G43"/>
    <mergeCell ref="B47:P48"/>
    <mergeCell ref="B67:P68"/>
    <mergeCell ref="B69:L69"/>
    <mergeCell ref="B63:P64"/>
    <mergeCell ref="B72:P73"/>
    <mergeCell ref="B55:P56"/>
    <mergeCell ref="H23:H24"/>
    <mergeCell ref="L23:L24"/>
    <mergeCell ref="L25:L26"/>
    <mergeCell ref="F27:F28"/>
    <mergeCell ref="E28:E29"/>
    <mergeCell ref="F29:F30"/>
    <mergeCell ref="E30:E31"/>
    <mergeCell ref="F31:F32"/>
    <mergeCell ref="E34:E35"/>
    <mergeCell ref="F35:F36"/>
    <mergeCell ref="R5:R6"/>
    <mergeCell ref="T5:T6"/>
    <mergeCell ref="Q4:Q5"/>
    <mergeCell ref="S4:S5"/>
    <mergeCell ref="Q6:Q7"/>
    <mergeCell ref="B137:P138"/>
    <mergeCell ref="B139:L139"/>
    <mergeCell ref="T7:T8"/>
    <mergeCell ref="T9:T10"/>
    <mergeCell ref="D11:D12"/>
    <mergeCell ref="H11:H12"/>
    <mergeCell ref="L11:L12"/>
    <mergeCell ref="P11:P12"/>
    <mergeCell ref="R11:R12"/>
    <mergeCell ref="B59:P60"/>
    <mergeCell ref="B57:L57"/>
    <mergeCell ref="B61:L61"/>
    <mergeCell ref="B116:P117"/>
    <mergeCell ref="B42:B43"/>
    <mergeCell ref="C42:C43"/>
    <mergeCell ref="D41:D42"/>
    <mergeCell ref="H41:H42"/>
    <mergeCell ref="L41:L42"/>
    <mergeCell ref="B65:H65"/>
    <mergeCell ref="E2:F2"/>
    <mergeCell ref="E4:E5"/>
    <mergeCell ref="F5:F6"/>
    <mergeCell ref="E6:E7"/>
    <mergeCell ref="F7:F8"/>
    <mergeCell ref="E8:E9"/>
    <mergeCell ref="F9:F10"/>
    <mergeCell ref="E10:E11"/>
    <mergeCell ref="F11:F12"/>
    <mergeCell ref="E12:E13"/>
    <mergeCell ref="F13:F14"/>
    <mergeCell ref="E14:E15"/>
    <mergeCell ref="F15:F16"/>
    <mergeCell ref="E16:E17"/>
    <mergeCell ref="F17:F18"/>
    <mergeCell ref="E18:E19"/>
    <mergeCell ref="F19:F20"/>
    <mergeCell ref="E20:E21"/>
    <mergeCell ref="F21:F22"/>
    <mergeCell ref="E22:E23"/>
    <mergeCell ref="F23:F24"/>
    <mergeCell ref="E24:E25"/>
    <mergeCell ref="F25:F26"/>
    <mergeCell ref="E26:E27"/>
    <mergeCell ref="I2:J2"/>
    <mergeCell ref="I4:I5"/>
    <mergeCell ref="J5:J6"/>
    <mergeCell ref="I6:I7"/>
    <mergeCell ref="J7:J8"/>
    <mergeCell ref="I8:I9"/>
    <mergeCell ref="J9:J10"/>
    <mergeCell ref="I10:I11"/>
    <mergeCell ref="J11:J12"/>
    <mergeCell ref="I12:I13"/>
    <mergeCell ref="J13:J14"/>
    <mergeCell ref="I14:I15"/>
    <mergeCell ref="J15:J16"/>
    <mergeCell ref="I16:I17"/>
    <mergeCell ref="J17:J18"/>
    <mergeCell ref="I18:I19"/>
    <mergeCell ref="J19:J20"/>
    <mergeCell ref="M2:N2"/>
    <mergeCell ref="N5:N6"/>
    <mergeCell ref="M6:M7"/>
    <mergeCell ref="N7:N8"/>
    <mergeCell ref="M8:M9"/>
    <mergeCell ref="N9:N10"/>
    <mergeCell ref="M10:M11"/>
    <mergeCell ref="N11:N12"/>
    <mergeCell ref="M12:M13"/>
    <mergeCell ref="N13:N14"/>
    <mergeCell ref="M14:M15"/>
    <mergeCell ref="N15:N16"/>
    <mergeCell ref="M16:M17"/>
    <mergeCell ref="N17:N18"/>
    <mergeCell ref="M18:M19"/>
    <mergeCell ref="N19:N20"/>
    <mergeCell ref="M20:M21"/>
    <mergeCell ref="B133:P136"/>
    <mergeCell ref="N25:N26"/>
    <mergeCell ref="M26:M27"/>
    <mergeCell ref="N27:N28"/>
    <mergeCell ref="M28:M29"/>
    <mergeCell ref="N29:N30"/>
    <mergeCell ref="M30:M31"/>
    <mergeCell ref="N31:N32"/>
    <mergeCell ref="M32:M33"/>
    <mergeCell ref="N33:N34"/>
    <mergeCell ref="M34:M35"/>
    <mergeCell ref="N35:N36"/>
    <mergeCell ref="M36:M37"/>
    <mergeCell ref="N37:N38"/>
    <mergeCell ref="M38:M39"/>
    <mergeCell ref="N39:N40"/>
    <mergeCell ref="M40:M41"/>
    <mergeCell ref="N41:N42"/>
    <mergeCell ref="M42:M43"/>
    <mergeCell ref="I24:I25"/>
    <mergeCell ref="J25:J26"/>
    <mergeCell ref="I26:I27"/>
    <mergeCell ref="E36:E37"/>
    <mergeCell ref="F37:F38"/>
    <mergeCell ref="I40:I41"/>
    <mergeCell ref="J41:J42"/>
    <mergeCell ref="I42:I43"/>
    <mergeCell ref="F33:F34"/>
    <mergeCell ref="N21:N22"/>
    <mergeCell ref="M22:M23"/>
    <mergeCell ref="N23:N24"/>
    <mergeCell ref="M24:M25"/>
    <mergeCell ref="B130:N130"/>
    <mergeCell ref="I20:I21"/>
    <mergeCell ref="J21:J22"/>
    <mergeCell ref="I22:I23"/>
    <mergeCell ref="J23:J24"/>
    <mergeCell ref="E38:E39"/>
    <mergeCell ref="F39:F40"/>
    <mergeCell ref="E40:E41"/>
    <mergeCell ref="F41:F42"/>
    <mergeCell ref="E42:E43"/>
    <mergeCell ref="D27:D28"/>
    <mergeCell ref="H27:H28"/>
    <mergeCell ref="L27:L28"/>
    <mergeCell ref="D23:D24"/>
    <mergeCell ref="B126:P127"/>
    <mergeCell ref="B128:K1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rowBreaks count="3" manualBreakCount="3">
    <brk id="45" max="13" man="1"/>
    <brk id="71" max="13" man="1"/>
    <brk id="11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view="pageBreakPreview" zoomScaleNormal="55" zoomScaleSheetLayoutView="100" workbookViewId="0">
      <selection activeCell="A54" sqref="A54"/>
    </sheetView>
  </sheetViews>
  <sheetFormatPr defaultRowHeight="12.75" x14ac:dyDescent="0.2"/>
  <sheetData>
    <row r="1" spans="1:11" ht="18.75" thickBot="1" x14ac:dyDescent="0.3">
      <c r="A1" s="10" t="s">
        <v>112</v>
      </c>
      <c r="C1" s="4"/>
      <c r="D1" s="13"/>
      <c r="E1" s="13"/>
      <c r="F1" s="13"/>
      <c r="G1" s="13"/>
      <c r="H1" s="13"/>
      <c r="I1" s="13"/>
    </row>
    <row r="2" spans="1:11" ht="46.5" customHeight="1" thickBot="1" x14ac:dyDescent="0.25">
      <c r="A2" s="53" t="s">
        <v>8</v>
      </c>
      <c r="B2" s="54" t="s">
        <v>7</v>
      </c>
      <c r="C2" s="66" t="s">
        <v>6</v>
      </c>
      <c r="D2" s="314" t="s">
        <v>9</v>
      </c>
      <c r="E2" s="270" t="s">
        <v>2</v>
      </c>
      <c r="F2" s="269" t="s">
        <v>11</v>
      </c>
      <c r="G2" s="314"/>
      <c r="H2" s="269" t="s">
        <v>12</v>
      </c>
      <c r="I2" s="270"/>
      <c r="J2" s="269" t="s">
        <v>126</v>
      </c>
      <c r="K2" s="270"/>
    </row>
    <row r="3" spans="1:11" ht="15" thickBot="1" x14ac:dyDescent="0.25">
      <c r="A3" s="56"/>
      <c r="B3" s="57" t="s">
        <v>0</v>
      </c>
      <c r="C3" s="58" t="s">
        <v>1</v>
      </c>
      <c r="D3" s="100" t="s">
        <v>5</v>
      </c>
      <c r="E3" s="58" t="s">
        <v>4</v>
      </c>
      <c r="F3" s="56" t="s">
        <v>5</v>
      </c>
      <c r="G3" s="58" t="s">
        <v>4</v>
      </c>
      <c r="H3" s="56" t="s">
        <v>5</v>
      </c>
      <c r="I3" s="58" t="s">
        <v>4</v>
      </c>
      <c r="J3" s="56" t="s">
        <v>5</v>
      </c>
      <c r="K3" s="58" t="s">
        <v>4</v>
      </c>
    </row>
    <row r="4" spans="1:11" ht="9" customHeight="1" x14ac:dyDescent="0.2">
      <c r="A4" s="243" t="s">
        <v>122</v>
      </c>
      <c r="B4" s="239">
        <f>B8-C7/1000</f>
        <v>0.93353999999999993</v>
      </c>
      <c r="C4" s="99"/>
      <c r="D4" s="323">
        <v>7.22</v>
      </c>
      <c r="E4" s="99"/>
      <c r="F4" s="321">
        <v>0.6</v>
      </c>
      <c r="G4" s="99"/>
      <c r="H4" s="321">
        <v>0</v>
      </c>
      <c r="I4" s="99"/>
      <c r="J4" s="321"/>
      <c r="K4" s="99"/>
    </row>
    <row r="5" spans="1:11" ht="9" customHeight="1" x14ac:dyDescent="0.2">
      <c r="A5" s="243"/>
      <c r="B5" s="239"/>
      <c r="C5" s="312">
        <f>(B6-B4)*1000</f>
        <v>2.9100000000000792</v>
      </c>
      <c r="D5" s="324"/>
      <c r="E5" s="223">
        <f>(D4*2.1)+(12.7*0.4)</f>
        <v>20.242000000000001</v>
      </c>
      <c r="F5" s="322"/>
      <c r="G5" s="223">
        <f>((F4+F6)/2)*C5</f>
        <v>4.8015000000001313</v>
      </c>
      <c r="H5" s="322"/>
      <c r="I5" s="319">
        <v>0</v>
      </c>
      <c r="J5" s="322"/>
      <c r="K5" s="319"/>
    </row>
    <row r="6" spans="1:11" ht="9" customHeight="1" x14ac:dyDescent="0.2">
      <c r="A6" s="243">
        <v>47</v>
      </c>
      <c r="B6" s="239">
        <v>0.93645</v>
      </c>
      <c r="C6" s="312"/>
      <c r="D6" s="308">
        <v>7.6</v>
      </c>
      <c r="E6" s="223"/>
      <c r="F6" s="256">
        <v>2.7</v>
      </c>
      <c r="G6" s="223"/>
      <c r="H6" s="256">
        <v>12.3</v>
      </c>
      <c r="I6" s="320"/>
      <c r="J6" s="256"/>
      <c r="K6" s="320"/>
    </row>
    <row r="7" spans="1:11" ht="9" customHeight="1" x14ac:dyDescent="0.2">
      <c r="A7" s="243"/>
      <c r="B7" s="239"/>
      <c r="C7" s="312">
        <v>13.7</v>
      </c>
      <c r="D7" s="308"/>
      <c r="E7" s="223">
        <f>(D6*4.2)+(D8*10.8)</f>
        <v>38.4</v>
      </c>
      <c r="F7" s="256"/>
      <c r="G7" s="223">
        <f>(F6*4.2)+(F8*10.8)</f>
        <v>28.620000000000005</v>
      </c>
      <c r="H7" s="256"/>
      <c r="I7" s="223">
        <f>H6*3+(4.2*4)</f>
        <v>53.7</v>
      </c>
      <c r="J7" s="256"/>
      <c r="K7" s="223"/>
    </row>
    <row r="8" spans="1:11" ht="9" customHeight="1" x14ac:dyDescent="0.2">
      <c r="A8" s="243">
        <v>48</v>
      </c>
      <c r="B8" s="239">
        <v>0.94723999999999997</v>
      </c>
      <c r="C8" s="312"/>
      <c r="D8" s="308">
        <v>0.6</v>
      </c>
      <c r="E8" s="223"/>
      <c r="F8" s="256">
        <v>1.6</v>
      </c>
      <c r="G8" s="223"/>
      <c r="H8" s="256">
        <v>0</v>
      </c>
      <c r="I8" s="223"/>
      <c r="J8" s="256"/>
      <c r="K8" s="223"/>
    </row>
    <row r="9" spans="1:11" ht="9" customHeight="1" x14ac:dyDescent="0.2">
      <c r="A9" s="243"/>
      <c r="B9" s="239"/>
      <c r="C9" s="312">
        <f>(B10-B8)*1000</f>
        <v>20.000000000000018</v>
      </c>
      <c r="D9" s="308"/>
      <c r="E9" s="223">
        <f>((D8+D10)/2)*C9</f>
        <v>13.000000000000011</v>
      </c>
      <c r="F9" s="256"/>
      <c r="G9" s="257">
        <f>((F8+F10)/2)*C9</f>
        <v>38.000000000000036</v>
      </c>
      <c r="H9" s="256"/>
      <c r="I9" s="223">
        <v>0</v>
      </c>
      <c r="J9" s="256"/>
      <c r="K9" s="223">
        <f>6*0.5</f>
        <v>3</v>
      </c>
    </row>
    <row r="10" spans="1:11" ht="9" customHeight="1" x14ac:dyDescent="0.2">
      <c r="A10" s="243">
        <v>49</v>
      </c>
      <c r="B10" s="239">
        <v>0.96723999999999999</v>
      </c>
      <c r="C10" s="312"/>
      <c r="D10" s="308">
        <v>0.7</v>
      </c>
      <c r="E10" s="223"/>
      <c r="F10" s="256">
        <v>2.2000000000000002</v>
      </c>
      <c r="G10" s="257"/>
      <c r="H10" s="256">
        <v>1.4</v>
      </c>
      <c r="I10" s="223"/>
      <c r="J10" s="256"/>
      <c r="K10" s="223"/>
    </row>
    <row r="11" spans="1:11" ht="9" customHeight="1" x14ac:dyDescent="0.2">
      <c r="A11" s="243"/>
      <c r="B11" s="239"/>
      <c r="C11" s="312">
        <f>(B12-B10)*1000</f>
        <v>20.000000000000018</v>
      </c>
      <c r="D11" s="308"/>
      <c r="E11" s="223">
        <f>((D10+D12)/2)*C11+(1.4*4.8)</f>
        <v>19.72000000000001</v>
      </c>
      <c r="F11" s="256"/>
      <c r="G11" s="257">
        <f>((F10+F12)/2)*C11</f>
        <v>40.000000000000036</v>
      </c>
      <c r="H11" s="256"/>
      <c r="I11" s="223">
        <f>H10*4.8</f>
        <v>6.72</v>
      </c>
      <c r="J11" s="256"/>
      <c r="K11" s="223">
        <f>4.5*0.5</f>
        <v>2.25</v>
      </c>
    </row>
    <row r="12" spans="1:11" ht="9" customHeight="1" x14ac:dyDescent="0.2">
      <c r="A12" s="243">
        <v>50</v>
      </c>
      <c r="B12" s="239">
        <v>0.98724000000000001</v>
      </c>
      <c r="C12" s="312"/>
      <c r="D12" s="308">
        <v>0.6</v>
      </c>
      <c r="E12" s="223"/>
      <c r="F12" s="256">
        <v>1.8</v>
      </c>
      <c r="G12" s="257"/>
      <c r="H12" s="338">
        <v>1.4</v>
      </c>
      <c r="I12" s="223"/>
      <c r="J12" s="256"/>
      <c r="K12" s="223"/>
    </row>
    <row r="13" spans="1:11" ht="9" customHeight="1" x14ac:dyDescent="0.2">
      <c r="A13" s="243"/>
      <c r="B13" s="239"/>
      <c r="C13" s="312">
        <f>(B14-B12)*1000</f>
        <v>19.049999999999901</v>
      </c>
      <c r="D13" s="308"/>
      <c r="E13" s="223">
        <f>((D12+D14)/2)*C13+(1.4*5.2)</f>
        <v>38.712499999999842</v>
      </c>
      <c r="F13" s="256"/>
      <c r="G13" s="257">
        <f>((F12+F14)/2)*C13</f>
        <v>20.002499999999898</v>
      </c>
      <c r="H13" s="333"/>
      <c r="I13" s="223">
        <f>H12*5.2</f>
        <v>7.2799999999999994</v>
      </c>
      <c r="J13" s="256"/>
      <c r="K13" s="223">
        <f>12*0.5</f>
        <v>6</v>
      </c>
    </row>
    <row r="14" spans="1:11" ht="9" customHeight="1" x14ac:dyDescent="0.2">
      <c r="A14" s="243">
        <v>51</v>
      </c>
      <c r="B14" s="239">
        <v>1.0062899999999999</v>
      </c>
      <c r="C14" s="312"/>
      <c r="D14" s="308">
        <v>2.7</v>
      </c>
      <c r="E14" s="223"/>
      <c r="F14" s="256">
        <v>0.3</v>
      </c>
      <c r="G14" s="257"/>
      <c r="H14" s="338">
        <v>1.4</v>
      </c>
      <c r="I14" s="223"/>
      <c r="J14" s="256"/>
      <c r="K14" s="223"/>
    </row>
    <row r="15" spans="1:11" ht="9" customHeight="1" x14ac:dyDescent="0.2">
      <c r="A15" s="243"/>
      <c r="B15" s="239"/>
      <c r="C15" s="312">
        <f>(B16-B14)*1000</f>
        <v>20.230000000000192</v>
      </c>
      <c r="D15" s="308"/>
      <c r="E15" s="223">
        <f>((D14+D16)/2)*C15+(1.4*17.3)</f>
        <v>56.588000000000306</v>
      </c>
      <c r="F15" s="256"/>
      <c r="G15" s="257">
        <f>((F14+F16)/2)*C15</f>
        <v>28.322000000000266</v>
      </c>
      <c r="H15" s="333"/>
      <c r="I15" s="223">
        <f>H14*17.3</f>
        <v>24.22</v>
      </c>
      <c r="J15" s="256"/>
      <c r="K15" s="223"/>
    </row>
    <row r="16" spans="1:11" ht="9" customHeight="1" x14ac:dyDescent="0.2">
      <c r="A16" s="243">
        <v>52</v>
      </c>
      <c r="B16" s="239">
        <v>1.0265200000000001</v>
      </c>
      <c r="C16" s="312"/>
      <c r="D16" s="308">
        <v>0.5</v>
      </c>
      <c r="E16" s="223"/>
      <c r="F16" s="256">
        <v>2.5</v>
      </c>
      <c r="G16" s="257"/>
      <c r="H16" s="338">
        <v>1.4</v>
      </c>
      <c r="I16" s="223"/>
      <c r="J16" s="256"/>
      <c r="K16" s="223"/>
    </row>
    <row r="17" spans="1:11" ht="9" customHeight="1" x14ac:dyDescent="0.2">
      <c r="A17" s="243"/>
      <c r="B17" s="239"/>
      <c r="C17" s="312">
        <f>(B18-B16)*1000</f>
        <v>20.039999999999836</v>
      </c>
      <c r="D17" s="308"/>
      <c r="E17" s="223">
        <f>((D16+D18)/2)*C17+(1.4*3.5)</f>
        <v>16.9239999999999</v>
      </c>
      <c r="F17" s="256"/>
      <c r="G17" s="257">
        <f>((F16+F18)/2)*C17</f>
        <v>58.115999999999524</v>
      </c>
      <c r="H17" s="333"/>
      <c r="I17" s="223">
        <f>H16*3.5</f>
        <v>4.8999999999999995</v>
      </c>
      <c r="J17" s="256"/>
      <c r="K17" s="223">
        <f>6*0.5</f>
        <v>3</v>
      </c>
    </row>
    <row r="18" spans="1:11" ht="9" customHeight="1" x14ac:dyDescent="0.2">
      <c r="A18" s="243">
        <v>53</v>
      </c>
      <c r="B18" s="239">
        <v>1.0465599999999999</v>
      </c>
      <c r="C18" s="312"/>
      <c r="D18" s="308">
        <v>0.7</v>
      </c>
      <c r="E18" s="223"/>
      <c r="F18" s="256">
        <v>3.3</v>
      </c>
      <c r="G18" s="257"/>
      <c r="H18" s="338">
        <v>1.4</v>
      </c>
      <c r="I18" s="223"/>
      <c r="J18" s="256"/>
      <c r="K18" s="223"/>
    </row>
    <row r="19" spans="1:11" ht="9" customHeight="1" x14ac:dyDescent="0.2">
      <c r="A19" s="243"/>
      <c r="B19" s="239"/>
      <c r="C19" s="312">
        <f>(B20-B18)*1000</f>
        <v>20.220000000000127</v>
      </c>
      <c r="D19" s="308"/>
      <c r="E19" s="223">
        <f>((D18+D20)/2)*C19+(1.4*16.5)</f>
        <v>52.419000000000182</v>
      </c>
      <c r="F19" s="256"/>
      <c r="G19" s="257">
        <f>((F18+F20)/2)*C19</f>
        <v>40.440000000000254</v>
      </c>
      <c r="H19" s="333"/>
      <c r="I19" s="223">
        <f>H18*16.5</f>
        <v>23.099999999999998</v>
      </c>
      <c r="J19" s="256"/>
      <c r="K19" s="223">
        <f>6*0.5</f>
        <v>3</v>
      </c>
    </row>
    <row r="20" spans="1:11" ht="9" customHeight="1" x14ac:dyDescent="0.2">
      <c r="A20" s="243">
        <v>54</v>
      </c>
      <c r="B20" s="239">
        <v>1.0667800000000001</v>
      </c>
      <c r="C20" s="312"/>
      <c r="D20" s="308">
        <v>2.2000000000000002</v>
      </c>
      <c r="E20" s="223"/>
      <c r="F20" s="256">
        <v>0.7</v>
      </c>
      <c r="G20" s="257"/>
      <c r="H20" s="338">
        <v>1.4</v>
      </c>
      <c r="I20" s="223"/>
      <c r="J20" s="256"/>
      <c r="K20" s="223"/>
    </row>
    <row r="21" spans="1:11" ht="9" customHeight="1" x14ac:dyDescent="0.2">
      <c r="A21" s="243"/>
      <c r="B21" s="239"/>
      <c r="C21" s="312">
        <f>(B22-B20)*1000</f>
        <v>19.909999999999872</v>
      </c>
      <c r="D21" s="308"/>
      <c r="E21" s="223">
        <f>((D20+D22)/2)*C21+(1.4*17.9)</f>
        <v>56.915999999999791</v>
      </c>
      <c r="F21" s="256"/>
      <c r="G21" s="257">
        <f>((F20+F22)/2)*C21</f>
        <v>31.855999999999796</v>
      </c>
      <c r="H21" s="333"/>
      <c r="I21" s="223">
        <f>H20*17.9</f>
        <v>25.059999999999995</v>
      </c>
      <c r="J21" s="256"/>
      <c r="K21" s="223"/>
    </row>
    <row r="22" spans="1:11" ht="9" customHeight="1" x14ac:dyDescent="0.2">
      <c r="A22" s="243">
        <v>55</v>
      </c>
      <c r="B22" s="239">
        <v>1.0866899999999999</v>
      </c>
      <c r="C22" s="312"/>
      <c r="D22" s="308">
        <v>1</v>
      </c>
      <c r="E22" s="223"/>
      <c r="F22" s="256">
        <v>2.5</v>
      </c>
      <c r="G22" s="257"/>
      <c r="H22" s="338">
        <v>1.4</v>
      </c>
      <c r="I22" s="223"/>
      <c r="J22" s="256"/>
      <c r="K22" s="223"/>
    </row>
    <row r="23" spans="1:11" ht="9" customHeight="1" x14ac:dyDescent="0.2">
      <c r="A23" s="243"/>
      <c r="B23" s="239"/>
      <c r="C23" s="312">
        <f>(B24-B22)*1000</f>
        <v>20.000000000000018</v>
      </c>
      <c r="D23" s="308"/>
      <c r="E23" s="223">
        <f>((D22+D24)/2)*C23+(1.4*4)</f>
        <v>37.60000000000003</v>
      </c>
      <c r="F23" s="256"/>
      <c r="G23" s="257">
        <f>((F22+F24)/2)*C23</f>
        <v>52.00000000000005</v>
      </c>
      <c r="H23" s="333"/>
      <c r="I23" s="223">
        <f>H22*4</f>
        <v>5.6</v>
      </c>
      <c r="J23" s="256"/>
      <c r="K23" s="223">
        <f>(4.5+4.5)*0.5</f>
        <v>4.5</v>
      </c>
    </row>
    <row r="24" spans="1:11" ht="9" customHeight="1" x14ac:dyDescent="0.2">
      <c r="A24" s="243">
        <v>56</v>
      </c>
      <c r="B24" s="239">
        <v>1.10669</v>
      </c>
      <c r="C24" s="312"/>
      <c r="D24" s="308">
        <v>2.2000000000000002</v>
      </c>
      <c r="E24" s="223"/>
      <c r="F24" s="256">
        <v>2.7</v>
      </c>
      <c r="G24" s="257"/>
      <c r="H24" s="338">
        <v>1.4</v>
      </c>
      <c r="I24" s="223"/>
      <c r="J24" s="256"/>
      <c r="K24" s="223"/>
    </row>
    <row r="25" spans="1:11" ht="9" customHeight="1" x14ac:dyDescent="0.2">
      <c r="A25" s="243"/>
      <c r="B25" s="239"/>
      <c r="C25" s="312">
        <f>(B26-B24)*1000</f>
        <v>20.000000000000018</v>
      </c>
      <c r="D25" s="308"/>
      <c r="E25" s="223">
        <f>((D24+D26)/2)*C25+(1.4*4.7)</f>
        <v>39.580000000000027</v>
      </c>
      <c r="F25" s="256"/>
      <c r="G25" s="257">
        <f>((F24+F26)/2)*C25</f>
        <v>60.000000000000057</v>
      </c>
      <c r="H25" s="333"/>
      <c r="I25" s="223">
        <f>H24*4.7</f>
        <v>6.58</v>
      </c>
      <c r="J25" s="256"/>
      <c r="K25" s="223">
        <f>4.5*0.5</f>
        <v>2.25</v>
      </c>
    </row>
    <row r="26" spans="1:11" ht="9" customHeight="1" x14ac:dyDescent="0.2">
      <c r="A26" s="243">
        <v>57</v>
      </c>
      <c r="B26" s="239">
        <v>1.12669</v>
      </c>
      <c r="C26" s="312"/>
      <c r="D26" s="308">
        <v>1.1000000000000001</v>
      </c>
      <c r="E26" s="223"/>
      <c r="F26" s="256">
        <v>3.3</v>
      </c>
      <c r="G26" s="257"/>
      <c r="H26" s="338">
        <v>1.4</v>
      </c>
      <c r="I26" s="223"/>
      <c r="J26" s="256"/>
      <c r="K26" s="223"/>
    </row>
    <row r="27" spans="1:11" ht="9" customHeight="1" x14ac:dyDescent="0.2">
      <c r="A27" s="243"/>
      <c r="B27" s="239"/>
      <c r="C27" s="312">
        <f>(B28-B26)*1000</f>
        <v>18.960000000000086</v>
      </c>
      <c r="D27" s="308"/>
      <c r="E27" s="223">
        <f>((D26+D28)/2)*C27+(3.8*17.2)</f>
        <v>104.22800000000018</v>
      </c>
      <c r="F27" s="256"/>
      <c r="G27" s="257">
        <f>((F26+F28)/2)*C27</f>
        <v>44.556000000000196</v>
      </c>
      <c r="H27" s="333"/>
      <c r="I27" s="223">
        <f>H26*11.5</f>
        <v>16.099999999999998</v>
      </c>
      <c r="J27" s="256"/>
      <c r="K27" s="223">
        <f>25*0.5</f>
        <v>12.5</v>
      </c>
    </row>
    <row r="28" spans="1:11" ht="9" customHeight="1" x14ac:dyDescent="0.2">
      <c r="A28" s="243">
        <v>58</v>
      </c>
      <c r="B28" s="239">
        <v>1.1456500000000001</v>
      </c>
      <c r="C28" s="312"/>
      <c r="D28" s="308">
        <v>3</v>
      </c>
      <c r="E28" s="223"/>
      <c r="F28" s="256">
        <v>1.4</v>
      </c>
      <c r="G28" s="257"/>
      <c r="H28" s="338">
        <v>1.4</v>
      </c>
      <c r="I28" s="223"/>
      <c r="J28" s="256"/>
      <c r="K28" s="223"/>
    </row>
    <row r="29" spans="1:11" ht="9" customHeight="1" x14ac:dyDescent="0.2">
      <c r="A29" s="243"/>
      <c r="B29" s="239"/>
      <c r="C29" s="312">
        <f>(B30-B28)*1000</f>
        <v>19.050000000000011</v>
      </c>
      <c r="D29" s="308"/>
      <c r="E29" s="223">
        <f>((D28+D30)/2)*C29+(1.4*11.5)</f>
        <v>59.91500000000002</v>
      </c>
      <c r="F29" s="256"/>
      <c r="G29" s="257">
        <f>((F28*2)+(F30*17.2))</f>
        <v>38.919999999999995</v>
      </c>
      <c r="H29" s="333"/>
      <c r="I29" s="223">
        <f>H30*17.2</f>
        <v>65.36</v>
      </c>
      <c r="J29" s="256"/>
      <c r="K29" s="223"/>
    </row>
    <row r="30" spans="1:11" ht="9" customHeight="1" x14ac:dyDescent="0.2">
      <c r="A30" s="243">
        <v>59</v>
      </c>
      <c r="B30" s="239">
        <v>1.1647000000000001</v>
      </c>
      <c r="C30" s="312"/>
      <c r="D30" s="308">
        <v>1.6</v>
      </c>
      <c r="E30" s="223"/>
      <c r="F30" s="256">
        <v>2.1</v>
      </c>
      <c r="G30" s="257"/>
      <c r="H30" s="256">
        <v>3.8</v>
      </c>
      <c r="I30" s="223"/>
      <c r="J30" s="256">
        <v>0.7</v>
      </c>
      <c r="K30" s="223"/>
    </row>
    <row r="31" spans="1:11" ht="9" customHeight="1" x14ac:dyDescent="0.2">
      <c r="A31" s="243"/>
      <c r="B31" s="239"/>
      <c r="C31" s="312">
        <f>(B32-B30)*1000</f>
        <v>18.159999999999954</v>
      </c>
      <c r="D31" s="308"/>
      <c r="E31" s="223">
        <f>((D30+D32)/2)*C31+(1.4*7.2)</f>
        <v>70.91599999999984</v>
      </c>
      <c r="F31" s="256"/>
      <c r="G31" s="257">
        <f>((F30+F32)/2)*C31</f>
        <v>38.135999999999903</v>
      </c>
      <c r="H31" s="256"/>
      <c r="I31" s="223">
        <f>H32*7.2</f>
        <v>10.08</v>
      </c>
      <c r="J31" s="256"/>
      <c r="K31" s="223">
        <f>J30*3.3+9*0.5</f>
        <v>6.81</v>
      </c>
    </row>
    <row r="32" spans="1:11" ht="9" customHeight="1" x14ac:dyDescent="0.2">
      <c r="A32" s="243">
        <v>60</v>
      </c>
      <c r="B32" s="239">
        <v>1.18286</v>
      </c>
      <c r="C32" s="312"/>
      <c r="D32" s="308">
        <v>5.0999999999999996</v>
      </c>
      <c r="E32" s="223"/>
      <c r="F32" s="256">
        <v>2.1</v>
      </c>
      <c r="G32" s="257"/>
      <c r="H32" s="338">
        <v>1.4</v>
      </c>
      <c r="I32" s="223"/>
      <c r="J32" s="256">
        <v>0.7</v>
      </c>
      <c r="K32" s="223"/>
    </row>
    <row r="33" spans="1:11" ht="9" customHeight="1" x14ac:dyDescent="0.2">
      <c r="A33" s="243"/>
      <c r="B33" s="239"/>
      <c r="C33" s="312">
        <f>(B34-B32)*1000</f>
        <v>20.72000000000007</v>
      </c>
      <c r="D33" s="308"/>
      <c r="E33" s="223">
        <f>((D32+D34)/2)*C33</f>
        <v>75.628000000000256</v>
      </c>
      <c r="F33" s="256"/>
      <c r="G33" s="257">
        <f>((F32+F34)/2)*C33</f>
        <v>49.728000000000172</v>
      </c>
      <c r="H33" s="333"/>
      <c r="I33" s="223">
        <v>0</v>
      </c>
      <c r="J33" s="256"/>
      <c r="K33" s="223">
        <f>J32*4.4+6*0.5</f>
        <v>6.08</v>
      </c>
    </row>
    <row r="34" spans="1:11" ht="9" customHeight="1" x14ac:dyDescent="0.2">
      <c r="A34" s="243">
        <v>61</v>
      </c>
      <c r="B34" s="239">
        <v>1.2035800000000001</v>
      </c>
      <c r="C34" s="312"/>
      <c r="D34" s="308">
        <v>2.2000000000000002</v>
      </c>
      <c r="E34" s="223"/>
      <c r="F34" s="256">
        <v>2.7</v>
      </c>
      <c r="G34" s="257"/>
      <c r="H34" s="256">
        <v>0</v>
      </c>
      <c r="I34" s="223"/>
      <c r="J34" s="256"/>
      <c r="K34" s="223"/>
    </row>
    <row r="35" spans="1:11" ht="9" customHeight="1" x14ac:dyDescent="0.2">
      <c r="A35" s="243"/>
      <c r="B35" s="239"/>
      <c r="C35" s="312">
        <f>(B36-B34)*1000</f>
        <v>19.999999999999794</v>
      </c>
      <c r="D35" s="308"/>
      <c r="E35" s="223">
        <f>((D34+D36)/2)*C35+(1.4*4.5)</f>
        <v>44.299999999999606</v>
      </c>
      <c r="F35" s="256"/>
      <c r="G35" s="257">
        <f>((F34+F36)/2)*C35</f>
        <v>41.999999999999567</v>
      </c>
      <c r="H35" s="256"/>
      <c r="I35" s="223">
        <f>H36*4.5</f>
        <v>6.3</v>
      </c>
      <c r="J35" s="256"/>
      <c r="K35" s="223"/>
    </row>
    <row r="36" spans="1:11" ht="9" customHeight="1" x14ac:dyDescent="0.2">
      <c r="A36" s="243">
        <v>62</v>
      </c>
      <c r="B36" s="239">
        <v>1.2235799999999999</v>
      </c>
      <c r="C36" s="312"/>
      <c r="D36" s="308">
        <v>1.6</v>
      </c>
      <c r="E36" s="273"/>
      <c r="F36" s="256">
        <v>1.5</v>
      </c>
      <c r="G36" s="257"/>
      <c r="H36" s="338">
        <v>1.4</v>
      </c>
      <c r="I36" s="223"/>
      <c r="J36" s="256"/>
      <c r="K36" s="223"/>
    </row>
    <row r="37" spans="1:11" ht="9" customHeight="1" x14ac:dyDescent="0.2">
      <c r="A37" s="243"/>
      <c r="B37" s="239"/>
      <c r="C37" s="312">
        <f>(B38-B36)*1000</f>
        <v>20.080000000000098</v>
      </c>
      <c r="D37" s="308"/>
      <c r="E37" s="223">
        <f>((D36+D38)/2)*C37+(1.4*16.7)</f>
        <v>87.636000000000308</v>
      </c>
      <c r="F37" s="256"/>
      <c r="G37" s="257">
        <f>((F36+F38)/2)*C37</f>
        <v>27.108000000000136</v>
      </c>
      <c r="H37" s="333"/>
      <c r="I37" s="223">
        <f>H38*16.7</f>
        <v>23.38</v>
      </c>
      <c r="J37" s="256"/>
      <c r="K37" s="223">
        <f>6*0.5</f>
        <v>3</v>
      </c>
    </row>
    <row r="38" spans="1:11" ht="9" customHeight="1" x14ac:dyDescent="0.2">
      <c r="A38" s="243">
        <v>63</v>
      </c>
      <c r="B38" s="239">
        <v>1.24366</v>
      </c>
      <c r="C38" s="312"/>
      <c r="D38" s="308">
        <v>4.8</v>
      </c>
      <c r="E38" s="273"/>
      <c r="F38" s="256">
        <v>1.2</v>
      </c>
      <c r="G38" s="257"/>
      <c r="H38" s="338">
        <v>1.4</v>
      </c>
      <c r="I38" s="223"/>
      <c r="J38" s="256"/>
      <c r="K38" s="223"/>
    </row>
    <row r="39" spans="1:11" ht="9" customHeight="1" x14ac:dyDescent="0.2">
      <c r="A39" s="243"/>
      <c r="B39" s="239"/>
      <c r="C39" s="312">
        <f>(B40-B38)*1000</f>
        <v>20.180000000000085</v>
      </c>
      <c r="D39" s="308"/>
      <c r="E39" s="223">
        <f>D38*C39</f>
        <v>96.864000000000402</v>
      </c>
      <c r="F39" s="256"/>
      <c r="G39" s="257">
        <f>((F38+F40)/2)*C39</f>
        <v>43.387000000000178</v>
      </c>
      <c r="H39" s="333"/>
      <c r="I39" s="223">
        <f>H40*20</f>
        <v>28</v>
      </c>
      <c r="J39" s="256"/>
      <c r="K39" s="223"/>
    </row>
    <row r="40" spans="1:11" ht="9" customHeight="1" x14ac:dyDescent="0.2">
      <c r="A40" s="243">
        <v>64</v>
      </c>
      <c r="B40" s="239">
        <v>1.2638400000000001</v>
      </c>
      <c r="C40" s="312"/>
      <c r="D40" s="308">
        <v>3.5</v>
      </c>
      <c r="E40" s="223"/>
      <c r="F40" s="256">
        <v>3.1</v>
      </c>
      <c r="G40" s="257"/>
      <c r="H40" s="338">
        <v>1.4</v>
      </c>
      <c r="I40" s="223"/>
      <c r="J40" s="256"/>
      <c r="K40" s="223"/>
    </row>
    <row r="41" spans="1:11" ht="9" customHeight="1" x14ac:dyDescent="0.2">
      <c r="A41" s="243"/>
      <c r="B41" s="239"/>
      <c r="C41" s="312">
        <f>(B42-B40)*1000</f>
        <v>20.000000000000018</v>
      </c>
      <c r="D41" s="308"/>
      <c r="E41" s="223">
        <f>((D40+D42)/2)*C41+(1.4*6.1)</f>
        <v>77.540000000000077</v>
      </c>
      <c r="F41" s="256"/>
      <c r="G41" s="257">
        <f>((F40+F42)/2)*C41</f>
        <v>54.00000000000005</v>
      </c>
      <c r="H41" s="333"/>
      <c r="I41" s="223">
        <f>H42*6.1</f>
        <v>8.5399999999999991</v>
      </c>
      <c r="J41" s="256"/>
      <c r="K41" s="223">
        <f>4.5*0.5</f>
        <v>2.25</v>
      </c>
    </row>
    <row r="42" spans="1:11" ht="9" customHeight="1" x14ac:dyDescent="0.2">
      <c r="A42" s="243">
        <v>65</v>
      </c>
      <c r="B42" s="239">
        <v>1.2838400000000001</v>
      </c>
      <c r="C42" s="312"/>
      <c r="D42" s="308">
        <v>3.4</v>
      </c>
      <c r="E42" s="273"/>
      <c r="F42" s="256">
        <v>2.2999999999999998</v>
      </c>
      <c r="G42" s="257"/>
      <c r="H42" s="338">
        <v>1.4</v>
      </c>
      <c r="I42" s="223"/>
      <c r="J42" s="256"/>
      <c r="K42" s="223"/>
    </row>
    <row r="43" spans="1:11" ht="9" customHeight="1" x14ac:dyDescent="0.2">
      <c r="A43" s="243"/>
      <c r="B43" s="239"/>
      <c r="C43" s="312">
        <f>(B44-B42)*1000</f>
        <v>20.000000000000018</v>
      </c>
      <c r="D43" s="308"/>
      <c r="E43" s="223">
        <f>((D42+D44)/2)*C43+(1.4*6.2)</f>
        <v>70.680000000000049</v>
      </c>
      <c r="F43" s="256"/>
      <c r="G43" s="257">
        <f>((F42+F44)/2)*C43</f>
        <v>48.000000000000043</v>
      </c>
      <c r="H43" s="333"/>
      <c r="I43" s="223">
        <f>H44*6.2</f>
        <v>8.68</v>
      </c>
      <c r="J43" s="256"/>
      <c r="K43" s="223">
        <f>4.5*0.5</f>
        <v>2.25</v>
      </c>
    </row>
    <row r="44" spans="1:11" ht="9" customHeight="1" x14ac:dyDescent="0.2">
      <c r="A44" s="243">
        <v>66</v>
      </c>
      <c r="B44" s="239">
        <v>1.3038400000000001</v>
      </c>
      <c r="C44" s="312"/>
      <c r="D44" s="308">
        <v>2.8</v>
      </c>
      <c r="E44" s="273"/>
      <c r="F44" s="256">
        <v>2.5</v>
      </c>
      <c r="G44" s="257"/>
      <c r="H44" s="338">
        <v>1.4</v>
      </c>
      <c r="I44" s="223"/>
      <c r="J44" s="256"/>
      <c r="K44" s="223"/>
    </row>
    <row r="45" spans="1:11" ht="9" customHeight="1" x14ac:dyDescent="0.2">
      <c r="A45" s="243"/>
      <c r="B45" s="239"/>
      <c r="C45" s="312">
        <f>(B46-B44)*1000</f>
        <v>19.999999999999794</v>
      </c>
      <c r="D45" s="308"/>
      <c r="E45" s="223">
        <f>((D44+D46)/2)*C45+(1.4*6.7)</f>
        <v>61.379999999999455</v>
      </c>
      <c r="F45" s="256"/>
      <c r="G45" s="257">
        <f>((F44+F46)/2)*C45</f>
        <v>39.999999999999588</v>
      </c>
      <c r="H45" s="333"/>
      <c r="I45" s="272">
        <f>H46*6.7</f>
        <v>9.379999999999999</v>
      </c>
      <c r="J45" s="256"/>
      <c r="K45" s="223">
        <f>4.5*0.5</f>
        <v>2.25</v>
      </c>
    </row>
    <row r="46" spans="1:11" ht="9" customHeight="1" x14ac:dyDescent="0.2">
      <c r="A46" s="243">
        <v>67</v>
      </c>
      <c r="B46" s="239">
        <v>1.3238399999999999</v>
      </c>
      <c r="C46" s="312"/>
      <c r="D46" s="308">
        <v>2.4</v>
      </c>
      <c r="E46" s="273"/>
      <c r="F46" s="256">
        <v>1.5</v>
      </c>
      <c r="G46" s="257"/>
      <c r="H46" s="338">
        <v>1.4</v>
      </c>
      <c r="I46" s="273"/>
      <c r="J46" s="256">
        <v>0.7</v>
      </c>
      <c r="K46" s="223"/>
    </row>
    <row r="47" spans="1:11" ht="9" customHeight="1" x14ac:dyDescent="0.2">
      <c r="A47" s="243"/>
      <c r="B47" s="239"/>
      <c r="C47" s="312">
        <f>(B48-B46)*1000</f>
        <v>20.000000000000018</v>
      </c>
      <c r="D47" s="308"/>
      <c r="E47" s="223">
        <f>((D46+D48)/2)*C47+(1.4*5.5)</f>
        <v>49.700000000000045</v>
      </c>
      <c r="F47" s="256"/>
      <c r="G47" s="257">
        <f>((F46+F48)/2)*C47</f>
        <v>23.000000000000018</v>
      </c>
      <c r="H47" s="333"/>
      <c r="I47" s="272">
        <f>H48*5.5</f>
        <v>7.6999999999999993</v>
      </c>
      <c r="J47" s="256"/>
      <c r="K47" s="223">
        <f>J46*6.3+6*0.5</f>
        <v>7.4099999999999993</v>
      </c>
    </row>
    <row r="48" spans="1:11" ht="9" customHeight="1" x14ac:dyDescent="0.2">
      <c r="A48" s="243">
        <v>68</v>
      </c>
      <c r="B48" s="239">
        <v>1.3438399999999999</v>
      </c>
      <c r="C48" s="312"/>
      <c r="D48" s="308">
        <v>1.8</v>
      </c>
      <c r="E48" s="273"/>
      <c r="F48" s="256">
        <v>0.8</v>
      </c>
      <c r="G48" s="257"/>
      <c r="H48" s="338">
        <v>1.4</v>
      </c>
      <c r="I48" s="273"/>
      <c r="J48" s="256"/>
      <c r="K48" s="223"/>
    </row>
    <row r="49" spans="1:11" ht="9" customHeight="1" thickBot="1" x14ac:dyDescent="0.25">
      <c r="A49" s="243"/>
      <c r="B49" s="239"/>
      <c r="C49" s="310">
        <v>15.77</v>
      </c>
      <c r="D49" s="308"/>
      <c r="E49" s="313">
        <f>((D48+D50)/2)*C49</f>
        <v>28.385999999999999</v>
      </c>
      <c r="F49" s="256"/>
      <c r="G49" s="223">
        <f>((F48+F50)/2)*E49</f>
        <v>22.7088</v>
      </c>
      <c r="H49" s="340"/>
      <c r="I49" s="223">
        <f>H50*6</f>
        <v>36.480000000000004</v>
      </c>
      <c r="J49" s="256"/>
      <c r="K49" s="223">
        <f>38.5*0.5</f>
        <v>19.25</v>
      </c>
    </row>
    <row r="50" spans="1:11" ht="9" customHeight="1" thickBot="1" x14ac:dyDescent="0.25">
      <c r="A50" s="243" t="s">
        <v>116</v>
      </c>
      <c r="B50" s="239">
        <f>B48+0.01577</f>
        <v>1.35961</v>
      </c>
      <c r="C50" s="311"/>
      <c r="D50" s="308">
        <v>1.8</v>
      </c>
      <c r="E50" s="313"/>
      <c r="F50" s="256">
        <v>0.8</v>
      </c>
      <c r="G50" s="223"/>
      <c r="H50" s="373">
        <v>6.08</v>
      </c>
      <c r="I50" s="223"/>
      <c r="J50" s="317"/>
      <c r="K50" s="223"/>
    </row>
    <row r="51" spans="1:11" ht="9" customHeight="1" thickBot="1" x14ac:dyDescent="0.25">
      <c r="A51" s="244"/>
      <c r="B51" s="245"/>
      <c r="C51" s="101"/>
      <c r="D51" s="309"/>
      <c r="E51" s="112"/>
      <c r="F51" s="268"/>
      <c r="G51" s="112"/>
      <c r="H51" s="374"/>
      <c r="I51" s="112"/>
      <c r="J51" s="318"/>
      <c r="K51" s="146"/>
    </row>
    <row r="52" spans="1:11" ht="13.5" thickBot="1" x14ac:dyDescent="0.25">
      <c r="A52" s="1"/>
      <c r="B52" s="4"/>
    </row>
    <row r="53" spans="1:11" ht="13.5" thickBot="1" x14ac:dyDescent="0.25">
      <c r="A53" s="1"/>
      <c r="B53" s="4"/>
      <c r="C53" s="12" t="s">
        <v>14</v>
      </c>
      <c r="D53" s="13"/>
      <c r="E53" s="19">
        <f>SUM(E7:E50)</f>
        <v>1197.0325000000003</v>
      </c>
      <c r="F53" s="20"/>
      <c r="G53" s="19">
        <f>SUM(G7:G50)</f>
        <v>868.90029999999967</v>
      </c>
      <c r="H53" s="20"/>
      <c r="I53" s="157">
        <f>SUM(I7:I50)</f>
        <v>377.16000000000008</v>
      </c>
      <c r="K53" s="157">
        <f>SUM(K7:K50)</f>
        <v>85.8</v>
      </c>
    </row>
    <row r="54" spans="1:11" s="4" customFormat="1" x14ac:dyDescent="0.2">
      <c r="A54" s="1"/>
      <c r="C54" s="17"/>
      <c r="D54" s="13"/>
      <c r="E54" s="72"/>
      <c r="F54" s="84"/>
      <c r="G54" s="72"/>
      <c r="H54" s="84"/>
      <c r="I54" s="72"/>
      <c r="K54" s="72"/>
    </row>
    <row r="55" spans="1:11" s="85" customFormat="1" ht="28.5" customHeight="1" thickBot="1" x14ac:dyDescent="0.25">
      <c r="A55" s="305" t="s">
        <v>123</v>
      </c>
      <c r="B55" s="306"/>
      <c r="C55" s="306"/>
      <c r="D55" s="306"/>
      <c r="E55" s="306"/>
      <c r="F55" s="306"/>
      <c r="G55" s="306"/>
      <c r="H55" s="306"/>
      <c r="I55" s="306"/>
      <c r="J55" s="306"/>
      <c r="K55" s="306"/>
    </row>
    <row r="56" spans="1:11" x14ac:dyDescent="0.2">
      <c r="A56" s="213" t="s">
        <v>38</v>
      </c>
      <c r="B56" s="225"/>
      <c r="C56" s="225"/>
      <c r="D56" s="277"/>
      <c r="E56" s="277"/>
      <c r="F56" s="277"/>
      <c r="G56" s="277"/>
      <c r="H56" s="277"/>
      <c r="I56" s="278"/>
    </row>
    <row r="57" spans="1:11" x14ac:dyDescent="0.2">
      <c r="A57" s="226"/>
      <c r="B57" s="227"/>
      <c r="C57" s="227"/>
      <c r="D57" s="279"/>
      <c r="E57" s="279"/>
      <c r="F57" s="279"/>
      <c r="G57" s="279"/>
      <c r="H57" s="279"/>
      <c r="I57" s="280"/>
    </row>
    <row r="58" spans="1:11" ht="13.5" thickBot="1" x14ac:dyDescent="0.25">
      <c r="A58" s="228" t="s">
        <v>145</v>
      </c>
      <c r="B58" s="281"/>
      <c r="C58" s="281"/>
      <c r="D58" s="281"/>
      <c r="E58" s="281"/>
      <c r="F58" s="135"/>
      <c r="G58" s="135"/>
      <c r="H58" s="136">
        <f>4720-1100+83</f>
        <v>3703</v>
      </c>
      <c r="I58" s="125" t="s">
        <v>34</v>
      </c>
    </row>
    <row r="59" spans="1:11" ht="13.5" thickBot="1" x14ac:dyDescent="0.25">
      <c r="B59" s="16"/>
      <c r="F59" s="13"/>
      <c r="G59" s="13"/>
      <c r="H59" s="13"/>
      <c r="I59" s="13"/>
    </row>
    <row r="60" spans="1:11" x14ac:dyDescent="0.2">
      <c r="A60" s="213" t="s">
        <v>189</v>
      </c>
      <c r="B60" s="225"/>
      <c r="C60" s="225"/>
      <c r="D60" s="277"/>
      <c r="E60" s="277"/>
      <c r="F60" s="277"/>
      <c r="G60" s="277"/>
      <c r="H60" s="277"/>
      <c r="I60" s="278"/>
    </row>
    <row r="61" spans="1:11" x14ac:dyDescent="0.2">
      <c r="A61" s="226"/>
      <c r="B61" s="227"/>
      <c r="C61" s="227"/>
      <c r="D61" s="279"/>
      <c r="E61" s="279"/>
      <c r="F61" s="279"/>
      <c r="G61" s="279"/>
      <c r="H61" s="279"/>
      <c r="I61" s="280"/>
    </row>
    <row r="62" spans="1:11" ht="13.5" thickBot="1" x14ac:dyDescent="0.25">
      <c r="A62" s="228" t="s">
        <v>190</v>
      </c>
      <c r="B62" s="281"/>
      <c r="C62" s="281"/>
      <c r="D62" s="281"/>
      <c r="E62" s="281"/>
      <c r="F62" s="281"/>
      <c r="G62" s="281"/>
      <c r="H62" s="178">
        <f>1830+415-173+960-13</f>
        <v>3019</v>
      </c>
      <c r="I62" s="125" t="s">
        <v>34</v>
      </c>
    </row>
    <row r="63" spans="1:11" ht="13.5" thickBot="1" x14ac:dyDescent="0.25"/>
    <row r="64" spans="1:11" x14ac:dyDescent="0.2">
      <c r="A64" s="213" t="s">
        <v>35</v>
      </c>
      <c r="B64" s="225"/>
      <c r="C64" s="225"/>
      <c r="D64" s="277"/>
      <c r="E64" s="277"/>
      <c r="F64" s="277"/>
      <c r="G64" s="277"/>
      <c r="H64" s="277"/>
      <c r="I64" s="278"/>
    </row>
    <row r="65" spans="1:9" x14ac:dyDescent="0.2">
      <c r="A65" s="226"/>
      <c r="B65" s="227"/>
      <c r="C65" s="227"/>
      <c r="D65" s="279"/>
      <c r="E65" s="279"/>
      <c r="F65" s="279"/>
      <c r="G65" s="279"/>
      <c r="H65" s="279"/>
      <c r="I65" s="280"/>
    </row>
    <row r="66" spans="1:9" x14ac:dyDescent="0.2">
      <c r="A66" s="292" t="s">
        <v>191</v>
      </c>
      <c r="B66" s="293"/>
      <c r="C66" s="293"/>
      <c r="D66" s="293"/>
      <c r="E66" s="293"/>
      <c r="F66" s="293"/>
      <c r="G66" s="293"/>
      <c r="H66" s="47">
        <f>4720-3210</f>
        <v>1510</v>
      </c>
      <c r="I66" s="126" t="s">
        <v>34</v>
      </c>
    </row>
    <row r="67" spans="1:9" ht="13.5" thickBot="1" x14ac:dyDescent="0.25">
      <c r="A67" s="187"/>
      <c r="B67" s="188"/>
      <c r="C67" s="188"/>
      <c r="D67" s="120"/>
      <c r="E67" s="120"/>
      <c r="F67" s="120"/>
      <c r="G67" s="120"/>
      <c r="H67" s="119"/>
      <c r="I67" s="134"/>
    </row>
    <row r="68" spans="1:9" ht="13.5" thickBot="1" x14ac:dyDescent="0.25"/>
    <row r="69" spans="1:9" x14ac:dyDescent="0.2">
      <c r="A69" s="213" t="s">
        <v>124</v>
      </c>
      <c r="B69" s="225"/>
      <c r="C69" s="225"/>
      <c r="D69" s="277"/>
      <c r="E69" s="277"/>
      <c r="F69" s="277"/>
      <c r="G69" s="277"/>
      <c r="H69" s="277"/>
      <c r="I69" s="278"/>
    </row>
    <row r="70" spans="1:9" x14ac:dyDescent="0.2">
      <c r="A70" s="226"/>
      <c r="B70" s="227"/>
      <c r="C70" s="227"/>
      <c r="D70" s="279"/>
      <c r="E70" s="279"/>
      <c r="F70" s="279"/>
      <c r="G70" s="279"/>
      <c r="H70" s="279"/>
      <c r="I70" s="280"/>
    </row>
    <row r="71" spans="1:9" x14ac:dyDescent="0.2">
      <c r="A71" s="297" t="s">
        <v>151</v>
      </c>
      <c r="B71" s="298"/>
      <c r="C71" s="298"/>
      <c r="D71" s="298"/>
      <c r="E71" s="298"/>
      <c r="F71" s="298"/>
      <c r="G71" s="298"/>
      <c r="H71" s="299"/>
      <c r="I71" s="300"/>
    </row>
    <row r="72" spans="1:9" x14ac:dyDescent="0.2">
      <c r="A72" s="301"/>
      <c r="B72" s="302"/>
      <c r="C72" s="302"/>
      <c r="D72" s="302"/>
      <c r="E72" s="302"/>
      <c r="F72" s="302"/>
      <c r="G72" s="302"/>
      <c r="H72" s="303"/>
      <c r="I72" s="304"/>
    </row>
    <row r="73" spans="1:9" x14ac:dyDescent="0.2">
      <c r="A73" s="301"/>
      <c r="B73" s="302"/>
      <c r="C73" s="302"/>
      <c r="D73" s="302"/>
      <c r="E73" s="302"/>
      <c r="F73" s="302"/>
      <c r="G73" s="302"/>
      <c r="H73" s="303"/>
      <c r="I73" s="304"/>
    </row>
    <row r="74" spans="1:9" x14ac:dyDescent="0.2">
      <c r="A74" s="107" t="s">
        <v>149</v>
      </c>
      <c r="B74" s="88"/>
      <c r="C74" s="88"/>
      <c r="D74" s="88"/>
      <c r="E74" s="88"/>
      <c r="F74" s="88"/>
      <c r="G74" s="88"/>
      <c r="H74" s="45">
        <f>5.2*6</f>
        <v>31.200000000000003</v>
      </c>
      <c r="I74" s="106" t="s">
        <v>15</v>
      </c>
    </row>
    <row r="75" spans="1:9" x14ac:dyDescent="0.2">
      <c r="A75" s="107" t="s">
        <v>150</v>
      </c>
      <c r="B75" s="88"/>
      <c r="C75" s="88"/>
      <c r="D75" s="88"/>
      <c r="E75" s="88"/>
      <c r="F75" s="88"/>
      <c r="G75" s="88"/>
      <c r="H75" s="98">
        <v>40</v>
      </c>
      <c r="I75" s="106" t="s">
        <v>34</v>
      </c>
    </row>
    <row r="76" spans="1:9" ht="13.5" thickBot="1" x14ac:dyDescent="0.25">
      <c r="A76" s="118" t="s">
        <v>156</v>
      </c>
      <c r="B76" s="179"/>
      <c r="C76" s="179"/>
      <c r="D76" s="179"/>
      <c r="E76" s="179"/>
      <c r="F76" s="179"/>
      <c r="G76" s="179"/>
      <c r="H76" s="180">
        <v>40</v>
      </c>
      <c r="I76" s="114" t="s">
        <v>34</v>
      </c>
    </row>
    <row r="77" spans="1:9" ht="13.5" thickBot="1" x14ac:dyDescent="0.25"/>
    <row r="78" spans="1:9" x14ac:dyDescent="0.2">
      <c r="A78" s="213" t="s">
        <v>160</v>
      </c>
      <c r="B78" s="225"/>
      <c r="C78" s="225"/>
      <c r="D78" s="277"/>
      <c r="E78" s="277"/>
      <c r="F78" s="277"/>
      <c r="G78" s="277"/>
      <c r="H78" s="277"/>
      <c r="I78" s="278"/>
    </row>
    <row r="79" spans="1:9" x14ac:dyDescent="0.2">
      <c r="A79" s="226"/>
      <c r="B79" s="227"/>
      <c r="C79" s="227"/>
      <c r="D79" s="279"/>
      <c r="E79" s="279"/>
      <c r="F79" s="279"/>
      <c r="G79" s="279"/>
      <c r="H79" s="279"/>
      <c r="I79" s="280"/>
    </row>
    <row r="80" spans="1:9" x14ac:dyDescent="0.2">
      <c r="A80" s="307" t="s">
        <v>152</v>
      </c>
      <c r="B80" s="291"/>
      <c r="C80" s="291"/>
      <c r="D80" s="291"/>
      <c r="E80" s="291"/>
      <c r="F80" s="291"/>
      <c r="G80" s="291"/>
      <c r="H80" s="97">
        <v>1</v>
      </c>
      <c r="I80" s="90" t="s">
        <v>10</v>
      </c>
    </row>
    <row r="81" spans="1:9" x14ac:dyDescent="0.2">
      <c r="A81" s="42" t="s">
        <v>153</v>
      </c>
      <c r="B81" s="3"/>
      <c r="C81" s="3"/>
      <c r="D81" s="3"/>
      <c r="E81" s="3"/>
      <c r="F81" s="3"/>
      <c r="G81" s="3"/>
      <c r="H81" s="91">
        <v>1</v>
      </c>
      <c r="I81" s="68" t="s">
        <v>10</v>
      </c>
    </row>
    <row r="82" spans="1:9" x14ac:dyDescent="0.2">
      <c r="A82" s="42" t="s">
        <v>202</v>
      </c>
      <c r="B82" s="3"/>
      <c r="C82" s="3"/>
      <c r="D82" s="3"/>
      <c r="E82" s="3"/>
      <c r="F82" s="3"/>
      <c r="G82" s="3"/>
      <c r="H82" s="91">
        <v>2</v>
      </c>
      <c r="I82" s="59" t="s">
        <v>10</v>
      </c>
    </row>
    <row r="83" spans="1:9" x14ac:dyDescent="0.2">
      <c r="A83" s="67" t="s">
        <v>203</v>
      </c>
      <c r="B83" s="89"/>
      <c r="C83" s="3"/>
      <c r="D83" s="3"/>
      <c r="E83" s="3"/>
      <c r="F83" s="3"/>
      <c r="G83" s="3"/>
      <c r="H83" s="91">
        <f>3*1.6*0.7</f>
        <v>3.3600000000000003</v>
      </c>
      <c r="I83" s="59" t="s">
        <v>15</v>
      </c>
    </row>
    <row r="84" spans="1:9" x14ac:dyDescent="0.2">
      <c r="A84" s="42" t="s">
        <v>128</v>
      </c>
      <c r="B84" s="3"/>
      <c r="C84" s="34" t="s">
        <v>154</v>
      </c>
      <c r="D84" s="3"/>
      <c r="E84" s="3"/>
      <c r="F84" s="3"/>
      <c r="G84" s="3"/>
      <c r="H84" s="91">
        <f>0.4*0.8*4.8</f>
        <v>1.5360000000000003</v>
      </c>
      <c r="I84" s="59" t="s">
        <v>15</v>
      </c>
    </row>
    <row r="85" spans="1:9" x14ac:dyDescent="0.2">
      <c r="A85" s="42" t="s">
        <v>129</v>
      </c>
      <c r="B85" s="3"/>
      <c r="C85" s="34" t="s">
        <v>155</v>
      </c>
      <c r="D85" s="3"/>
      <c r="E85" s="3"/>
      <c r="F85" s="3"/>
      <c r="G85" s="3"/>
      <c r="H85" s="91">
        <f>0.4*1.6*0.7</f>
        <v>0.44800000000000006</v>
      </c>
      <c r="I85" s="59" t="s">
        <v>15</v>
      </c>
    </row>
    <row r="86" spans="1:9" x14ac:dyDescent="0.2">
      <c r="A86" s="42" t="s">
        <v>162</v>
      </c>
      <c r="B86" s="3"/>
      <c r="C86" s="34"/>
      <c r="D86" s="3"/>
      <c r="E86" s="3"/>
      <c r="F86" s="3"/>
      <c r="G86" s="3"/>
      <c r="H86" s="91">
        <v>2</v>
      </c>
      <c r="I86" s="59" t="s">
        <v>10</v>
      </c>
    </row>
    <row r="87" spans="1:9" x14ac:dyDescent="0.2">
      <c r="A87" s="42" t="s">
        <v>161</v>
      </c>
      <c r="B87" s="3"/>
      <c r="C87" s="34"/>
      <c r="D87" s="3"/>
      <c r="E87" s="3"/>
      <c r="F87" s="3"/>
      <c r="G87" s="3"/>
      <c r="H87" s="91">
        <v>1</v>
      </c>
      <c r="I87" s="59" t="s">
        <v>10</v>
      </c>
    </row>
    <row r="88" spans="1:9" x14ac:dyDescent="0.2">
      <c r="A88" s="43" t="s">
        <v>163</v>
      </c>
      <c r="B88" s="41"/>
      <c r="C88" s="70"/>
      <c r="D88" s="41"/>
      <c r="E88" s="41"/>
      <c r="F88" s="41"/>
      <c r="G88" s="41"/>
      <c r="H88" s="92">
        <v>1</v>
      </c>
      <c r="I88" s="60" t="s">
        <v>10</v>
      </c>
    </row>
    <row r="89" spans="1:9" ht="13.5" thickBot="1" x14ac:dyDescent="0.25">
      <c r="A89" s="34"/>
      <c r="B89" s="3"/>
      <c r="C89" s="34"/>
      <c r="D89" s="3"/>
      <c r="E89" s="3"/>
      <c r="F89" s="3"/>
      <c r="G89" s="3"/>
      <c r="H89" s="61"/>
      <c r="I89" s="8"/>
    </row>
    <row r="90" spans="1:9" x14ac:dyDescent="0.2">
      <c r="A90" s="213" t="s">
        <v>130</v>
      </c>
      <c r="B90" s="225"/>
      <c r="C90" s="225"/>
      <c r="D90" s="277"/>
      <c r="E90" s="277"/>
      <c r="F90" s="277"/>
      <c r="G90" s="277"/>
      <c r="H90" s="277"/>
      <c r="I90" s="278"/>
    </row>
    <row r="91" spans="1:9" x14ac:dyDescent="0.2">
      <c r="A91" s="226"/>
      <c r="B91" s="227"/>
      <c r="C91" s="227"/>
      <c r="D91" s="279"/>
      <c r="E91" s="279"/>
      <c r="F91" s="279"/>
      <c r="G91" s="279"/>
      <c r="H91" s="279"/>
      <c r="I91" s="280"/>
    </row>
    <row r="92" spans="1:9" x14ac:dyDescent="0.2">
      <c r="A92" s="255" t="s">
        <v>131</v>
      </c>
      <c r="B92" s="291"/>
      <c r="C92" s="291"/>
      <c r="D92" s="291"/>
      <c r="E92" s="291"/>
      <c r="F92" s="291"/>
      <c r="G92" s="291"/>
      <c r="H92" s="95">
        <v>70</v>
      </c>
      <c r="I92" s="104" t="s">
        <v>34</v>
      </c>
    </row>
    <row r="93" spans="1:9" x14ac:dyDescent="0.2">
      <c r="A93" s="107" t="s">
        <v>141</v>
      </c>
      <c r="B93" s="3"/>
      <c r="C93" s="34"/>
      <c r="D93" s="3"/>
      <c r="E93" s="3"/>
      <c r="F93" s="3"/>
      <c r="G93" s="3"/>
      <c r="H93" s="91">
        <v>5</v>
      </c>
      <c r="I93" s="106" t="s">
        <v>15</v>
      </c>
    </row>
    <row r="94" spans="1:9" ht="13.5" thickBot="1" x14ac:dyDescent="0.25">
      <c r="A94" s="118" t="s">
        <v>144</v>
      </c>
      <c r="B94" s="112"/>
      <c r="C94" s="111"/>
      <c r="D94" s="112"/>
      <c r="E94" s="112"/>
      <c r="F94" s="112"/>
      <c r="G94" s="112"/>
      <c r="H94" s="181">
        <v>0.5</v>
      </c>
      <c r="I94" s="114" t="s">
        <v>15</v>
      </c>
    </row>
    <row r="95" spans="1:9" ht="13.5" thickBot="1" x14ac:dyDescent="0.25">
      <c r="H95" s="93"/>
    </row>
    <row r="96" spans="1:9" x14ac:dyDescent="0.2">
      <c r="A96" s="213" t="s">
        <v>125</v>
      </c>
      <c r="B96" s="225"/>
      <c r="C96" s="225"/>
      <c r="D96" s="277"/>
      <c r="E96" s="277"/>
      <c r="F96" s="277"/>
      <c r="G96" s="277"/>
      <c r="H96" s="277"/>
      <c r="I96" s="278"/>
    </row>
    <row r="97" spans="1:9" x14ac:dyDescent="0.2">
      <c r="A97" s="315"/>
      <c r="B97" s="316"/>
      <c r="C97" s="316"/>
      <c r="D97" s="284"/>
      <c r="E97" s="284"/>
      <c r="F97" s="284"/>
      <c r="G97" s="284"/>
      <c r="H97" s="284"/>
      <c r="I97" s="285"/>
    </row>
    <row r="98" spans="1:9" x14ac:dyDescent="0.2">
      <c r="A98" s="103" t="s">
        <v>133</v>
      </c>
      <c r="B98" s="39"/>
      <c r="C98" s="39"/>
      <c r="D98" s="39"/>
      <c r="E98" s="39"/>
      <c r="F98" s="39"/>
      <c r="G98" s="39"/>
      <c r="H98" s="96">
        <f>0.4*1*11.5</f>
        <v>4.6000000000000005</v>
      </c>
      <c r="I98" s="182" t="s">
        <v>15</v>
      </c>
    </row>
    <row r="99" spans="1:9" x14ac:dyDescent="0.2">
      <c r="A99" s="107" t="s">
        <v>134</v>
      </c>
      <c r="B99" s="3"/>
      <c r="C99" s="3"/>
      <c r="D99" s="3"/>
      <c r="E99" s="3"/>
      <c r="F99" s="3"/>
      <c r="G99" s="3"/>
      <c r="H99" s="45">
        <v>28</v>
      </c>
      <c r="I99" s="183" t="s">
        <v>34</v>
      </c>
    </row>
    <row r="100" spans="1:9" ht="13.5" thickBot="1" x14ac:dyDescent="0.25">
      <c r="A100" s="118" t="s">
        <v>135</v>
      </c>
      <c r="B100" s="112"/>
      <c r="C100" s="112"/>
      <c r="D100" s="112"/>
      <c r="E100" s="112"/>
      <c r="F100" s="112"/>
      <c r="G100" s="112"/>
      <c r="H100" s="162">
        <v>28</v>
      </c>
      <c r="I100" s="184" t="s">
        <v>34</v>
      </c>
    </row>
    <row r="101" spans="1:9" ht="13.5" thickBot="1" x14ac:dyDescent="0.25"/>
    <row r="102" spans="1:9" x14ac:dyDescent="0.2">
      <c r="A102" s="213" t="s">
        <v>227</v>
      </c>
      <c r="B102" s="214"/>
      <c r="C102" s="214"/>
      <c r="D102" s="214"/>
      <c r="E102" s="214"/>
      <c r="F102" s="214"/>
      <c r="G102" s="214"/>
      <c r="H102" s="214"/>
      <c r="I102" s="215"/>
    </row>
    <row r="103" spans="1:9" x14ac:dyDescent="0.2">
      <c r="A103" s="216"/>
      <c r="B103" s="217"/>
      <c r="C103" s="217"/>
      <c r="D103" s="217"/>
      <c r="E103" s="217"/>
      <c r="F103" s="217"/>
      <c r="G103" s="217"/>
      <c r="H103" s="217"/>
      <c r="I103" s="218"/>
    </row>
    <row r="104" spans="1:9" x14ac:dyDescent="0.2">
      <c r="A104" s="219" t="s">
        <v>228</v>
      </c>
      <c r="B104" s="220"/>
      <c r="C104" s="220"/>
      <c r="D104" s="221"/>
      <c r="E104" s="221"/>
      <c r="F104" s="221"/>
      <c r="G104" s="221"/>
      <c r="H104" s="221"/>
      <c r="I104" s="222"/>
    </row>
    <row r="105" spans="1:9" ht="13.5" thickBot="1" x14ac:dyDescent="0.25">
      <c r="A105" s="139" t="s">
        <v>229</v>
      </c>
      <c r="B105" s="142"/>
      <c r="C105" s="111"/>
      <c r="D105" s="142"/>
      <c r="E105" s="121" t="s">
        <v>231</v>
      </c>
      <c r="F105" s="142"/>
      <c r="G105" s="142"/>
      <c r="H105" s="181">
        <f>157.5*0.8</f>
        <v>126</v>
      </c>
      <c r="I105" s="114" t="s">
        <v>15</v>
      </c>
    </row>
  </sheetData>
  <mergeCells count="279">
    <mergeCell ref="A102:I103"/>
    <mergeCell ref="A104:I104"/>
    <mergeCell ref="K5:K6"/>
    <mergeCell ref="E5:E6"/>
    <mergeCell ref="F4:F5"/>
    <mergeCell ref="G5:G6"/>
    <mergeCell ref="H4:H5"/>
    <mergeCell ref="I5:I6"/>
    <mergeCell ref="J4:J5"/>
    <mergeCell ref="A6:A7"/>
    <mergeCell ref="B6:B7"/>
    <mergeCell ref="C5:C6"/>
    <mergeCell ref="D4:D5"/>
    <mergeCell ref="B4:B5"/>
    <mergeCell ref="C7:C8"/>
    <mergeCell ref="A8:A9"/>
    <mergeCell ref="B8:B9"/>
    <mergeCell ref="C9:C10"/>
    <mergeCell ref="A10:A11"/>
    <mergeCell ref="B10:B11"/>
    <mergeCell ref="C11:C12"/>
    <mergeCell ref="G11:G12"/>
    <mergeCell ref="I11:I12"/>
    <mergeCell ref="A12:A13"/>
    <mergeCell ref="B12:B13"/>
    <mergeCell ref="D12:D13"/>
    <mergeCell ref="J50:J51"/>
    <mergeCell ref="J40:J41"/>
    <mergeCell ref="J30:J31"/>
    <mergeCell ref="J20:J21"/>
    <mergeCell ref="J10:J11"/>
    <mergeCell ref="A4:A5"/>
    <mergeCell ref="K41:K42"/>
    <mergeCell ref="J42:J43"/>
    <mergeCell ref="K43:K44"/>
    <mergeCell ref="J44:J45"/>
    <mergeCell ref="K45:K46"/>
    <mergeCell ref="J46:J47"/>
    <mergeCell ref="K47:K48"/>
    <mergeCell ref="J48:J49"/>
    <mergeCell ref="K49:K50"/>
    <mergeCell ref="K31:K32"/>
    <mergeCell ref="J32:J33"/>
    <mergeCell ref="K33:K34"/>
    <mergeCell ref="J34:J35"/>
    <mergeCell ref="K35:K36"/>
    <mergeCell ref="J36:J37"/>
    <mergeCell ref="K37:K38"/>
    <mergeCell ref="J38:J39"/>
    <mergeCell ref="K39:K40"/>
    <mergeCell ref="K21:K22"/>
    <mergeCell ref="J22:J23"/>
    <mergeCell ref="K23:K24"/>
    <mergeCell ref="J24:J25"/>
    <mergeCell ref="K25:K26"/>
    <mergeCell ref="J26:J27"/>
    <mergeCell ref="K27:K28"/>
    <mergeCell ref="J28:J29"/>
    <mergeCell ref="K29:K30"/>
    <mergeCell ref="K11:K12"/>
    <mergeCell ref="J12:J13"/>
    <mergeCell ref="K13:K14"/>
    <mergeCell ref="J14:J15"/>
    <mergeCell ref="K15:K16"/>
    <mergeCell ref="J16:J17"/>
    <mergeCell ref="K17:K18"/>
    <mergeCell ref="J18:J19"/>
    <mergeCell ref="K19:K20"/>
    <mergeCell ref="A96:I97"/>
    <mergeCell ref="A18:A19"/>
    <mergeCell ref="B18:B19"/>
    <mergeCell ref="D18:D19"/>
    <mergeCell ref="F18:F19"/>
    <mergeCell ref="I17:I18"/>
    <mergeCell ref="E19:E20"/>
    <mergeCell ref="G19:G20"/>
    <mergeCell ref="I19:I20"/>
    <mergeCell ref="A16:A17"/>
    <mergeCell ref="A20:A21"/>
    <mergeCell ref="B20:B21"/>
    <mergeCell ref="D20:D21"/>
    <mergeCell ref="F20:F21"/>
    <mergeCell ref="H20:H21"/>
    <mergeCell ref="C21:C22"/>
    <mergeCell ref="E21:E22"/>
    <mergeCell ref="G21:G22"/>
    <mergeCell ref="I21:I22"/>
    <mergeCell ref="A22:A23"/>
    <mergeCell ref="B22:B23"/>
    <mergeCell ref="D22:D23"/>
    <mergeCell ref="F22:F23"/>
    <mergeCell ref="H22:H23"/>
    <mergeCell ref="J2:K2"/>
    <mergeCell ref="J6:J7"/>
    <mergeCell ref="K7:K8"/>
    <mergeCell ref="J8:J9"/>
    <mergeCell ref="K9:K10"/>
    <mergeCell ref="D2:E2"/>
    <mergeCell ref="F2:G2"/>
    <mergeCell ref="H2:I2"/>
    <mergeCell ref="I7:I8"/>
    <mergeCell ref="D8:D9"/>
    <mergeCell ref="D6:D7"/>
    <mergeCell ref="F6:F7"/>
    <mergeCell ref="H6:H7"/>
    <mergeCell ref="E7:E8"/>
    <mergeCell ref="G7:G8"/>
    <mergeCell ref="F8:F9"/>
    <mergeCell ref="H8:H9"/>
    <mergeCell ref="E9:E10"/>
    <mergeCell ref="G9:G10"/>
    <mergeCell ref="I9:I10"/>
    <mergeCell ref="D10:D11"/>
    <mergeCell ref="F10:F11"/>
    <mergeCell ref="H10:H11"/>
    <mergeCell ref="E11:E12"/>
    <mergeCell ref="F12:F13"/>
    <mergeCell ref="H12:H13"/>
    <mergeCell ref="C13:C14"/>
    <mergeCell ref="E13:E14"/>
    <mergeCell ref="G13:G14"/>
    <mergeCell ref="I13:I14"/>
    <mergeCell ref="A14:A15"/>
    <mergeCell ref="B14:B15"/>
    <mergeCell ref="D14:D15"/>
    <mergeCell ref="F14:F15"/>
    <mergeCell ref="H14:H15"/>
    <mergeCell ref="C15:C16"/>
    <mergeCell ref="E15:E16"/>
    <mergeCell ref="G15:G16"/>
    <mergeCell ref="I15:I16"/>
    <mergeCell ref="B16:B17"/>
    <mergeCell ref="D16:D17"/>
    <mergeCell ref="F16:F17"/>
    <mergeCell ref="H16:H17"/>
    <mergeCell ref="C17:C18"/>
    <mergeCell ref="E17:E18"/>
    <mergeCell ref="G17:G18"/>
    <mergeCell ref="H18:H19"/>
    <mergeCell ref="C19:C20"/>
    <mergeCell ref="C23:C24"/>
    <mergeCell ref="E23:E24"/>
    <mergeCell ref="G23:G24"/>
    <mergeCell ref="I23:I24"/>
    <mergeCell ref="A24:A25"/>
    <mergeCell ref="B24:B25"/>
    <mergeCell ref="D24:D25"/>
    <mergeCell ref="F24:F25"/>
    <mergeCell ref="H24:H25"/>
    <mergeCell ref="C25:C26"/>
    <mergeCell ref="E25:E26"/>
    <mergeCell ref="G25:G26"/>
    <mergeCell ref="I25:I26"/>
    <mergeCell ref="A26:A27"/>
    <mergeCell ref="B26:B27"/>
    <mergeCell ref="D26:D27"/>
    <mergeCell ref="F26:F27"/>
    <mergeCell ref="H26:H27"/>
    <mergeCell ref="C27:C28"/>
    <mergeCell ref="E27:E28"/>
    <mergeCell ref="G27:G28"/>
    <mergeCell ref="I27:I28"/>
    <mergeCell ref="A28:A29"/>
    <mergeCell ref="B28:B29"/>
    <mergeCell ref="D28:D29"/>
    <mergeCell ref="F28:F29"/>
    <mergeCell ref="H28:H29"/>
    <mergeCell ref="C29:C30"/>
    <mergeCell ref="E29:E30"/>
    <mergeCell ref="G29:G30"/>
    <mergeCell ref="I29:I30"/>
    <mergeCell ref="A30:A31"/>
    <mergeCell ref="B30:B31"/>
    <mergeCell ref="D30:D31"/>
    <mergeCell ref="F30:F31"/>
    <mergeCell ref="H30:H31"/>
    <mergeCell ref="C31:C32"/>
    <mergeCell ref="E31:E32"/>
    <mergeCell ref="G31:G32"/>
    <mergeCell ref="I31:I32"/>
    <mergeCell ref="A32:A33"/>
    <mergeCell ref="B32:B33"/>
    <mergeCell ref="D32:D33"/>
    <mergeCell ref="F32:F33"/>
    <mergeCell ref="H32:H33"/>
    <mergeCell ref="C33:C34"/>
    <mergeCell ref="E33:E34"/>
    <mergeCell ref="G33:G34"/>
    <mergeCell ref="I33:I34"/>
    <mergeCell ref="A34:A35"/>
    <mergeCell ref="B34:B35"/>
    <mergeCell ref="D34:D35"/>
    <mergeCell ref="F34:F35"/>
    <mergeCell ref="H34:H35"/>
    <mergeCell ref="C35:C36"/>
    <mergeCell ref="E35:E36"/>
    <mergeCell ref="G35:G36"/>
    <mergeCell ref="I35:I36"/>
    <mergeCell ref="A36:A37"/>
    <mergeCell ref="B36:B37"/>
    <mergeCell ref="D36:D37"/>
    <mergeCell ref="F36:F37"/>
    <mergeCell ref="H36:H37"/>
    <mergeCell ref="C37:C38"/>
    <mergeCell ref="E37:E38"/>
    <mergeCell ref="G37:G38"/>
    <mergeCell ref="I37:I38"/>
    <mergeCell ref="A38:A39"/>
    <mergeCell ref="B38:B39"/>
    <mergeCell ref="D38:D39"/>
    <mergeCell ref="F38:F39"/>
    <mergeCell ref="H38:H39"/>
    <mergeCell ref="I39:I40"/>
    <mergeCell ref="A40:A41"/>
    <mergeCell ref="B40:B41"/>
    <mergeCell ref="D40:D41"/>
    <mergeCell ref="F40:F41"/>
    <mergeCell ref="H40:H41"/>
    <mergeCell ref="C41:C42"/>
    <mergeCell ref="E41:E42"/>
    <mergeCell ref="G41:G42"/>
    <mergeCell ref="I41:I42"/>
    <mergeCell ref="A42:A43"/>
    <mergeCell ref="B42:B43"/>
    <mergeCell ref="D42:D43"/>
    <mergeCell ref="F42:F43"/>
    <mergeCell ref="H42:H43"/>
    <mergeCell ref="C43:C44"/>
    <mergeCell ref="E43:E44"/>
    <mergeCell ref="G43:G44"/>
    <mergeCell ref="I43:I44"/>
    <mergeCell ref="A44:A45"/>
    <mergeCell ref="B44:B45"/>
    <mergeCell ref="B48:B49"/>
    <mergeCell ref="D48:D49"/>
    <mergeCell ref="F48:F49"/>
    <mergeCell ref="H48:H49"/>
    <mergeCell ref="E49:E50"/>
    <mergeCell ref="G49:G50"/>
    <mergeCell ref="C39:C40"/>
    <mergeCell ref="E39:E40"/>
    <mergeCell ref="G39:G40"/>
    <mergeCell ref="I49:I50"/>
    <mergeCell ref="A50:A51"/>
    <mergeCell ref="B50:B51"/>
    <mergeCell ref="D50:D51"/>
    <mergeCell ref="F50:F51"/>
    <mergeCell ref="H50:H51"/>
    <mergeCell ref="C49:C50"/>
    <mergeCell ref="D44:D45"/>
    <mergeCell ref="F44:F45"/>
    <mergeCell ref="H44:H45"/>
    <mergeCell ref="C45:C46"/>
    <mergeCell ref="E45:E46"/>
    <mergeCell ref="G45:G46"/>
    <mergeCell ref="I45:I46"/>
    <mergeCell ref="A46:A47"/>
    <mergeCell ref="B46:B47"/>
    <mergeCell ref="D46:D47"/>
    <mergeCell ref="F46:F47"/>
    <mergeCell ref="H46:H47"/>
    <mergeCell ref="C47:C48"/>
    <mergeCell ref="E47:E48"/>
    <mergeCell ref="G47:G48"/>
    <mergeCell ref="I47:I48"/>
    <mergeCell ref="A48:A49"/>
    <mergeCell ref="A92:G92"/>
    <mergeCell ref="A60:I61"/>
    <mergeCell ref="A62:G62"/>
    <mergeCell ref="A71:I73"/>
    <mergeCell ref="A69:I70"/>
    <mergeCell ref="A55:K55"/>
    <mergeCell ref="A56:I57"/>
    <mergeCell ref="A58:E58"/>
    <mergeCell ref="A64:I65"/>
    <mergeCell ref="A66:G66"/>
    <mergeCell ref="A78:I79"/>
    <mergeCell ref="A80:G80"/>
    <mergeCell ref="A90:I91"/>
  </mergeCells>
  <pageMargins left="0.70866141732283472" right="0.70866141732283472" top="0.78740157480314965" bottom="0.78740157480314965" header="0.31496062992125984" footer="0.31496062992125984"/>
  <pageSetup paperSize="9" scale="85" orientation="portrait" horizontalDpi="200" verticalDpi="200" r:id="rId1"/>
  <rowBreaks count="1" manualBreakCount="1">
    <brk id="6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60" zoomScaleNormal="100" workbookViewId="0">
      <selection activeCell="J5" sqref="J5"/>
    </sheetView>
  </sheetViews>
  <sheetFormatPr defaultRowHeight="12.75" x14ac:dyDescent="0.2"/>
  <sheetData>
    <row r="2" spans="1:1" x14ac:dyDescent="0.2">
      <c r="A2" s="144" t="s">
        <v>180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topLeftCell="A22" zoomScale="115" zoomScaleNormal="100" zoomScaleSheetLayoutView="115" workbookViewId="0">
      <selection activeCell="A60" sqref="A60"/>
    </sheetView>
  </sheetViews>
  <sheetFormatPr defaultRowHeight="12.75" x14ac:dyDescent="0.2"/>
  <cols>
    <col min="3" max="3" width="10.28515625" customWidth="1"/>
    <col min="4" max="4" width="10.140625" customWidth="1"/>
    <col min="7" max="7" width="11.140625" customWidth="1"/>
    <col min="8" max="8" width="10" customWidth="1"/>
  </cols>
  <sheetData>
    <row r="1" spans="1:13" x14ac:dyDescent="0.2">
      <c r="A1" s="144" t="s">
        <v>180</v>
      </c>
    </row>
    <row r="2" spans="1:13" ht="45" customHeight="1" thickBot="1" x14ac:dyDescent="0.3">
      <c r="A2" s="325" t="s">
        <v>52</v>
      </c>
      <c r="B2" s="326"/>
      <c r="C2" s="326"/>
      <c r="D2" s="326"/>
      <c r="E2" s="326"/>
      <c r="F2" s="326"/>
      <c r="G2" s="326"/>
      <c r="H2" s="326"/>
      <c r="I2" s="326"/>
    </row>
    <row r="3" spans="1:13" s="4" customFormat="1" ht="53.25" customHeight="1" thickBot="1" x14ac:dyDescent="0.25">
      <c r="A3" s="53" t="s">
        <v>8</v>
      </c>
      <c r="B3" s="54" t="s">
        <v>7</v>
      </c>
      <c r="C3" s="55" t="s">
        <v>6</v>
      </c>
      <c r="D3" s="269" t="s">
        <v>9</v>
      </c>
      <c r="E3" s="270" t="s">
        <v>2</v>
      </c>
      <c r="F3" s="314" t="s">
        <v>11</v>
      </c>
      <c r="G3" s="270"/>
      <c r="H3" s="327"/>
      <c r="I3" s="327"/>
      <c r="J3" s="327"/>
      <c r="K3" s="327"/>
      <c r="L3" s="327"/>
      <c r="M3" s="327"/>
    </row>
    <row r="4" spans="1:13" s="4" customFormat="1" ht="21" customHeight="1" thickBot="1" x14ac:dyDescent="0.25">
      <c r="A4" s="56"/>
      <c r="B4" s="57" t="s">
        <v>0</v>
      </c>
      <c r="C4" s="185" t="s">
        <v>1</v>
      </c>
      <c r="D4" s="56" t="s">
        <v>5</v>
      </c>
      <c r="E4" s="58" t="s">
        <v>4</v>
      </c>
      <c r="F4" s="100" t="s">
        <v>5</v>
      </c>
      <c r="G4" s="58" t="s">
        <v>4</v>
      </c>
      <c r="H4" s="49"/>
      <c r="I4" s="49"/>
      <c r="J4" s="49"/>
      <c r="K4" s="49"/>
      <c r="L4" s="49"/>
      <c r="M4" s="49"/>
    </row>
    <row r="5" spans="1:13" s="4" customFormat="1" ht="9" customHeight="1" x14ac:dyDescent="0.2">
      <c r="A5" s="248">
        <v>1</v>
      </c>
      <c r="B5" s="249">
        <v>0</v>
      </c>
      <c r="C5" s="186"/>
      <c r="D5" s="332">
        <v>0</v>
      </c>
      <c r="E5" s="29"/>
      <c r="F5" s="334">
        <v>0</v>
      </c>
      <c r="G5" s="28"/>
      <c r="H5" s="31"/>
      <c r="I5" s="32"/>
      <c r="J5" s="2"/>
      <c r="K5" s="2"/>
      <c r="L5" s="2"/>
      <c r="M5" s="2"/>
    </row>
    <row r="6" spans="1:13" s="4" customFormat="1" ht="9" customHeight="1" x14ac:dyDescent="0.2">
      <c r="A6" s="243"/>
      <c r="B6" s="239"/>
      <c r="C6" s="328">
        <f>(B7-B5)*1000</f>
        <v>20</v>
      </c>
      <c r="D6" s="333"/>
      <c r="E6" s="272">
        <f>D7*13</f>
        <v>308.09999999999997</v>
      </c>
      <c r="F6" s="335"/>
      <c r="G6" s="336">
        <f>F7*13</f>
        <v>3.9</v>
      </c>
      <c r="H6" s="31"/>
      <c r="I6" s="32"/>
      <c r="J6" s="2"/>
      <c r="K6" s="2"/>
      <c r="L6" s="2"/>
      <c r="M6" s="2"/>
    </row>
    <row r="7" spans="1:13" s="4" customFormat="1" ht="9" customHeight="1" x14ac:dyDescent="0.2">
      <c r="A7" s="243">
        <v>2</v>
      </c>
      <c r="B7" s="239">
        <v>0.02</v>
      </c>
      <c r="C7" s="329"/>
      <c r="D7" s="338">
        <v>23.7</v>
      </c>
      <c r="E7" s="273"/>
      <c r="F7" s="339">
        <v>0.3</v>
      </c>
      <c r="G7" s="337"/>
      <c r="H7" s="330"/>
      <c r="I7" s="32"/>
      <c r="J7" s="2"/>
      <c r="K7" s="2"/>
      <c r="L7" s="2"/>
      <c r="M7" s="2"/>
    </row>
    <row r="8" spans="1:13" s="4" customFormat="1" ht="9" customHeight="1" x14ac:dyDescent="0.2">
      <c r="A8" s="243"/>
      <c r="B8" s="239"/>
      <c r="C8" s="328">
        <f>(B9-B7)*1000</f>
        <v>20</v>
      </c>
      <c r="D8" s="333"/>
      <c r="E8" s="272">
        <f>((D7+D9)/2)*C8</f>
        <v>484</v>
      </c>
      <c r="F8" s="335"/>
      <c r="G8" s="336">
        <f>((F7+F9)/2)*C8</f>
        <v>7</v>
      </c>
      <c r="H8" s="330"/>
      <c r="I8" s="331"/>
      <c r="J8" s="2"/>
      <c r="K8" s="2"/>
      <c r="L8" s="2"/>
      <c r="M8" s="2"/>
    </row>
    <row r="9" spans="1:13" s="4" customFormat="1" ht="9" customHeight="1" x14ac:dyDescent="0.2">
      <c r="A9" s="243">
        <v>3</v>
      </c>
      <c r="B9" s="239">
        <v>0.04</v>
      </c>
      <c r="C9" s="329"/>
      <c r="D9" s="338">
        <v>24.7</v>
      </c>
      <c r="E9" s="273"/>
      <c r="F9" s="339">
        <v>0.4</v>
      </c>
      <c r="G9" s="337"/>
      <c r="H9" s="330"/>
      <c r="I9" s="331"/>
      <c r="J9" s="2"/>
      <c r="K9" s="2"/>
      <c r="L9" s="2"/>
      <c r="M9" s="2"/>
    </row>
    <row r="10" spans="1:13" s="4" customFormat="1" ht="9" customHeight="1" x14ac:dyDescent="0.2">
      <c r="A10" s="243"/>
      <c r="B10" s="239"/>
      <c r="C10" s="328">
        <f>(B11-B9)*1000</f>
        <v>19.999999999999996</v>
      </c>
      <c r="D10" s="333"/>
      <c r="E10" s="272">
        <f>((D9+D11)/2)*C10</f>
        <v>559.99999999999989</v>
      </c>
      <c r="F10" s="335"/>
      <c r="G10" s="336">
        <f>((F9+F11)/2)*C10</f>
        <v>4.9999999999999991</v>
      </c>
      <c r="H10" s="330"/>
      <c r="I10" s="331"/>
      <c r="J10" s="2"/>
      <c r="K10" s="2"/>
      <c r="L10" s="2"/>
      <c r="M10" s="2"/>
    </row>
    <row r="11" spans="1:13" s="4" customFormat="1" ht="9" customHeight="1" x14ac:dyDescent="0.2">
      <c r="A11" s="243">
        <v>4</v>
      </c>
      <c r="B11" s="239">
        <v>0.06</v>
      </c>
      <c r="C11" s="329"/>
      <c r="D11" s="338">
        <v>31.3</v>
      </c>
      <c r="E11" s="273"/>
      <c r="F11" s="339">
        <v>0.1</v>
      </c>
      <c r="G11" s="337"/>
      <c r="H11" s="330"/>
      <c r="I11" s="331"/>
      <c r="J11" s="2"/>
      <c r="K11" s="2"/>
      <c r="L11" s="2"/>
      <c r="M11" s="2"/>
    </row>
    <row r="12" spans="1:13" s="4" customFormat="1" ht="9" customHeight="1" x14ac:dyDescent="0.2">
      <c r="A12" s="243"/>
      <c r="B12" s="239"/>
      <c r="C12" s="328">
        <f>(B13-B11)*1000</f>
        <v>20.000000000000004</v>
      </c>
      <c r="D12" s="333"/>
      <c r="E12" s="272">
        <f>((D11+D13)/2)*C12</f>
        <v>597.00000000000011</v>
      </c>
      <c r="F12" s="335"/>
      <c r="G12" s="336">
        <f>((F11+F13)/2)*C12</f>
        <v>1.0000000000000002</v>
      </c>
      <c r="H12" s="330"/>
      <c r="I12" s="331"/>
      <c r="J12" s="2"/>
      <c r="K12" s="2"/>
      <c r="L12" s="2"/>
      <c r="M12" s="2"/>
    </row>
    <row r="13" spans="1:13" s="4" customFormat="1" ht="9" customHeight="1" x14ac:dyDescent="0.2">
      <c r="A13" s="243">
        <v>5</v>
      </c>
      <c r="B13" s="239">
        <v>0.08</v>
      </c>
      <c r="C13" s="329"/>
      <c r="D13" s="338">
        <v>28.4</v>
      </c>
      <c r="E13" s="273"/>
      <c r="F13" s="339">
        <v>0</v>
      </c>
      <c r="G13" s="337"/>
      <c r="H13" s="330"/>
      <c r="I13" s="279"/>
      <c r="J13" s="2"/>
      <c r="K13" s="2"/>
      <c r="L13" s="2"/>
      <c r="M13" s="2"/>
    </row>
    <row r="14" spans="1:13" s="4" customFormat="1" ht="9" customHeight="1" x14ac:dyDescent="0.2">
      <c r="A14" s="243"/>
      <c r="B14" s="239"/>
      <c r="C14" s="328">
        <f>(B15-B13)*1000</f>
        <v>20.000000000000004</v>
      </c>
      <c r="D14" s="333"/>
      <c r="E14" s="272">
        <f>D13*13</f>
        <v>369.2</v>
      </c>
      <c r="F14" s="335"/>
      <c r="G14" s="336">
        <f>((F13+F15)/2)*C14</f>
        <v>0</v>
      </c>
      <c r="H14" s="330"/>
      <c r="I14" s="331"/>
      <c r="J14" s="2"/>
      <c r="K14" s="2"/>
      <c r="L14" s="2"/>
      <c r="M14" s="2"/>
    </row>
    <row r="15" spans="1:13" s="4" customFormat="1" ht="9" customHeight="1" x14ac:dyDescent="0.2">
      <c r="A15" s="342">
        <v>6</v>
      </c>
      <c r="B15" s="239">
        <v>0.1</v>
      </c>
      <c r="C15" s="329"/>
      <c r="D15" s="338">
        <v>0</v>
      </c>
      <c r="E15" s="273"/>
      <c r="F15" s="339">
        <v>0</v>
      </c>
      <c r="G15" s="337"/>
      <c r="H15" s="330"/>
      <c r="I15" s="331"/>
      <c r="J15" s="2"/>
      <c r="K15" s="2"/>
      <c r="L15" s="2"/>
      <c r="M15" s="2"/>
    </row>
    <row r="16" spans="1:13" s="4" customFormat="1" ht="9" customHeight="1" thickBot="1" x14ac:dyDescent="0.25">
      <c r="A16" s="343"/>
      <c r="B16" s="245"/>
      <c r="C16" s="50"/>
      <c r="D16" s="340"/>
      <c r="E16" s="51"/>
      <c r="F16" s="341"/>
      <c r="G16" s="52"/>
      <c r="H16" s="330"/>
      <c r="I16" s="32"/>
      <c r="J16" s="2"/>
      <c r="K16" s="2"/>
      <c r="L16" s="2"/>
      <c r="M16" s="2"/>
    </row>
    <row r="17" spans="1:10" ht="13.5" thickBot="1" x14ac:dyDescent="0.25">
      <c r="C17" s="12" t="s">
        <v>14</v>
      </c>
      <c r="D17" s="13"/>
      <c r="E17" s="19">
        <f>SUM(E6:E15)</f>
        <v>2318.2999999999997</v>
      </c>
      <c r="F17" s="20"/>
      <c r="G17" s="19">
        <f>SUM(G6:G15)</f>
        <v>16.899999999999999</v>
      </c>
      <c r="H17" s="71"/>
      <c r="I17" s="72"/>
      <c r="J17" s="2"/>
    </row>
    <row r="18" spans="1:10" x14ac:dyDescent="0.2">
      <c r="I18" s="2"/>
      <c r="J18" s="2"/>
    </row>
    <row r="19" spans="1:10" ht="13.5" thickBot="1" x14ac:dyDescent="0.25"/>
    <row r="20" spans="1:10" x14ac:dyDescent="0.2">
      <c r="A20" s="213" t="s">
        <v>22</v>
      </c>
      <c r="B20" s="225"/>
      <c r="C20" s="225"/>
      <c r="D20" s="277"/>
      <c r="E20" s="277"/>
      <c r="F20" s="277"/>
      <c r="G20" s="277"/>
      <c r="H20" s="277"/>
      <c r="I20" s="278"/>
    </row>
    <row r="21" spans="1:10" x14ac:dyDescent="0.2">
      <c r="A21" s="315"/>
      <c r="B21" s="316"/>
      <c r="C21" s="316"/>
      <c r="D21" s="284"/>
      <c r="E21" s="284"/>
      <c r="F21" s="284"/>
      <c r="G21" s="284"/>
      <c r="H21" s="284"/>
      <c r="I21" s="285"/>
    </row>
    <row r="22" spans="1:10" x14ac:dyDescent="0.2">
      <c r="A22" s="103" t="s">
        <v>24</v>
      </c>
      <c r="B22" s="38"/>
      <c r="C22" s="39"/>
      <c r="D22" s="39"/>
      <c r="E22" s="39"/>
      <c r="F22" s="40"/>
      <c r="G22" s="40"/>
      <c r="H22" s="40"/>
      <c r="I22" s="132"/>
    </row>
    <row r="23" spans="1:10" x14ac:dyDescent="0.2">
      <c r="A23" s="116" t="s">
        <v>51</v>
      </c>
      <c r="B23" s="2"/>
      <c r="C23" s="2"/>
      <c r="D23" s="33"/>
      <c r="E23" s="3"/>
      <c r="F23" s="35" t="s">
        <v>50</v>
      </c>
      <c r="G23" s="33"/>
      <c r="H23" s="15">
        <f>23.2*1.72</f>
        <v>39.903999999999996</v>
      </c>
      <c r="I23" s="133" t="s">
        <v>15</v>
      </c>
    </row>
    <row r="24" spans="1:10" x14ac:dyDescent="0.2">
      <c r="A24" s="107" t="s">
        <v>16</v>
      </c>
      <c r="B24" s="2"/>
      <c r="C24" s="2"/>
      <c r="D24" s="33"/>
      <c r="E24" s="3"/>
      <c r="F24" s="36" t="s">
        <v>17</v>
      </c>
      <c r="G24" s="33"/>
      <c r="H24" s="15">
        <f>23.8*5.9</f>
        <v>140.42000000000002</v>
      </c>
      <c r="I24" s="133" t="s">
        <v>15</v>
      </c>
    </row>
    <row r="25" spans="1:10" x14ac:dyDescent="0.2">
      <c r="A25" s="107" t="s">
        <v>18</v>
      </c>
      <c r="B25" s="2"/>
      <c r="C25" s="2"/>
      <c r="D25" s="33"/>
      <c r="E25" s="3"/>
      <c r="F25" s="36" t="s">
        <v>19</v>
      </c>
      <c r="G25" s="33"/>
      <c r="H25" s="15">
        <f>23.8*0.1</f>
        <v>2.3800000000000003</v>
      </c>
      <c r="I25" s="133" t="s">
        <v>15</v>
      </c>
    </row>
    <row r="26" spans="1:10" ht="13.5" thickBot="1" x14ac:dyDescent="0.25">
      <c r="A26" s="118" t="s">
        <v>20</v>
      </c>
      <c r="B26" s="119"/>
      <c r="C26" s="119"/>
      <c r="D26" s="120"/>
      <c r="E26" s="112"/>
      <c r="F26" s="121" t="s">
        <v>21</v>
      </c>
      <c r="G26" s="120"/>
      <c r="H26" s="121">
        <f>0.3*2.5*2</f>
        <v>1.5</v>
      </c>
      <c r="I26" s="134" t="s">
        <v>15</v>
      </c>
    </row>
    <row r="27" spans="1:10" ht="13.5" thickBot="1" x14ac:dyDescent="0.25">
      <c r="B27" s="16"/>
      <c r="F27" s="13"/>
      <c r="G27" s="13"/>
      <c r="H27" s="13"/>
      <c r="I27" s="13"/>
    </row>
    <row r="28" spans="1:10" x14ac:dyDescent="0.2">
      <c r="A28" s="213" t="s">
        <v>36</v>
      </c>
      <c r="B28" s="225"/>
      <c r="C28" s="225"/>
      <c r="D28" s="277"/>
      <c r="E28" s="277"/>
      <c r="F28" s="277"/>
      <c r="G28" s="277"/>
      <c r="H28" s="277"/>
      <c r="I28" s="278"/>
    </row>
    <row r="29" spans="1:10" x14ac:dyDescent="0.2">
      <c r="A29" s="315"/>
      <c r="B29" s="316"/>
      <c r="C29" s="316"/>
      <c r="D29" s="284"/>
      <c r="E29" s="284"/>
      <c r="F29" s="284"/>
      <c r="G29" s="284"/>
      <c r="H29" s="284"/>
      <c r="I29" s="285"/>
    </row>
    <row r="30" spans="1:10" ht="13.5" thickBot="1" x14ac:dyDescent="0.25">
      <c r="A30" s="228" t="s">
        <v>49</v>
      </c>
      <c r="B30" s="281"/>
      <c r="C30" s="281"/>
      <c r="D30" s="135"/>
      <c r="E30" s="135"/>
      <c r="F30" s="135"/>
      <c r="G30" s="135"/>
      <c r="H30" s="136">
        <v>0</v>
      </c>
      <c r="I30" s="125" t="s">
        <v>34</v>
      </c>
    </row>
    <row r="31" spans="1:10" ht="13.5" thickBot="1" x14ac:dyDescent="0.25">
      <c r="B31" s="16"/>
      <c r="F31" s="13"/>
      <c r="G31" s="13"/>
      <c r="H31" s="13"/>
      <c r="I31" s="13"/>
    </row>
    <row r="32" spans="1:10" x14ac:dyDescent="0.2">
      <c r="A32" s="213" t="s">
        <v>35</v>
      </c>
      <c r="B32" s="225"/>
      <c r="C32" s="225"/>
      <c r="D32" s="277"/>
      <c r="E32" s="277"/>
      <c r="F32" s="277"/>
      <c r="G32" s="277"/>
      <c r="H32" s="277"/>
      <c r="I32" s="278"/>
    </row>
    <row r="33" spans="1:9" x14ac:dyDescent="0.2">
      <c r="A33" s="226"/>
      <c r="B33" s="227"/>
      <c r="C33" s="227"/>
      <c r="D33" s="279"/>
      <c r="E33" s="279"/>
      <c r="F33" s="279"/>
      <c r="G33" s="279"/>
      <c r="H33" s="279"/>
      <c r="I33" s="280"/>
    </row>
    <row r="34" spans="1:9" x14ac:dyDescent="0.2">
      <c r="A34" s="292" t="s">
        <v>53</v>
      </c>
      <c r="B34" s="293"/>
      <c r="C34" s="293"/>
      <c r="D34" s="293"/>
      <c r="E34" s="293"/>
      <c r="F34" s="293"/>
      <c r="G34" s="293"/>
      <c r="H34" s="47">
        <f>110+2800</f>
        <v>2910</v>
      </c>
      <c r="I34" s="126" t="s">
        <v>34</v>
      </c>
    </row>
    <row r="35" spans="1:9" ht="13.5" thickBot="1" x14ac:dyDescent="0.25">
      <c r="A35" s="127" t="s">
        <v>158</v>
      </c>
      <c r="B35" s="128"/>
      <c r="C35" s="128"/>
      <c r="D35" s="129"/>
      <c r="E35" s="129"/>
      <c r="F35" s="129"/>
      <c r="G35" s="129"/>
      <c r="H35" s="130"/>
      <c r="I35" s="131"/>
    </row>
    <row r="36" spans="1:9" ht="13.5" thickBot="1" x14ac:dyDescent="0.25"/>
    <row r="37" spans="1:9" x14ac:dyDescent="0.2">
      <c r="A37" s="213" t="s">
        <v>38</v>
      </c>
      <c r="B37" s="225"/>
      <c r="C37" s="225"/>
      <c r="D37" s="277"/>
      <c r="E37" s="277"/>
      <c r="F37" s="277"/>
      <c r="G37" s="277"/>
      <c r="H37" s="277"/>
      <c r="I37" s="278"/>
    </row>
    <row r="38" spans="1:9" x14ac:dyDescent="0.2">
      <c r="A38" s="226"/>
      <c r="B38" s="227"/>
      <c r="C38" s="227"/>
      <c r="D38" s="279"/>
      <c r="E38" s="279"/>
      <c r="F38" s="279"/>
      <c r="G38" s="279"/>
      <c r="H38" s="279"/>
      <c r="I38" s="280"/>
    </row>
    <row r="39" spans="1:9" ht="13.5" thickBot="1" x14ac:dyDescent="0.25">
      <c r="A39" s="228" t="s">
        <v>148</v>
      </c>
      <c r="B39" s="281"/>
      <c r="C39" s="281"/>
      <c r="D39" s="281"/>
      <c r="E39" s="281"/>
      <c r="F39" s="281"/>
      <c r="G39" s="281"/>
      <c r="H39" s="124">
        <f>2805-970+25.2+25.3</f>
        <v>1885.5</v>
      </c>
      <c r="I39" s="125" t="s">
        <v>34</v>
      </c>
    </row>
    <row r="40" spans="1:9" ht="13.5" thickBot="1" x14ac:dyDescent="0.25"/>
    <row r="41" spans="1:9" x14ac:dyDescent="0.2">
      <c r="A41" s="213" t="s">
        <v>42</v>
      </c>
      <c r="B41" s="225"/>
      <c r="C41" s="225"/>
      <c r="D41" s="277"/>
      <c r="E41" s="277"/>
      <c r="F41" s="277"/>
      <c r="G41" s="277"/>
      <c r="H41" s="277"/>
      <c r="I41" s="278"/>
    </row>
    <row r="42" spans="1:9" x14ac:dyDescent="0.2">
      <c r="A42" s="226"/>
      <c r="B42" s="227"/>
      <c r="C42" s="227"/>
      <c r="D42" s="279"/>
      <c r="E42" s="279"/>
      <c r="F42" s="279"/>
      <c r="G42" s="279"/>
      <c r="H42" s="279"/>
      <c r="I42" s="280"/>
    </row>
    <row r="43" spans="1:9" x14ac:dyDescent="0.2">
      <c r="A43" s="103" t="s">
        <v>44</v>
      </c>
      <c r="B43" s="38"/>
      <c r="C43" s="39"/>
      <c r="D43" s="39"/>
      <c r="E43" s="39" t="s">
        <v>45</v>
      </c>
      <c r="F43" s="40"/>
      <c r="G43" s="40"/>
      <c r="H43" s="38">
        <f>0.88*0.6*2</f>
        <v>1.056</v>
      </c>
      <c r="I43" s="115" t="s">
        <v>15</v>
      </c>
    </row>
    <row r="44" spans="1:9" x14ac:dyDescent="0.2">
      <c r="A44" s="116" t="s">
        <v>43</v>
      </c>
      <c r="B44" s="2"/>
      <c r="C44" s="2"/>
      <c r="D44" s="33"/>
      <c r="E44" s="35" t="s">
        <v>46</v>
      </c>
      <c r="F44" s="8"/>
      <c r="G44" s="33"/>
      <c r="H44" s="15">
        <f>0.15*0.6*4</f>
        <v>0.36</v>
      </c>
      <c r="I44" s="117" t="s">
        <v>15</v>
      </c>
    </row>
    <row r="45" spans="1:9" x14ac:dyDescent="0.2">
      <c r="A45" s="107" t="s">
        <v>47</v>
      </c>
      <c r="B45" s="2"/>
      <c r="C45" s="2"/>
      <c r="D45" s="33"/>
      <c r="E45" s="36"/>
      <c r="F45" s="3"/>
      <c r="G45" s="33"/>
      <c r="H45" s="15">
        <f>0.5*4</f>
        <v>2</v>
      </c>
      <c r="I45" s="117" t="s">
        <v>1</v>
      </c>
    </row>
    <row r="46" spans="1:9" x14ac:dyDescent="0.2">
      <c r="A46" s="107" t="s">
        <v>48</v>
      </c>
      <c r="B46" s="2"/>
      <c r="C46" s="2"/>
      <c r="D46" s="33"/>
      <c r="E46" s="36"/>
      <c r="F46" s="3"/>
      <c r="G46" s="33"/>
      <c r="H46" s="15">
        <f>0.6*10</f>
        <v>6</v>
      </c>
      <c r="I46" s="117" t="s">
        <v>1</v>
      </c>
    </row>
    <row r="47" spans="1:9" ht="13.5" thickBot="1" x14ac:dyDescent="0.25">
      <c r="A47" s="118" t="s">
        <v>157</v>
      </c>
      <c r="B47" s="119"/>
      <c r="C47" s="119"/>
      <c r="D47" s="120"/>
      <c r="E47" s="121"/>
      <c r="F47" s="112"/>
      <c r="G47" s="120"/>
      <c r="H47" s="122">
        <f>2.5*1.1*0.8*2</f>
        <v>4.4000000000000004</v>
      </c>
      <c r="I47" s="123" t="s">
        <v>34</v>
      </c>
    </row>
    <row r="48" spans="1:9" ht="13.5" thickBot="1" x14ac:dyDescent="0.25">
      <c r="A48" s="34"/>
      <c r="B48" s="2"/>
      <c r="C48" s="2"/>
      <c r="D48" s="33"/>
      <c r="E48" s="36"/>
      <c r="F48" s="3"/>
      <c r="G48" s="33"/>
      <c r="H48" s="15"/>
      <c r="I48" s="15"/>
    </row>
    <row r="49" spans="1:9" x14ac:dyDescent="0.2">
      <c r="A49" s="213" t="s">
        <v>225</v>
      </c>
      <c r="B49" s="225"/>
      <c r="C49" s="225"/>
      <c r="D49" s="277"/>
      <c r="E49" s="277"/>
      <c r="F49" s="277"/>
      <c r="G49" s="277"/>
      <c r="H49" s="277"/>
      <c r="I49" s="278"/>
    </row>
    <row r="50" spans="1:9" x14ac:dyDescent="0.2">
      <c r="A50" s="226"/>
      <c r="B50" s="227"/>
      <c r="C50" s="227"/>
      <c r="D50" s="279"/>
      <c r="E50" s="279"/>
      <c r="F50" s="279"/>
      <c r="G50" s="279"/>
      <c r="H50" s="279"/>
      <c r="I50" s="280"/>
    </row>
    <row r="51" spans="1:9" x14ac:dyDescent="0.2">
      <c r="A51" s="103" t="s">
        <v>224</v>
      </c>
      <c r="B51" s="39"/>
      <c r="C51" s="39"/>
      <c r="D51" s="39"/>
      <c r="E51" s="39"/>
      <c r="F51" s="39"/>
      <c r="G51" s="39"/>
      <c r="H51" s="97">
        <v>873</v>
      </c>
      <c r="I51" s="104" t="s">
        <v>15</v>
      </c>
    </row>
    <row r="52" spans="1:9" x14ac:dyDescent="0.2">
      <c r="A52" s="345" t="s">
        <v>226</v>
      </c>
      <c r="B52" s="302"/>
      <c r="C52" s="302"/>
      <c r="D52" s="302"/>
      <c r="E52" s="302"/>
      <c r="F52" s="302"/>
      <c r="G52" s="302"/>
      <c r="H52" s="346">
        <f>1.7*1.8*12</f>
        <v>36.72</v>
      </c>
      <c r="I52" s="347" t="s">
        <v>15</v>
      </c>
    </row>
    <row r="53" spans="1:9" ht="27" customHeight="1" x14ac:dyDescent="0.2">
      <c r="A53" s="301"/>
      <c r="B53" s="302"/>
      <c r="C53" s="302"/>
      <c r="D53" s="302"/>
      <c r="E53" s="302"/>
      <c r="F53" s="302"/>
      <c r="G53" s="302"/>
      <c r="H53" s="346"/>
      <c r="I53" s="347"/>
    </row>
    <row r="54" spans="1:9" x14ac:dyDescent="0.2">
      <c r="A54" s="301" t="s">
        <v>146</v>
      </c>
      <c r="B54" s="302"/>
      <c r="C54" s="302"/>
      <c r="D54" s="302"/>
      <c r="E54" s="302"/>
      <c r="F54" s="302"/>
      <c r="G54" s="302"/>
      <c r="H54" s="102">
        <f>H52-H57-(3.14*0.15*0.15*12)</f>
        <v>23.7622</v>
      </c>
      <c r="I54" s="105" t="s">
        <v>15</v>
      </c>
    </row>
    <row r="55" spans="1:9" x14ac:dyDescent="0.2">
      <c r="A55" s="345" t="s">
        <v>147</v>
      </c>
      <c r="B55" s="302"/>
      <c r="C55" s="302"/>
      <c r="D55" s="302"/>
      <c r="E55" s="302"/>
      <c r="F55" s="302"/>
      <c r="G55" s="302"/>
      <c r="H55" s="102">
        <f>1.8*18</f>
        <v>32.4</v>
      </c>
      <c r="I55" s="105" t="s">
        <v>34</v>
      </c>
    </row>
    <row r="56" spans="1:9" x14ac:dyDescent="0.2">
      <c r="A56" s="344" t="s">
        <v>132</v>
      </c>
      <c r="B56" s="303"/>
      <c r="C56" s="303"/>
      <c r="D56" s="303"/>
      <c r="E56" s="303"/>
      <c r="F56" s="303"/>
      <c r="G56" s="303"/>
      <c r="H56" s="94">
        <v>18.3</v>
      </c>
      <c r="I56" s="106" t="s">
        <v>1</v>
      </c>
    </row>
    <row r="57" spans="1:9" x14ac:dyDescent="0.2">
      <c r="A57" s="116" t="s">
        <v>142</v>
      </c>
      <c r="B57" s="2"/>
      <c r="C57" s="2"/>
      <c r="D57" s="2"/>
      <c r="E57" s="2"/>
      <c r="F57" s="2"/>
      <c r="G57" s="2"/>
      <c r="H57" s="94">
        <f>0.7*17.3</f>
        <v>12.11</v>
      </c>
      <c r="I57" s="108" t="s">
        <v>15</v>
      </c>
    </row>
    <row r="58" spans="1:9" x14ac:dyDescent="0.2">
      <c r="A58" s="116" t="s">
        <v>143</v>
      </c>
      <c r="B58" s="2"/>
      <c r="C58" s="2"/>
      <c r="D58" s="2"/>
      <c r="E58" s="2"/>
      <c r="F58" s="2"/>
      <c r="G58" s="2"/>
      <c r="H58" s="45">
        <v>30</v>
      </c>
      <c r="I58" s="106" t="s">
        <v>34</v>
      </c>
    </row>
    <row r="59" spans="1:9" x14ac:dyDescent="0.2">
      <c r="A59" s="116" t="s">
        <v>136</v>
      </c>
      <c r="B59" s="2"/>
      <c r="C59" s="2"/>
      <c r="D59" s="2"/>
      <c r="E59" s="2"/>
      <c r="F59" s="2"/>
      <c r="G59" s="2"/>
      <c r="H59" s="91">
        <f>0.5*1*0.5</f>
        <v>0.25</v>
      </c>
      <c r="I59" s="106" t="s">
        <v>15</v>
      </c>
    </row>
    <row r="60" spans="1:9" x14ac:dyDescent="0.2">
      <c r="A60" s="166"/>
      <c r="B60" s="8" t="s">
        <v>137</v>
      </c>
      <c r="C60" s="2"/>
      <c r="D60" s="2"/>
      <c r="E60" s="2"/>
      <c r="F60" s="2"/>
      <c r="G60" s="2"/>
      <c r="H60" s="91">
        <f>0.1*1*0.5</f>
        <v>0.05</v>
      </c>
      <c r="I60" s="106" t="s">
        <v>15</v>
      </c>
    </row>
    <row r="61" spans="1:9" ht="13.5" thickBot="1" x14ac:dyDescent="0.25">
      <c r="A61" s="110"/>
      <c r="B61" s="111" t="s">
        <v>138</v>
      </c>
      <c r="C61" s="112"/>
      <c r="D61" s="112"/>
      <c r="E61" s="112"/>
      <c r="F61" s="112"/>
      <c r="G61" s="112"/>
      <c r="H61" s="113">
        <f>0.72*0.5</f>
        <v>0.36</v>
      </c>
      <c r="I61" s="114" t="s">
        <v>15</v>
      </c>
    </row>
  </sheetData>
  <mergeCells count="69">
    <mergeCell ref="A56:G56"/>
    <mergeCell ref="A52:G53"/>
    <mergeCell ref="H52:H53"/>
    <mergeCell ref="I52:I53"/>
    <mergeCell ref="A55:G55"/>
    <mergeCell ref="A54:G54"/>
    <mergeCell ref="A41:I42"/>
    <mergeCell ref="A28:I29"/>
    <mergeCell ref="A30:C30"/>
    <mergeCell ref="A32:I33"/>
    <mergeCell ref="A37:I38"/>
    <mergeCell ref="A39:G39"/>
    <mergeCell ref="A34:G34"/>
    <mergeCell ref="A13:A14"/>
    <mergeCell ref="B13:B14"/>
    <mergeCell ref="D13:D14"/>
    <mergeCell ref="F13:F14"/>
    <mergeCell ref="A15:A16"/>
    <mergeCell ref="B15:B16"/>
    <mergeCell ref="C12:C13"/>
    <mergeCell ref="A11:A12"/>
    <mergeCell ref="B11:B12"/>
    <mergeCell ref="I14:I15"/>
    <mergeCell ref="D15:D16"/>
    <mergeCell ref="F15:F16"/>
    <mergeCell ref="D11:D12"/>
    <mergeCell ref="F11:F12"/>
    <mergeCell ref="H11:H12"/>
    <mergeCell ref="G12:G13"/>
    <mergeCell ref="G10:G11"/>
    <mergeCell ref="D9:D10"/>
    <mergeCell ref="F9:F10"/>
    <mergeCell ref="H13:H14"/>
    <mergeCell ref="E14:E15"/>
    <mergeCell ref="G14:G15"/>
    <mergeCell ref="E12:E13"/>
    <mergeCell ref="I12:I13"/>
    <mergeCell ref="L3:M3"/>
    <mergeCell ref="A5:A6"/>
    <mergeCell ref="B5:B6"/>
    <mergeCell ref="D5:D6"/>
    <mergeCell ref="F5:F6"/>
    <mergeCell ref="C6:C7"/>
    <mergeCell ref="E6:E7"/>
    <mergeCell ref="G6:G7"/>
    <mergeCell ref="A7:A8"/>
    <mergeCell ref="G8:G9"/>
    <mergeCell ref="J3:K3"/>
    <mergeCell ref="D7:D8"/>
    <mergeCell ref="F7:F8"/>
    <mergeCell ref="H7:H8"/>
    <mergeCell ref="C8:C9"/>
    <mergeCell ref="I8:I9"/>
    <mergeCell ref="A2:I2"/>
    <mergeCell ref="A49:I50"/>
    <mergeCell ref="B7:B8"/>
    <mergeCell ref="A20:I21"/>
    <mergeCell ref="D3:E3"/>
    <mergeCell ref="F3:G3"/>
    <mergeCell ref="H3:I3"/>
    <mergeCell ref="C14:C15"/>
    <mergeCell ref="A9:A10"/>
    <mergeCell ref="B9:B10"/>
    <mergeCell ref="C10:C11"/>
    <mergeCell ref="E10:E11"/>
    <mergeCell ref="H15:H16"/>
    <mergeCell ref="I10:I11"/>
    <mergeCell ref="H9:H10"/>
    <mergeCell ref="E8:E9"/>
  </mergeCells>
  <pageMargins left="0.7" right="0.7" top="0.78740157499999996" bottom="0.78740157499999996" header="0.3" footer="0.3"/>
  <pageSetup paperSize="9" orientation="portrait" r:id="rId1"/>
  <rowBreaks count="1" manualBreakCount="1">
    <brk id="3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view="pageBreakPreview" topLeftCell="A4" zoomScale="115" zoomScaleNormal="100" zoomScaleSheetLayoutView="115" workbookViewId="0">
      <selection activeCell="G11" sqref="G11:H12"/>
    </sheetView>
  </sheetViews>
  <sheetFormatPr defaultRowHeight="12.75" x14ac:dyDescent="0.2"/>
  <cols>
    <col min="1" max="1" width="3.5703125" customWidth="1"/>
    <col min="9" max="9" width="3.7109375" customWidth="1"/>
  </cols>
  <sheetData>
    <row r="2" spans="2:10" x14ac:dyDescent="0.2">
      <c r="B2" s="370" t="s">
        <v>173</v>
      </c>
      <c r="C2" s="370"/>
      <c r="D2" s="370"/>
      <c r="E2" s="370"/>
      <c r="F2" s="370"/>
      <c r="G2" s="370"/>
      <c r="H2" s="370"/>
    </row>
    <row r="3" spans="2:10" x14ac:dyDescent="0.2">
      <c r="B3" s="370"/>
      <c r="C3" s="370"/>
      <c r="D3" s="370"/>
      <c r="E3" s="370"/>
      <c r="F3" s="370"/>
      <c r="G3" s="370"/>
      <c r="H3" s="370"/>
    </row>
    <row r="4" spans="2:10" ht="3.75" customHeight="1" x14ac:dyDescent="0.2"/>
    <row r="5" spans="2:10" ht="13.5" thickBot="1" x14ac:dyDescent="0.25"/>
    <row r="6" spans="2:10" ht="41.25" customHeight="1" thickBot="1" x14ac:dyDescent="0.25">
      <c r="B6" s="137"/>
      <c r="C6" s="371" t="s">
        <v>182</v>
      </c>
      <c r="D6" s="372"/>
      <c r="E6" s="371" t="s">
        <v>183</v>
      </c>
      <c r="F6" s="372"/>
      <c r="G6" s="371" t="s">
        <v>204</v>
      </c>
      <c r="H6" s="372"/>
      <c r="J6" s="16"/>
    </row>
    <row r="7" spans="2:10" ht="12.75" customHeight="1" x14ac:dyDescent="0.2">
      <c r="B7" s="348" t="s">
        <v>174</v>
      </c>
      <c r="C7" s="358">
        <f>'SO 1 spodní část OK'!F64+'SO 1 spodní část OK'!M64+'SO 1 spodní část OK'!N64+'SO 1 spodní část OK'!I72</f>
        <v>6752.5999999999995</v>
      </c>
      <c r="D7" s="359"/>
      <c r="E7" s="358">
        <f>'SO 1 spodní část OK'!H64+'SO 1 spodní část OK'!I73+'SO 1 spodní část OK'!I102</f>
        <v>1998.3909999999998</v>
      </c>
      <c r="F7" s="359"/>
      <c r="G7" s="364">
        <f>C7-E7</f>
        <v>4754.2089999999998</v>
      </c>
      <c r="H7" s="365"/>
    </row>
    <row r="8" spans="2:10" ht="13.5" customHeight="1" thickBot="1" x14ac:dyDescent="0.25">
      <c r="B8" s="349"/>
      <c r="C8" s="362"/>
      <c r="D8" s="363"/>
      <c r="E8" s="360"/>
      <c r="F8" s="361"/>
      <c r="G8" s="366"/>
      <c r="H8" s="367"/>
    </row>
    <row r="9" spans="2:10" ht="12.75" customHeight="1" x14ac:dyDescent="0.2">
      <c r="B9" s="348" t="s">
        <v>220</v>
      </c>
      <c r="C9" s="350">
        <f>'SO 2 střední část OK'!F44</f>
        <v>2131.9200000000014</v>
      </c>
      <c r="D9" s="351"/>
      <c r="E9" s="350">
        <f>'SO 2 střední část OK'!J44</f>
        <v>107.68000000000009</v>
      </c>
      <c r="F9" s="351"/>
      <c r="G9" s="350">
        <f>C9-E9</f>
        <v>2024.2400000000014</v>
      </c>
      <c r="H9" s="351"/>
    </row>
    <row r="10" spans="2:10" ht="13.5" customHeight="1" thickBot="1" x14ac:dyDescent="0.25">
      <c r="B10" s="349"/>
      <c r="C10" s="352"/>
      <c r="D10" s="353"/>
      <c r="E10" s="352"/>
      <c r="F10" s="353"/>
      <c r="G10" s="352"/>
      <c r="H10" s="353"/>
    </row>
    <row r="11" spans="2:10" ht="12.75" customHeight="1" x14ac:dyDescent="0.2">
      <c r="B11" s="348" t="s">
        <v>221</v>
      </c>
      <c r="C11" s="350">
        <f>'SO 2 střední část OK'!H44</f>
        <v>14767.6</v>
      </c>
      <c r="D11" s="351"/>
      <c r="E11" s="350">
        <f>'SO 2 střední část OK'!P44</f>
        <v>1756.3</v>
      </c>
      <c r="F11" s="351"/>
      <c r="G11" s="350">
        <f>C11-E11</f>
        <v>13011.300000000001</v>
      </c>
      <c r="H11" s="351"/>
    </row>
    <row r="12" spans="2:10" ht="13.5" customHeight="1" thickBot="1" x14ac:dyDescent="0.25">
      <c r="B12" s="349"/>
      <c r="C12" s="352"/>
      <c r="D12" s="353"/>
      <c r="E12" s="352"/>
      <c r="F12" s="353"/>
      <c r="G12" s="352"/>
      <c r="H12" s="353"/>
      <c r="I12" s="212"/>
    </row>
    <row r="13" spans="2:10" ht="12.75" customHeight="1" x14ac:dyDescent="0.2">
      <c r="B13" s="348" t="s">
        <v>176</v>
      </c>
      <c r="C13" s="358">
        <f>1197+28.4+31.2</f>
        <v>1256.6000000000001</v>
      </c>
      <c r="D13" s="359"/>
      <c r="E13" s="358">
        <v>870</v>
      </c>
      <c r="F13" s="359"/>
      <c r="G13" s="358">
        <f>C13-E13</f>
        <v>386.60000000000014</v>
      </c>
      <c r="H13" s="359"/>
    </row>
    <row r="14" spans="2:10" ht="13.5" customHeight="1" thickBot="1" x14ac:dyDescent="0.25">
      <c r="B14" s="349"/>
      <c r="C14" s="360"/>
      <c r="D14" s="361"/>
      <c r="E14" s="360"/>
      <c r="F14" s="361"/>
      <c r="G14" s="360"/>
      <c r="H14" s="361"/>
    </row>
    <row r="15" spans="2:10" ht="12.75" customHeight="1" x14ac:dyDescent="0.2">
      <c r="B15" s="348" t="s">
        <v>177</v>
      </c>
      <c r="C15" s="358">
        <v>322.2</v>
      </c>
      <c r="D15" s="359"/>
      <c r="E15" s="358">
        <v>5</v>
      </c>
      <c r="F15" s="359"/>
      <c r="G15" s="358">
        <f>C15-E15</f>
        <v>317.2</v>
      </c>
      <c r="H15" s="359"/>
    </row>
    <row r="16" spans="2:10" ht="13.5" customHeight="1" thickBot="1" x14ac:dyDescent="0.25">
      <c r="B16" s="349"/>
      <c r="C16" s="360"/>
      <c r="D16" s="361"/>
      <c r="E16" s="360"/>
      <c r="F16" s="361"/>
      <c r="G16" s="360"/>
      <c r="H16" s="361"/>
    </row>
    <row r="17" spans="2:8" ht="12.75" customHeight="1" x14ac:dyDescent="0.2">
      <c r="B17" s="348" t="s">
        <v>178</v>
      </c>
      <c r="C17" s="358">
        <v>3227.7</v>
      </c>
      <c r="D17" s="359"/>
      <c r="E17" s="358">
        <v>19.28</v>
      </c>
      <c r="F17" s="359"/>
      <c r="G17" s="358">
        <f>C17-E17</f>
        <v>3208.4199999999996</v>
      </c>
      <c r="H17" s="359"/>
    </row>
    <row r="18" spans="2:8" ht="13.5" customHeight="1" thickBot="1" x14ac:dyDescent="0.25">
      <c r="B18" s="349"/>
      <c r="C18" s="362"/>
      <c r="D18" s="363"/>
      <c r="E18" s="362"/>
      <c r="F18" s="363"/>
      <c r="G18" s="360"/>
      <c r="H18" s="361"/>
    </row>
    <row r="19" spans="2:8" ht="12.75" customHeight="1" x14ac:dyDescent="0.2">
      <c r="B19" s="348" t="s">
        <v>14</v>
      </c>
      <c r="C19" s="354">
        <f>SUM(C7:D18)</f>
        <v>28458.620000000003</v>
      </c>
      <c r="D19" s="355"/>
      <c r="E19" s="354">
        <f>SUM(E7:F18)</f>
        <v>4756.6509999999998</v>
      </c>
      <c r="F19" s="355"/>
      <c r="G19" s="354">
        <f>SUM(G7:H18)</f>
        <v>23701.969000000001</v>
      </c>
      <c r="H19" s="355"/>
    </row>
    <row r="20" spans="2:8" ht="13.5" customHeight="1" thickBot="1" x14ac:dyDescent="0.25">
      <c r="B20" s="349"/>
      <c r="C20" s="356"/>
      <c r="D20" s="357"/>
      <c r="E20" s="356"/>
      <c r="F20" s="357"/>
      <c r="G20" s="356"/>
      <c r="H20" s="357"/>
    </row>
    <row r="21" spans="2:8" x14ac:dyDescent="0.2">
      <c r="C21" s="145"/>
      <c r="D21" s="145"/>
      <c r="E21" s="145"/>
      <c r="F21" s="145"/>
      <c r="G21" s="145"/>
      <c r="H21" s="145"/>
    </row>
    <row r="22" spans="2:8" ht="13.5" thickBot="1" x14ac:dyDescent="0.25">
      <c r="C22" s="145"/>
      <c r="D22" s="145"/>
      <c r="E22" s="145"/>
      <c r="F22" s="145"/>
      <c r="G22" s="145"/>
      <c r="H22" s="145"/>
    </row>
    <row r="23" spans="2:8" ht="26.25" customHeight="1" thickBot="1" x14ac:dyDescent="0.25">
      <c r="B23" s="137"/>
      <c r="C23" s="368" t="s">
        <v>185</v>
      </c>
      <c r="D23" s="369"/>
      <c r="E23" s="368" t="s">
        <v>186</v>
      </c>
      <c r="F23" s="369"/>
      <c r="G23" s="368" t="s">
        <v>184</v>
      </c>
      <c r="H23" s="369"/>
    </row>
    <row r="24" spans="2:8" x14ac:dyDescent="0.2">
      <c r="B24" s="348" t="s">
        <v>174</v>
      </c>
      <c r="C24" s="358">
        <f>(('SO 1 spodní část OK'!I89+'SO 1 spodní část OK'!I88))*0.1</f>
        <v>2385</v>
      </c>
      <c r="D24" s="359"/>
      <c r="E24" s="358">
        <f>('SO 1 spodní část OK'!I80+'SO 1 spodní část OK'!I84)*0.1</f>
        <v>2937</v>
      </c>
      <c r="F24" s="359"/>
      <c r="G24" s="364">
        <f>C24-E24</f>
        <v>-552</v>
      </c>
      <c r="H24" s="365"/>
    </row>
    <row r="25" spans="2:8" ht="13.5" thickBot="1" x14ac:dyDescent="0.25">
      <c r="B25" s="349"/>
      <c r="C25" s="362"/>
      <c r="D25" s="363"/>
      <c r="E25" s="360"/>
      <c r="F25" s="361"/>
      <c r="G25" s="366"/>
      <c r="H25" s="367"/>
    </row>
    <row r="26" spans="2:8" x14ac:dyDescent="0.2">
      <c r="B26" s="348" t="s">
        <v>175</v>
      </c>
      <c r="C26" s="350">
        <v>2130</v>
      </c>
      <c r="D26" s="351"/>
      <c r="E26" s="350">
        <v>344.2</v>
      </c>
      <c r="F26" s="351"/>
      <c r="G26" s="350">
        <f>C26-E26</f>
        <v>1785.8</v>
      </c>
      <c r="H26" s="351"/>
    </row>
    <row r="27" spans="2:8" ht="13.5" thickBot="1" x14ac:dyDescent="0.25">
      <c r="B27" s="349"/>
      <c r="C27" s="352"/>
      <c r="D27" s="353"/>
      <c r="E27" s="352"/>
      <c r="F27" s="353"/>
      <c r="G27" s="352"/>
      <c r="H27" s="353"/>
    </row>
    <row r="28" spans="2:8" x14ac:dyDescent="0.2">
      <c r="B28" s="348" t="s">
        <v>176</v>
      </c>
      <c r="C28" s="358">
        <v>151</v>
      </c>
      <c r="D28" s="359"/>
      <c r="E28" s="358">
        <v>302</v>
      </c>
      <c r="F28" s="359"/>
      <c r="G28" s="358">
        <f>C28-E28</f>
        <v>-151</v>
      </c>
      <c r="H28" s="359"/>
    </row>
    <row r="29" spans="2:8" ht="13.5" thickBot="1" x14ac:dyDescent="0.25">
      <c r="B29" s="349"/>
      <c r="C29" s="360"/>
      <c r="D29" s="361"/>
      <c r="E29" s="360"/>
      <c r="F29" s="361"/>
      <c r="G29" s="360"/>
      <c r="H29" s="361"/>
    </row>
    <row r="30" spans="2:8" x14ac:dyDescent="0.2">
      <c r="B30" s="348" t="s">
        <v>177</v>
      </c>
      <c r="C30" s="358"/>
      <c r="D30" s="359"/>
      <c r="E30" s="358"/>
      <c r="F30" s="359"/>
      <c r="G30" s="358"/>
      <c r="H30" s="359"/>
    </row>
    <row r="31" spans="2:8" ht="13.5" thickBot="1" x14ac:dyDescent="0.25">
      <c r="B31" s="349"/>
      <c r="C31" s="360"/>
      <c r="D31" s="361"/>
      <c r="E31" s="360"/>
      <c r="F31" s="361"/>
      <c r="G31" s="360"/>
      <c r="H31" s="361"/>
    </row>
    <row r="32" spans="2:8" x14ac:dyDescent="0.2">
      <c r="B32" s="348" t="s">
        <v>178</v>
      </c>
      <c r="C32" s="358">
        <v>291</v>
      </c>
      <c r="D32" s="359"/>
      <c r="E32" s="358">
        <v>0</v>
      </c>
      <c r="F32" s="359"/>
      <c r="G32" s="358">
        <f>C32-E32</f>
        <v>291</v>
      </c>
      <c r="H32" s="359"/>
    </row>
    <row r="33" spans="2:8" ht="13.5" thickBot="1" x14ac:dyDescent="0.25">
      <c r="B33" s="349"/>
      <c r="C33" s="362"/>
      <c r="D33" s="363"/>
      <c r="E33" s="362"/>
      <c r="F33" s="363"/>
      <c r="G33" s="360"/>
      <c r="H33" s="361"/>
    </row>
    <row r="34" spans="2:8" x14ac:dyDescent="0.2">
      <c r="B34" s="348" t="s">
        <v>14</v>
      </c>
      <c r="C34" s="354">
        <f>SUM(C24:D33)</f>
        <v>4957</v>
      </c>
      <c r="D34" s="355"/>
      <c r="E34" s="354">
        <f>SUM(E24:F33)</f>
        <v>3583.2</v>
      </c>
      <c r="F34" s="355"/>
      <c r="G34" s="354">
        <f>SUM(G24:H33)</f>
        <v>1373.8</v>
      </c>
      <c r="H34" s="355"/>
    </row>
    <row r="35" spans="2:8" ht="13.5" thickBot="1" x14ac:dyDescent="0.25">
      <c r="B35" s="349"/>
      <c r="C35" s="356"/>
      <c r="D35" s="357"/>
      <c r="E35" s="356"/>
      <c r="F35" s="357"/>
      <c r="G35" s="356"/>
      <c r="H35" s="357"/>
    </row>
  </sheetData>
  <mergeCells count="59">
    <mergeCell ref="B19:B20"/>
    <mergeCell ref="C19:D20"/>
    <mergeCell ref="E19:F20"/>
    <mergeCell ref="G19:H20"/>
    <mergeCell ref="C15:D16"/>
    <mergeCell ref="E15:F16"/>
    <mergeCell ref="G15:H16"/>
    <mergeCell ref="C17:D18"/>
    <mergeCell ref="E17:F18"/>
    <mergeCell ref="G17:H18"/>
    <mergeCell ref="B15:B16"/>
    <mergeCell ref="B17:B18"/>
    <mergeCell ref="C13:D14"/>
    <mergeCell ref="E13:F14"/>
    <mergeCell ref="G13:H14"/>
    <mergeCell ref="B2:H3"/>
    <mergeCell ref="B7:B8"/>
    <mergeCell ref="B11:B12"/>
    <mergeCell ref="B13:B14"/>
    <mergeCell ref="C6:D6"/>
    <mergeCell ref="E6:F6"/>
    <mergeCell ref="G6:H6"/>
    <mergeCell ref="C7:D8"/>
    <mergeCell ref="E7:F8"/>
    <mergeCell ref="G7:H8"/>
    <mergeCell ref="C11:D12"/>
    <mergeCell ref="E11:F12"/>
    <mergeCell ref="G11:H12"/>
    <mergeCell ref="B24:B25"/>
    <mergeCell ref="C24:D25"/>
    <mergeCell ref="E24:F25"/>
    <mergeCell ref="G24:H25"/>
    <mergeCell ref="C23:D23"/>
    <mergeCell ref="E23:F23"/>
    <mergeCell ref="G23:H23"/>
    <mergeCell ref="B26:B27"/>
    <mergeCell ref="C26:D27"/>
    <mergeCell ref="E26:F27"/>
    <mergeCell ref="G26:H27"/>
    <mergeCell ref="B28:B29"/>
    <mergeCell ref="C28:D29"/>
    <mergeCell ref="E28:F29"/>
    <mergeCell ref="G28:H29"/>
    <mergeCell ref="B9:B10"/>
    <mergeCell ref="C9:D10"/>
    <mergeCell ref="E9:F10"/>
    <mergeCell ref="G9:H10"/>
    <mergeCell ref="B34:B35"/>
    <mergeCell ref="C34:D35"/>
    <mergeCell ref="E34:F35"/>
    <mergeCell ref="G34:H35"/>
    <mergeCell ref="B30:B31"/>
    <mergeCell ref="C30:D31"/>
    <mergeCell ref="E30:F31"/>
    <mergeCell ref="G30:H31"/>
    <mergeCell ref="B32:B33"/>
    <mergeCell ref="C32:D33"/>
    <mergeCell ref="E32:F33"/>
    <mergeCell ref="G32:H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SO 1 spodní část OK</vt:lpstr>
      <vt:lpstr>SO 2 střední část OK</vt:lpstr>
      <vt:lpstr>SO 3 horní část OK</vt:lpstr>
      <vt:lpstr>SO 4 most</vt:lpstr>
      <vt:lpstr>SO 5 velká tůň OK</vt:lpstr>
      <vt:lpstr>Bilance zemin</vt:lpstr>
      <vt:lpstr>'Bilance zemin'!Oblast_tisku</vt:lpstr>
      <vt:lpstr>'SO 1 spodní část OK'!Oblast_tisku</vt:lpstr>
      <vt:lpstr>'SO 2 střední část OK'!Oblast_tisku</vt:lpstr>
      <vt:lpstr>'SO 3 horní část OK'!Oblast_tisku</vt:lpstr>
      <vt:lpstr>'SO 4 most'!Oblast_tisku</vt:lpstr>
      <vt:lpstr>'SO 5 velká tůň OK'!Oblast_tisku</vt:lpstr>
    </vt:vector>
  </TitlesOfParts>
  <Company>asert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Petr Matějíček</cp:lastModifiedBy>
  <cp:lastPrinted>2015-09-01T16:18:56Z</cp:lastPrinted>
  <dcterms:created xsi:type="dcterms:W3CDTF">2004-06-25T07:53:21Z</dcterms:created>
  <dcterms:modified xsi:type="dcterms:W3CDTF">2016-08-10T11:56:45Z</dcterms:modified>
</cp:coreProperties>
</file>