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oskova\Documents\VZMR Chomutov zateplení\VZMR ZATEPLENÍ CHOMUTOV\"/>
    </mc:Choice>
  </mc:AlternateContent>
  <bookViews>
    <workbookView xWindow="0" yWindow="0" windowWidth="28800" windowHeight="12435" activeTab="1"/>
  </bookViews>
  <sheets>
    <sheet name="Stavební_rozpočet" sheetId="1" r:id="rId1"/>
    <sheet name="Krycí_list_rozpočtu" sheetId="2" r:id="rId2"/>
  </sheets>
  <calcPr calcId="152511"/>
</workbook>
</file>

<file path=xl/calcChain.xml><?xml version="1.0" encoding="utf-8"?>
<calcChain xmlns="http://schemas.openxmlformats.org/spreadsheetml/2006/main">
  <c r="I22" i="2" l="1"/>
  <c r="F22" i="2"/>
  <c r="AF180" i="1"/>
  <c r="AN180" i="1" s="1"/>
  <c r="AE180" i="1"/>
  <c r="AM180" i="1" s="1"/>
  <c r="AA180" i="1"/>
  <c r="Z180" i="1"/>
  <c r="L180" i="1"/>
  <c r="J180" i="1"/>
  <c r="H180" i="1"/>
  <c r="AM178" i="1"/>
  <c r="AF178" i="1"/>
  <c r="AN178" i="1" s="1"/>
  <c r="AE178" i="1"/>
  <c r="AA178" i="1"/>
  <c r="Z178" i="1"/>
  <c r="L178" i="1"/>
  <c r="J178" i="1"/>
  <c r="H178" i="1"/>
  <c r="AM177" i="1"/>
  <c r="AF177" i="1"/>
  <c r="AN177" i="1" s="1"/>
  <c r="AE177" i="1"/>
  <c r="AA177" i="1"/>
  <c r="Z177" i="1"/>
  <c r="L177" i="1"/>
  <c r="J177" i="1"/>
  <c r="H177" i="1"/>
  <c r="AM176" i="1"/>
  <c r="AF176" i="1"/>
  <c r="AN176" i="1" s="1"/>
  <c r="AE176" i="1"/>
  <c r="AA176" i="1"/>
  <c r="Z176" i="1"/>
  <c r="L176" i="1"/>
  <c r="J176" i="1"/>
  <c r="H176" i="1"/>
  <c r="AM175" i="1"/>
  <c r="AF175" i="1"/>
  <c r="AN175" i="1" s="1"/>
  <c r="AE175" i="1"/>
  <c r="AA175" i="1"/>
  <c r="AJ174" i="1" s="1"/>
  <c r="Z175" i="1"/>
  <c r="L175" i="1"/>
  <c r="L174" i="1" s="1"/>
  <c r="J175" i="1"/>
  <c r="H175" i="1"/>
  <c r="H174" i="1" s="1"/>
  <c r="AI174" i="1"/>
  <c r="X174" i="1"/>
  <c r="W174" i="1"/>
  <c r="V174" i="1"/>
  <c r="U174" i="1"/>
  <c r="T174" i="1"/>
  <c r="AF172" i="1"/>
  <c r="AN172" i="1" s="1"/>
  <c r="AE172" i="1"/>
  <c r="AM172" i="1" s="1"/>
  <c r="AA172" i="1"/>
  <c r="Z172" i="1"/>
  <c r="O172" i="1"/>
  <c r="L172" i="1"/>
  <c r="L171" i="1" s="1"/>
  <c r="J172" i="1"/>
  <c r="AB172" i="1" s="1"/>
  <c r="AK171" i="1" s="1"/>
  <c r="AJ171" i="1"/>
  <c r="AI171" i="1"/>
  <c r="X171" i="1"/>
  <c r="U171" i="1"/>
  <c r="T171" i="1"/>
  <c r="S171" i="1"/>
  <c r="R171" i="1"/>
  <c r="P171" i="1"/>
  <c r="AF169" i="1"/>
  <c r="AN169" i="1" s="1"/>
  <c r="AE169" i="1"/>
  <c r="AM169" i="1" s="1"/>
  <c r="AA169" i="1"/>
  <c r="Z169" i="1"/>
  <c r="O169" i="1"/>
  <c r="L169" i="1"/>
  <c r="J169" i="1"/>
  <c r="AB169" i="1" s="1"/>
  <c r="H169" i="1"/>
  <c r="I169" i="1" s="1"/>
  <c r="AF165" i="1"/>
  <c r="AN165" i="1" s="1"/>
  <c r="AE165" i="1"/>
  <c r="AM165" i="1" s="1"/>
  <c r="AA165" i="1"/>
  <c r="Z165" i="1"/>
  <c r="AI164" i="1" s="1"/>
  <c r="O165" i="1"/>
  <c r="P164" i="1" s="1"/>
  <c r="L165" i="1"/>
  <c r="J165" i="1"/>
  <c r="AB165" i="1" s="1"/>
  <c r="AK164" i="1" s="1"/>
  <c r="H165" i="1"/>
  <c r="I165" i="1" s="1"/>
  <c r="I164" i="1" s="1"/>
  <c r="S164" i="1" s="1"/>
  <c r="AJ164" i="1"/>
  <c r="X164" i="1"/>
  <c r="W164" i="1"/>
  <c r="V164" i="1"/>
  <c r="U164" i="1"/>
  <c r="T164" i="1"/>
  <c r="L164" i="1"/>
  <c r="AN162" i="1"/>
  <c r="AF162" i="1"/>
  <c r="AE162" i="1"/>
  <c r="AM162" i="1" s="1"/>
  <c r="AB162" i="1"/>
  <c r="AA162" i="1"/>
  <c r="Z162" i="1"/>
  <c r="O162" i="1"/>
  <c r="L162" i="1"/>
  <c r="J162" i="1"/>
  <c r="H162" i="1"/>
  <c r="AF160" i="1"/>
  <c r="AN160" i="1" s="1"/>
  <c r="AE160" i="1"/>
  <c r="AM160" i="1" s="1"/>
  <c r="AA160" i="1"/>
  <c r="Z160" i="1"/>
  <c r="O160" i="1"/>
  <c r="L160" i="1"/>
  <c r="J160" i="1"/>
  <c r="AB160" i="1" s="1"/>
  <c r="H160" i="1"/>
  <c r="I160" i="1" s="1"/>
  <c r="AN157" i="1"/>
  <c r="AF157" i="1"/>
  <c r="AE157" i="1"/>
  <c r="AM157" i="1" s="1"/>
  <c r="AB157" i="1"/>
  <c r="AA157" i="1"/>
  <c r="AJ156" i="1" s="1"/>
  <c r="Z157" i="1"/>
  <c r="O157" i="1"/>
  <c r="L157" i="1"/>
  <c r="J157" i="1"/>
  <c r="H157" i="1"/>
  <c r="AI156" i="1"/>
  <c r="X156" i="1"/>
  <c r="W156" i="1"/>
  <c r="V156" i="1"/>
  <c r="U156" i="1"/>
  <c r="T156" i="1"/>
  <c r="AF154" i="1"/>
  <c r="AN154" i="1" s="1"/>
  <c r="AE154" i="1"/>
  <c r="H154" i="1" s="1"/>
  <c r="AA154" i="1"/>
  <c r="Z154" i="1"/>
  <c r="L154" i="1"/>
  <c r="J154" i="1"/>
  <c r="AM152" i="1"/>
  <c r="AF152" i="1"/>
  <c r="AN152" i="1" s="1"/>
  <c r="AE152" i="1"/>
  <c r="AA152" i="1"/>
  <c r="Z152" i="1"/>
  <c r="AI151" i="1" s="1"/>
  <c r="O152" i="1"/>
  <c r="L152" i="1"/>
  <c r="J152" i="1"/>
  <c r="H152" i="1"/>
  <c r="AJ151" i="1"/>
  <c r="X151" i="1"/>
  <c r="W151" i="1"/>
  <c r="V151" i="1"/>
  <c r="U151" i="1"/>
  <c r="T151" i="1"/>
  <c r="AM150" i="1"/>
  <c r="AF150" i="1"/>
  <c r="AN150" i="1" s="1"/>
  <c r="AE150" i="1"/>
  <c r="AA150" i="1"/>
  <c r="Z150" i="1"/>
  <c r="L150" i="1"/>
  <c r="J150" i="1"/>
  <c r="AB150" i="1" s="1"/>
  <c r="I150" i="1"/>
  <c r="O150" i="1" s="1"/>
  <c r="P134" i="1" s="1"/>
  <c r="H150" i="1"/>
  <c r="AF148" i="1"/>
  <c r="AN148" i="1" s="1"/>
  <c r="AE148" i="1"/>
  <c r="AM148" i="1" s="1"/>
  <c r="AA148" i="1"/>
  <c r="Z148" i="1"/>
  <c r="O148" i="1"/>
  <c r="L148" i="1"/>
  <c r="J148" i="1"/>
  <c r="AB148" i="1" s="1"/>
  <c r="AM146" i="1"/>
  <c r="AF146" i="1"/>
  <c r="AN146" i="1" s="1"/>
  <c r="AE146" i="1"/>
  <c r="AA146" i="1"/>
  <c r="Z146" i="1"/>
  <c r="O146" i="1"/>
  <c r="L146" i="1"/>
  <c r="J146" i="1"/>
  <c r="AB146" i="1" s="1"/>
  <c r="I146" i="1"/>
  <c r="H146" i="1"/>
  <c r="AF137" i="1"/>
  <c r="AN137" i="1" s="1"/>
  <c r="AE137" i="1"/>
  <c r="AM137" i="1" s="1"/>
  <c r="AA137" i="1"/>
  <c r="Z137" i="1"/>
  <c r="O137" i="1"/>
  <c r="L137" i="1"/>
  <c r="J137" i="1"/>
  <c r="AB137" i="1" s="1"/>
  <c r="AM135" i="1"/>
  <c r="AF135" i="1"/>
  <c r="AN135" i="1" s="1"/>
  <c r="AE135" i="1"/>
  <c r="AA135" i="1"/>
  <c r="AJ134" i="1" s="1"/>
  <c r="Z135" i="1"/>
  <c r="AI134" i="1" s="1"/>
  <c r="O135" i="1"/>
  <c r="L135" i="1"/>
  <c r="J135" i="1"/>
  <c r="AB135" i="1" s="1"/>
  <c r="I135" i="1"/>
  <c r="H135" i="1"/>
  <c r="X134" i="1"/>
  <c r="W134" i="1"/>
  <c r="V134" i="1"/>
  <c r="U134" i="1"/>
  <c r="T134" i="1"/>
  <c r="AF132" i="1"/>
  <c r="AN132" i="1" s="1"/>
  <c r="AE132" i="1"/>
  <c r="AM132" i="1" s="1"/>
  <c r="AA132" i="1"/>
  <c r="AJ131" i="1" s="1"/>
  <c r="Z132" i="1"/>
  <c r="O132" i="1"/>
  <c r="P131" i="1" s="1"/>
  <c r="L132" i="1"/>
  <c r="L131" i="1" s="1"/>
  <c r="J132" i="1"/>
  <c r="AB132" i="1" s="1"/>
  <c r="AK131" i="1" s="1"/>
  <c r="AI131" i="1"/>
  <c r="X131" i="1"/>
  <c r="W131" i="1"/>
  <c r="V131" i="1"/>
  <c r="S131" i="1"/>
  <c r="R131" i="1"/>
  <c r="AF129" i="1"/>
  <c r="AN129" i="1" s="1"/>
  <c r="AE129" i="1"/>
  <c r="AM129" i="1" s="1"/>
  <c r="AB129" i="1"/>
  <c r="AA129" i="1"/>
  <c r="Z129" i="1"/>
  <c r="O129" i="1"/>
  <c r="L129" i="1"/>
  <c r="J129" i="1"/>
  <c r="AN127" i="1"/>
  <c r="AF127" i="1"/>
  <c r="AE127" i="1"/>
  <c r="AM127" i="1" s="1"/>
  <c r="AA127" i="1"/>
  <c r="AJ126" i="1" s="1"/>
  <c r="Z127" i="1"/>
  <c r="AI126" i="1" s="1"/>
  <c r="O127" i="1"/>
  <c r="L127" i="1"/>
  <c r="J127" i="1"/>
  <c r="AB127" i="1" s="1"/>
  <c r="AK126" i="1" s="1"/>
  <c r="H127" i="1"/>
  <c r="X126" i="1"/>
  <c r="W126" i="1"/>
  <c r="V126" i="1"/>
  <c r="S126" i="1"/>
  <c r="R126" i="1"/>
  <c r="AN124" i="1"/>
  <c r="AF124" i="1"/>
  <c r="AE124" i="1"/>
  <c r="AM124" i="1" s="1"/>
  <c r="AA124" i="1"/>
  <c r="Z124" i="1"/>
  <c r="O124" i="1"/>
  <c r="L124" i="1"/>
  <c r="J124" i="1"/>
  <c r="AM122" i="1"/>
  <c r="AF122" i="1"/>
  <c r="AN122" i="1" s="1"/>
  <c r="AE122" i="1"/>
  <c r="AA122" i="1"/>
  <c r="Z122" i="1"/>
  <c r="O122" i="1"/>
  <c r="L122" i="1"/>
  <c r="J122" i="1"/>
  <c r="H122" i="1"/>
  <c r="AN119" i="1"/>
  <c r="AF119" i="1"/>
  <c r="AE119" i="1"/>
  <c r="AM119" i="1" s="1"/>
  <c r="AA119" i="1"/>
  <c r="AJ118" i="1" s="1"/>
  <c r="Z119" i="1"/>
  <c r="O119" i="1"/>
  <c r="L119" i="1"/>
  <c r="L118" i="1" s="1"/>
  <c r="J119" i="1"/>
  <c r="AI118" i="1"/>
  <c r="X118" i="1"/>
  <c r="W118" i="1"/>
  <c r="V118" i="1"/>
  <c r="S118" i="1"/>
  <c r="R118" i="1"/>
  <c r="AF109" i="1"/>
  <c r="AN109" i="1" s="1"/>
  <c r="AE109" i="1"/>
  <c r="AM109" i="1" s="1"/>
  <c r="AA109" i="1"/>
  <c r="Z109" i="1"/>
  <c r="O109" i="1"/>
  <c r="L109" i="1"/>
  <c r="J109" i="1"/>
  <c r="AB109" i="1" s="1"/>
  <c r="AM105" i="1"/>
  <c r="AF105" i="1"/>
  <c r="AN105" i="1" s="1"/>
  <c r="AE105" i="1"/>
  <c r="AA105" i="1"/>
  <c r="Z105" i="1"/>
  <c r="O105" i="1"/>
  <c r="L105" i="1"/>
  <c r="J105" i="1"/>
  <c r="AB105" i="1" s="1"/>
  <c r="I105" i="1"/>
  <c r="H105" i="1"/>
  <c r="AF101" i="1"/>
  <c r="AN101" i="1" s="1"/>
  <c r="AE101" i="1"/>
  <c r="AM101" i="1" s="1"/>
  <c r="AA101" i="1"/>
  <c r="Z101" i="1"/>
  <c r="O101" i="1"/>
  <c r="P100" i="1" s="1"/>
  <c r="L101" i="1"/>
  <c r="L100" i="1" s="1"/>
  <c r="J101" i="1"/>
  <c r="AB101" i="1" s="1"/>
  <c r="AJ100" i="1"/>
  <c r="X100" i="1"/>
  <c r="W100" i="1"/>
  <c r="V100" i="1"/>
  <c r="S100" i="1"/>
  <c r="R100" i="1"/>
  <c r="AF98" i="1"/>
  <c r="AN98" i="1" s="1"/>
  <c r="AE98" i="1"/>
  <c r="AM98" i="1" s="1"/>
  <c r="AA98" i="1"/>
  <c r="Z98" i="1"/>
  <c r="O98" i="1"/>
  <c r="P97" i="1" s="1"/>
  <c r="L98" i="1"/>
  <c r="L97" i="1" s="1"/>
  <c r="J98" i="1"/>
  <c r="AB98" i="1" s="1"/>
  <c r="AK97" i="1" s="1"/>
  <c r="AJ97" i="1"/>
  <c r="AI97" i="1"/>
  <c r="X97" i="1"/>
  <c r="W97" i="1"/>
  <c r="V97" i="1"/>
  <c r="S97" i="1"/>
  <c r="R97" i="1"/>
  <c r="AF95" i="1"/>
  <c r="AN95" i="1" s="1"/>
  <c r="AE95" i="1"/>
  <c r="AM95" i="1" s="1"/>
  <c r="AA95" i="1"/>
  <c r="Z95" i="1"/>
  <c r="O95" i="1"/>
  <c r="L95" i="1"/>
  <c r="J95" i="1"/>
  <c r="AB95" i="1" s="1"/>
  <c r="H95" i="1"/>
  <c r="I95" i="1" s="1"/>
  <c r="AN93" i="1"/>
  <c r="AF93" i="1"/>
  <c r="AE93" i="1"/>
  <c r="AM93" i="1" s="1"/>
  <c r="AB93" i="1"/>
  <c r="AA93" i="1"/>
  <c r="Z93" i="1"/>
  <c r="O93" i="1"/>
  <c r="L93" i="1"/>
  <c r="J93" i="1"/>
  <c r="H93" i="1"/>
  <c r="AF90" i="1"/>
  <c r="AN90" i="1" s="1"/>
  <c r="AE90" i="1"/>
  <c r="AM90" i="1" s="1"/>
  <c r="AA90" i="1"/>
  <c r="Z90" i="1"/>
  <c r="O90" i="1"/>
  <c r="L90" i="1"/>
  <c r="J90" i="1"/>
  <c r="AB90" i="1" s="1"/>
  <c r="H90" i="1"/>
  <c r="I90" i="1" s="1"/>
  <c r="AN80" i="1"/>
  <c r="AF80" i="1"/>
  <c r="AE80" i="1"/>
  <c r="AM80" i="1" s="1"/>
  <c r="AB80" i="1"/>
  <c r="AA80" i="1"/>
  <c r="Z80" i="1"/>
  <c r="O80" i="1"/>
  <c r="L80" i="1"/>
  <c r="J80" i="1"/>
  <c r="AF77" i="1"/>
  <c r="AN77" i="1" s="1"/>
  <c r="AE77" i="1"/>
  <c r="AM77" i="1" s="1"/>
  <c r="AB77" i="1"/>
  <c r="AA77" i="1"/>
  <c r="Z77" i="1"/>
  <c r="O77" i="1"/>
  <c r="L77" i="1"/>
  <c r="J77" i="1"/>
  <c r="AN74" i="1"/>
  <c r="AF74" i="1"/>
  <c r="AE74" i="1"/>
  <c r="AM74" i="1" s="1"/>
  <c r="AA74" i="1"/>
  <c r="Z74" i="1"/>
  <c r="O74" i="1"/>
  <c r="L74" i="1"/>
  <c r="J74" i="1"/>
  <c r="AB74" i="1" s="1"/>
  <c r="H74" i="1"/>
  <c r="AF67" i="1"/>
  <c r="AN67" i="1" s="1"/>
  <c r="AE67" i="1"/>
  <c r="AM67" i="1" s="1"/>
  <c r="AB67" i="1"/>
  <c r="AA67" i="1"/>
  <c r="Z67" i="1"/>
  <c r="O67" i="1"/>
  <c r="L67" i="1"/>
  <c r="J67" i="1"/>
  <c r="AN60" i="1"/>
  <c r="AF60" i="1"/>
  <c r="AE60" i="1"/>
  <c r="AM60" i="1" s="1"/>
  <c r="AA60" i="1"/>
  <c r="Z60" i="1"/>
  <c r="O60" i="1"/>
  <c r="L60" i="1"/>
  <c r="J60" i="1"/>
  <c r="AB60" i="1" s="1"/>
  <c r="H60" i="1"/>
  <c r="AN54" i="1"/>
  <c r="AF54" i="1"/>
  <c r="AE54" i="1"/>
  <c r="AM54" i="1" s="1"/>
  <c r="AB54" i="1"/>
  <c r="AA54" i="1"/>
  <c r="Z54" i="1"/>
  <c r="O54" i="1"/>
  <c r="L54" i="1"/>
  <c r="J54" i="1"/>
  <c r="AN51" i="1"/>
  <c r="AF51" i="1"/>
  <c r="AE51" i="1"/>
  <c r="AM51" i="1" s="1"/>
  <c r="AA51" i="1"/>
  <c r="Z51" i="1"/>
  <c r="O51" i="1"/>
  <c r="L51" i="1"/>
  <c r="J51" i="1"/>
  <c r="AB51" i="1" s="1"/>
  <c r="H51" i="1"/>
  <c r="AN48" i="1"/>
  <c r="AF48" i="1"/>
  <c r="AE48" i="1"/>
  <c r="AM48" i="1" s="1"/>
  <c r="AB48" i="1"/>
  <c r="AA48" i="1"/>
  <c r="Z48" i="1"/>
  <c r="O48" i="1"/>
  <c r="L48" i="1"/>
  <c r="J48" i="1"/>
  <c r="AN45" i="1"/>
  <c r="AF45" i="1"/>
  <c r="AE45" i="1"/>
  <c r="AM45" i="1" s="1"/>
  <c r="AA45" i="1"/>
  <c r="Z45" i="1"/>
  <c r="O45" i="1"/>
  <c r="L45" i="1"/>
  <c r="J45" i="1"/>
  <c r="I45" i="1" s="1"/>
  <c r="H45" i="1"/>
  <c r="AN35" i="1"/>
  <c r="AF35" i="1"/>
  <c r="AE35" i="1"/>
  <c r="AM35" i="1" s="1"/>
  <c r="AB35" i="1"/>
  <c r="AA35" i="1"/>
  <c r="Z35" i="1"/>
  <c r="O35" i="1"/>
  <c r="L35" i="1"/>
  <c r="J35" i="1"/>
  <c r="AN25" i="1"/>
  <c r="AF25" i="1"/>
  <c r="AE25" i="1"/>
  <c r="AM25" i="1" s="1"/>
  <c r="AA25" i="1"/>
  <c r="Z25" i="1"/>
  <c r="O25" i="1"/>
  <c r="L25" i="1"/>
  <c r="J25" i="1"/>
  <c r="I25" i="1" s="1"/>
  <c r="H25" i="1"/>
  <c r="AN22" i="1"/>
  <c r="AF22" i="1"/>
  <c r="AE22" i="1"/>
  <c r="AM22" i="1" s="1"/>
  <c r="AB22" i="1"/>
  <c r="AA22" i="1"/>
  <c r="Z22" i="1"/>
  <c r="O22" i="1"/>
  <c r="L22" i="1"/>
  <c r="J22" i="1"/>
  <c r="AN19" i="1"/>
  <c r="AF19" i="1"/>
  <c r="AE19" i="1"/>
  <c r="AM19" i="1" s="1"/>
  <c r="AA19" i="1"/>
  <c r="AJ18" i="1" s="1"/>
  <c r="Z19" i="1"/>
  <c r="O19" i="1"/>
  <c r="L19" i="1"/>
  <c r="J19" i="1"/>
  <c r="I19" i="1" s="1"/>
  <c r="H19" i="1"/>
  <c r="AI18" i="1"/>
  <c r="X18" i="1"/>
  <c r="W18" i="1"/>
  <c r="V18" i="1"/>
  <c r="U18" i="1"/>
  <c r="T18" i="1"/>
  <c r="AF16" i="1"/>
  <c r="AN16" i="1" s="1"/>
  <c r="AE16" i="1"/>
  <c r="AM16" i="1" s="1"/>
  <c r="AA16" i="1"/>
  <c r="Z16" i="1"/>
  <c r="O16" i="1"/>
  <c r="P12" i="1" s="1"/>
  <c r="L16" i="1"/>
  <c r="J16" i="1"/>
  <c r="AN13" i="1"/>
  <c r="AM13" i="1"/>
  <c r="AF13" i="1"/>
  <c r="AE13" i="1"/>
  <c r="AA13" i="1"/>
  <c r="Z13" i="1"/>
  <c r="AI12" i="1" s="1"/>
  <c r="O13" i="1"/>
  <c r="L13" i="1"/>
  <c r="J13" i="1"/>
  <c r="H13" i="1"/>
  <c r="X12" i="1"/>
  <c r="W12" i="1"/>
  <c r="V12" i="1"/>
  <c r="U12" i="1"/>
  <c r="T12" i="1"/>
  <c r="H12" i="1" l="1"/>
  <c r="R12" i="1" s="1"/>
  <c r="C20" i="2"/>
  <c r="L12" i="1"/>
  <c r="H16" i="1"/>
  <c r="AB19" i="1"/>
  <c r="H22" i="1"/>
  <c r="AB25" i="1"/>
  <c r="H35" i="1"/>
  <c r="AB45" i="1"/>
  <c r="H48" i="1"/>
  <c r="I48" i="1" s="1"/>
  <c r="H54" i="1"/>
  <c r="I54" i="1" s="1"/>
  <c r="H67" i="1"/>
  <c r="I67" i="1" s="1"/>
  <c r="H77" i="1"/>
  <c r="I77" i="1" s="1"/>
  <c r="H101" i="1"/>
  <c r="H109" i="1"/>
  <c r="I109" i="1" s="1"/>
  <c r="P118" i="1"/>
  <c r="H129" i="1"/>
  <c r="I129" i="1" s="1"/>
  <c r="AK134" i="1"/>
  <c r="H137" i="1"/>
  <c r="H134" i="1" s="1"/>
  <c r="H148" i="1"/>
  <c r="AM154" i="1"/>
  <c r="P156" i="1"/>
  <c r="H172" i="1"/>
  <c r="H171" i="1" s="1"/>
  <c r="AK156" i="1"/>
  <c r="P18" i="1"/>
  <c r="I22" i="1"/>
  <c r="I35" i="1"/>
  <c r="I93" i="1"/>
  <c r="I101" i="1"/>
  <c r="AI100" i="1"/>
  <c r="H119" i="1"/>
  <c r="H124" i="1"/>
  <c r="I124" i="1" s="1"/>
  <c r="P126" i="1"/>
  <c r="L134" i="1"/>
  <c r="I148" i="1"/>
  <c r="L151" i="1"/>
  <c r="I157" i="1"/>
  <c r="I162" i="1"/>
  <c r="I172" i="1"/>
  <c r="I171" i="1" s="1"/>
  <c r="W171" i="1" s="1"/>
  <c r="C19" i="2" s="1"/>
  <c r="H151" i="1"/>
  <c r="R151" i="1" s="1"/>
  <c r="L156" i="1"/>
  <c r="I51" i="1"/>
  <c r="I60" i="1"/>
  <c r="I74" i="1"/>
  <c r="I127" i="1"/>
  <c r="I126" i="1" s="1"/>
  <c r="U126" i="1" s="1"/>
  <c r="I154" i="1"/>
  <c r="O154" i="1" s="1"/>
  <c r="P151" i="1" s="1"/>
  <c r="I175" i="1"/>
  <c r="I176" i="1"/>
  <c r="O176" i="1" s="1"/>
  <c r="I177" i="1"/>
  <c r="O177" i="1" s="1"/>
  <c r="I178" i="1"/>
  <c r="O178" i="1" s="1"/>
  <c r="I180" i="1"/>
  <c r="O180" i="1" s="1"/>
  <c r="I122" i="1"/>
  <c r="AB122" i="1"/>
  <c r="H98" i="1"/>
  <c r="AK100" i="1"/>
  <c r="H132" i="1"/>
  <c r="I152" i="1"/>
  <c r="AB152" i="1"/>
  <c r="C28" i="2"/>
  <c r="F28" i="2" s="1"/>
  <c r="AA181" i="1"/>
  <c r="AB119" i="1"/>
  <c r="AB124" i="1"/>
  <c r="L126" i="1"/>
  <c r="I156" i="1"/>
  <c r="S156" i="1" s="1"/>
  <c r="R174" i="1"/>
  <c r="I13" i="1"/>
  <c r="AB13" i="1"/>
  <c r="AJ12" i="1"/>
  <c r="I16" i="1"/>
  <c r="AB16" i="1"/>
  <c r="Z181" i="1"/>
  <c r="L18" i="1"/>
  <c r="O175" i="1"/>
  <c r="H80" i="1"/>
  <c r="I80" i="1" s="1"/>
  <c r="AB154" i="1"/>
  <c r="C29" i="2" s="1"/>
  <c r="F29" i="2" s="1"/>
  <c r="H164" i="1"/>
  <c r="AB175" i="1"/>
  <c r="AB176" i="1"/>
  <c r="AB177" i="1"/>
  <c r="AB178" i="1"/>
  <c r="AB180" i="1"/>
  <c r="C27" i="2"/>
  <c r="H126" i="1"/>
  <c r="H156" i="1"/>
  <c r="R134" i="1" l="1"/>
  <c r="I137" i="1"/>
  <c r="I134" i="1" s="1"/>
  <c r="S134" i="1" s="1"/>
  <c r="H118" i="1"/>
  <c r="T118" i="1" s="1"/>
  <c r="H100" i="1"/>
  <c r="J171" i="1"/>
  <c r="I18" i="1"/>
  <c r="S18" i="1" s="1"/>
  <c r="V171" i="1"/>
  <c r="C18" i="2" s="1"/>
  <c r="I174" i="1"/>
  <c r="AK18" i="1"/>
  <c r="I100" i="1"/>
  <c r="U100" i="1" s="1"/>
  <c r="P174" i="1"/>
  <c r="C21" i="2" s="1"/>
  <c r="I119" i="1"/>
  <c r="I118" i="1" s="1"/>
  <c r="U118" i="1" s="1"/>
  <c r="I151" i="1"/>
  <c r="I28" i="2"/>
  <c r="I29" i="2" s="1"/>
  <c r="AK151" i="1"/>
  <c r="I132" i="1"/>
  <c r="I131" i="1" s="1"/>
  <c r="U131" i="1" s="1"/>
  <c r="H131" i="1"/>
  <c r="AK174" i="1"/>
  <c r="J174" i="1"/>
  <c r="I98" i="1"/>
  <c r="I97" i="1" s="1"/>
  <c r="U97" i="1" s="1"/>
  <c r="H97" i="1"/>
  <c r="R156" i="1"/>
  <c r="J156" i="1"/>
  <c r="AK12" i="1"/>
  <c r="AB181" i="1"/>
  <c r="T126" i="1"/>
  <c r="J126" i="1"/>
  <c r="J164" i="1"/>
  <c r="R164" i="1"/>
  <c r="I12" i="1"/>
  <c r="AK118" i="1"/>
  <c r="H18" i="1"/>
  <c r="C17" i="2" l="1"/>
  <c r="S151" i="1"/>
  <c r="J151" i="1"/>
  <c r="J134" i="1"/>
  <c r="J118" i="1"/>
  <c r="S174" i="1"/>
  <c r="T100" i="1"/>
  <c r="J100" i="1"/>
  <c r="R18" i="1"/>
  <c r="C14" i="2" s="1"/>
  <c r="J18" i="1"/>
  <c r="J131" i="1"/>
  <c r="T131" i="1"/>
  <c r="S12" i="1"/>
  <c r="C15" i="2" s="1"/>
  <c r="J12" i="1"/>
  <c r="J97" i="1"/>
  <c r="T97" i="1"/>
  <c r="C16" i="2" s="1"/>
  <c r="J181" i="1" l="1"/>
  <c r="C22" i="2"/>
</calcChain>
</file>

<file path=xl/sharedStrings.xml><?xml version="1.0" encoding="utf-8"?>
<sst xmlns="http://schemas.openxmlformats.org/spreadsheetml/2006/main" count="682" uniqueCount="390">
  <si>
    <t>Slepý stavební rozpočet</t>
  </si>
  <si>
    <t>Název stavby:</t>
  </si>
  <si>
    <t>STAVEBNÍ ÚPRAVY - ZATEPLENÍ OBJEKTU VÚRV - FASÁDY - revize 21.09.2016</t>
  </si>
  <si>
    <t>Doba výstavby:</t>
  </si>
  <si>
    <t>Objednatel:</t>
  </si>
  <si>
    <t>Výzkumný ústav rostlinné výroby</t>
  </si>
  <si>
    <t>Druh stavby:</t>
  </si>
  <si>
    <t>D.1.1. ARCHITEKTONICKO-STAVEBNÍ ŘEŠENÍ</t>
  </si>
  <si>
    <t>Začátek výstavby:</t>
  </si>
  <si>
    <t xml:space="preserve"> </t>
  </si>
  <si>
    <t>Projektant:</t>
  </si>
  <si>
    <t>ing. Jindřich Janoušek</t>
  </si>
  <si>
    <t>Lokalita:</t>
  </si>
  <si>
    <t>Chomutov, ul. Černovická č.p. 4987</t>
  </si>
  <si>
    <t>Konec výstavby:</t>
  </si>
  <si>
    <t>Zhotovitel:</t>
  </si>
  <si>
    <t>Dle výběrového řízení</t>
  </si>
  <si>
    <t>JKSO:</t>
  </si>
  <si>
    <t>Zpracováno dne:</t>
  </si>
  <si>
    <t>Zpracoval:</t>
  </si>
  <si>
    <t>Kamila Možná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</si>
  <si>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</si>
  <si>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</si>
  <si>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</si>
  <si>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</si>
  <si>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</si>
  <si>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</si>
  <si>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</si>
  <si>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</si>
  <si>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</si>
  <si>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</si>
  <si>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>Rozměry</t>
  </si>
  <si>
    <t>cena 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</si>
  <si>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</si>
  <si>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</si>
  <si>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</si>
  <si>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</si>
  <si>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</si>
  <si>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</si>
  <si>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</si>
  <si>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</si>
  <si>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</si>
  <si>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</si>
  <si>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</si>
  <si>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</si>
  <si>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</si>
  <si>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34</t>
  </si>
  <si>
    <t>Stěny a příčky</t>
  </si>
  <si>
    <t>HS</t>
  </si>
  <si>
    <t>1</t>
  </si>
  <si>
    <t>342266111R00</t>
  </si>
  <si>
    <t>Obklad stěn sádrokartonem na ocelovou konstrukci</t>
  </si>
  <si>
    <t>m2</t>
  </si>
  <si>
    <t>RTS I / 2016</t>
  </si>
  <si>
    <t>34_</t>
  </si>
  <si>
    <t>3_</t>
  </si>
  <si>
    <t>_</t>
  </si>
  <si>
    <t>(0,6+0,5)*3,3*2;mč, 1,08;</t>
  </si>
  <si>
    <t>7,26*0,05;ztratné 5%;</t>
  </si>
  <si>
    <t>2</t>
  </si>
  <si>
    <t>342266998R00</t>
  </si>
  <si>
    <t>Příplatek pro obklad za plochu do 5 m2</t>
  </si>
  <si>
    <t>7,26;viz obklad;</t>
  </si>
  <si>
    <t>62</t>
  </si>
  <si>
    <t>Úprava povrchů vnější</t>
  </si>
  <si>
    <t>3</t>
  </si>
  <si>
    <t>622311733RV1</t>
  </si>
  <si>
    <t>Zatepl.syst., fasáda, miner.desky tl. 120 mm zakončený stěrkou s výztužnou tkaninou</t>
  </si>
  <si>
    <t>62_</t>
  </si>
  <si>
    <t>6_</t>
  </si>
  <si>
    <t>4</t>
  </si>
  <si>
    <t>622311750RT6</t>
  </si>
  <si>
    <t>Povrchová úprava ostění KZS s min.vlnou s omítkou silikonovou</t>
  </si>
  <si>
    <t>1*3,3*2;vstup SO001;</t>
  </si>
  <si>
    <t>6,6*0,05;ztratné 5%;</t>
  </si>
  <si>
    <t>5</t>
  </si>
  <si>
    <t>622311524RU1</t>
  </si>
  <si>
    <t>Zateplovací systém Baumit, sokl, XPS tl. 140 mm s mozaikovou omítkou</t>
  </si>
  <si>
    <t>(38,04-5,7)*0,6;SO001 jihovýchod;</t>
  </si>
  <si>
    <t>14,98*0,6;SO002 jihovýchod;</t>
  </si>
  <si>
    <t>15*0,6;SO001 jihozápad;</t>
  </si>
  <si>
    <t>5,3*0,6;SO001 severovýchod;</t>
  </si>
  <si>
    <t>23,65*0,6;SO002 severovýchod;</t>
  </si>
  <si>
    <t>15*0,6;SO002 severozápad;</t>
  </si>
  <si>
    <t>13,94*0,6;SO002 jihozápad;</t>
  </si>
  <si>
    <t>29,78*0,6;SO001 severozápad;</t>
  </si>
  <si>
    <t>90,044*0,05;ztratné 5%;</t>
  </si>
  <si>
    <t>6</t>
  </si>
  <si>
    <t>622311134RT3</t>
  </si>
  <si>
    <t>Zateplovací systém, fasáda, EPS F tl.140 mm s omítkou silikonovou</t>
  </si>
  <si>
    <t>38,04*8-(5,7*3,5+2,4*2,1*16);SO001 jihovýchod;</t>
  </si>
  <si>
    <t>14,98*4,5-(2,4*2,1*3);SO002 jihovýchod;</t>
  </si>
  <si>
    <t>15*8-(1,2*2,1*14);SO001 jihozápad;</t>
  </si>
  <si>
    <t>5,3*8-(2,4*2,1)+10*3,5;SO001 severovýchod;</t>
  </si>
  <si>
    <t>23,65*4,5-(1,2*2,1*7);SO002 severovýchod;</t>
  </si>
  <si>
    <t>15*4,5-(2,4*2,1*2+1,45*2);SO002 severozápad;</t>
  </si>
  <si>
    <t>13,94*4,5-(1,2*2,1*4);SO002 jihozápad;</t>
  </si>
  <si>
    <t>29,78*8-(2,4*2,1*13+1,2*2,1*2+1*2);SO001 severozápad;</t>
  </si>
  <si>
    <t>774,785*0,05;ztratné 5%;</t>
  </si>
  <si>
    <t>7</t>
  </si>
  <si>
    <t>622311113R00</t>
  </si>
  <si>
    <t>Dilatační profil KZS rohový</t>
  </si>
  <si>
    <t>m</t>
  </si>
  <si>
    <t>5*2;SO002;</t>
  </si>
  <si>
    <t>10*0,05;ztratné 5%;</t>
  </si>
  <si>
    <t>8</t>
  </si>
  <si>
    <t>622311130RT3</t>
  </si>
  <si>
    <t>Zateplovací systém, ostění a nadpraží, EPS F tl. 30 mm s omítkou Silikon</t>
  </si>
  <si>
    <t>126,1575*0,3;viz okenní lišta;</t>
  </si>
  <si>
    <t>248,64*0,3;viz rohová lišta;</t>
  </si>
  <si>
    <t>9</t>
  </si>
  <si>
    <t>622311653RT3</t>
  </si>
  <si>
    <t>Zateplovací systém, parapety, XPS tl. 30 mm</t>
  </si>
  <si>
    <t>121,6*0,3;viz délka parapetů krát šířka;</t>
  </si>
  <si>
    <t>36,48*0,05;ztratné 5%;</t>
  </si>
  <si>
    <t>10</t>
  </si>
  <si>
    <t>620991121R00</t>
  </si>
  <si>
    <t>Zakrývání výplní vnějších otvorů</t>
  </si>
  <si>
    <t>1,2*2,1*14;jihozápad;</t>
  </si>
  <si>
    <t>2,4*2,1*16+2,4*2,1*3+5,7*3,5;jihovýchod;</t>
  </si>
  <si>
    <t>2,4*2,1*2+1,45*2+1*2+1,2*2,1*2+2,4*2,1*13+1*0,6*4;severozápad;</t>
  </si>
  <si>
    <t>2,4*2,1+1,2*2,1+1,2*2,1*7;severovýchod;</t>
  </si>
  <si>
    <t>1,2*2,1*4;jihozápad ze dvora;</t>
  </si>
  <si>
    <t>11</t>
  </si>
  <si>
    <t>622421491R00</t>
  </si>
  <si>
    <t>Doplňky zatepl. systémů, okenní lišta s okapničkou</t>
  </si>
  <si>
    <t>1,2*14;jihozápad;</t>
  </si>
  <si>
    <t>2,4*12+2,4*3+5,7;jihovýchod;</t>
  </si>
  <si>
    <t>2,4*2+1,45+1+1,2*2+2,4*13+1*4;severozápad;</t>
  </si>
  <si>
    <t>2,4+1,2+1,2*7;severovýchod;</t>
  </si>
  <si>
    <t>1,2*4;jihozápad ze dvora;</t>
  </si>
  <si>
    <t>120,15*0,05;ztratné 5%;</t>
  </si>
  <si>
    <t>12</t>
  </si>
  <si>
    <t>622421492R00</t>
  </si>
  <si>
    <t>Doplňky zatepl. systémů, okenní lišta s tkaninou</t>
  </si>
  <si>
    <t>2*14;jihozápad;</t>
  </si>
  <si>
    <t>2,1*2*12+2,1*2*3+3,5*2;jihovýchod;</t>
  </si>
  <si>
    <t>2,1*2*2+2*2+2*2+2,1*2*2+2,1*2*13+0,6*2*4;severozápad;</t>
  </si>
  <si>
    <t>2,1*2+2,1*2+2,1*2*7;severovýchod;</t>
  </si>
  <si>
    <t>2,1*2*4;jihozápad ze dvora;</t>
  </si>
  <si>
    <t>236,8*0,05;ztratné 5%;</t>
  </si>
  <si>
    <t>13</t>
  </si>
  <si>
    <t>622421497VD</t>
  </si>
  <si>
    <t>Doplňky zatep. systémů, APU lišta</t>
  </si>
  <si>
    <t>126,1575;viz okenní lišta;</t>
  </si>
  <si>
    <t>248,64;viz rohová lišta;</t>
  </si>
  <si>
    <t>14</t>
  </si>
  <si>
    <t>622421494R00</t>
  </si>
  <si>
    <t>Doplňky zatepl. systémů, podparapetní lišta s tkan + fólie</t>
  </si>
  <si>
    <t>121,6;viz parapety;</t>
  </si>
  <si>
    <t>121,6*0,05;ztratné 5%;</t>
  </si>
  <si>
    <t>15</t>
  </si>
  <si>
    <t>622311014R00</t>
  </si>
  <si>
    <t>Soklová lišta hliník KZS Baumit tl. 140 mm</t>
  </si>
  <si>
    <t>38,04-5,7;SO001 jihovýchod;</t>
  </si>
  <si>
    <t>14,98;SO002 jihovýchod;</t>
  </si>
  <si>
    <t>15;SO001 jihozápad;</t>
  </si>
  <si>
    <t>5,3;SO001 severovýchod;</t>
  </si>
  <si>
    <t>23,65;SO002 severovýchod;</t>
  </si>
  <si>
    <t>15;SO002 severozápad;</t>
  </si>
  <si>
    <t>13,94;SO002 jihozápad;</t>
  </si>
  <si>
    <t>29,78;SO001 severozápad;</t>
  </si>
  <si>
    <t>149,99*0,05;ztratné 5%;</t>
  </si>
  <si>
    <t>16</t>
  </si>
  <si>
    <t>622904112R00</t>
  </si>
  <si>
    <t>Očištění fasád tlakovou vodou</t>
  </si>
  <si>
    <t>94,4962;sokl 140mm s mozaik, omítkou;</t>
  </si>
  <si>
    <t>813,47425;fasáda EPS 140mm;</t>
  </si>
  <si>
    <t>17</t>
  </si>
  <si>
    <t>622422111R00</t>
  </si>
  <si>
    <t>Oprava vnějších omítek vápen. hladk. II, do 10 %</t>
  </si>
  <si>
    <t>907,97;viz omytí;</t>
  </si>
  <si>
    <t>18</t>
  </si>
  <si>
    <t>622481113R00</t>
  </si>
  <si>
    <t>Potažení vnějších stěn sklotex. pletivem, vypnutí</t>
  </si>
  <si>
    <t>157,4895*2;viz soklová lišta krát výška 2m;</t>
  </si>
  <si>
    <t>713</t>
  </si>
  <si>
    <t>Izolace tepelné</t>
  </si>
  <si>
    <t>PS</t>
  </si>
  <si>
    <t>19</t>
  </si>
  <si>
    <t>713134211RK3</t>
  </si>
  <si>
    <t>Montáž parozábrany na stěny s přelepením spojů včetně dodávky</t>
  </si>
  <si>
    <t>713_</t>
  </si>
  <si>
    <t>71_</t>
  </si>
  <si>
    <t>7,62;viz obklad SDK;</t>
  </si>
  <si>
    <t>764</t>
  </si>
  <si>
    <t>Konstrukce klempířské</t>
  </si>
  <si>
    <t>20</t>
  </si>
  <si>
    <t>764900050RA0</t>
  </si>
  <si>
    <t>Demontáž oplechování parapetů</t>
  </si>
  <si>
    <t>764_</t>
  </si>
  <si>
    <t>76_</t>
  </si>
  <si>
    <t>2,4*35;B1;</t>
  </si>
  <si>
    <t>1,2*28;B2;</t>
  </si>
  <si>
    <t>1*4;B3;</t>
  </si>
  <si>
    <t>21</t>
  </si>
  <si>
    <t>764410310RAB</t>
  </si>
  <si>
    <t>Oplechování parapetů z elox. hliníku včetně doplňků</t>
  </si>
  <si>
    <t>2,4*35;1/K;</t>
  </si>
  <si>
    <t>1,2*28;2/K;</t>
  </si>
  <si>
    <t>1*4;3/K;</t>
  </si>
  <si>
    <t>22</t>
  </si>
  <si>
    <t>764530400R00</t>
  </si>
  <si>
    <t>Oplechování návaznosti atiky z Ti Zn plechu, rš 330 mm vč. příponk. plechu a pásky</t>
  </si>
  <si>
    <t>15,3;jihozápad SO001;</t>
  </si>
  <si>
    <t>38,5;jihovýchod SO001;</t>
  </si>
  <si>
    <t>15;jihovýchod SO002;</t>
  </si>
  <si>
    <t>15,3;severovýchod SO001;</t>
  </si>
  <si>
    <t>24;severovýchod SO002;</t>
  </si>
  <si>
    <t>15;severozápad SO002;</t>
  </si>
  <si>
    <t>38,5;severozápad SO001;</t>
  </si>
  <si>
    <t>14,1;jihozápad SO002 ze dvora;</t>
  </si>
  <si>
    <t>766</t>
  </si>
  <si>
    <t>Konstrukce truhlářské</t>
  </si>
  <si>
    <t>23</t>
  </si>
  <si>
    <t>766629304R00</t>
  </si>
  <si>
    <t>Montáž dveří plastových</t>
  </si>
  <si>
    <t>kus</t>
  </si>
  <si>
    <t>766_</t>
  </si>
  <si>
    <t>1;1/P;</t>
  </si>
  <si>
    <t>1;4/D;</t>
  </si>
  <si>
    <t>24</t>
  </si>
  <si>
    <t>611111159VD</t>
  </si>
  <si>
    <t>Dveře plastové 900x1970mm</t>
  </si>
  <si>
    <t>0</t>
  </si>
  <si>
    <t>25</t>
  </si>
  <si>
    <t>611111162VD</t>
  </si>
  <si>
    <t>Dveře plastové 1450x1970mm</t>
  </si>
  <si>
    <t>767</t>
  </si>
  <si>
    <t>Konstrukce doplňkové stavební (zámečnické)</t>
  </si>
  <si>
    <t>26</t>
  </si>
  <si>
    <t>767001152VD</t>
  </si>
  <si>
    <t>Demontáž požárního žebříku</t>
  </si>
  <si>
    <t>767_</t>
  </si>
  <si>
    <t>1;B14;</t>
  </si>
  <si>
    <t>27</t>
  </si>
  <si>
    <t>767995114VD</t>
  </si>
  <si>
    <t>Zpětné osazení požárního žebříku včetně přikotvení</t>
  </si>
  <si>
    <t>1;viz demontáž;</t>
  </si>
  <si>
    <t>784</t>
  </si>
  <si>
    <t>Malby</t>
  </si>
  <si>
    <t>28</t>
  </si>
  <si>
    <t>784442021RT1</t>
  </si>
  <si>
    <t>Malba disperzní interiérová HET, výška do 3,8 m pro sádrokartony, 2 x nátěr</t>
  </si>
  <si>
    <t>784_</t>
  </si>
  <si>
    <t>78_</t>
  </si>
  <si>
    <t>7,26;viz obklad SDK;</t>
  </si>
  <si>
    <t>94</t>
  </si>
  <si>
    <t>Lešení a stavební výtahy</t>
  </si>
  <si>
    <t>29</t>
  </si>
  <si>
    <t>941955002R00</t>
  </si>
  <si>
    <t>Lešení lehké pomocné, výška podlahy do 1,9 m</t>
  </si>
  <si>
    <t>94_</t>
  </si>
  <si>
    <t>9_</t>
  </si>
  <si>
    <t>1*1*2;mč, 1,08;</t>
  </si>
  <si>
    <t>30</t>
  </si>
  <si>
    <t>941941041R00</t>
  </si>
  <si>
    <t>Montáž lešení leh.řad.s podlahami,š.1,2 m, H 10 m</t>
  </si>
  <si>
    <t>38,04*8,6;SO001 jihovýchod;</t>
  </si>
  <si>
    <t>14,98*5,1;SO002 jihovýchod;</t>
  </si>
  <si>
    <t>15*8,6;SO001 jihozápad;</t>
  </si>
  <si>
    <t>5,3*8,6;SO001 severovýchod;</t>
  </si>
  <si>
    <t>23,65*5,1;SO002 severovýchod;</t>
  </si>
  <si>
    <t>15*5,1;SO002 severozápad;</t>
  </si>
  <si>
    <t>13,94*5,1;SO002 jihozápad;</t>
  </si>
  <si>
    <t>29,78*8,6;SO001 severozápad;</t>
  </si>
  <si>
    <t>31</t>
  </si>
  <si>
    <t>941941291R00</t>
  </si>
  <si>
    <t>Příplatek za každý měsíc použití lešení k pol.1041</t>
  </si>
  <si>
    <t>1102,44*2;2 měsíce;</t>
  </si>
  <si>
    <t>32</t>
  </si>
  <si>
    <t>941941831R00</t>
  </si>
  <si>
    <t>Demontáž lešení leh.řad.s podlahami,š.1 m, H 10 m</t>
  </si>
  <si>
    <t>1102,44;viz montáž;</t>
  </si>
  <si>
    <t>33</t>
  </si>
  <si>
    <t>998009101R00</t>
  </si>
  <si>
    <t>Přesun hmot lešení samostatně budovaného</t>
  </si>
  <si>
    <t>t</t>
  </si>
  <si>
    <t>95</t>
  </si>
  <si>
    <t>Různé dokončovací konstrukce a práce na pozemních stavbách</t>
  </si>
  <si>
    <t>952901110R00</t>
  </si>
  <si>
    <t>Čištění mytím vnějších ploch oken a dveří</t>
  </si>
  <si>
    <t>95_</t>
  </si>
  <si>
    <t>274,21;viz zakrývání;</t>
  </si>
  <si>
    <t>35</t>
  </si>
  <si>
    <t>999281108R00</t>
  </si>
  <si>
    <t>Přesun hmot pro opravy a údržbu do výšky 12 m</t>
  </si>
  <si>
    <t>34,02506</t>
  </si>
  <si>
    <t>96</t>
  </si>
  <si>
    <t>Bourání konstrukcí</t>
  </si>
  <si>
    <t>36</t>
  </si>
  <si>
    <t>968061125R00</t>
  </si>
  <si>
    <t>Vyvěšení dřevěných dveřních křídel pl. do 2 m2</t>
  </si>
  <si>
    <t>96_</t>
  </si>
  <si>
    <t>1;B8;</t>
  </si>
  <si>
    <t>2;B11;</t>
  </si>
  <si>
    <t>37</t>
  </si>
  <si>
    <t>968072455R00</t>
  </si>
  <si>
    <t>Vybourání kovových dveřních zárubní pl. do 2 m2</t>
  </si>
  <si>
    <t>0,9*1,97;B8;</t>
  </si>
  <si>
    <t>38</t>
  </si>
  <si>
    <t>968072456R00</t>
  </si>
  <si>
    <t>Vybourání kovových dveřních zárubní pl. nad 2 m2</t>
  </si>
  <si>
    <t>1,45*1,97;B11;</t>
  </si>
  <si>
    <t>97</t>
  </si>
  <si>
    <t>Prorážení otvorů a ostatní bourací práce</t>
  </si>
  <si>
    <t>39</t>
  </si>
  <si>
    <t>978059611R00</t>
  </si>
  <si>
    <t>Odsekání vnějších obkladů soklů</t>
  </si>
  <si>
    <t>97_</t>
  </si>
  <si>
    <t>10;jihovýchod;</t>
  </si>
  <si>
    <t>3,5;severovýchod;</t>
  </si>
  <si>
    <t>;B13;</t>
  </si>
  <si>
    <t>40</t>
  </si>
  <si>
    <t>978015221R00</t>
  </si>
  <si>
    <t>Otlučení omítek vnějších MVC v složit.1-4 do 10 %</t>
  </si>
  <si>
    <t>M21</t>
  </si>
  <si>
    <t>Elektromontáže</t>
  </si>
  <si>
    <t>MP</t>
  </si>
  <si>
    <t>41</t>
  </si>
  <si>
    <t>210200000RAA</t>
  </si>
  <si>
    <t>Hromosvod</t>
  </si>
  <si>
    <t>kompl</t>
  </si>
  <si>
    <t>M21_</t>
  </si>
  <si>
    <t>1;hromosvod;</t>
  </si>
  <si>
    <t>S</t>
  </si>
  <si>
    <t>Přesuny sutí</t>
  </si>
  <si>
    <t>42</t>
  </si>
  <si>
    <t>979082212R00</t>
  </si>
  <si>
    <t>Vodorovná doprava suti po suchu do 50 m</t>
  </si>
  <si>
    <t>S_</t>
  </si>
  <si>
    <t>43</t>
  </si>
  <si>
    <t>979087113R00</t>
  </si>
  <si>
    <t>Nakládání vybouraných hmot na dopravní prostředky</t>
  </si>
  <si>
    <t>44</t>
  </si>
  <si>
    <t>979081111R00</t>
  </si>
  <si>
    <t>Odvoz suti a vybour. hmot na skládku do 1 km</t>
  </si>
  <si>
    <t>45</t>
  </si>
  <si>
    <t>979081121R00</t>
  </si>
  <si>
    <t>Příplatek k odvozu za každý další 1 km</t>
  </si>
  <si>
    <t>6,28108*19;odvoz do 20km;</t>
  </si>
  <si>
    <t>46</t>
  </si>
  <si>
    <t>979999999R00</t>
  </si>
  <si>
    <t>Poplatek za skladku</t>
  </si>
  <si>
    <t>Celkem:</t>
  </si>
  <si>
    <t>Poznámka:</t>
  </si>
  <si>
    <t>Krycí list slepého rozpočtu</t>
  </si>
  <si>
    <t>IČ/DIČ: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</si>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</sst>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16" x14ac:knownFonts="1">
    <font>
      <sz val="1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2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CFF"/>
        <bgColor rgb="FFFFCCFF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5" xfId="0" applyFill="1" applyBorder="1" applyAlignment="1" applyProtection="1">
      <alignment vertical="center"/>
    </xf>
    <xf numFmtId="49" fontId="0" fillId="0" borderId="0" xfId="0" applyNumberFormat="1" applyFill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vertical="center"/>
    </xf>
    <xf numFmtId="49" fontId="0" fillId="0" borderId="16" xfId="0" applyNumberFormat="1" applyFill="1" applyBorder="1" applyAlignment="1" applyProtection="1">
      <alignment horizontal="left" vertical="center"/>
    </xf>
    <xf numFmtId="49" fontId="0" fillId="0" borderId="17" xfId="0" applyNumberFormat="1" applyFill="1" applyBorder="1" applyAlignment="1" applyProtection="1">
      <alignment horizontal="left" vertical="center"/>
    </xf>
    <xf numFmtId="49" fontId="2" fillId="0" borderId="17" xfId="0" applyNumberFormat="1" applyFont="1" applyFill="1" applyBorder="1" applyAlignment="1" applyProtection="1">
      <alignment horizontal="left" vertical="center"/>
    </xf>
    <xf numFmtId="49" fontId="2" fillId="0" borderId="18" xfId="0" applyNumberFormat="1" applyFont="1" applyFill="1" applyBorder="1" applyAlignment="1" applyProtection="1">
      <alignment horizontal="right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right" vertical="center"/>
    </xf>
    <xf numFmtId="49" fontId="0" fillId="2" borderId="23" xfId="0" applyNumberFormat="1" applyFill="1" applyBorder="1" applyAlignment="1" applyProtection="1">
      <alignment horizontal="left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4" fontId="2" fillId="2" borderId="23" xfId="0" applyNumberFormat="1" applyFont="1" applyFill="1" applyBorder="1" applyAlignment="1" applyProtection="1">
      <alignment horizontal="right" vertical="center"/>
    </xf>
    <xf numFmtId="49" fontId="2" fillId="2" borderId="23" xfId="0" applyNumberFormat="1" applyFont="1" applyFill="1" applyBorder="1" applyAlignment="1" applyProtection="1">
      <alignment horizontal="right" vertical="center"/>
    </xf>
    <xf numFmtId="4" fontId="2" fillId="2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horizontal="left" vertical="center"/>
    </xf>
    <xf numFmtId="4" fontId="3" fillId="0" borderId="0" xfId="0" applyNumberFormat="1" applyFont="1" applyFill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</xf>
    <xf numFmtId="4" fontId="4" fillId="0" borderId="0" xfId="0" applyNumberFormat="1" applyFont="1" applyFill="1" applyAlignment="1" applyProtection="1">
      <alignment horizontal="right" vertical="center"/>
    </xf>
    <xf numFmtId="49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49" fontId="5" fillId="2" borderId="0" xfId="0" applyNumberFormat="1" applyFont="1" applyFill="1" applyAlignment="1" applyProtection="1">
      <alignment horizontal="right" vertical="center"/>
    </xf>
    <xf numFmtId="0" fontId="4" fillId="0" borderId="0" xfId="0" applyFont="1"/>
    <xf numFmtId="49" fontId="0" fillId="0" borderId="1" xfId="0" applyNumberForma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49" fontId="0" fillId="0" borderId="1" xfId="0" applyNumberForma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left" vertical="center"/>
    </xf>
    <xf numFmtId="0" fontId="0" fillId="0" borderId="1" xfId="0" applyFill="1" applyBorder="1" applyAlignment="1" applyProtection="1"/>
    <xf numFmtId="0" fontId="0" fillId="0" borderId="1" xfId="0" applyFill="1" applyBorder="1" applyAlignment="1" applyProtection="1">
      <alignment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left" vertical="center"/>
    </xf>
    <xf numFmtId="49" fontId="12" fillId="0" borderId="27" xfId="0" applyNumberFormat="1" applyFont="1" applyFill="1" applyBorder="1" applyAlignment="1" applyProtection="1">
      <alignment horizontal="left" vertical="center"/>
    </xf>
    <xf numFmtId="4" fontId="12" fillId="0" borderId="27" xfId="0" applyNumberFormat="1" applyFont="1" applyFill="1" applyBorder="1" applyAlignment="1" applyProtection="1">
      <alignment horizontal="right" vertical="center"/>
    </xf>
    <xf numFmtId="49" fontId="11" fillId="0" borderId="29" xfId="0" applyNumberFormat="1" applyFont="1" applyFill="1" applyBorder="1" applyAlignment="1" applyProtection="1">
      <alignment horizontal="left" vertical="center"/>
    </xf>
    <xf numFmtId="49" fontId="12" fillId="0" borderId="27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4" fontId="11" fillId="2" borderId="32" xfId="0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49" fontId="6" fillId="0" borderId="23" xfId="0" applyNumberFormat="1" applyFont="1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49" fontId="0" fillId="0" borderId="0" xfId="0" applyNumberFormat="1" applyFill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8" xfId="0" applyFill="1" applyBorder="1"/>
    <xf numFmtId="49" fontId="0" fillId="0" borderId="8" xfId="0" applyNumberFormat="1" applyFill="1" applyBorder="1" applyAlignment="1" applyProtection="1">
      <alignment horizontal="left" vertical="center"/>
    </xf>
    <xf numFmtId="164" fontId="0" fillId="0" borderId="8" xfId="0" applyNumberForma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49" fontId="0" fillId="0" borderId="3" xfId="0" applyNumberFormat="1" applyFill="1" applyBorder="1" applyAlignment="1" applyProtection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34" xfId="0" applyFill="1" applyBorder="1"/>
    <xf numFmtId="49" fontId="12" fillId="0" borderId="22" xfId="0" applyNumberFormat="1" applyFont="1" applyFill="1" applyBorder="1" applyAlignment="1" applyProtection="1">
      <alignment horizontal="left" vertical="center"/>
    </xf>
    <xf numFmtId="49" fontId="11" fillId="2" borderId="31" xfId="0" applyNumberFormat="1" applyFont="1" applyFill="1" applyBorder="1" applyAlignment="1" applyProtection="1">
      <alignment horizontal="left" vertical="center"/>
    </xf>
    <xf numFmtId="49" fontId="12" fillId="0" borderId="14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left" vertical="center"/>
    </xf>
    <xf numFmtId="0" fontId="0" fillId="0" borderId="27" xfId="0" applyFill="1" applyBorder="1"/>
    <xf numFmtId="49" fontId="12" fillId="0" borderId="27" xfId="0" applyNumberFormat="1" applyFont="1" applyFill="1" applyBorder="1" applyAlignment="1" applyProtection="1">
      <alignment horizontal="left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left" vertical="center"/>
    </xf>
    <xf numFmtId="164" fontId="0" fillId="0" borderId="25" xfId="0" applyNumberFormat="1" applyFill="1" applyBorder="1" applyAlignment="1" applyProtection="1">
      <alignment horizontal="left" vertical="center"/>
    </xf>
    <xf numFmtId="49" fontId="0" fillId="0" borderId="6" xfId="0" applyNumberFormat="1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0" fontId="0" fillId="0" borderId="6" xfId="0" applyFill="1" applyBorder="1"/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4" xfId="0" applyFill="1" applyBorder="1"/>
    <xf numFmtId="49" fontId="13" fillId="3" borderId="0" xfId="0" applyNumberFormat="1" applyFont="1" applyFill="1" applyAlignment="1" applyProtection="1">
      <alignment horizontal="left" vertical="center"/>
    </xf>
    <xf numFmtId="49" fontId="13" fillId="0" borderId="0" xfId="0" applyNumberFormat="1" applyFont="1" applyFill="1" applyAlignment="1" applyProtection="1">
      <alignment horizontal="left" vertical="center"/>
    </xf>
    <xf numFmtId="4" fontId="13" fillId="0" borderId="0" xfId="0" applyNumberFormat="1" applyFont="1" applyFill="1" applyAlignment="1" applyProtection="1">
      <alignment horizontal="right" vertical="center"/>
    </xf>
    <xf numFmtId="49" fontId="13" fillId="0" borderId="0" xfId="0" applyNumberFormat="1" applyFont="1" applyFill="1" applyAlignment="1" applyProtection="1">
      <alignment horizontal="right"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 applyFill="1" applyAlignment="1" applyProtection="1">
      <alignment horizontal="left" vertical="center"/>
    </xf>
    <xf numFmtId="4" fontId="14" fillId="0" borderId="0" xfId="0" applyNumberFormat="1" applyFont="1" applyFill="1" applyAlignment="1" applyProtection="1">
      <alignment horizontal="right" vertical="center"/>
    </xf>
    <xf numFmtId="49" fontId="13" fillId="2" borderId="0" xfId="0" applyNumberFormat="1" applyFont="1" applyFill="1" applyAlignment="1" applyProtection="1">
      <alignment horizontal="left" vertical="center"/>
    </xf>
    <xf numFmtId="49" fontId="15" fillId="2" borderId="0" xfId="0" applyNumberFormat="1" applyFont="1" applyFill="1" applyAlignment="1" applyProtection="1">
      <alignment horizontal="left" vertical="center"/>
    </xf>
    <xf numFmtId="49" fontId="15" fillId="2" borderId="0" xfId="0" applyNumberFormat="1" applyFont="1" applyFill="1" applyAlignment="1" applyProtection="1">
      <alignment horizontal="left" vertical="center"/>
    </xf>
    <xf numFmtId="4" fontId="15" fillId="2" borderId="0" xfId="0" applyNumberFormat="1" applyFont="1" applyFill="1" applyAlignment="1" applyProtection="1">
      <alignment horizontal="right" vertical="center"/>
    </xf>
    <xf numFmtId="49" fontId="15" fillId="2" borderId="0" xfId="0" applyNumberFormat="1" applyFont="1" applyFill="1" applyAlignment="1" applyProtection="1">
      <alignment horizontal="righ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3"/>
  <sheetViews>
    <sheetView topLeftCell="A271" workbookViewId="0">
      <selection activeCell="AZ163" sqref="AZ163"/>
    </sheetView>
  </sheetViews>
  <sheetFormatPr defaultColWidth="7.42578125" defaultRowHeight="12.75" x14ac:dyDescent="0.2"/>
  <cols>
    <col min="1" max="1" width="2.42578125" style="1" customWidth="1"/>
    <col min="2" max="2" width="4.42578125" style="1" customWidth="1"/>
    <col min="3" max="3" width="8.42578125" style="1" customWidth="1"/>
    <col min="4" max="4" width="49" style="1" customWidth="1"/>
    <col min="5" max="5" width="4.140625" style="1" customWidth="1"/>
    <col min="6" max="6" width="8.140625" style="1" customWidth="1"/>
    <col min="7" max="7" width="7.5703125" style="1" customWidth="1"/>
    <col min="8" max="10" width="9.140625" style="1" customWidth="1"/>
    <col min="11" max="13" width="7.42578125" style="1" customWidth="1"/>
    <col min="14" max="14" width="0" style="1" hidden="1" customWidth="1"/>
    <col min="15" max="47" width="7.7109375" style="1" hidden="1" customWidth="1"/>
    <col min="48" max="48" width="7.42578125" style="1" customWidth="1"/>
    <col min="49" max="16384" width="7.42578125" style="1"/>
  </cols>
  <sheetData>
    <row r="1" spans="1:43" ht="25.5" customHeight="1" x14ac:dyDescent="0.3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43" x14ac:dyDescent="0.2">
      <c r="A2" s="76" t="s">
        <v>1</v>
      </c>
      <c r="B2" s="76"/>
      <c r="C2" s="76"/>
      <c r="D2" s="77" t="s">
        <v>2</v>
      </c>
      <c r="E2" s="78" t="s">
        <v>3</v>
      </c>
      <c r="F2" s="78"/>
      <c r="G2" s="79"/>
      <c r="H2" s="79"/>
      <c r="I2" s="80" t="s">
        <v>4</v>
      </c>
      <c r="J2" s="81" t="s">
        <v>5</v>
      </c>
      <c r="K2" s="81"/>
      <c r="L2" s="81"/>
      <c r="M2" s="81"/>
      <c r="N2" s="2"/>
    </row>
    <row r="3" spans="1:43" x14ac:dyDescent="0.2">
      <c r="A3" s="76"/>
      <c r="B3" s="76"/>
      <c r="C3" s="76"/>
      <c r="D3" s="77"/>
      <c r="E3" s="78"/>
      <c r="F3" s="78"/>
      <c r="G3" s="79"/>
      <c r="H3" s="79"/>
      <c r="I3" s="80"/>
      <c r="J3" s="81"/>
      <c r="K3" s="81"/>
      <c r="L3" s="81"/>
      <c r="M3" s="81"/>
      <c r="N3" s="2"/>
    </row>
    <row r="4" spans="1:43" x14ac:dyDescent="0.2">
      <c r="A4" s="66" t="s">
        <v>6</v>
      </c>
      <c r="B4" s="66"/>
      <c r="C4" s="66"/>
      <c r="D4" s="67" t="s">
        <v>7</v>
      </c>
      <c r="E4" s="68" t="s">
        <v>8</v>
      </c>
      <c r="F4" s="68"/>
      <c r="G4" s="68" t="s">
        <v>9</v>
      </c>
      <c r="H4" s="68"/>
      <c r="I4" s="67" t="s">
        <v>10</v>
      </c>
      <c r="J4" s="69" t="s">
        <v>11</v>
      </c>
      <c r="K4" s="69"/>
      <c r="L4" s="69"/>
      <c r="M4" s="69"/>
      <c r="N4" s="2"/>
    </row>
    <row r="5" spans="1:43" x14ac:dyDescent="0.2">
      <c r="A5" s="66"/>
      <c r="B5" s="66"/>
      <c r="C5" s="66"/>
      <c r="D5" s="67"/>
      <c r="E5" s="68"/>
      <c r="F5" s="68"/>
      <c r="G5" s="68"/>
      <c r="H5" s="68"/>
      <c r="I5" s="67"/>
      <c r="J5" s="69"/>
      <c r="K5" s="69"/>
      <c r="L5" s="69"/>
      <c r="M5" s="69"/>
      <c r="N5" s="2"/>
    </row>
    <row r="6" spans="1:43" x14ac:dyDescent="0.2">
      <c r="A6" s="66" t="s">
        <v>12</v>
      </c>
      <c r="B6" s="66"/>
      <c r="C6" s="66"/>
      <c r="D6" s="67" t="s">
        <v>13</v>
      </c>
      <c r="E6" s="68" t="s">
        <v>14</v>
      </c>
      <c r="F6" s="68"/>
      <c r="G6" s="62"/>
      <c r="H6" s="62"/>
      <c r="I6" s="67" t="s">
        <v>15</v>
      </c>
      <c r="J6" s="69" t="s">
        <v>16</v>
      </c>
      <c r="K6" s="69"/>
      <c r="L6" s="69"/>
      <c r="M6" s="69"/>
      <c r="N6" s="2"/>
    </row>
    <row r="7" spans="1:43" x14ac:dyDescent="0.2">
      <c r="A7" s="66"/>
      <c r="B7" s="66"/>
      <c r="C7" s="66"/>
      <c r="D7" s="67"/>
      <c r="E7" s="68"/>
      <c r="F7" s="68"/>
      <c r="G7" s="62"/>
      <c r="H7" s="62"/>
      <c r="I7" s="67"/>
      <c r="J7" s="69"/>
      <c r="K7" s="69"/>
      <c r="L7" s="69"/>
      <c r="M7" s="69"/>
      <c r="N7" s="2"/>
    </row>
    <row r="8" spans="1:43" ht="13.5" thickBot="1" x14ac:dyDescent="0.25">
      <c r="A8" s="70" t="s">
        <v>17</v>
      </c>
      <c r="B8" s="70"/>
      <c r="C8" s="70"/>
      <c r="D8" s="71"/>
      <c r="E8" s="72" t="s">
        <v>18</v>
      </c>
      <c r="F8" s="72"/>
      <c r="G8" s="73">
        <v>42634</v>
      </c>
      <c r="H8" s="73"/>
      <c r="I8" s="74" t="s">
        <v>19</v>
      </c>
      <c r="J8" s="65" t="s">
        <v>20</v>
      </c>
      <c r="K8" s="65"/>
      <c r="L8" s="65"/>
      <c r="M8" s="65"/>
      <c r="N8" s="2"/>
    </row>
    <row r="9" spans="1:43" ht="13.5" thickBot="1" x14ac:dyDescent="0.25">
      <c r="A9" s="70"/>
      <c r="B9" s="70"/>
      <c r="C9" s="70"/>
      <c r="D9" s="71"/>
      <c r="E9" s="72"/>
      <c r="F9" s="72"/>
      <c r="G9" s="73"/>
      <c r="H9" s="73"/>
      <c r="I9" s="74"/>
      <c r="J9" s="65"/>
      <c r="K9" s="65"/>
      <c r="L9" s="65"/>
      <c r="M9" s="65"/>
      <c r="N9" s="2"/>
    </row>
    <row r="10" spans="1:43" x14ac:dyDescent="0.2">
      <c r="A10" s="4" t="s">
        <v>21</v>
      </c>
      <c r="B10" s="5" t="s">
        <v>22</v>
      </c>
      <c r="C10" s="5" t="s">
        <v>23</v>
      </c>
      <c r="D10" s="5" t="s">
        <v>24</v>
      </c>
      <c r="E10" s="5" t="s">
        <v>25</v>
      </c>
      <c r="F10" s="6" t="s">
        <v>26</v>
      </c>
      <c r="G10" s="7" t="s">
        <v>27</v>
      </c>
      <c r="H10" s="63" t="s">
        <v>28</v>
      </c>
      <c r="I10" s="63"/>
      <c r="J10" s="63"/>
      <c r="K10" s="63" t="s">
        <v>29</v>
      </c>
      <c r="L10" s="63"/>
      <c r="M10" s="8" t="s">
        <v>30</v>
      </c>
      <c r="N10" s="9"/>
    </row>
    <row r="11" spans="1:43" ht="13.5" thickBot="1" x14ac:dyDescent="0.25">
      <c r="A11" s="10" t="s">
        <v>9</v>
      </c>
      <c r="B11" s="11" t="s">
        <v>9</v>
      </c>
      <c r="C11" s="11" t="s">
        <v>9</v>
      </c>
      <c r="D11" s="12" t="s">
        <v>31</v>
      </c>
      <c r="E11" s="11" t="s">
        <v>9</v>
      </c>
      <c r="F11" s="11" t="s">
        <v>9</v>
      </c>
      <c r="G11" s="13" t="s">
        <v>32</v>
      </c>
      <c r="H11" s="14" t="s">
        <v>33</v>
      </c>
      <c r="I11" s="15" t="s">
        <v>34</v>
      </c>
      <c r="J11" s="16" t="s">
        <v>35</v>
      </c>
      <c r="K11" s="14" t="s">
        <v>27</v>
      </c>
      <c r="L11" s="16" t="s">
        <v>35</v>
      </c>
      <c r="M11" s="17" t="s">
        <v>36</v>
      </c>
      <c r="N11" s="9"/>
      <c r="P11" s="18" t="s">
        <v>37</v>
      </c>
      <c r="Q11" s="18" t="s">
        <v>38</v>
      </c>
      <c r="R11" s="18" t="s">
        <v>39</v>
      </c>
      <c r="S11" s="18" t="s">
        <v>40</v>
      </c>
      <c r="T11" s="18" t="s">
        <v>41</v>
      </c>
      <c r="U11" s="18" t="s">
        <v>42</v>
      </c>
      <c r="V11" s="18" t="s">
        <v>43</v>
      </c>
      <c r="W11" s="18" t="s">
        <v>44</v>
      </c>
      <c r="X11" s="18" t="s">
        <v>45</v>
      </c>
    </row>
    <row r="12" spans="1:43" x14ac:dyDescent="0.2">
      <c r="A12" s="19"/>
      <c r="B12" s="20"/>
      <c r="C12" s="20" t="s">
        <v>46</v>
      </c>
      <c r="D12" s="64" t="s">
        <v>47</v>
      </c>
      <c r="E12" s="64"/>
      <c r="F12" s="64"/>
      <c r="G12" s="64"/>
      <c r="H12" s="21">
        <f>SUM(H13:H16)</f>
        <v>0</v>
      </c>
      <c r="I12" s="21">
        <f>SUM(I13:I16)</f>
        <v>0</v>
      </c>
      <c r="J12" s="21">
        <f>H12+I12</f>
        <v>0</v>
      </c>
      <c r="K12" s="22"/>
      <c r="L12" s="21">
        <f>SUM(L13:L16)</f>
        <v>0.1357884</v>
      </c>
      <c r="M12" s="22"/>
      <c r="P12" s="23">
        <f>IF(Q12="PR",J12,SUM(O13:O16))</f>
        <v>0</v>
      </c>
      <c r="Q12" s="18" t="s">
        <v>48</v>
      </c>
      <c r="R12" s="23">
        <f>IF(Q12="HS",H12,0)</f>
        <v>0</v>
      </c>
      <c r="S12" s="23">
        <f>IF(Q12="HS",I12-P12,0)</f>
        <v>0</v>
      </c>
      <c r="T12" s="23">
        <f>IF(Q12="PS",H12,0)</f>
        <v>0</v>
      </c>
      <c r="U12" s="23">
        <f>IF(Q12="PS",I12-P12,0)</f>
        <v>0</v>
      </c>
      <c r="V12" s="23">
        <f>IF(Q12="MP",H12,0)</f>
        <v>0</v>
      </c>
      <c r="W12" s="23">
        <f>IF(Q12="MP",I12-P12,0)</f>
        <v>0</v>
      </c>
      <c r="X12" s="23">
        <f>IF(Q12="OM",H12,0)</f>
        <v>0</v>
      </c>
      <c r="Y12" s="18"/>
      <c r="AI12" s="23">
        <f>SUM(Z13:Z16)</f>
        <v>0</v>
      </c>
      <c r="AJ12" s="23">
        <f>SUM(AA13:AA16)</f>
        <v>0</v>
      </c>
      <c r="AK12" s="23">
        <f>SUM(AB13:AB16)</f>
        <v>0</v>
      </c>
    </row>
    <row r="13" spans="1:43" x14ac:dyDescent="0.2">
      <c r="A13" s="3" t="s">
        <v>49</v>
      </c>
      <c r="B13" s="3"/>
      <c r="C13" s="3" t="s">
        <v>50</v>
      </c>
      <c r="D13" s="3" t="s">
        <v>51</v>
      </c>
      <c r="E13" s="3" t="s">
        <v>52</v>
      </c>
      <c r="F13" s="24">
        <v>7.62</v>
      </c>
      <c r="G13" s="24">
        <v>0</v>
      </c>
      <c r="H13" s="24">
        <f>F13*AE13</f>
        <v>0</v>
      </c>
      <c r="I13" s="24">
        <f>J13-H13</f>
        <v>0</v>
      </c>
      <c r="J13" s="24">
        <f>F13*G13</f>
        <v>0</v>
      </c>
      <c r="K13" s="24">
        <v>1.7819999999999999E-2</v>
      </c>
      <c r="L13" s="24">
        <f>F13*K13</f>
        <v>0.1357884</v>
      </c>
      <c r="M13" s="25" t="s">
        <v>53</v>
      </c>
      <c r="N13" s="25" t="s">
        <v>49</v>
      </c>
      <c r="O13" s="24">
        <f>IF(N13="5",I13,0)</f>
        <v>0</v>
      </c>
      <c r="Z13" s="24">
        <f>IF(AD13=0,J13,0)</f>
        <v>0</v>
      </c>
      <c r="AA13" s="24">
        <f>IF(AD13=15,J13,0)</f>
        <v>0</v>
      </c>
      <c r="AB13" s="24">
        <f>IF(AD13=21,J13,0)</f>
        <v>0</v>
      </c>
      <c r="AD13" s="24">
        <v>21</v>
      </c>
      <c r="AE13" s="24">
        <f>G13*0.462233009708738</f>
        <v>0</v>
      </c>
      <c r="AF13" s="24">
        <f>G13*(1-0.462233009708738)</f>
        <v>0</v>
      </c>
      <c r="AM13" s="24">
        <f>F13*AE13</f>
        <v>0</v>
      </c>
      <c r="AN13" s="24">
        <f>F13*AF13</f>
        <v>0</v>
      </c>
      <c r="AO13" s="25" t="s">
        <v>54</v>
      </c>
      <c r="AP13" s="25" t="s">
        <v>55</v>
      </c>
      <c r="AQ13" s="18" t="s">
        <v>56</v>
      </c>
    </row>
    <row r="14" spans="1:43" x14ac:dyDescent="0.2">
      <c r="D14" s="26" t="s">
        <v>57</v>
      </c>
      <c r="F14" s="27">
        <v>7.26</v>
      </c>
    </row>
    <row r="15" spans="1:43" x14ac:dyDescent="0.2">
      <c r="D15" s="26" t="s">
        <v>58</v>
      </c>
      <c r="F15" s="27">
        <v>0.36</v>
      </c>
    </row>
    <row r="16" spans="1:43" x14ac:dyDescent="0.2">
      <c r="A16" s="3" t="s">
        <v>59</v>
      </c>
      <c r="B16" s="3"/>
      <c r="C16" s="3" t="s">
        <v>60</v>
      </c>
      <c r="D16" s="3" t="s">
        <v>61</v>
      </c>
      <c r="E16" s="3" t="s">
        <v>52</v>
      </c>
      <c r="F16" s="24">
        <v>7.26</v>
      </c>
      <c r="G16" s="24">
        <v>0</v>
      </c>
      <c r="H16" s="24">
        <f>F16*AE16</f>
        <v>0</v>
      </c>
      <c r="I16" s="24">
        <f>J16-H16</f>
        <v>0</v>
      </c>
      <c r="J16" s="24">
        <f>F16*G16</f>
        <v>0</v>
      </c>
      <c r="K16" s="24">
        <v>0</v>
      </c>
      <c r="L16" s="24">
        <f>F16*K16</f>
        <v>0</v>
      </c>
      <c r="M16" s="25" t="s">
        <v>53</v>
      </c>
      <c r="N16" s="25" t="s">
        <v>49</v>
      </c>
      <c r="O16" s="24">
        <f>IF(N16="5",I16,0)</f>
        <v>0</v>
      </c>
      <c r="Z16" s="24">
        <f>IF(AD16=0,J16,0)</f>
        <v>0</v>
      </c>
      <c r="AA16" s="24">
        <f>IF(AD16=15,J16,0)</f>
        <v>0</v>
      </c>
      <c r="AB16" s="24">
        <f>IF(AD16=21,J16,0)</f>
        <v>0</v>
      </c>
      <c r="AD16" s="24">
        <v>21</v>
      </c>
      <c r="AE16" s="24">
        <f>G16*0</f>
        <v>0</v>
      </c>
      <c r="AF16" s="24">
        <f>G16*(1-0)</f>
        <v>0</v>
      </c>
      <c r="AM16" s="24">
        <f>F16*AE16</f>
        <v>0</v>
      </c>
      <c r="AN16" s="24">
        <f>F16*AF16</f>
        <v>0</v>
      </c>
      <c r="AO16" s="25" t="s">
        <v>54</v>
      </c>
      <c r="AP16" s="25" t="s">
        <v>55</v>
      </c>
      <c r="AQ16" s="18" t="s">
        <v>56</v>
      </c>
    </row>
    <row r="17" spans="1:43" x14ac:dyDescent="0.2">
      <c r="D17" s="26" t="s">
        <v>62</v>
      </c>
      <c r="F17" s="27">
        <v>7.26</v>
      </c>
    </row>
    <row r="18" spans="1:43" x14ac:dyDescent="0.2">
      <c r="A18" s="28"/>
      <c r="B18" s="29"/>
      <c r="C18" s="29" t="s">
        <v>63</v>
      </c>
      <c r="D18" s="60" t="s">
        <v>64</v>
      </c>
      <c r="E18" s="60"/>
      <c r="F18" s="60"/>
      <c r="G18" s="60"/>
      <c r="H18" s="23">
        <f>SUM(H19:H95)</f>
        <v>0</v>
      </c>
      <c r="I18" s="23">
        <f>SUM(I19:I95)</f>
        <v>0</v>
      </c>
      <c r="J18" s="23">
        <f>H18+I18</f>
        <v>0</v>
      </c>
      <c r="K18" s="18"/>
      <c r="L18" s="23">
        <f>SUM(L19:L95)</f>
        <v>33.445938226000003</v>
      </c>
      <c r="M18" s="18"/>
      <c r="P18" s="23">
        <f>IF(Q18="PR",J18,SUM(O19:O95))</f>
        <v>0</v>
      </c>
      <c r="Q18" s="18" t="s">
        <v>48</v>
      </c>
      <c r="R18" s="23">
        <f>IF(Q18="HS",H18,0)</f>
        <v>0</v>
      </c>
      <c r="S18" s="23">
        <f>IF(Q18="HS",I18-P18,0)</f>
        <v>0</v>
      </c>
      <c r="T18" s="23">
        <f>IF(Q18="PS",H18,0)</f>
        <v>0</v>
      </c>
      <c r="U18" s="23">
        <f>IF(Q18="PS",I18-P18,0)</f>
        <v>0</v>
      </c>
      <c r="V18" s="23">
        <f>IF(Q18="MP",H18,0)</f>
        <v>0</v>
      </c>
      <c r="W18" s="23">
        <f>IF(Q18="MP",I18-P18,0)</f>
        <v>0</v>
      </c>
      <c r="X18" s="23">
        <f>IF(Q18="OM",H18,0)</f>
        <v>0</v>
      </c>
      <c r="Y18" s="18"/>
      <c r="AI18" s="23">
        <f>SUM(Z19:Z95)</f>
        <v>0</v>
      </c>
      <c r="AJ18" s="23">
        <f>SUM(AA19:AA95)</f>
        <v>0</v>
      </c>
      <c r="AK18" s="23">
        <f>SUM(AB19:AB95)</f>
        <v>0</v>
      </c>
    </row>
    <row r="19" spans="1:43" x14ac:dyDescent="0.2">
      <c r="A19" s="3" t="s">
        <v>65</v>
      </c>
      <c r="B19" s="3"/>
      <c r="C19" s="3" t="s">
        <v>66</v>
      </c>
      <c r="D19" s="3" t="s">
        <v>67</v>
      </c>
      <c r="E19" s="3" t="s">
        <v>52</v>
      </c>
      <c r="F19" s="24">
        <v>7.62</v>
      </c>
      <c r="G19" s="24">
        <v>0</v>
      </c>
      <c r="H19" s="24">
        <f>F19*AE19</f>
        <v>0</v>
      </c>
      <c r="I19" s="24">
        <f>J19-H19</f>
        <v>0</v>
      </c>
      <c r="J19" s="24">
        <f>F19*G19</f>
        <v>0</v>
      </c>
      <c r="K19" s="24">
        <v>2.555E-2</v>
      </c>
      <c r="L19" s="24">
        <f>F19*K19</f>
        <v>0.194691</v>
      </c>
      <c r="M19" s="25" t="s">
        <v>53</v>
      </c>
      <c r="N19" s="25" t="s">
        <v>49</v>
      </c>
      <c r="O19" s="24">
        <f>IF(N19="5",I19,0)</f>
        <v>0</v>
      </c>
      <c r="Z19" s="24">
        <f>IF(AD19=0,J19,0)</f>
        <v>0</v>
      </c>
      <c r="AA19" s="24">
        <f>IF(AD19=15,J19,0)</f>
        <v>0</v>
      </c>
      <c r="AB19" s="24">
        <f>IF(AD19=21,J19,0)</f>
        <v>0</v>
      </c>
      <c r="AD19" s="24">
        <v>21</v>
      </c>
      <c r="AE19" s="24">
        <f>G19*0.665413223140496</f>
        <v>0</v>
      </c>
      <c r="AF19" s="24">
        <f>G19*(1-0.665413223140496)</f>
        <v>0</v>
      </c>
      <c r="AM19" s="24">
        <f>F19*AE19</f>
        <v>0</v>
      </c>
      <c r="AN19" s="24">
        <f>F19*AF19</f>
        <v>0</v>
      </c>
      <c r="AO19" s="25" t="s">
        <v>68</v>
      </c>
      <c r="AP19" s="25" t="s">
        <v>69</v>
      </c>
      <c r="AQ19" s="18" t="s">
        <v>56</v>
      </c>
    </row>
    <row r="20" spans="1:43" x14ac:dyDescent="0.2">
      <c r="D20" s="26" t="s">
        <v>57</v>
      </c>
      <c r="F20" s="27">
        <v>7.26</v>
      </c>
    </row>
    <row r="21" spans="1:43" x14ac:dyDescent="0.2">
      <c r="D21" s="26" t="s">
        <v>58</v>
      </c>
      <c r="F21" s="27">
        <v>0.36</v>
      </c>
    </row>
    <row r="22" spans="1:43" x14ac:dyDescent="0.2">
      <c r="A22" s="3" t="s">
        <v>70</v>
      </c>
      <c r="B22" s="3"/>
      <c r="C22" s="3" t="s">
        <v>71</v>
      </c>
      <c r="D22" s="3" t="s">
        <v>72</v>
      </c>
      <c r="E22" s="3" t="s">
        <v>52</v>
      </c>
      <c r="F22" s="24">
        <v>6.93</v>
      </c>
      <c r="G22" s="24">
        <v>0</v>
      </c>
      <c r="H22" s="24">
        <f>F22*AE22</f>
        <v>0</v>
      </c>
      <c r="I22" s="24">
        <f>J22-H22</f>
        <v>0</v>
      </c>
      <c r="J22" s="24">
        <f>F22*G22</f>
        <v>0</v>
      </c>
      <c r="K22" s="24">
        <v>1.206E-2</v>
      </c>
      <c r="L22" s="24">
        <f>F22*K22</f>
        <v>8.3575799999999992E-2</v>
      </c>
      <c r="M22" s="25" t="s">
        <v>53</v>
      </c>
      <c r="N22" s="25" t="s">
        <v>49</v>
      </c>
      <c r="O22" s="24">
        <f>IF(N22="5",I22,0)</f>
        <v>0</v>
      </c>
      <c r="Z22" s="24">
        <f>IF(AD22=0,J22,0)</f>
        <v>0</v>
      </c>
      <c r="AA22" s="24">
        <f>IF(AD22=15,J22,0)</f>
        <v>0</v>
      </c>
      <c r="AB22" s="24">
        <f>IF(AD22=21,J22,0)</f>
        <v>0</v>
      </c>
      <c r="AD22" s="24">
        <v>21</v>
      </c>
      <c r="AE22" s="24">
        <f>G22*0.449469234657622</f>
        <v>0</v>
      </c>
      <c r="AF22" s="24">
        <f>G22*(1-0.449469234657622)</f>
        <v>0</v>
      </c>
      <c r="AM22" s="24">
        <f>F22*AE22</f>
        <v>0</v>
      </c>
      <c r="AN22" s="24">
        <f>F22*AF22</f>
        <v>0</v>
      </c>
      <c r="AO22" s="25" t="s">
        <v>68</v>
      </c>
      <c r="AP22" s="25" t="s">
        <v>69</v>
      </c>
      <c r="AQ22" s="18" t="s">
        <v>56</v>
      </c>
    </row>
    <row r="23" spans="1:43" x14ac:dyDescent="0.2">
      <c r="D23" s="26" t="s">
        <v>73</v>
      </c>
      <c r="F23" s="27">
        <v>6.6</v>
      </c>
    </row>
    <row r="24" spans="1:43" x14ac:dyDescent="0.2">
      <c r="D24" s="26" t="s">
        <v>74</v>
      </c>
      <c r="F24" s="27">
        <v>0.33</v>
      </c>
    </row>
    <row r="25" spans="1:43" x14ac:dyDescent="0.2">
      <c r="A25" s="3" t="s">
        <v>75</v>
      </c>
      <c r="B25" s="3"/>
      <c r="C25" s="3" t="s">
        <v>76</v>
      </c>
      <c r="D25" s="3" t="s">
        <v>77</v>
      </c>
      <c r="E25" s="3" t="s">
        <v>52</v>
      </c>
      <c r="F25" s="24">
        <v>94.496200000000002</v>
      </c>
      <c r="G25" s="24">
        <v>0</v>
      </c>
      <c r="H25" s="24">
        <f>F25*AE25</f>
        <v>0</v>
      </c>
      <c r="I25" s="24">
        <f>J25-H25</f>
        <v>0</v>
      </c>
      <c r="J25" s="24">
        <f>F25*G25</f>
        <v>0</v>
      </c>
      <c r="K25" s="24">
        <v>1.856E-2</v>
      </c>
      <c r="L25" s="24">
        <f>F25*K25</f>
        <v>1.753849472</v>
      </c>
      <c r="M25" s="25"/>
      <c r="N25" s="25" t="s">
        <v>49</v>
      </c>
      <c r="O25" s="24">
        <f>IF(N25="5",I25,0)</f>
        <v>0</v>
      </c>
      <c r="Z25" s="24">
        <f>IF(AD25=0,J25,0)</f>
        <v>0</v>
      </c>
      <c r="AA25" s="24">
        <f>IF(AD25=15,J25,0)</f>
        <v>0</v>
      </c>
      <c r="AB25" s="24">
        <f>IF(AD25=21,J25,0)</f>
        <v>0</v>
      </c>
      <c r="AD25" s="24">
        <v>21</v>
      </c>
      <c r="AE25" s="24">
        <f>G25*0.697629407351838</f>
        <v>0</v>
      </c>
      <c r="AF25" s="24">
        <f>G25*(1-0.697629407351838)</f>
        <v>0</v>
      </c>
      <c r="AM25" s="24">
        <f>F25*AE25</f>
        <v>0</v>
      </c>
      <c r="AN25" s="24">
        <f>F25*AF25</f>
        <v>0</v>
      </c>
      <c r="AO25" s="25" t="s">
        <v>68</v>
      </c>
      <c r="AP25" s="25" t="s">
        <v>69</v>
      </c>
      <c r="AQ25" s="18" t="s">
        <v>56</v>
      </c>
    </row>
    <row r="26" spans="1:43" x14ac:dyDescent="0.2">
      <c r="D26" s="26" t="s">
        <v>78</v>
      </c>
      <c r="F26" s="27">
        <v>19.404</v>
      </c>
    </row>
    <row r="27" spans="1:43" x14ac:dyDescent="0.2">
      <c r="D27" s="26" t="s">
        <v>79</v>
      </c>
      <c r="F27" s="27">
        <v>8.9879999999999995</v>
      </c>
    </row>
    <row r="28" spans="1:43" x14ac:dyDescent="0.2">
      <c r="D28" s="26" t="s">
        <v>80</v>
      </c>
      <c r="F28" s="27">
        <v>9</v>
      </c>
    </row>
    <row r="29" spans="1:43" x14ac:dyDescent="0.2">
      <c r="D29" s="26" t="s">
        <v>81</v>
      </c>
      <c r="F29" s="27">
        <v>3.18</v>
      </c>
    </row>
    <row r="30" spans="1:43" x14ac:dyDescent="0.2">
      <c r="D30" s="26" t="s">
        <v>82</v>
      </c>
      <c r="F30" s="27">
        <v>14.19</v>
      </c>
    </row>
    <row r="31" spans="1:43" x14ac:dyDescent="0.2">
      <c r="D31" s="26" t="s">
        <v>83</v>
      </c>
      <c r="F31" s="27">
        <v>9</v>
      </c>
    </row>
    <row r="32" spans="1:43" x14ac:dyDescent="0.2">
      <c r="D32" s="26" t="s">
        <v>84</v>
      </c>
      <c r="F32" s="27">
        <v>8.3640000000000008</v>
      </c>
    </row>
    <row r="33" spans="1:43" x14ac:dyDescent="0.2">
      <c r="D33" s="26" t="s">
        <v>85</v>
      </c>
      <c r="F33" s="27">
        <v>17.867999999999999</v>
      </c>
    </row>
    <row r="34" spans="1:43" x14ac:dyDescent="0.2">
      <c r="D34" s="26" t="s">
        <v>86</v>
      </c>
      <c r="F34" s="27">
        <v>4.5022000000000002</v>
      </c>
    </row>
    <row r="35" spans="1:43" x14ac:dyDescent="0.2">
      <c r="A35" s="3" t="s">
        <v>87</v>
      </c>
      <c r="B35" s="3"/>
      <c r="C35" s="3" t="s">
        <v>88</v>
      </c>
      <c r="D35" s="3" t="s">
        <v>89</v>
      </c>
      <c r="E35" s="3" t="s">
        <v>52</v>
      </c>
      <c r="F35" s="24">
        <v>813.47424999999998</v>
      </c>
      <c r="G35" s="24">
        <v>0</v>
      </c>
      <c r="H35" s="24">
        <f>F35*AE35</f>
        <v>0</v>
      </c>
      <c r="I35" s="24">
        <f>J35-H35</f>
        <v>0</v>
      </c>
      <c r="J35" s="24">
        <f>F35*G35</f>
        <v>0</v>
      </c>
      <c r="K35" s="24">
        <v>1.3650000000000001E-2</v>
      </c>
      <c r="L35" s="24">
        <f>F35*K35</f>
        <v>11.1039235125</v>
      </c>
      <c r="M35" s="25" t="s">
        <v>53</v>
      </c>
      <c r="N35" s="25" t="s">
        <v>49</v>
      </c>
      <c r="O35" s="24">
        <f>IF(N35="5",I35,0)</f>
        <v>0</v>
      </c>
      <c r="Z35" s="24">
        <f>IF(AD35=0,J35,0)</f>
        <v>0</v>
      </c>
      <c r="AA35" s="24">
        <f>IF(AD35=15,J35,0)</f>
        <v>0</v>
      </c>
      <c r="AB35" s="24">
        <f>IF(AD35=21,J35,0)</f>
        <v>0</v>
      </c>
      <c r="AD35" s="24">
        <v>21</v>
      </c>
      <c r="AE35" s="24">
        <f>G35*0.540896017699115</f>
        <v>0</v>
      </c>
      <c r="AF35" s="24">
        <f>G35*(1-0.540896017699115)</f>
        <v>0</v>
      </c>
      <c r="AM35" s="24">
        <f>F35*AE35</f>
        <v>0</v>
      </c>
      <c r="AN35" s="24">
        <f>F35*AF35</f>
        <v>0</v>
      </c>
      <c r="AO35" s="25" t="s">
        <v>68</v>
      </c>
      <c r="AP35" s="25" t="s">
        <v>69</v>
      </c>
      <c r="AQ35" s="18" t="s">
        <v>56</v>
      </c>
    </row>
    <row r="36" spans="1:43" x14ac:dyDescent="0.2">
      <c r="D36" s="26" t="s">
        <v>90</v>
      </c>
      <c r="F36" s="27">
        <v>203.73</v>
      </c>
    </row>
    <row r="37" spans="1:43" x14ac:dyDescent="0.2">
      <c r="D37" s="26" t="s">
        <v>91</v>
      </c>
      <c r="F37" s="27">
        <v>52.29</v>
      </c>
    </row>
    <row r="38" spans="1:43" x14ac:dyDescent="0.2">
      <c r="D38" s="26" t="s">
        <v>92</v>
      </c>
      <c r="F38" s="27">
        <v>84.72</v>
      </c>
    </row>
    <row r="39" spans="1:43" x14ac:dyDescent="0.2">
      <c r="D39" s="26" t="s">
        <v>93</v>
      </c>
      <c r="F39" s="27">
        <v>72.36</v>
      </c>
    </row>
    <row r="40" spans="1:43" x14ac:dyDescent="0.2">
      <c r="D40" s="26" t="s">
        <v>94</v>
      </c>
      <c r="F40" s="27">
        <v>88.784999999999997</v>
      </c>
    </row>
    <row r="41" spans="1:43" x14ac:dyDescent="0.2">
      <c r="D41" s="26" t="s">
        <v>95</v>
      </c>
      <c r="F41" s="27">
        <v>54.52</v>
      </c>
    </row>
    <row r="42" spans="1:43" x14ac:dyDescent="0.2">
      <c r="D42" s="26" t="s">
        <v>96</v>
      </c>
      <c r="F42" s="27">
        <v>52.65</v>
      </c>
    </row>
    <row r="43" spans="1:43" x14ac:dyDescent="0.2">
      <c r="D43" s="26" t="s">
        <v>97</v>
      </c>
      <c r="F43" s="27">
        <v>165.68</v>
      </c>
    </row>
    <row r="44" spans="1:43" x14ac:dyDescent="0.2">
      <c r="D44" s="26" t="s">
        <v>98</v>
      </c>
      <c r="F44" s="27">
        <v>38.739249999999998</v>
      </c>
    </row>
    <row r="45" spans="1:43" x14ac:dyDescent="0.2">
      <c r="A45" s="3" t="s">
        <v>99</v>
      </c>
      <c r="B45" s="3"/>
      <c r="C45" s="3" t="s">
        <v>100</v>
      </c>
      <c r="D45" s="3" t="s">
        <v>101</v>
      </c>
      <c r="E45" s="3" t="s">
        <v>102</v>
      </c>
      <c r="F45" s="24">
        <v>10.5</v>
      </c>
      <c r="G45" s="24">
        <v>0</v>
      </c>
      <c r="H45" s="24">
        <f>F45*AE45</f>
        <v>0</v>
      </c>
      <c r="I45" s="24">
        <f>J45-H45</f>
        <v>0</v>
      </c>
      <c r="J45" s="24">
        <f>F45*G45</f>
        <v>0</v>
      </c>
      <c r="K45" s="24">
        <v>5.1000000000000004E-4</v>
      </c>
      <c r="L45" s="24">
        <f>F45*K45</f>
        <v>5.3550000000000004E-3</v>
      </c>
      <c r="M45" s="25" t="s">
        <v>53</v>
      </c>
      <c r="N45" s="25" t="s">
        <v>49</v>
      </c>
      <c r="O45" s="24">
        <f>IF(N45="5",I45,0)</f>
        <v>0</v>
      </c>
      <c r="Z45" s="24">
        <f>IF(AD45=0,J45,0)</f>
        <v>0</v>
      </c>
      <c r="AA45" s="24">
        <f>IF(AD45=15,J45,0)</f>
        <v>0</v>
      </c>
      <c r="AB45" s="24">
        <f>IF(AD45=21,J45,0)</f>
        <v>0</v>
      </c>
      <c r="AD45" s="24">
        <v>21</v>
      </c>
      <c r="AE45" s="24">
        <f>G45*0.759439252336449</f>
        <v>0</v>
      </c>
      <c r="AF45" s="24">
        <f>G45*(1-0.759439252336449)</f>
        <v>0</v>
      </c>
      <c r="AM45" s="24">
        <f>F45*AE45</f>
        <v>0</v>
      </c>
      <c r="AN45" s="24">
        <f>F45*AF45</f>
        <v>0</v>
      </c>
      <c r="AO45" s="25" t="s">
        <v>68</v>
      </c>
      <c r="AP45" s="25" t="s">
        <v>69</v>
      </c>
      <c r="AQ45" s="18" t="s">
        <v>56</v>
      </c>
    </row>
    <row r="46" spans="1:43" x14ac:dyDescent="0.2">
      <c r="D46" s="26" t="s">
        <v>103</v>
      </c>
      <c r="F46" s="27">
        <v>10</v>
      </c>
    </row>
    <row r="47" spans="1:43" x14ac:dyDescent="0.2">
      <c r="D47" s="26" t="s">
        <v>104</v>
      </c>
      <c r="F47" s="27">
        <v>0.5</v>
      </c>
    </row>
    <row r="48" spans="1:43" x14ac:dyDescent="0.2">
      <c r="A48" s="3" t="s">
        <v>105</v>
      </c>
      <c r="B48" s="3"/>
      <c r="C48" s="3" t="s">
        <v>106</v>
      </c>
      <c r="D48" s="3" t="s">
        <v>107</v>
      </c>
      <c r="E48" s="3" t="s">
        <v>52</v>
      </c>
      <c r="F48" s="24">
        <v>112.43925</v>
      </c>
      <c r="G48" s="24">
        <v>0</v>
      </c>
      <c r="H48" s="24">
        <f>F48*AE48</f>
        <v>0</v>
      </c>
      <c r="I48" s="24">
        <f>J48-H48</f>
        <v>0</v>
      </c>
      <c r="J48" s="24">
        <f>F48*G48</f>
        <v>0</v>
      </c>
      <c r="K48" s="24">
        <v>1.225E-2</v>
      </c>
      <c r="L48" s="24">
        <f>F48*K48</f>
        <v>1.3773808125</v>
      </c>
      <c r="M48" s="25" t="s">
        <v>53</v>
      </c>
      <c r="N48" s="25" t="s">
        <v>49</v>
      </c>
      <c r="O48" s="24">
        <f>IF(N48="5",I48,0)</f>
        <v>0</v>
      </c>
      <c r="Z48" s="24">
        <f>IF(AD48=0,J48,0)</f>
        <v>0</v>
      </c>
      <c r="AA48" s="24">
        <f>IF(AD48=15,J48,0)</f>
        <v>0</v>
      </c>
      <c r="AB48" s="24">
        <f>IF(AD48=21,J48,0)</f>
        <v>0</v>
      </c>
      <c r="AD48" s="24">
        <v>21</v>
      </c>
      <c r="AE48" s="24">
        <f>G48*0.478605527638191</f>
        <v>0</v>
      </c>
      <c r="AF48" s="24">
        <f>G48*(1-0.478605527638191)</f>
        <v>0</v>
      </c>
      <c r="AM48" s="24">
        <f>F48*AE48</f>
        <v>0</v>
      </c>
      <c r="AN48" s="24">
        <f>F48*AF48</f>
        <v>0</v>
      </c>
      <c r="AO48" s="25" t="s">
        <v>68</v>
      </c>
      <c r="AP48" s="25" t="s">
        <v>69</v>
      </c>
      <c r="AQ48" s="18" t="s">
        <v>56</v>
      </c>
    </row>
    <row r="49" spans="1:43" x14ac:dyDescent="0.2">
      <c r="D49" s="26" t="s">
        <v>108</v>
      </c>
      <c r="F49" s="27">
        <v>37.847250000000003</v>
      </c>
    </row>
    <row r="50" spans="1:43" x14ac:dyDescent="0.2">
      <c r="D50" s="26" t="s">
        <v>109</v>
      </c>
      <c r="F50" s="27">
        <v>74.591999999999999</v>
      </c>
    </row>
    <row r="51" spans="1:43" x14ac:dyDescent="0.2">
      <c r="A51" s="3" t="s">
        <v>110</v>
      </c>
      <c r="B51" s="3"/>
      <c r="C51" s="3" t="s">
        <v>111</v>
      </c>
      <c r="D51" s="3" t="s">
        <v>112</v>
      </c>
      <c r="E51" s="3" t="s">
        <v>52</v>
      </c>
      <c r="F51" s="24">
        <v>38.304000000000002</v>
      </c>
      <c r="G51" s="24">
        <v>0</v>
      </c>
      <c r="H51" s="24">
        <f>F51*AE51</f>
        <v>0</v>
      </c>
      <c r="I51" s="24">
        <f>J51-H51</f>
        <v>0</v>
      </c>
      <c r="J51" s="24">
        <f>F51*G51</f>
        <v>0</v>
      </c>
      <c r="K51" s="24">
        <v>1.38E-2</v>
      </c>
      <c r="L51" s="24">
        <f>F51*K51</f>
        <v>0.52859520000000004</v>
      </c>
      <c r="M51" s="25" t="s">
        <v>53</v>
      </c>
      <c r="N51" s="25" t="s">
        <v>49</v>
      </c>
      <c r="O51" s="24">
        <f>IF(N51="5",I51,0)</f>
        <v>0</v>
      </c>
      <c r="Z51" s="24">
        <f>IF(AD51=0,J51,0)</f>
        <v>0</v>
      </c>
      <c r="AA51" s="24">
        <f>IF(AD51=15,J51,0)</f>
        <v>0</v>
      </c>
      <c r="AB51" s="24">
        <f>IF(AD51=21,J51,0)</f>
        <v>0</v>
      </c>
      <c r="AD51" s="24">
        <v>21</v>
      </c>
      <c r="AE51" s="24">
        <f>G51*0.442895533398516</f>
        <v>0</v>
      </c>
      <c r="AF51" s="24">
        <f>G51*(1-0.442895533398516)</f>
        <v>0</v>
      </c>
      <c r="AM51" s="24">
        <f>F51*AE51</f>
        <v>0</v>
      </c>
      <c r="AN51" s="24">
        <f>F51*AF51</f>
        <v>0</v>
      </c>
      <c r="AO51" s="25" t="s">
        <v>68</v>
      </c>
      <c r="AP51" s="25" t="s">
        <v>69</v>
      </c>
      <c r="AQ51" s="18" t="s">
        <v>56</v>
      </c>
    </row>
    <row r="52" spans="1:43" x14ac:dyDescent="0.2">
      <c r="D52" s="26" t="s">
        <v>113</v>
      </c>
      <c r="F52" s="27">
        <v>36.479999999999997</v>
      </c>
    </row>
    <row r="53" spans="1:43" x14ac:dyDescent="0.2">
      <c r="D53" s="26" t="s">
        <v>114</v>
      </c>
      <c r="F53" s="27">
        <v>1.8240000000000001</v>
      </c>
    </row>
    <row r="54" spans="1:43" x14ac:dyDescent="0.2">
      <c r="A54" s="3" t="s">
        <v>115</v>
      </c>
      <c r="B54" s="3"/>
      <c r="C54" s="3" t="s">
        <v>116</v>
      </c>
      <c r="D54" s="3" t="s">
        <v>117</v>
      </c>
      <c r="E54" s="3" t="s">
        <v>52</v>
      </c>
      <c r="F54" s="24">
        <v>274.20999999999998</v>
      </c>
      <c r="G54" s="24">
        <v>0</v>
      </c>
      <c r="H54" s="24">
        <f>F54*AE54</f>
        <v>0</v>
      </c>
      <c r="I54" s="24">
        <f>J54-H54</f>
        <v>0</v>
      </c>
      <c r="J54" s="24">
        <f>F54*G54</f>
        <v>0</v>
      </c>
      <c r="K54" s="24">
        <v>4.0000000000000003E-5</v>
      </c>
      <c r="L54" s="24">
        <f>F54*K54</f>
        <v>1.09684E-2</v>
      </c>
      <c r="M54" s="25" t="s">
        <v>53</v>
      </c>
      <c r="N54" s="25" t="s">
        <v>49</v>
      </c>
      <c r="O54" s="24">
        <f>IF(N54="5",I54,0)</f>
        <v>0</v>
      </c>
      <c r="Z54" s="24">
        <f>IF(AD54=0,J54,0)</f>
        <v>0</v>
      </c>
      <c r="AA54" s="24">
        <f>IF(AD54=15,J54,0)</f>
        <v>0</v>
      </c>
      <c r="AB54" s="24">
        <f>IF(AD54=21,J54,0)</f>
        <v>0</v>
      </c>
      <c r="AD54" s="24">
        <v>21</v>
      </c>
      <c r="AE54" s="24">
        <f>G54*0.386834733893557</f>
        <v>0</v>
      </c>
      <c r="AF54" s="24">
        <f>G54*(1-0.386834733893557)</f>
        <v>0</v>
      </c>
      <c r="AM54" s="24">
        <f>F54*AE54</f>
        <v>0</v>
      </c>
      <c r="AN54" s="24">
        <f>F54*AF54</f>
        <v>0</v>
      </c>
      <c r="AO54" s="25" t="s">
        <v>68</v>
      </c>
      <c r="AP54" s="25" t="s">
        <v>69</v>
      </c>
      <c r="AQ54" s="18" t="s">
        <v>56</v>
      </c>
    </row>
    <row r="55" spans="1:43" x14ac:dyDescent="0.2">
      <c r="D55" s="26" t="s">
        <v>118</v>
      </c>
      <c r="F55" s="27">
        <v>35.28</v>
      </c>
    </row>
    <row r="56" spans="1:43" x14ac:dyDescent="0.2">
      <c r="D56" s="26" t="s">
        <v>119</v>
      </c>
      <c r="F56" s="27">
        <v>115.71</v>
      </c>
    </row>
    <row r="57" spans="1:43" x14ac:dyDescent="0.2">
      <c r="D57" s="26" t="s">
        <v>120</v>
      </c>
      <c r="F57" s="27">
        <v>87.94</v>
      </c>
    </row>
    <row r="58" spans="1:43" x14ac:dyDescent="0.2">
      <c r="D58" s="26" t="s">
        <v>121</v>
      </c>
      <c r="F58" s="27">
        <v>25.2</v>
      </c>
    </row>
    <row r="59" spans="1:43" x14ac:dyDescent="0.2">
      <c r="D59" s="26" t="s">
        <v>122</v>
      </c>
      <c r="F59" s="27">
        <v>10.08</v>
      </c>
    </row>
    <row r="60" spans="1:43" x14ac:dyDescent="0.2">
      <c r="A60" s="3" t="s">
        <v>123</v>
      </c>
      <c r="B60" s="3"/>
      <c r="C60" s="3" t="s">
        <v>124</v>
      </c>
      <c r="D60" s="3" t="s">
        <v>125</v>
      </c>
      <c r="E60" s="3" t="s">
        <v>102</v>
      </c>
      <c r="F60" s="24">
        <v>126.1575</v>
      </c>
      <c r="G60" s="24">
        <v>0</v>
      </c>
      <c r="H60" s="24">
        <f>F60*AE60</f>
        <v>0</v>
      </c>
      <c r="I60" s="24">
        <f>J60-H60</f>
        <v>0</v>
      </c>
      <c r="J60" s="24">
        <f>F60*G60</f>
        <v>0</v>
      </c>
      <c r="K60" s="24">
        <v>2.0000000000000002E-5</v>
      </c>
      <c r="L60" s="24">
        <f>F60*K60</f>
        <v>2.52315E-3</v>
      </c>
      <c r="M60" s="25"/>
      <c r="N60" s="25" t="s">
        <v>49</v>
      </c>
      <c r="O60" s="24">
        <f>IF(N60="5",I60,0)</f>
        <v>0</v>
      </c>
      <c r="Z60" s="24">
        <f>IF(AD60=0,J60,0)</f>
        <v>0</v>
      </c>
      <c r="AA60" s="24">
        <f>IF(AD60=15,J60,0)</f>
        <v>0</v>
      </c>
      <c r="AB60" s="24">
        <f>IF(AD60=21,J60,0)</f>
        <v>0</v>
      </c>
      <c r="AD60" s="24">
        <v>21</v>
      </c>
      <c r="AE60" s="24">
        <f>G60*0.406936690818387</f>
        <v>0</v>
      </c>
      <c r="AF60" s="24">
        <f>G60*(1-0.406936690818387)</f>
        <v>0</v>
      </c>
      <c r="AM60" s="24">
        <f>F60*AE60</f>
        <v>0</v>
      </c>
      <c r="AN60" s="24">
        <f>F60*AF60</f>
        <v>0</v>
      </c>
      <c r="AO60" s="25" t="s">
        <v>68</v>
      </c>
      <c r="AP60" s="25" t="s">
        <v>69</v>
      </c>
      <c r="AQ60" s="18" t="s">
        <v>56</v>
      </c>
    </row>
    <row r="61" spans="1:43" x14ac:dyDescent="0.2">
      <c r="D61" s="26" t="s">
        <v>126</v>
      </c>
      <c r="F61" s="27">
        <v>16.8</v>
      </c>
    </row>
    <row r="62" spans="1:43" x14ac:dyDescent="0.2">
      <c r="D62" s="26" t="s">
        <v>127</v>
      </c>
      <c r="F62" s="27">
        <v>41.7</v>
      </c>
    </row>
    <row r="63" spans="1:43" x14ac:dyDescent="0.2">
      <c r="D63" s="26" t="s">
        <v>128</v>
      </c>
      <c r="F63" s="27">
        <v>44.85</v>
      </c>
    </row>
    <row r="64" spans="1:43" x14ac:dyDescent="0.2">
      <c r="D64" s="26" t="s">
        <v>129</v>
      </c>
      <c r="F64" s="27">
        <v>12</v>
      </c>
    </row>
    <row r="65" spans="1:43" x14ac:dyDescent="0.2">
      <c r="D65" s="26" t="s">
        <v>130</v>
      </c>
      <c r="F65" s="27">
        <v>4.8</v>
      </c>
    </row>
    <row r="66" spans="1:43" x14ac:dyDescent="0.2">
      <c r="D66" s="26" t="s">
        <v>131</v>
      </c>
      <c r="F66" s="27">
        <v>6.0075000000000003</v>
      </c>
    </row>
    <row r="67" spans="1:43" x14ac:dyDescent="0.2">
      <c r="A67" s="3" t="s">
        <v>132</v>
      </c>
      <c r="B67" s="3"/>
      <c r="C67" s="3" t="s">
        <v>133</v>
      </c>
      <c r="D67" s="3" t="s">
        <v>134</v>
      </c>
      <c r="E67" s="3" t="s">
        <v>102</v>
      </c>
      <c r="F67" s="24">
        <v>248.64</v>
      </c>
      <c r="G67" s="24">
        <v>0</v>
      </c>
      <c r="H67" s="24">
        <f>F67*AE67</f>
        <v>0</v>
      </c>
      <c r="I67" s="24">
        <f>J67-H67</f>
        <v>0</v>
      </c>
      <c r="J67" s="24">
        <f>F67*G67</f>
        <v>0</v>
      </c>
      <c r="K67" s="24">
        <v>0</v>
      </c>
      <c r="L67" s="24">
        <f>F67*K67</f>
        <v>0</v>
      </c>
      <c r="M67" s="25" t="s">
        <v>53</v>
      </c>
      <c r="N67" s="25" t="s">
        <v>49</v>
      </c>
      <c r="O67" s="24">
        <f>IF(N67="5",I67,0)</f>
        <v>0</v>
      </c>
      <c r="Z67" s="24">
        <f>IF(AD67=0,J67,0)</f>
        <v>0</v>
      </c>
      <c r="AA67" s="24">
        <f>IF(AD67=15,J67,0)</f>
        <v>0</v>
      </c>
      <c r="AB67" s="24">
        <f>IF(AD67=21,J67,0)</f>
        <v>0</v>
      </c>
      <c r="AD67" s="24">
        <v>21</v>
      </c>
      <c r="AE67" s="24">
        <f>G67*0.666576271186441</f>
        <v>0</v>
      </c>
      <c r="AF67" s="24">
        <f>G67*(1-0.666576271186441)</f>
        <v>0</v>
      </c>
      <c r="AM67" s="24">
        <f>F67*AE67</f>
        <v>0</v>
      </c>
      <c r="AN67" s="24">
        <f>F67*AF67</f>
        <v>0</v>
      </c>
      <c r="AO67" s="25" t="s">
        <v>68</v>
      </c>
      <c r="AP67" s="25" t="s">
        <v>69</v>
      </c>
      <c r="AQ67" s="18" t="s">
        <v>56</v>
      </c>
    </row>
    <row r="68" spans="1:43" x14ac:dyDescent="0.2">
      <c r="D68" s="26" t="s">
        <v>135</v>
      </c>
      <c r="F68" s="27">
        <v>28</v>
      </c>
    </row>
    <row r="69" spans="1:43" x14ac:dyDescent="0.2">
      <c r="D69" s="26" t="s">
        <v>136</v>
      </c>
      <c r="F69" s="27">
        <v>70</v>
      </c>
    </row>
    <row r="70" spans="1:43" x14ac:dyDescent="0.2">
      <c r="D70" s="26" t="s">
        <v>137</v>
      </c>
      <c r="F70" s="27">
        <v>84.2</v>
      </c>
    </row>
    <row r="71" spans="1:43" x14ac:dyDescent="0.2">
      <c r="D71" s="26" t="s">
        <v>138</v>
      </c>
      <c r="F71" s="27">
        <v>37.799999999999997</v>
      </c>
    </row>
    <row r="72" spans="1:43" x14ac:dyDescent="0.2">
      <c r="D72" s="26" t="s">
        <v>139</v>
      </c>
      <c r="F72" s="27">
        <v>16.8</v>
      </c>
    </row>
    <row r="73" spans="1:43" x14ac:dyDescent="0.2">
      <c r="D73" s="26" t="s">
        <v>140</v>
      </c>
      <c r="F73" s="27">
        <v>11.84</v>
      </c>
    </row>
    <row r="74" spans="1:43" x14ac:dyDescent="0.2">
      <c r="A74" s="3" t="s">
        <v>141</v>
      </c>
      <c r="B74" s="3"/>
      <c r="C74" s="3" t="s">
        <v>142</v>
      </c>
      <c r="D74" s="3" t="s">
        <v>143</v>
      </c>
      <c r="E74" s="3" t="s">
        <v>102</v>
      </c>
      <c r="F74" s="24">
        <v>374.79750000000001</v>
      </c>
      <c r="G74" s="24">
        <v>0</v>
      </c>
      <c r="H74" s="24">
        <f>F74*AE74</f>
        <v>0</v>
      </c>
      <c r="I74" s="24">
        <f>J74-H74</f>
        <v>0</v>
      </c>
      <c r="J74" s="24">
        <f>F74*G74</f>
        <v>0</v>
      </c>
      <c r="K74" s="24">
        <v>0</v>
      </c>
      <c r="L74" s="24">
        <f>F74*K74</f>
        <v>0</v>
      </c>
      <c r="M74" s="25"/>
      <c r="N74" s="25" t="s">
        <v>49</v>
      </c>
      <c r="O74" s="24">
        <f>IF(N74="5",I74,0)</f>
        <v>0</v>
      </c>
      <c r="Z74" s="24">
        <f>IF(AD74=0,J74,0)</f>
        <v>0</v>
      </c>
      <c r="AA74" s="24">
        <f>IF(AD74=15,J74,0)</f>
        <v>0</v>
      </c>
      <c r="AB74" s="24">
        <f>IF(AD74=21,J74,0)</f>
        <v>0</v>
      </c>
      <c r="AD74" s="24">
        <v>21</v>
      </c>
      <c r="AE74" s="24">
        <f>G74*0.584412007711374</f>
        <v>0</v>
      </c>
      <c r="AF74" s="24">
        <f>G74*(1-0.584412007711374)</f>
        <v>0</v>
      </c>
      <c r="AM74" s="24">
        <f>F74*AE74</f>
        <v>0</v>
      </c>
      <c r="AN74" s="24">
        <f>F74*AF74</f>
        <v>0</v>
      </c>
      <c r="AO74" s="25" t="s">
        <v>68</v>
      </c>
      <c r="AP74" s="25" t="s">
        <v>69</v>
      </c>
      <c r="AQ74" s="18" t="s">
        <v>56</v>
      </c>
    </row>
    <row r="75" spans="1:43" x14ac:dyDescent="0.2">
      <c r="D75" s="26" t="s">
        <v>144</v>
      </c>
      <c r="F75" s="27">
        <v>126.1575</v>
      </c>
    </row>
    <row r="76" spans="1:43" x14ac:dyDescent="0.2">
      <c r="D76" s="26" t="s">
        <v>145</v>
      </c>
      <c r="F76" s="27">
        <v>248.64</v>
      </c>
    </row>
    <row r="77" spans="1:43" x14ac:dyDescent="0.2">
      <c r="A77" s="3" t="s">
        <v>146</v>
      </c>
      <c r="B77" s="3"/>
      <c r="C77" s="3" t="s">
        <v>147</v>
      </c>
      <c r="D77" s="3" t="s">
        <v>148</v>
      </c>
      <c r="E77" s="3" t="s">
        <v>102</v>
      </c>
      <c r="F77" s="24">
        <v>127.68</v>
      </c>
      <c r="G77" s="24">
        <v>0</v>
      </c>
      <c r="H77" s="24">
        <f>F77*AE77</f>
        <v>0</v>
      </c>
      <c r="I77" s="24">
        <f>J77-H77</f>
        <v>0</v>
      </c>
      <c r="J77" s="24">
        <f>F77*G77</f>
        <v>0</v>
      </c>
      <c r="K77" s="24">
        <v>0</v>
      </c>
      <c r="L77" s="24">
        <f>F77*K77</f>
        <v>0</v>
      </c>
      <c r="M77" s="25" t="s">
        <v>53</v>
      </c>
      <c r="N77" s="25" t="s">
        <v>49</v>
      </c>
      <c r="O77" s="24">
        <f>IF(N77="5",I77,0)</f>
        <v>0</v>
      </c>
      <c r="Z77" s="24">
        <f>IF(AD77=0,J77,0)</f>
        <v>0</v>
      </c>
      <c r="AA77" s="24">
        <f>IF(AD77=15,J77,0)</f>
        <v>0</v>
      </c>
      <c r="AB77" s="24">
        <f>IF(AD77=21,J77,0)</f>
        <v>0</v>
      </c>
      <c r="AD77" s="24">
        <v>21</v>
      </c>
      <c r="AE77" s="24">
        <f>G77*0.542511627906977</f>
        <v>0</v>
      </c>
      <c r="AF77" s="24">
        <f>G77*(1-0.542511627906977)</f>
        <v>0</v>
      </c>
      <c r="AM77" s="24">
        <f>F77*AE77</f>
        <v>0</v>
      </c>
      <c r="AN77" s="24">
        <f>F77*AF77</f>
        <v>0</v>
      </c>
      <c r="AO77" s="25" t="s">
        <v>68</v>
      </c>
      <c r="AP77" s="25" t="s">
        <v>69</v>
      </c>
      <c r="AQ77" s="18" t="s">
        <v>56</v>
      </c>
    </row>
    <row r="78" spans="1:43" x14ac:dyDescent="0.2">
      <c r="D78" s="26" t="s">
        <v>149</v>
      </c>
      <c r="F78" s="27">
        <v>121.6</v>
      </c>
    </row>
    <row r="79" spans="1:43" x14ac:dyDescent="0.2">
      <c r="D79" s="26" t="s">
        <v>150</v>
      </c>
      <c r="F79" s="27">
        <v>6.08</v>
      </c>
    </row>
    <row r="80" spans="1:43" x14ac:dyDescent="0.2">
      <c r="A80" s="3" t="s">
        <v>151</v>
      </c>
      <c r="B80" s="3"/>
      <c r="C80" s="3" t="s">
        <v>152</v>
      </c>
      <c r="D80" s="3" t="s">
        <v>153</v>
      </c>
      <c r="E80" s="3" t="s">
        <v>102</v>
      </c>
      <c r="F80" s="24">
        <v>157.48949999999999</v>
      </c>
      <c r="G80" s="24">
        <v>0</v>
      </c>
      <c r="H80" s="24">
        <f>F80*AE80</f>
        <v>0</v>
      </c>
      <c r="I80" s="24">
        <f>J80-H80</f>
        <v>0</v>
      </c>
      <c r="J80" s="24">
        <f>F80*G80</f>
        <v>0</v>
      </c>
      <c r="K80" s="24">
        <v>2.7999999999999998E-4</v>
      </c>
      <c r="L80" s="24">
        <f>F80*K80</f>
        <v>4.4097059999999993E-2</v>
      </c>
      <c r="M80" s="25" t="s">
        <v>53</v>
      </c>
      <c r="N80" s="25" t="s">
        <v>49</v>
      </c>
      <c r="O80" s="24">
        <f>IF(N80="5",I80,0)</f>
        <v>0</v>
      </c>
      <c r="Z80" s="24">
        <f>IF(AD80=0,J80,0)</f>
        <v>0</v>
      </c>
      <c r="AA80" s="24">
        <f>IF(AD80=15,J80,0)</f>
        <v>0</v>
      </c>
      <c r="AB80" s="24">
        <f>IF(AD80=21,J80,0)</f>
        <v>0</v>
      </c>
      <c r="AD80" s="24">
        <v>21</v>
      </c>
      <c r="AE80" s="24">
        <f>G80*0.59812865497076</f>
        <v>0</v>
      </c>
      <c r="AF80" s="24">
        <f>G80*(1-0.59812865497076)</f>
        <v>0</v>
      </c>
      <c r="AM80" s="24">
        <f>F80*AE80</f>
        <v>0</v>
      </c>
      <c r="AN80" s="24">
        <f>F80*AF80</f>
        <v>0</v>
      </c>
      <c r="AO80" s="25" t="s">
        <v>68</v>
      </c>
      <c r="AP80" s="25" t="s">
        <v>69</v>
      </c>
      <c r="AQ80" s="18" t="s">
        <v>56</v>
      </c>
    </row>
    <row r="81" spans="1:43" x14ac:dyDescent="0.2">
      <c r="D81" s="26" t="s">
        <v>154</v>
      </c>
      <c r="F81" s="27">
        <v>32.340000000000003</v>
      </c>
    </row>
    <row r="82" spans="1:43" x14ac:dyDescent="0.2">
      <c r="D82" s="26" t="s">
        <v>155</v>
      </c>
      <c r="F82" s="27">
        <v>14.98</v>
      </c>
    </row>
    <row r="83" spans="1:43" x14ac:dyDescent="0.2">
      <c r="D83" s="26" t="s">
        <v>156</v>
      </c>
      <c r="F83" s="27">
        <v>15</v>
      </c>
    </row>
    <row r="84" spans="1:43" x14ac:dyDescent="0.2">
      <c r="D84" s="26" t="s">
        <v>157</v>
      </c>
      <c r="F84" s="27">
        <v>5.3</v>
      </c>
    </row>
    <row r="85" spans="1:43" x14ac:dyDescent="0.2">
      <c r="D85" s="26" t="s">
        <v>158</v>
      </c>
      <c r="F85" s="27">
        <v>23.65</v>
      </c>
    </row>
    <row r="86" spans="1:43" x14ac:dyDescent="0.2">
      <c r="D86" s="26" t="s">
        <v>159</v>
      </c>
      <c r="F86" s="27">
        <v>15</v>
      </c>
    </row>
    <row r="87" spans="1:43" x14ac:dyDescent="0.2">
      <c r="D87" s="26" t="s">
        <v>160</v>
      </c>
      <c r="F87" s="27">
        <v>13.94</v>
      </c>
    </row>
    <row r="88" spans="1:43" x14ac:dyDescent="0.2">
      <c r="D88" s="26" t="s">
        <v>161</v>
      </c>
      <c r="F88" s="27">
        <v>29.78</v>
      </c>
    </row>
    <row r="89" spans="1:43" x14ac:dyDescent="0.2">
      <c r="D89" s="26" t="s">
        <v>162</v>
      </c>
      <c r="F89" s="27">
        <v>7.4995000000000003</v>
      </c>
    </row>
    <row r="90" spans="1:43" x14ac:dyDescent="0.2">
      <c r="A90" s="3" t="s">
        <v>163</v>
      </c>
      <c r="B90" s="3"/>
      <c r="C90" s="3" t="s">
        <v>164</v>
      </c>
      <c r="D90" s="3" t="s">
        <v>165</v>
      </c>
      <c r="E90" s="3" t="s">
        <v>52</v>
      </c>
      <c r="F90" s="24">
        <v>907.97045000000003</v>
      </c>
      <c r="G90" s="24">
        <v>0</v>
      </c>
      <c r="H90" s="24">
        <f>F90*AE90</f>
        <v>0</v>
      </c>
      <c r="I90" s="24">
        <f>J90-H90</f>
        <v>0</v>
      </c>
      <c r="J90" s="24">
        <f>F90*G90</f>
        <v>0</v>
      </c>
      <c r="K90" s="24">
        <v>2.0000000000000002E-5</v>
      </c>
      <c r="L90" s="24">
        <f>F90*K90</f>
        <v>1.8159409000000001E-2</v>
      </c>
      <c r="M90" s="25" t="s">
        <v>53</v>
      </c>
      <c r="N90" s="25" t="s">
        <v>49</v>
      </c>
      <c r="O90" s="24">
        <f>IF(N90="5",I90,0)</f>
        <v>0</v>
      </c>
      <c r="Z90" s="24">
        <f>IF(AD90=0,J90,0)</f>
        <v>0</v>
      </c>
      <c r="AA90" s="24">
        <f>IF(AD90=15,J90,0)</f>
        <v>0</v>
      </c>
      <c r="AB90" s="24">
        <f>IF(AD90=21,J90,0)</f>
        <v>0</v>
      </c>
      <c r="AD90" s="24">
        <v>21</v>
      </c>
      <c r="AE90" s="24">
        <f>G90*0.0849964780464898</f>
        <v>0</v>
      </c>
      <c r="AF90" s="24">
        <f>G90*(1-0.0849964780464898)</f>
        <v>0</v>
      </c>
      <c r="AM90" s="24">
        <f>F90*AE90</f>
        <v>0</v>
      </c>
      <c r="AN90" s="24">
        <f>F90*AF90</f>
        <v>0</v>
      </c>
      <c r="AO90" s="25" t="s">
        <v>68</v>
      </c>
      <c r="AP90" s="25" t="s">
        <v>69</v>
      </c>
      <c r="AQ90" s="18" t="s">
        <v>56</v>
      </c>
    </row>
    <row r="91" spans="1:43" x14ac:dyDescent="0.2">
      <c r="D91" s="26" t="s">
        <v>166</v>
      </c>
      <c r="F91" s="27">
        <v>94.496200000000002</v>
      </c>
    </row>
    <row r="92" spans="1:43" x14ac:dyDescent="0.2">
      <c r="D92" s="26" t="s">
        <v>167</v>
      </c>
      <c r="F92" s="27">
        <v>813.47424999999998</v>
      </c>
    </row>
    <row r="93" spans="1:43" x14ac:dyDescent="0.2">
      <c r="A93" s="3" t="s">
        <v>168</v>
      </c>
      <c r="B93" s="3"/>
      <c r="C93" s="3" t="s">
        <v>169</v>
      </c>
      <c r="D93" s="3" t="s">
        <v>170</v>
      </c>
      <c r="E93" s="3" t="s">
        <v>52</v>
      </c>
      <c r="F93" s="24">
        <v>907.97</v>
      </c>
      <c r="G93" s="24">
        <v>0</v>
      </c>
      <c r="H93" s="24">
        <f>F93*AE93</f>
        <v>0</v>
      </c>
      <c r="I93" s="24">
        <f>J93-H93</f>
        <v>0</v>
      </c>
      <c r="J93" s="24">
        <f>F93*G93</f>
        <v>0</v>
      </c>
      <c r="K93" s="24">
        <v>2.001E-2</v>
      </c>
      <c r="L93" s="24">
        <f>F93*K93</f>
        <v>18.168479699999999</v>
      </c>
      <c r="M93" s="25" t="s">
        <v>53</v>
      </c>
      <c r="N93" s="25" t="s">
        <v>49</v>
      </c>
      <c r="O93" s="24">
        <f>IF(N93="5",I93,0)</f>
        <v>0</v>
      </c>
      <c r="Z93" s="24">
        <f>IF(AD93=0,J93,0)</f>
        <v>0</v>
      </c>
      <c r="AA93" s="24">
        <f>IF(AD93=15,J93,0)</f>
        <v>0</v>
      </c>
      <c r="AB93" s="24">
        <f>IF(AD93=21,J93,0)</f>
        <v>0</v>
      </c>
      <c r="AD93" s="24">
        <v>21</v>
      </c>
      <c r="AE93" s="24">
        <f>G93*0.295473251028807</f>
        <v>0</v>
      </c>
      <c r="AF93" s="24">
        <f>G93*(1-0.295473251028807)</f>
        <v>0</v>
      </c>
      <c r="AM93" s="24">
        <f>F93*AE93</f>
        <v>0</v>
      </c>
      <c r="AN93" s="24">
        <f>F93*AF93</f>
        <v>0</v>
      </c>
      <c r="AO93" s="25" t="s">
        <v>68</v>
      </c>
      <c r="AP93" s="25" t="s">
        <v>69</v>
      </c>
      <c r="AQ93" s="18" t="s">
        <v>56</v>
      </c>
    </row>
    <row r="94" spans="1:43" x14ac:dyDescent="0.2">
      <c r="D94" s="26" t="s">
        <v>171</v>
      </c>
      <c r="F94" s="27">
        <v>907.97</v>
      </c>
    </row>
    <row r="95" spans="1:43" x14ac:dyDescent="0.2">
      <c r="A95" s="3" t="s">
        <v>172</v>
      </c>
      <c r="B95" s="3"/>
      <c r="C95" s="3" t="s">
        <v>173</v>
      </c>
      <c r="D95" s="3" t="s">
        <v>174</v>
      </c>
      <c r="E95" s="3" t="s">
        <v>52</v>
      </c>
      <c r="F95" s="24">
        <v>314.97899999999998</v>
      </c>
      <c r="G95" s="24">
        <v>0</v>
      </c>
      <c r="H95" s="24">
        <f>F95*AE95</f>
        <v>0</v>
      </c>
      <c r="I95" s="24">
        <f>J95-H95</f>
        <v>0</v>
      </c>
      <c r="J95" s="24">
        <f>F95*G95</f>
        <v>0</v>
      </c>
      <c r="K95" s="24">
        <v>4.8999999999999998E-4</v>
      </c>
      <c r="L95" s="24">
        <f>F95*K95</f>
        <v>0.15433970999999999</v>
      </c>
      <c r="M95" s="25" t="s">
        <v>53</v>
      </c>
      <c r="N95" s="25" t="s">
        <v>49</v>
      </c>
      <c r="O95" s="24">
        <f>IF(N95="5",I95,0)</f>
        <v>0</v>
      </c>
      <c r="Z95" s="24">
        <f>IF(AD95=0,J95,0)</f>
        <v>0</v>
      </c>
      <c r="AA95" s="24">
        <f>IF(AD95=15,J95,0)</f>
        <v>0</v>
      </c>
      <c r="AB95" s="24">
        <f>IF(AD95=21,J95,0)</f>
        <v>0</v>
      </c>
      <c r="AD95" s="24">
        <v>21</v>
      </c>
      <c r="AE95" s="24">
        <f>G95*0.282478632478632</f>
        <v>0</v>
      </c>
      <c r="AF95" s="24">
        <f>G95*(1-0.282478632478632)</f>
        <v>0</v>
      </c>
      <c r="AM95" s="24">
        <f>F95*AE95</f>
        <v>0</v>
      </c>
      <c r="AN95" s="24">
        <f>F95*AF95</f>
        <v>0</v>
      </c>
      <c r="AO95" s="25" t="s">
        <v>68</v>
      </c>
      <c r="AP95" s="25" t="s">
        <v>69</v>
      </c>
      <c r="AQ95" s="18" t="s">
        <v>56</v>
      </c>
    </row>
    <row r="96" spans="1:43" x14ac:dyDescent="0.2">
      <c r="D96" s="26" t="s">
        <v>175</v>
      </c>
      <c r="F96" s="27">
        <v>314.97899999999998</v>
      </c>
    </row>
    <row r="97" spans="1:43" x14ac:dyDescent="0.2">
      <c r="A97" s="28"/>
      <c r="B97" s="29"/>
      <c r="C97" s="29" t="s">
        <v>176</v>
      </c>
      <c r="D97" s="60" t="s">
        <v>177</v>
      </c>
      <c r="E97" s="60"/>
      <c r="F97" s="60"/>
      <c r="G97" s="60"/>
      <c r="H97" s="23">
        <f>SUM(H98:H98)</f>
        <v>0</v>
      </c>
      <c r="I97" s="23">
        <f>SUM(I98:I98)</f>
        <v>0</v>
      </c>
      <c r="J97" s="23">
        <f>H97+I97</f>
        <v>0</v>
      </c>
      <c r="K97" s="18"/>
      <c r="L97" s="23">
        <f>SUM(L98:L98)</f>
        <v>1.1429999999999999E-3</v>
      </c>
      <c r="M97" s="18"/>
      <c r="P97" s="23">
        <f>IF(Q97="PR",J97,SUM(O98:O98))</f>
        <v>0</v>
      </c>
      <c r="Q97" s="18" t="s">
        <v>178</v>
      </c>
      <c r="R97" s="23">
        <f>IF(Q97="HS",H97,0)</f>
        <v>0</v>
      </c>
      <c r="S97" s="23">
        <f>IF(Q97="HS",I97-P97,0)</f>
        <v>0</v>
      </c>
      <c r="T97" s="23">
        <f>IF(Q97="PS",H97,0)</f>
        <v>0</v>
      </c>
      <c r="U97" s="23">
        <f>IF(Q97="PS",I97-P97,0)</f>
        <v>0</v>
      </c>
      <c r="V97" s="23">
        <f>IF(Q97="MP",H97,0)</f>
        <v>0</v>
      </c>
      <c r="W97" s="23">
        <f>IF(Q97="MP",I97-P97,0)</f>
        <v>0</v>
      </c>
      <c r="X97" s="23">
        <f>IF(Q97="OM",H97,0)</f>
        <v>0</v>
      </c>
      <c r="Y97" s="18"/>
      <c r="AI97" s="23">
        <f>SUM(Z98:Z98)</f>
        <v>0</v>
      </c>
      <c r="AJ97" s="23">
        <f>SUM(AA98:AA98)</f>
        <v>0</v>
      </c>
      <c r="AK97" s="23">
        <f>SUM(AB98:AB98)</f>
        <v>0</v>
      </c>
    </row>
    <row r="98" spans="1:43" x14ac:dyDescent="0.2">
      <c r="A98" s="3" t="s">
        <v>179</v>
      </c>
      <c r="B98" s="3"/>
      <c r="C98" s="3" t="s">
        <v>180</v>
      </c>
      <c r="D98" s="3" t="s">
        <v>181</v>
      </c>
      <c r="E98" s="3" t="s">
        <v>52</v>
      </c>
      <c r="F98" s="24">
        <v>7.62</v>
      </c>
      <c r="G98" s="24">
        <v>0</v>
      </c>
      <c r="H98" s="24">
        <f>F98*AE98</f>
        <v>0</v>
      </c>
      <c r="I98" s="24">
        <f>J98-H98</f>
        <v>0</v>
      </c>
      <c r="J98" s="24">
        <f>F98*G98</f>
        <v>0</v>
      </c>
      <c r="K98" s="24">
        <v>1.4999999999999999E-4</v>
      </c>
      <c r="L98" s="24">
        <f>F98*K98</f>
        <v>1.1429999999999999E-3</v>
      </c>
      <c r="M98" s="25" t="s">
        <v>53</v>
      </c>
      <c r="N98" s="25" t="s">
        <v>49</v>
      </c>
      <c r="O98" s="24">
        <f>IF(N98="5",I98,0)</f>
        <v>0</v>
      </c>
      <c r="Z98" s="24">
        <f>IF(AD98=0,J98,0)</f>
        <v>0</v>
      </c>
      <c r="AA98" s="24">
        <f>IF(AD98=15,J98,0)</f>
        <v>0</v>
      </c>
      <c r="AB98" s="24">
        <f>IF(AD98=21,J98,0)</f>
        <v>0</v>
      </c>
      <c r="AD98" s="24">
        <v>21</v>
      </c>
      <c r="AE98" s="24">
        <f>G98*0.344774011299435</f>
        <v>0</v>
      </c>
      <c r="AF98" s="24">
        <f>G98*(1-0.344774011299435)</f>
        <v>0</v>
      </c>
      <c r="AM98" s="24">
        <f>F98*AE98</f>
        <v>0</v>
      </c>
      <c r="AN98" s="24">
        <f>F98*AF98</f>
        <v>0</v>
      </c>
      <c r="AO98" s="25" t="s">
        <v>182</v>
      </c>
      <c r="AP98" s="25" t="s">
        <v>183</v>
      </c>
      <c r="AQ98" s="18" t="s">
        <v>56</v>
      </c>
    </row>
    <row r="99" spans="1:43" x14ac:dyDescent="0.2">
      <c r="D99" s="26" t="s">
        <v>184</v>
      </c>
      <c r="F99" s="27">
        <v>7.62</v>
      </c>
    </row>
    <row r="100" spans="1:43" x14ac:dyDescent="0.2">
      <c r="A100" s="28"/>
      <c r="B100" s="29"/>
      <c r="C100" s="29" t="s">
        <v>185</v>
      </c>
      <c r="D100" s="60" t="s">
        <v>186</v>
      </c>
      <c r="E100" s="60"/>
      <c r="F100" s="60"/>
      <c r="G100" s="60"/>
      <c r="H100" s="23">
        <f>SUM(H101:H109)</f>
        <v>0</v>
      </c>
      <c r="I100" s="23">
        <f>SUM(I101:I109)</f>
        <v>0</v>
      </c>
      <c r="J100" s="23">
        <f>H100+I100</f>
        <v>0</v>
      </c>
      <c r="K100" s="18"/>
      <c r="L100" s="23">
        <f>SUM(L101:L109)</f>
        <v>1.1732429999999998</v>
      </c>
      <c r="M100" s="18"/>
      <c r="P100" s="23">
        <f>IF(Q100="PR",J100,SUM(O101:O109))</f>
        <v>0</v>
      </c>
      <c r="Q100" s="18" t="s">
        <v>178</v>
      </c>
      <c r="R100" s="23">
        <f>IF(Q100="HS",H100,0)</f>
        <v>0</v>
      </c>
      <c r="S100" s="23">
        <f>IF(Q100="HS",I100-P100,0)</f>
        <v>0</v>
      </c>
      <c r="T100" s="23">
        <f>IF(Q100="PS",H100,0)</f>
        <v>0</v>
      </c>
      <c r="U100" s="23">
        <f>IF(Q100="PS",I100-P100,0)</f>
        <v>0</v>
      </c>
      <c r="V100" s="23">
        <f>IF(Q100="MP",H100,0)</f>
        <v>0</v>
      </c>
      <c r="W100" s="23">
        <f>IF(Q100="MP",I100-P100,0)</f>
        <v>0</v>
      </c>
      <c r="X100" s="23">
        <f>IF(Q100="OM",H100,0)</f>
        <v>0</v>
      </c>
      <c r="Y100" s="18"/>
      <c r="AI100" s="23">
        <f>SUM(Z101:Z109)</f>
        <v>0</v>
      </c>
      <c r="AJ100" s="23">
        <f>SUM(AA101:AA109)</f>
        <v>0</v>
      </c>
      <c r="AK100" s="23">
        <f>SUM(AB101:AB109)</f>
        <v>0</v>
      </c>
    </row>
    <row r="101" spans="1:43" x14ac:dyDescent="0.2">
      <c r="A101" s="3" t="s">
        <v>187</v>
      </c>
      <c r="B101" s="3"/>
      <c r="C101" s="3" t="s">
        <v>188</v>
      </c>
      <c r="D101" s="3" t="s">
        <v>189</v>
      </c>
      <c r="E101" s="3" t="s">
        <v>102</v>
      </c>
      <c r="F101" s="24">
        <v>121.6</v>
      </c>
      <c r="G101" s="24">
        <v>0</v>
      </c>
      <c r="H101" s="24">
        <f>F101*AE101</f>
        <v>0</v>
      </c>
      <c r="I101" s="24">
        <f>J101-H101</f>
        <v>0</v>
      </c>
      <c r="J101" s="24">
        <f>F101*G101</f>
        <v>0</v>
      </c>
      <c r="K101" s="24">
        <v>1.81E-3</v>
      </c>
      <c r="L101" s="24">
        <f>F101*K101</f>
        <v>0.22009599999999999</v>
      </c>
      <c r="M101" s="25" t="s">
        <v>53</v>
      </c>
      <c r="N101" s="25" t="s">
        <v>65</v>
      </c>
      <c r="O101" s="24">
        <f>IF(N101="5",I101,0)</f>
        <v>0</v>
      </c>
      <c r="Z101" s="24">
        <f>IF(AD101=0,J101,0)</f>
        <v>0</v>
      </c>
      <c r="AA101" s="24">
        <f>IF(AD101=15,J101,0)</f>
        <v>0</v>
      </c>
      <c r="AB101" s="24">
        <f>IF(AD101=21,J101,0)</f>
        <v>0</v>
      </c>
      <c r="AD101" s="24">
        <v>21</v>
      </c>
      <c r="AE101" s="24">
        <f>G101*0</f>
        <v>0</v>
      </c>
      <c r="AF101" s="24">
        <f>G101*(1-0)</f>
        <v>0</v>
      </c>
      <c r="AM101" s="24">
        <f>F101*AE101</f>
        <v>0</v>
      </c>
      <c r="AN101" s="24">
        <f>F101*AF101</f>
        <v>0</v>
      </c>
      <c r="AO101" s="25" t="s">
        <v>190</v>
      </c>
      <c r="AP101" s="25" t="s">
        <v>191</v>
      </c>
      <c r="AQ101" s="18" t="s">
        <v>56</v>
      </c>
    </row>
    <row r="102" spans="1:43" x14ac:dyDescent="0.2">
      <c r="D102" s="26" t="s">
        <v>192</v>
      </c>
      <c r="F102" s="27">
        <v>84</v>
      </c>
    </row>
    <row r="103" spans="1:43" x14ac:dyDescent="0.2">
      <c r="D103" s="26" t="s">
        <v>193</v>
      </c>
      <c r="F103" s="27">
        <v>33.6</v>
      </c>
    </row>
    <row r="104" spans="1:43" x14ac:dyDescent="0.2">
      <c r="D104" s="26" t="s">
        <v>194</v>
      </c>
      <c r="F104" s="27">
        <v>4</v>
      </c>
    </row>
    <row r="105" spans="1:43" x14ac:dyDescent="0.2">
      <c r="A105" s="3" t="s">
        <v>195</v>
      </c>
      <c r="B105" s="3"/>
      <c r="C105" s="3" t="s">
        <v>196</v>
      </c>
      <c r="D105" s="3" t="s">
        <v>197</v>
      </c>
      <c r="E105" s="3" t="s">
        <v>102</v>
      </c>
      <c r="F105" s="24">
        <v>121.6</v>
      </c>
      <c r="G105" s="24">
        <v>0</v>
      </c>
      <c r="H105" s="24">
        <f>F105*AE105</f>
        <v>0</v>
      </c>
      <c r="I105" s="24">
        <f>J105-H105</f>
        <v>0</v>
      </c>
      <c r="J105" s="24">
        <f>F105*G105</f>
        <v>0</v>
      </c>
      <c r="K105" s="24">
        <v>2.4199999999999998E-3</v>
      </c>
      <c r="L105" s="24">
        <f>F105*K105</f>
        <v>0.29427199999999998</v>
      </c>
      <c r="M105" s="25" t="s">
        <v>53</v>
      </c>
      <c r="N105" s="25" t="s">
        <v>65</v>
      </c>
      <c r="O105" s="24">
        <f>IF(N105="5",I105,0)</f>
        <v>0</v>
      </c>
      <c r="Z105" s="24">
        <f>IF(AD105=0,J105,0)</f>
        <v>0</v>
      </c>
      <c r="AA105" s="24">
        <f>IF(AD105=15,J105,0)</f>
        <v>0</v>
      </c>
      <c r="AB105" s="24">
        <f>IF(AD105=21,J105,0)</f>
        <v>0</v>
      </c>
      <c r="AD105" s="24">
        <v>21</v>
      </c>
      <c r="AE105" s="24">
        <f>G105*0.232118380933732</f>
        <v>0</v>
      </c>
      <c r="AF105" s="24">
        <f>G105*(1-0.232118380933732)</f>
        <v>0</v>
      </c>
      <c r="AM105" s="24">
        <f>F105*AE105</f>
        <v>0</v>
      </c>
      <c r="AN105" s="24">
        <f>F105*AF105</f>
        <v>0</v>
      </c>
      <c r="AO105" s="25" t="s">
        <v>190</v>
      </c>
      <c r="AP105" s="25" t="s">
        <v>191</v>
      </c>
      <c r="AQ105" s="18" t="s">
        <v>56</v>
      </c>
    </row>
    <row r="106" spans="1:43" x14ac:dyDescent="0.2">
      <c r="D106" s="26" t="s">
        <v>198</v>
      </c>
      <c r="F106" s="27">
        <v>84</v>
      </c>
    </row>
    <row r="107" spans="1:43" x14ac:dyDescent="0.2">
      <c r="D107" s="26" t="s">
        <v>199</v>
      </c>
      <c r="F107" s="27">
        <v>33.6</v>
      </c>
    </row>
    <row r="108" spans="1:43" x14ac:dyDescent="0.2">
      <c r="A108" s="104"/>
      <c r="D108" s="26" t="s">
        <v>200</v>
      </c>
      <c r="F108" s="27">
        <v>4</v>
      </c>
    </row>
    <row r="109" spans="1:43" s="34" customFormat="1" x14ac:dyDescent="0.2">
      <c r="A109" s="100" t="s">
        <v>201</v>
      </c>
      <c r="B109" s="101"/>
      <c r="C109" s="101" t="s">
        <v>202</v>
      </c>
      <c r="D109" s="101" t="s">
        <v>203</v>
      </c>
      <c r="E109" s="101" t="s">
        <v>102</v>
      </c>
      <c r="F109" s="102">
        <v>175.7</v>
      </c>
      <c r="G109" s="102">
        <v>0</v>
      </c>
      <c r="H109" s="102">
        <f>F109*AE109</f>
        <v>0</v>
      </c>
      <c r="I109" s="102">
        <f>J109-H109</f>
        <v>0</v>
      </c>
      <c r="J109" s="102">
        <f>F109*G109</f>
        <v>0</v>
      </c>
      <c r="K109" s="102">
        <v>3.7499999999999999E-3</v>
      </c>
      <c r="L109" s="102">
        <f>F109*K109</f>
        <v>0.65887499999999999</v>
      </c>
      <c r="M109" s="103"/>
      <c r="N109" s="31" t="s">
        <v>49</v>
      </c>
      <c r="O109" s="30">
        <f>IF(N109="5",I109,0)</f>
        <v>0</v>
      </c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0">
        <f>IF(AD109=0,J109,0)</f>
        <v>0</v>
      </c>
      <c r="AA109" s="30">
        <f>IF(AD109=15,J109,0)</f>
        <v>0</v>
      </c>
      <c r="AB109" s="30">
        <f>IF(AD109=21,J109,0)</f>
        <v>0</v>
      </c>
      <c r="AC109" s="32"/>
      <c r="AD109" s="30">
        <v>21</v>
      </c>
      <c r="AE109" s="30">
        <f>G109*0.459791835830811</f>
        <v>0</v>
      </c>
      <c r="AF109" s="30">
        <f>G109*(1-0.459791835830811)</f>
        <v>0</v>
      </c>
      <c r="AG109" s="32"/>
      <c r="AH109" s="32"/>
      <c r="AI109" s="32"/>
      <c r="AJ109" s="32"/>
      <c r="AK109" s="32"/>
      <c r="AL109" s="32"/>
      <c r="AM109" s="30">
        <f>F109*AE109</f>
        <v>0</v>
      </c>
      <c r="AN109" s="30">
        <f>F109*AF109</f>
        <v>0</v>
      </c>
      <c r="AO109" s="31" t="s">
        <v>190</v>
      </c>
      <c r="AP109" s="31" t="s">
        <v>191</v>
      </c>
      <c r="AQ109" s="33" t="s">
        <v>56</v>
      </c>
    </row>
    <row r="110" spans="1:43" s="34" customFormat="1" x14ac:dyDescent="0.2">
      <c r="A110" s="104"/>
      <c r="B110" s="104"/>
      <c r="C110" s="104"/>
      <c r="D110" s="105" t="s">
        <v>204</v>
      </c>
      <c r="E110" s="104"/>
      <c r="F110" s="106">
        <v>15.3</v>
      </c>
      <c r="G110" s="104"/>
      <c r="H110" s="104"/>
      <c r="I110" s="104"/>
      <c r="J110" s="104"/>
      <c r="K110" s="104"/>
      <c r="L110" s="104"/>
      <c r="M110" s="104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1:43" s="34" customFormat="1" x14ac:dyDescent="0.2">
      <c r="A111" s="104"/>
      <c r="B111" s="104"/>
      <c r="C111" s="104"/>
      <c r="D111" s="105" t="s">
        <v>205</v>
      </c>
      <c r="E111" s="104"/>
      <c r="F111" s="106">
        <v>38.5</v>
      </c>
      <c r="G111" s="104"/>
      <c r="H111" s="104"/>
      <c r="I111" s="104"/>
      <c r="J111" s="104"/>
      <c r="K111" s="104"/>
      <c r="L111" s="104"/>
      <c r="M111" s="104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1:43" s="34" customFormat="1" x14ac:dyDescent="0.2">
      <c r="A112" s="104"/>
      <c r="B112" s="104"/>
      <c r="C112" s="104"/>
      <c r="D112" s="105" t="s">
        <v>206</v>
      </c>
      <c r="E112" s="104"/>
      <c r="F112" s="106">
        <v>15</v>
      </c>
      <c r="G112" s="104"/>
      <c r="H112" s="104"/>
      <c r="I112" s="104"/>
      <c r="J112" s="104"/>
      <c r="K112" s="104"/>
      <c r="L112" s="104"/>
      <c r="M112" s="104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1:43" s="34" customFormat="1" x14ac:dyDescent="0.2">
      <c r="A113" s="104"/>
      <c r="B113" s="104"/>
      <c r="C113" s="104"/>
      <c r="D113" s="105" t="s">
        <v>207</v>
      </c>
      <c r="E113" s="104"/>
      <c r="F113" s="106">
        <v>15.3</v>
      </c>
      <c r="G113" s="104"/>
      <c r="H113" s="104"/>
      <c r="I113" s="104"/>
      <c r="J113" s="104"/>
      <c r="K113" s="104"/>
      <c r="L113" s="104"/>
      <c r="M113" s="104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1:43" s="34" customFormat="1" x14ac:dyDescent="0.2">
      <c r="A114" s="104"/>
      <c r="B114" s="104"/>
      <c r="C114" s="104"/>
      <c r="D114" s="105" t="s">
        <v>208</v>
      </c>
      <c r="E114" s="104"/>
      <c r="F114" s="106">
        <v>24</v>
      </c>
      <c r="G114" s="104"/>
      <c r="H114" s="104"/>
      <c r="I114" s="104"/>
      <c r="J114" s="104"/>
      <c r="K114" s="104"/>
      <c r="L114" s="104"/>
      <c r="M114" s="104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1:43" s="34" customFormat="1" x14ac:dyDescent="0.2">
      <c r="A115" s="104"/>
      <c r="B115" s="104"/>
      <c r="C115" s="104"/>
      <c r="D115" s="105" t="s">
        <v>209</v>
      </c>
      <c r="E115" s="104"/>
      <c r="F115" s="106">
        <v>15</v>
      </c>
      <c r="G115" s="104"/>
      <c r="H115" s="104"/>
      <c r="I115" s="104"/>
      <c r="J115" s="104"/>
      <c r="K115" s="104"/>
      <c r="L115" s="104"/>
      <c r="M115" s="104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1:43" s="34" customFormat="1" x14ac:dyDescent="0.2">
      <c r="A116" s="104"/>
      <c r="B116" s="104"/>
      <c r="C116" s="104"/>
      <c r="D116" s="105" t="s">
        <v>210</v>
      </c>
      <c r="E116" s="104"/>
      <c r="F116" s="106">
        <v>38.5</v>
      </c>
      <c r="G116" s="104"/>
      <c r="H116" s="104"/>
      <c r="I116" s="104"/>
      <c r="J116" s="104"/>
      <c r="K116" s="104"/>
      <c r="L116" s="104"/>
      <c r="M116" s="104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1:43" s="34" customFormat="1" x14ac:dyDescent="0.2">
      <c r="A117" s="104"/>
      <c r="B117" s="104"/>
      <c r="C117" s="104"/>
      <c r="D117" s="105" t="s">
        <v>211</v>
      </c>
      <c r="E117" s="104"/>
      <c r="F117" s="106">
        <v>14.1</v>
      </c>
      <c r="G117" s="104"/>
      <c r="H117" s="104"/>
      <c r="I117" s="104"/>
      <c r="J117" s="104"/>
      <c r="K117" s="104"/>
      <c r="L117" s="104"/>
      <c r="M117" s="104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</row>
    <row r="118" spans="1:43" x14ac:dyDescent="0.2">
      <c r="A118" s="107"/>
      <c r="B118" s="108"/>
      <c r="C118" s="108" t="s">
        <v>212</v>
      </c>
      <c r="D118" s="109" t="s">
        <v>213</v>
      </c>
      <c r="E118" s="109"/>
      <c r="F118" s="109"/>
      <c r="G118" s="109"/>
      <c r="H118" s="110">
        <f>SUM(H119:H124)</f>
        <v>0</v>
      </c>
      <c r="I118" s="110">
        <f>SUM(I119:I124)</f>
        <v>0</v>
      </c>
      <c r="J118" s="110">
        <f>H118+I118</f>
        <v>0</v>
      </c>
      <c r="K118" s="111"/>
      <c r="L118" s="110">
        <f>SUM(L119:L124)</f>
        <v>0.14335999999999999</v>
      </c>
      <c r="M118" s="111"/>
      <c r="P118" s="23">
        <f>IF(Q118="PR",J118,SUM(O119:O124))</f>
        <v>0</v>
      </c>
      <c r="Q118" s="18" t="s">
        <v>178</v>
      </c>
      <c r="R118" s="23">
        <f>IF(Q118="HS",H118,0)</f>
        <v>0</v>
      </c>
      <c r="S118" s="23">
        <f>IF(Q118="HS",I118-P118,0)</f>
        <v>0</v>
      </c>
      <c r="T118" s="23">
        <f>IF(Q118="PS",H118,0)</f>
        <v>0</v>
      </c>
      <c r="U118" s="23">
        <f>IF(Q118="PS",I118-P118,0)</f>
        <v>0</v>
      </c>
      <c r="V118" s="23">
        <f>IF(Q118="MP",H118,0)</f>
        <v>0</v>
      </c>
      <c r="W118" s="23">
        <f>IF(Q118="MP",I118-P118,0)</f>
        <v>0</v>
      </c>
      <c r="X118" s="23">
        <f>IF(Q118="OM",H118,0)</f>
        <v>0</v>
      </c>
      <c r="Y118" s="18"/>
      <c r="AI118" s="23">
        <f>SUM(Z119:Z124)</f>
        <v>0</v>
      </c>
      <c r="AJ118" s="23">
        <f>SUM(AA119:AA124)</f>
        <v>0</v>
      </c>
      <c r="AK118" s="23">
        <f>SUM(AB119:AB124)</f>
        <v>0</v>
      </c>
    </row>
    <row r="119" spans="1:43" x14ac:dyDescent="0.2">
      <c r="A119" s="3" t="s">
        <v>214</v>
      </c>
      <c r="B119" s="3"/>
      <c r="C119" s="3" t="s">
        <v>215</v>
      </c>
      <c r="D119" s="3" t="s">
        <v>216</v>
      </c>
      <c r="E119" s="3" t="s">
        <v>217</v>
      </c>
      <c r="F119" s="24">
        <v>2</v>
      </c>
      <c r="G119" s="24">
        <v>0</v>
      </c>
      <c r="H119" s="24">
        <f>F119*AE119</f>
        <v>0</v>
      </c>
      <c r="I119" s="24">
        <f>J119-H119</f>
        <v>0</v>
      </c>
      <c r="J119" s="24">
        <f>F119*G119</f>
        <v>0</v>
      </c>
      <c r="K119" s="24">
        <v>1.6800000000000001E-3</v>
      </c>
      <c r="L119" s="24">
        <f>F119*K119</f>
        <v>3.3600000000000001E-3</v>
      </c>
      <c r="M119" s="25" t="s">
        <v>53</v>
      </c>
      <c r="N119" s="25" t="s">
        <v>49</v>
      </c>
      <c r="O119" s="24">
        <f>IF(N119="5",I119,0)</f>
        <v>0</v>
      </c>
      <c r="Z119" s="24">
        <f>IF(AD119=0,J119,0)</f>
        <v>0</v>
      </c>
      <c r="AA119" s="24">
        <f>IF(AD119=15,J119,0)</f>
        <v>0</v>
      </c>
      <c r="AB119" s="24">
        <f>IF(AD119=21,J119,0)</f>
        <v>0</v>
      </c>
      <c r="AD119" s="24">
        <v>21</v>
      </c>
      <c r="AE119" s="24">
        <f>G119*0.174115674769489</f>
        <v>0</v>
      </c>
      <c r="AF119" s="24">
        <f>G119*(1-0.174115674769489)</f>
        <v>0</v>
      </c>
      <c r="AM119" s="24">
        <f>F119*AE119</f>
        <v>0</v>
      </c>
      <c r="AN119" s="24">
        <f>F119*AF119</f>
        <v>0</v>
      </c>
      <c r="AO119" s="25" t="s">
        <v>218</v>
      </c>
      <c r="AP119" s="25" t="s">
        <v>191</v>
      </c>
      <c r="AQ119" s="18" t="s">
        <v>56</v>
      </c>
    </row>
    <row r="120" spans="1:43" x14ac:dyDescent="0.2">
      <c r="D120" s="26" t="s">
        <v>219</v>
      </c>
      <c r="F120" s="27">
        <v>1</v>
      </c>
    </row>
    <row r="121" spans="1:43" x14ac:dyDescent="0.2">
      <c r="D121" s="26" t="s">
        <v>220</v>
      </c>
      <c r="F121" s="27">
        <v>1</v>
      </c>
    </row>
    <row r="122" spans="1:43" x14ac:dyDescent="0.2">
      <c r="A122" s="3" t="s">
        <v>221</v>
      </c>
      <c r="B122" s="3"/>
      <c r="C122" s="3" t="s">
        <v>222</v>
      </c>
      <c r="D122" s="3" t="s">
        <v>223</v>
      </c>
      <c r="E122" s="3" t="s">
        <v>217</v>
      </c>
      <c r="F122" s="24">
        <v>1</v>
      </c>
      <c r="G122" s="24">
        <v>0</v>
      </c>
      <c r="H122" s="24">
        <f>F122*AE122</f>
        <v>0</v>
      </c>
      <c r="I122" s="24">
        <f>J122-H122</f>
        <v>0</v>
      </c>
      <c r="J122" s="24">
        <f>F122*G122</f>
        <v>0</v>
      </c>
      <c r="K122" s="24">
        <v>0.05</v>
      </c>
      <c r="L122" s="24">
        <f>F122*K122</f>
        <v>0.05</v>
      </c>
      <c r="M122" s="25"/>
      <c r="N122" s="25" t="s">
        <v>224</v>
      </c>
      <c r="O122" s="24">
        <f>IF(N122="5",I122,0)</f>
        <v>0</v>
      </c>
      <c r="Z122" s="24">
        <f>IF(AD122=0,J122,0)</f>
        <v>0</v>
      </c>
      <c r="AA122" s="24">
        <f>IF(AD122=15,J122,0)</f>
        <v>0</v>
      </c>
      <c r="AB122" s="24">
        <f>IF(AD122=21,J122,0)</f>
        <v>0</v>
      </c>
      <c r="AD122" s="24">
        <v>21</v>
      </c>
      <c r="AE122" s="24">
        <f>G122*1</f>
        <v>0</v>
      </c>
      <c r="AF122" s="24">
        <f>G122*(1-1)</f>
        <v>0</v>
      </c>
      <c r="AM122" s="24">
        <f>F122*AE122</f>
        <v>0</v>
      </c>
      <c r="AN122" s="24">
        <f>F122*AF122</f>
        <v>0</v>
      </c>
      <c r="AO122" s="25" t="s">
        <v>218</v>
      </c>
      <c r="AP122" s="25" t="s">
        <v>191</v>
      </c>
      <c r="AQ122" s="18" t="s">
        <v>56</v>
      </c>
    </row>
    <row r="123" spans="1:43" x14ac:dyDescent="0.2">
      <c r="D123" s="26" t="s">
        <v>219</v>
      </c>
      <c r="F123" s="27">
        <v>1</v>
      </c>
    </row>
    <row r="124" spans="1:43" x14ac:dyDescent="0.2">
      <c r="A124" s="3" t="s">
        <v>225</v>
      </c>
      <c r="B124" s="3"/>
      <c r="C124" s="3" t="s">
        <v>226</v>
      </c>
      <c r="D124" s="3" t="s">
        <v>227</v>
      </c>
      <c r="E124" s="3" t="s">
        <v>217</v>
      </c>
      <c r="F124" s="24">
        <v>1</v>
      </c>
      <c r="G124" s="24">
        <v>0</v>
      </c>
      <c r="H124" s="24">
        <f>F124*AE124</f>
        <v>0</v>
      </c>
      <c r="I124" s="24">
        <f>J124-H124</f>
        <v>0</v>
      </c>
      <c r="J124" s="24">
        <f>F124*G124</f>
        <v>0</v>
      </c>
      <c r="K124" s="24">
        <v>0.09</v>
      </c>
      <c r="L124" s="24">
        <f>F124*K124</f>
        <v>0.09</v>
      </c>
      <c r="M124" s="25"/>
      <c r="N124" s="25" t="s">
        <v>224</v>
      </c>
      <c r="O124" s="24">
        <f>IF(N124="5",I124,0)</f>
        <v>0</v>
      </c>
      <c r="Z124" s="24">
        <f>IF(AD124=0,J124,0)</f>
        <v>0</v>
      </c>
      <c r="AA124" s="24">
        <f>IF(AD124=15,J124,0)</f>
        <v>0</v>
      </c>
      <c r="AB124" s="24">
        <f>IF(AD124=21,J124,0)</f>
        <v>0</v>
      </c>
      <c r="AD124" s="24">
        <v>21</v>
      </c>
      <c r="AE124" s="24">
        <f>G124*1</f>
        <v>0</v>
      </c>
      <c r="AF124" s="24">
        <f>G124*(1-1)</f>
        <v>0</v>
      </c>
      <c r="AM124" s="24">
        <f>F124*AE124</f>
        <v>0</v>
      </c>
      <c r="AN124" s="24">
        <f>F124*AF124</f>
        <v>0</v>
      </c>
      <c r="AO124" s="25" t="s">
        <v>218</v>
      </c>
      <c r="AP124" s="25" t="s">
        <v>191</v>
      </c>
      <c r="AQ124" s="18" t="s">
        <v>56</v>
      </c>
    </row>
    <row r="125" spans="1:43" x14ac:dyDescent="0.2">
      <c r="D125" s="26" t="s">
        <v>220</v>
      </c>
      <c r="F125" s="27">
        <v>1</v>
      </c>
    </row>
    <row r="126" spans="1:43" x14ac:dyDescent="0.2">
      <c r="A126" s="28"/>
      <c r="B126" s="29"/>
      <c r="C126" s="29" t="s">
        <v>228</v>
      </c>
      <c r="D126" s="60" t="s">
        <v>229</v>
      </c>
      <c r="E126" s="60"/>
      <c r="F126" s="60"/>
      <c r="G126" s="60"/>
      <c r="H126" s="23">
        <f>SUM(H127:H129)</f>
        <v>0</v>
      </c>
      <c r="I126" s="23">
        <f>SUM(I127:I129)</f>
        <v>0</v>
      </c>
      <c r="J126" s="23">
        <f>H126+I126</f>
        <v>0</v>
      </c>
      <c r="K126" s="18"/>
      <c r="L126" s="23">
        <f>SUM(L127:L129)</f>
        <v>0</v>
      </c>
      <c r="M126" s="18"/>
      <c r="P126" s="23">
        <f>IF(Q126="PR",J126,SUM(O127:O129))</f>
        <v>0</v>
      </c>
      <c r="Q126" s="18" t="s">
        <v>178</v>
      </c>
      <c r="R126" s="23">
        <f>IF(Q126="HS",H126,0)</f>
        <v>0</v>
      </c>
      <c r="S126" s="23">
        <f>IF(Q126="HS",I126-P126,0)</f>
        <v>0</v>
      </c>
      <c r="T126" s="23">
        <f>IF(Q126="PS",H126,0)</f>
        <v>0</v>
      </c>
      <c r="U126" s="23">
        <f>IF(Q126="PS",I126-P126,0)</f>
        <v>0</v>
      </c>
      <c r="V126" s="23">
        <f>IF(Q126="MP",H126,0)</f>
        <v>0</v>
      </c>
      <c r="W126" s="23">
        <f>IF(Q126="MP",I126-P126,0)</f>
        <v>0</v>
      </c>
      <c r="X126" s="23">
        <f>IF(Q126="OM",H126,0)</f>
        <v>0</v>
      </c>
      <c r="Y126" s="18"/>
      <c r="AI126" s="23">
        <f>SUM(Z127:Z129)</f>
        <v>0</v>
      </c>
      <c r="AJ126" s="23">
        <f>SUM(AA127:AA129)</f>
        <v>0</v>
      </c>
      <c r="AK126" s="23">
        <f>SUM(AB127:AB129)</f>
        <v>0</v>
      </c>
    </row>
    <row r="127" spans="1:43" x14ac:dyDescent="0.2">
      <c r="A127" s="3" t="s">
        <v>230</v>
      </c>
      <c r="B127" s="3"/>
      <c r="C127" s="3" t="s">
        <v>231</v>
      </c>
      <c r="D127" s="3" t="s">
        <v>232</v>
      </c>
      <c r="E127" s="3" t="s">
        <v>217</v>
      </c>
      <c r="F127" s="24">
        <v>1</v>
      </c>
      <c r="G127" s="24">
        <v>0</v>
      </c>
      <c r="H127" s="24">
        <f>F127*AE127</f>
        <v>0</v>
      </c>
      <c r="I127" s="24">
        <f>J127-H127</f>
        <v>0</v>
      </c>
      <c r="J127" s="24">
        <f>F127*G127</f>
        <v>0</v>
      </c>
      <c r="K127" s="24">
        <v>0</v>
      </c>
      <c r="L127" s="24">
        <f>F127*K127</f>
        <v>0</v>
      </c>
      <c r="M127" s="25"/>
      <c r="N127" s="25" t="s">
        <v>49</v>
      </c>
      <c r="O127" s="24">
        <f>IF(N127="5",I127,0)</f>
        <v>0</v>
      </c>
      <c r="Z127" s="24">
        <f>IF(AD127=0,J127,0)</f>
        <v>0</v>
      </c>
      <c r="AA127" s="24">
        <f>IF(AD127=15,J127,0)</f>
        <v>0</v>
      </c>
      <c r="AB127" s="24">
        <f>IF(AD127=21,J127,0)</f>
        <v>0</v>
      </c>
      <c r="AD127" s="24">
        <v>21</v>
      </c>
      <c r="AE127" s="24">
        <f>G127*0</f>
        <v>0</v>
      </c>
      <c r="AF127" s="24">
        <f>G127*(1-0)</f>
        <v>0</v>
      </c>
      <c r="AM127" s="24">
        <f>F127*AE127</f>
        <v>0</v>
      </c>
      <c r="AN127" s="24">
        <f>F127*AF127</f>
        <v>0</v>
      </c>
      <c r="AO127" s="25" t="s">
        <v>233</v>
      </c>
      <c r="AP127" s="25" t="s">
        <v>191</v>
      </c>
      <c r="AQ127" s="18" t="s">
        <v>56</v>
      </c>
    </row>
    <row r="128" spans="1:43" x14ac:dyDescent="0.2">
      <c r="D128" s="26" t="s">
        <v>234</v>
      </c>
      <c r="F128" s="27">
        <v>1</v>
      </c>
    </row>
    <row r="129" spans="1:43" x14ac:dyDescent="0.2">
      <c r="A129" s="3" t="s">
        <v>235</v>
      </c>
      <c r="B129" s="3"/>
      <c r="C129" s="3" t="s">
        <v>236</v>
      </c>
      <c r="D129" s="3" t="s">
        <v>237</v>
      </c>
      <c r="E129" s="3" t="s">
        <v>217</v>
      </c>
      <c r="F129" s="24">
        <v>1</v>
      </c>
      <c r="G129" s="24">
        <v>0</v>
      </c>
      <c r="H129" s="24">
        <f>F129*AE129</f>
        <v>0</v>
      </c>
      <c r="I129" s="24">
        <f>J129-H129</f>
        <v>0</v>
      </c>
      <c r="J129" s="24">
        <f>F129*G129</f>
        <v>0</v>
      </c>
      <c r="K129" s="24">
        <v>0</v>
      </c>
      <c r="L129" s="24">
        <f>F129*K129</f>
        <v>0</v>
      </c>
      <c r="M129" s="25"/>
      <c r="N129" s="25" t="s">
        <v>49</v>
      </c>
      <c r="O129" s="24">
        <f>IF(N129="5",I129,0)</f>
        <v>0</v>
      </c>
      <c r="Z129" s="24">
        <f>IF(AD129=0,J129,0)</f>
        <v>0</v>
      </c>
      <c r="AA129" s="24">
        <f>IF(AD129=15,J129,0)</f>
        <v>0</v>
      </c>
      <c r="AB129" s="24">
        <f>IF(AD129=21,J129,0)</f>
        <v>0</v>
      </c>
      <c r="AD129" s="24">
        <v>21</v>
      </c>
      <c r="AE129" s="24">
        <f>G129*0.625</f>
        <v>0</v>
      </c>
      <c r="AF129" s="24">
        <f>G129*(1-0.625)</f>
        <v>0</v>
      </c>
      <c r="AM129" s="24">
        <f>F129*AE129</f>
        <v>0</v>
      </c>
      <c r="AN129" s="24">
        <f>F129*AF129</f>
        <v>0</v>
      </c>
      <c r="AO129" s="25" t="s">
        <v>233</v>
      </c>
      <c r="AP129" s="25" t="s">
        <v>191</v>
      </c>
      <c r="AQ129" s="18" t="s">
        <v>56</v>
      </c>
    </row>
    <row r="130" spans="1:43" x14ac:dyDescent="0.2">
      <c r="D130" s="26" t="s">
        <v>238</v>
      </c>
      <c r="F130" s="27">
        <v>1</v>
      </c>
    </row>
    <row r="131" spans="1:43" x14ac:dyDescent="0.2">
      <c r="A131" s="28"/>
      <c r="B131" s="29"/>
      <c r="C131" s="29" t="s">
        <v>239</v>
      </c>
      <c r="D131" s="60" t="s">
        <v>240</v>
      </c>
      <c r="E131" s="60"/>
      <c r="F131" s="60"/>
      <c r="G131" s="60"/>
      <c r="H131" s="23">
        <f>SUM(H132:H132)</f>
        <v>0</v>
      </c>
      <c r="I131" s="23">
        <f>SUM(I132:I132)</f>
        <v>0</v>
      </c>
      <c r="J131" s="23">
        <f>H131+I131</f>
        <v>0</v>
      </c>
      <c r="K131" s="18"/>
      <c r="L131" s="23">
        <f>SUM(L132:L132)</f>
        <v>1.815E-3</v>
      </c>
      <c r="M131" s="18"/>
      <c r="P131" s="23">
        <f>IF(Q131="PR",J131,SUM(O132:O132))</f>
        <v>0</v>
      </c>
      <c r="Q131" s="18" t="s">
        <v>178</v>
      </c>
      <c r="R131" s="23">
        <f>IF(Q131="HS",H131,0)</f>
        <v>0</v>
      </c>
      <c r="S131" s="23">
        <f>IF(Q131="HS",I131-P131,0)</f>
        <v>0</v>
      </c>
      <c r="T131" s="23">
        <f>IF(Q131="PS",H131,0)</f>
        <v>0</v>
      </c>
      <c r="U131" s="23">
        <f>IF(Q131="PS",I131-P131,0)</f>
        <v>0</v>
      </c>
      <c r="V131" s="23">
        <f>IF(Q131="MP",H131,0)</f>
        <v>0</v>
      </c>
      <c r="W131" s="23">
        <f>IF(Q131="MP",I131-P131,0)</f>
        <v>0</v>
      </c>
      <c r="X131" s="23">
        <f>IF(Q131="OM",H131,0)</f>
        <v>0</v>
      </c>
      <c r="Y131" s="18"/>
      <c r="AI131" s="23">
        <f>SUM(Z132:Z132)</f>
        <v>0</v>
      </c>
      <c r="AJ131" s="23">
        <f>SUM(AA132:AA132)</f>
        <v>0</v>
      </c>
      <c r="AK131" s="23">
        <f>SUM(AB132:AB132)</f>
        <v>0</v>
      </c>
    </row>
    <row r="132" spans="1:43" x14ac:dyDescent="0.2">
      <c r="A132" s="3" t="s">
        <v>241</v>
      </c>
      <c r="B132" s="3"/>
      <c r="C132" s="3" t="s">
        <v>242</v>
      </c>
      <c r="D132" s="3" t="s">
        <v>243</v>
      </c>
      <c r="E132" s="3" t="s">
        <v>52</v>
      </c>
      <c r="F132" s="24">
        <v>7.26</v>
      </c>
      <c r="G132" s="24">
        <v>0</v>
      </c>
      <c r="H132" s="24">
        <f>F132*AE132</f>
        <v>0</v>
      </c>
      <c r="I132" s="24">
        <f>J132-H132</f>
        <v>0</v>
      </c>
      <c r="J132" s="24">
        <f>F132*G132</f>
        <v>0</v>
      </c>
      <c r="K132" s="24">
        <v>2.5000000000000001E-4</v>
      </c>
      <c r="L132" s="24">
        <f>F132*K132</f>
        <v>1.815E-3</v>
      </c>
      <c r="M132" s="25" t="s">
        <v>53</v>
      </c>
      <c r="N132" s="25" t="s">
        <v>49</v>
      </c>
      <c r="O132" s="24">
        <f>IF(N132="5",I132,0)</f>
        <v>0</v>
      </c>
      <c r="Z132" s="24">
        <f>IF(AD132=0,J132,0)</f>
        <v>0</v>
      </c>
      <c r="AA132" s="24">
        <f>IF(AD132=15,J132,0)</f>
        <v>0</v>
      </c>
      <c r="AB132" s="24">
        <f>IF(AD132=21,J132,0)</f>
        <v>0</v>
      </c>
      <c r="AD132" s="24">
        <v>21</v>
      </c>
      <c r="AE132" s="24">
        <f>G132*0.225427872860636</f>
        <v>0</v>
      </c>
      <c r="AF132" s="24">
        <f>G132*(1-0.225427872860636)</f>
        <v>0</v>
      </c>
      <c r="AM132" s="24">
        <f>F132*AE132</f>
        <v>0</v>
      </c>
      <c r="AN132" s="24">
        <f>F132*AF132</f>
        <v>0</v>
      </c>
      <c r="AO132" s="25" t="s">
        <v>244</v>
      </c>
      <c r="AP132" s="25" t="s">
        <v>245</v>
      </c>
      <c r="AQ132" s="18" t="s">
        <v>56</v>
      </c>
    </row>
    <row r="133" spans="1:43" x14ac:dyDescent="0.2">
      <c r="D133" s="26" t="s">
        <v>246</v>
      </c>
      <c r="F133" s="27">
        <v>7.26</v>
      </c>
    </row>
    <row r="134" spans="1:43" x14ac:dyDescent="0.2">
      <c r="A134" s="28"/>
      <c r="B134" s="29"/>
      <c r="C134" s="29" t="s">
        <v>247</v>
      </c>
      <c r="D134" s="60" t="s">
        <v>248</v>
      </c>
      <c r="E134" s="60"/>
      <c r="F134" s="60"/>
      <c r="G134" s="60"/>
      <c r="H134" s="23">
        <f>SUM(H135:H150)</f>
        <v>0</v>
      </c>
      <c r="I134" s="23">
        <f>SUM(I135:I150)</f>
        <v>0</v>
      </c>
      <c r="J134" s="23">
        <f>H134+I134</f>
        <v>0</v>
      </c>
      <c r="K134" s="18"/>
      <c r="L134" s="23">
        <f>SUM(L135:L150)</f>
        <v>22.404740800000006</v>
      </c>
      <c r="M134" s="18"/>
      <c r="P134" s="23">
        <f>IF(Q134="PR",J134,SUM(O135:O150))</f>
        <v>0</v>
      </c>
      <c r="Q134" s="18" t="s">
        <v>48</v>
      </c>
      <c r="R134" s="23">
        <f>IF(Q134="HS",H134,0)</f>
        <v>0</v>
      </c>
      <c r="S134" s="23">
        <f>IF(Q134="HS",I134-P134,0)</f>
        <v>0</v>
      </c>
      <c r="T134" s="23">
        <f>IF(Q134="PS",H134,0)</f>
        <v>0</v>
      </c>
      <c r="U134" s="23">
        <f>IF(Q134="PS",I134-P134,0)</f>
        <v>0</v>
      </c>
      <c r="V134" s="23">
        <f>IF(Q134="MP",H134,0)</f>
        <v>0</v>
      </c>
      <c r="W134" s="23">
        <f>IF(Q134="MP",I134-P134,0)</f>
        <v>0</v>
      </c>
      <c r="X134" s="23">
        <f>IF(Q134="OM",H134,0)</f>
        <v>0</v>
      </c>
      <c r="Y134" s="18"/>
      <c r="AI134" s="23">
        <f>SUM(Z135:Z150)</f>
        <v>0</v>
      </c>
      <c r="AJ134" s="23">
        <f>SUM(AA135:AA150)</f>
        <v>0</v>
      </c>
      <c r="AK134" s="23">
        <f>SUM(AB135:AB150)</f>
        <v>0</v>
      </c>
    </row>
    <row r="135" spans="1:43" x14ac:dyDescent="0.2">
      <c r="A135" s="3" t="s">
        <v>249</v>
      </c>
      <c r="B135" s="3"/>
      <c r="C135" s="3" t="s">
        <v>250</v>
      </c>
      <c r="D135" s="3" t="s">
        <v>251</v>
      </c>
      <c r="E135" s="3" t="s">
        <v>52</v>
      </c>
      <c r="F135" s="24">
        <v>2</v>
      </c>
      <c r="G135" s="24">
        <v>0</v>
      </c>
      <c r="H135" s="24">
        <f>F135*AE135</f>
        <v>0</v>
      </c>
      <c r="I135" s="24">
        <f>J135-H135</f>
        <v>0</v>
      </c>
      <c r="J135" s="24">
        <f>F135*G135</f>
        <v>0</v>
      </c>
      <c r="K135" s="24">
        <v>1.58E-3</v>
      </c>
      <c r="L135" s="24">
        <f>F135*K135</f>
        <v>3.16E-3</v>
      </c>
      <c r="M135" s="25" t="s">
        <v>53</v>
      </c>
      <c r="N135" s="25" t="s">
        <v>49</v>
      </c>
      <c r="O135" s="24">
        <f>IF(N135="5",I135,0)</f>
        <v>0</v>
      </c>
      <c r="Z135" s="24">
        <f>IF(AD135=0,J135,0)</f>
        <v>0</v>
      </c>
      <c r="AA135" s="24">
        <f>IF(AD135=15,J135,0)</f>
        <v>0</v>
      </c>
      <c r="AB135" s="24">
        <f>IF(AD135=21,J135,0)</f>
        <v>0</v>
      </c>
      <c r="AD135" s="24">
        <v>21</v>
      </c>
      <c r="AE135" s="24">
        <f>G135*0.455303820267324</f>
        <v>0</v>
      </c>
      <c r="AF135" s="24">
        <f>G135*(1-0.455303820267324)</f>
        <v>0</v>
      </c>
      <c r="AM135" s="24">
        <f>F135*AE135</f>
        <v>0</v>
      </c>
      <c r="AN135" s="24">
        <f>F135*AF135</f>
        <v>0</v>
      </c>
      <c r="AO135" s="25" t="s">
        <v>252</v>
      </c>
      <c r="AP135" s="25" t="s">
        <v>253</v>
      </c>
      <c r="AQ135" s="18" t="s">
        <v>56</v>
      </c>
    </row>
    <row r="136" spans="1:43" x14ac:dyDescent="0.2">
      <c r="D136" s="26" t="s">
        <v>254</v>
      </c>
      <c r="F136" s="27">
        <v>2</v>
      </c>
    </row>
    <row r="137" spans="1:43" x14ac:dyDescent="0.2">
      <c r="A137" s="3" t="s">
        <v>255</v>
      </c>
      <c r="B137" s="3"/>
      <c r="C137" s="3" t="s">
        <v>256</v>
      </c>
      <c r="D137" s="3" t="s">
        <v>257</v>
      </c>
      <c r="E137" s="3" t="s">
        <v>52</v>
      </c>
      <c r="F137" s="24">
        <v>1102.44</v>
      </c>
      <c r="G137" s="24">
        <v>0</v>
      </c>
      <c r="H137" s="24">
        <f>F137*AE137</f>
        <v>0</v>
      </c>
      <c r="I137" s="24">
        <f>J137-H137</f>
        <v>0</v>
      </c>
      <c r="J137" s="24">
        <f>F137*G137</f>
        <v>0</v>
      </c>
      <c r="K137" s="24">
        <v>1.8380000000000001E-2</v>
      </c>
      <c r="L137" s="24">
        <f>F137*K137</f>
        <v>20.262847200000003</v>
      </c>
      <c r="M137" s="25" t="s">
        <v>53</v>
      </c>
      <c r="N137" s="25" t="s">
        <v>49</v>
      </c>
      <c r="O137" s="24">
        <f>IF(N137="5",I137,0)</f>
        <v>0</v>
      </c>
      <c r="Z137" s="24">
        <f>IF(AD137=0,J137,0)</f>
        <v>0</v>
      </c>
      <c r="AA137" s="24">
        <f>IF(AD137=15,J137,0)</f>
        <v>0</v>
      </c>
      <c r="AB137" s="24">
        <f>IF(AD137=21,J137,0)</f>
        <v>0</v>
      </c>
      <c r="AD137" s="24">
        <v>21</v>
      </c>
      <c r="AE137" s="24">
        <f>G137*0.000623700623700624</f>
        <v>0</v>
      </c>
      <c r="AF137" s="24">
        <f>G137*(1-0.000623700623700624)</f>
        <v>0</v>
      </c>
      <c r="AM137" s="24">
        <f>F137*AE137</f>
        <v>0</v>
      </c>
      <c r="AN137" s="24">
        <f>F137*AF137</f>
        <v>0</v>
      </c>
      <c r="AO137" s="25" t="s">
        <v>252</v>
      </c>
      <c r="AP137" s="25" t="s">
        <v>253</v>
      </c>
      <c r="AQ137" s="18" t="s">
        <v>56</v>
      </c>
    </row>
    <row r="138" spans="1:43" x14ac:dyDescent="0.2">
      <c r="D138" s="26" t="s">
        <v>258</v>
      </c>
      <c r="F138" s="27">
        <v>327.14</v>
      </c>
    </row>
    <row r="139" spans="1:43" x14ac:dyDescent="0.2">
      <c r="D139" s="26" t="s">
        <v>259</v>
      </c>
      <c r="F139" s="27">
        <v>76.400000000000006</v>
      </c>
    </row>
    <row r="140" spans="1:43" x14ac:dyDescent="0.2">
      <c r="D140" s="26" t="s">
        <v>260</v>
      </c>
      <c r="F140" s="27">
        <v>129</v>
      </c>
    </row>
    <row r="141" spans="1:43" x14ac:dyDescent="0.2">
      <c r="D141" s="26" t="s">
        <v>261</v>
      </c>
      <c r="F141" s="27">
        <v>45.58</v>
      </c>
    </row>
    <row r="142" spans="1:43" x14ac:dyDescent="0.2">
      <c r="D142" s="26" t="s">
        <v>262</v>
      </c>
      <c r="F142" s="27">
        <v>120.62</v>
      </c>
    </row>
    <row r="143" spans="1:43" x14ac:dyDescent="0.2">
      <c r="D143" s="26" t="s">
        <v>263</v>
      </c>
      <c r="F143" s="27">
        <v>76.5</v>
      </c>
    </row>
    <row r="144" spans="1:43" x14ac:dyDescent="0.2">
      <c r="D144" s="26" t="s">
        <v>264</v>
      </c>
      <c r="F144" s="27">
        <v>71.09</v>
      </c>
    </row>
    <row r="145" spans="1:43" x14ac:dyDescent="0.2">
      <c r="D145" s="26" t="s">
        <v>265</v>
      </c>
      <c r="F145" s="27">
        <v>256.11</v>
      </c>
    </row>
    <row r="146" spans="1:43" x14ac:dyDescent="0.2">
      <c r="A146" s="3" t="s">
        <v>266</v>
      </c>
      <c r="B146" s="3"/>
      <c r="C146" s="3" t="s">
        <v>267</v>
      </c>
      <c r="D146" s="3" t="s">
        <v>268</v>
      </c>
      <c r="E146" s="3" t="s">
        <v>52</v>
      </c>
      <c r="F146" s="24">
        <v>2204.88</v>
      </c>
      <c r="G146" s="24">
        <v>0</v>
      </c>
      <c r="H146" s="24">
        <f>F146*AE146</f>
        <v>0</v>
      </c>
      <c r="I146" s="24">
        <f>J146-H146</f>
        <v>0</v>
      </c>
      <c r="J146" s="24">
        <f>F146*G146</f>
        <v>0</v>
      </c>
      <c r="K146" s="24">
        <v>9.7000000000000005E-4</v>
      </c>
      <c r="L146" s="24">
        <f>F146*K146</f>
        <v>2.1387336000000001</v>
      </c>
      <c r="M146" s="25" t="s">
        <v>53</v>
      </c>
      <c r="N146" s="25" t="s">
        <v>49</v>
      </c>
      <c r="O146" s="24">
        <f>IF(N146="5",I146,0)</f>
        <v>0</v>
      </c>
      <c r="Z146" s="24">
        <f>IF(AD146=0,J146,0)</f>
        <v>0</v>
      </c>
      <c r="AA146" s="24">
        <f>IF(AD146=15,J146,0)</f>
        <v>0</v>
      </c>
      <c r="AB146" s="24">
        <f>IF(AD146=21,J146,0)</f>
        <v>0</v>
      </c>
      <c r="AD146" s="24">
        <v>21</v>
      </c>
      <c r="AE146" s="24">
        <f>G146*0.954889324740824</f>
        <v>0</v>
      </c>
      <c r="AF146" s="24">
        <f>G146*(1-0.954889324740824)</f>
        <v>0</v>
      </c>
      <c r="AM146" s="24">
        <f>F146*AE146</f>
        <v>0</v>
      </c>
      <c r="AN146" s="24">
        <f>F146*AF146</f>
        <v>0</v>
      </c>
      <c r="AO146" s="25" t="s">
        <v>252</v>
      </c>
      <c r="AP146" s="25" t="s">
        <v>253</v>
      </c>
      <c r="AQ146" s="18" t="s">
        <v>56</v>
      </c>
    </row>
    <row r="147" spans="1:43" x14ac:dyDescent="0.2">
      <c r="D147" s="26" t="s">
        <v>269</v>
      </c>
      <c r="F147" s="27">
        <v>2204.88</v>
      </c>
    </row>
    <row r="148" spans="1:43" x14ac:dyDescent="0.2">
      <c r="A148" s="3" t="s">
        <v>270</v>
      </c>
      <c r="B148" s="3"/>
      <c r="C148" s="3" t="s">
        <v>271</v>
      </c>
      <c r="D148" s="3" t="s">
        <v>272</v>
      </c>
      <c r="E148" s="3" t="s">
        <v>52</v>
      </c>
      <c r="F148" s="24">
        <v>1102.44</v>
      </c>
      <c r="G148" s="24">
        <v>0</v>
      </c>
      <c r="H148" s="24">
        <f>F148*AE148</f>
        <v>0</v>
      </c>
      <c r="I148" s="24">
        <f>J148-H148</f>
        <v>0</v>
      </c>
      <c r="J148" s="24">
        <f>F148*G148</f>
        <v>0</v>
      </c>
      <c r="K148" s="24">
        <v>0</v>
      </c>
      <c r="L148" s="24">
        <f>F148*K148</f>
        <v>0</v>
      </c>
      <c r="M148" s="25" t="s">
        <v>53</v>
      </c>
      <c r="N148" s="25" t="s">
        <v>49</v>
      </c>
      <c r="O148" s="24">
        <f>IF(N148="5",I148,0)</f>
        <v>0</v>
      </c>
      <c r="Z148" s="24">
        <f>IF(AD148=0,J148,0)</f>
        <v>0</v>
      </c>
      <c r="AA148" s="24">
        <f>IF(AD148=15,J148,0)</f>
        <v>0</v>
      </c>
      <c r="AB148" s="24">
        <f>IF(AD148=21,J148,0)</f>
        <v>0</v>
      </c>
      <c r="AD148" s="24">
        <v>21</v>
      </c>
      <c r="AE148" s="24">
        <f>G148*0</f>
        <v>0</v>
      </c>
      <c r="AF148" s="24">
        <f>G148*(1-0)</f>
        <v>0</v>
      </c>
      <c r="AM148" s="24">
        <f>F148*AE148</f>
        <v>0</v>
      </c>
      <c r="AN148" s="24">
        <f>F148*AF148</f>
        <v>0</v>
      </c>
      <c r="AO148" s="25" t="s">
        <v>252</v>
      </c>
      <c r="AP148" s="25" t="s">
        <v>253</v>
      </c>
      <c r="AQ148" s="18" t="s">
        <v>56</v>
      </c>
    </row>
    <row r="149" spans="1:43" x14ac:dyDescent="0.2">
      <c r="D149" s="26" t="s">
        <v>273</v>
      </c>
      <c r="F149" s="27">
        <v>1102.44</v>
      </c>
    </row>
    <row r="150" spans="1:43" x14ac:dyDescent="0.2">
      <c r="A150" s="3" t="s">
        <v>274</v>
      </c>
      <c r="B150" s="3"/>
      <c r="C150" s="3" t="s">
        <v>275</v>
      </c>
      <c r="D150" s="3" t="s">
        <v>276</v>
      </c>
      <c r="E150" s="3" t="s">
        <v>277</v>
      </c>
      <c r="F150" s="24">
        <v>22.40474</v>
      </c>
      <c r="G150" s="24">
        <v>0</v>
      </c>
      <c r="H150" s="24">
        <f>F150*AE150</f>
        <v>0</v>
      </c>
      <c r="I150" s="24">
        <f>J150-H150</f>
        <v>0</v>
      </c>
      <c r="J150" s="24">
        <f>F150*G150</f>
        <v>0</v>
      </c>
      <c r="K150" s="24">
        <v>0</v>
      </c>
      <c r="L150" s="24">
        <f>F150*K150</f>
        <v>0</v>
      </c>
      <c r="M150" s="25" t="s">
        <v>53</v>
      </c>
      <c r="N150" s="25" t="s">
        <v>75</v>
      </c>
      <c r="O150" s="24">
        <f>IF(N150="5",I150,0)</f>
        <v>0</v>
      </c>
      <c r="Z150" s="24">
        <f>IF(AD150=0,J150,0)</f>
        <v>0</v>
      </c>
      <c r="AA150" s="24">
        <f>IF(AD150=15,J150,0)</f>
        <v>0</v>
      </c>
      <c r="AB150" s="24">
        <f>IF(AD150=21,J150,0)</f>
        <v>0</v>
      </c>
      <c r="AD150" s="24">
        <v>21</v>
      </c>
      <c r="AE150" s="24">
        <f>G150*0</f>
        <v>0</v>
      </c>
      <c r="AF150" s="24">
        <f>G150*(1-0)</f>
        <v>0</v>
      </c>
      <c r="AM150" s="24">
        <f>F150*AE150</f>
        <v>0</v>
      </c>
      <c r="AN150" s="24">
        <f>F150*AF150</f>
        <v>0</v>
      </c>
      <c r="AO150" s="25" t="s">
        <v>252</v>
      </c>
      <c r="AP150" s="25" t="s">
        <v>253</v>
      </c>
      <c r="AQ150" s="18" t="s">
        <v>56</v>
      </c>
    </row>
    <row r="151" spans="1:43" x14ac:dyDescent="0.2">
      <c r="A151" s="28"/>
      <c r="B151" s="29"/>
      <c r="C151" s="29" t="s">
        <v>278</v>
      </c>
      <c r="D151" s="60" t="s">
        <v>279</v>
      </c>
      <c r="E151" s="60"/>
      <c r="F151" s="60"/>
      <c r="G151" s="60"/>
      <c r="H151" s="23">
        <f>SUM(H152:H154)</f>
        <v>0</v>
      </c>
      <c r="I151" s="23">
        <f>SUM(I152:I154)</f>
        <v>0</v>
      </c>
      <c r="J151" s="23">
        <f>H151+I151</f>
        <v>0</v>
      </c>
      <c r="K151" s="18"/>
      <c r="L151" s="23">
        <f>SUM(L152:L154)</f>
        <v>2.7420999999999999E-3</v>
      </c>
      <c r="M151" s="18"/>
      <c r="P151" s="23">
        <f>IF(Q151="PR",J151,SUM(O152:O154))</f>
        <v>0</v>
      </c>
      <c r="Q151" s="18" t="s">
        <v>48</v>
      </c>
      <c r="R151" s="23">
        <f>IF(Q151="HS",H151,0)</f>
        <v>0</v>
      </c>
      <c r="S151" s="23">
        <f>IF(Q151="HS",I151-P151,0)</f>
        <v>0</v>
      </c>
      <c r="T151" s="23">
        <f>IF(Q151="PS",H151,0)</f>
        <v>0</v>
      </c>
      <c r="U151" s="23">
        <f>IF(Q151="PS",I151-P151,0)</f>
        <v>0</v>
      </c>
      <c r="V151" s="23">
        <f>IF(Q151="MP",H151,0)</f>
        <v>0</v>
      </c>
      <c r="W151" s="23">
        <f>IF(Q151="MP",I151-P151,0)</f>
        <v>0</v>
      </c>
      <c r="X151" s="23">
        <f>IF(Q151="OM",H151,0)</f>
        <v>0</v>
      </c>
      <c r="Y151" s="18"/>
      <c r="AI151" s="23">
        <f>SUM(Z152:Z154)</f>
        <v>0</v>
      </c>
      <c r="AJ151" s="23">
        <f>SUM(AA152:AA154)</f>
        <v>0</v>
      </c>
      <c r="AK151" s="23">
        <f>SUM(AB152:AB154)</f>
        <v>0</v>
      </c>
    </row>
    <row r="152" spans="1:43" x14ac:dyDescent="0.2">
      <c r="A152" s="3" t="s">
        <v>46</v>
      </c>
      <c r="B152" s="3"/>
      <c r="C152" s="3" t="s">
        <v>280</v>
      </c>
      <c r="D152" s="3" t="s">
        <v>281</v>
      </c>
      <c r="E152" s="3" t="s">
        <v>52</v>
      </c>
      <c r="F152" s="24">
        <v>274.20999999999998</v>
      </c>
      <c r="G152" s="24">
        <v>0</v>
      </c>
      <c r="H152" s="24">
        <f>F152*AE152</f>
        <v>0</v>
      </c>
      <c r="I152" s="24">
        <f>J152-H152</f>
        <v>0</v>
      </c>
      <c r="J152" s="24">
        <f>F152*G152</f>
        <v>0</v>
      </c>
      <c r="K152" s="24">
        <v>1.0000000000000001E-5</v>
      </c>
      <c r="L152" s="24">
        <f>F152*K152</f>
        <v>2.7420999999999999E-3</v>
      </c>
      <c r="M152" s="25" t="s">
        <v>53</v>
      </c>
      <c r="N152" s="25" t="s">
        <v>49</v>
      </c>
      <c r="O152" s="24">
        <f>IF(N152="5",I152,0)</f>
        <v>0</v>
      </c>
      <c r="Z152" s="24">
        <f>IF(AD152=0,J152,0)</f>
        <v>0</v>
      </c>
      <c r="AA152" s="24">
        <f>IF(AD152=15,J152,0)</f>
        <v>0</v>
      </c>
      <c r="AB152" s="24">
        <f>IF(AD152=21,J152,0)</f>
        <v>0</v>
      </c>
      <c r="AD152" s="24">
        <v>21</v>
      </c>
      <c r="AE152" s="24">
        <f>G152*0.0288201741218853</f>
        <v>0</v>
      </c>
      <c r="AF152" s="24">
        <f>G152*(1-0.0288201741218853)</f>
        <v>0</v>
      </c>
      <c r="AM152" s="24">
        <f>F152*AE152</f>
        <v>0</v>
      </c>
      <c r="AN152" s="24">
        <f>F152*AF152</f>
        <v>0</v>
      </c>
      <c r="AO152" s="25" t="s">
        <v>282</v>
      </c>
      <c r="AP152" s="25" t="s">
        <v>253</v>
      </c>
      <c r="AQ152" s="18" t="s">
        <v>56</v>
      </c>
    </row>
    <row r="153" spans="1:43" x14ac:dyDescent="0.2">
      <c r="D153" s="26" t="s">
        <v>283</v>
      </c>
      <c r="F153" s="27">
        <v>274.20999999999998</v>
      </c>
    </row>
    <row r="154" spans="1:43" x14ac:dyDescent="0.2">
      <c r="A154" s="3" t="s">
        <v>284</v>
      </c>
      <c r="B154" s="3"/>
      <c r="C154" s="3" t="s">
        <v>285</v>
      </c>
      <c r="D154" s="3" t="s">
        <v>286</v>
      </c>
      <c r="E154" s="3" t="s">
        <v>277</v>
      </c>
      <c r="F154" s="24">
        <v>34.025060000000003</v>
      </c>
      <c r="G154" s="24">
        <v>0</v>
      </c>
      <c r="H154" s="24">
        <f>F154*AE154</f>
        <v>0</v>
      </c>
      <c r="I154" s="24">
        <f>J154-H154</f>
        <v>0</v>
      </c>
      <c r="J154" s="24">
        <f>F154*G154</f>
        <v>0</v>
      </c>
      <c r="K154" s="24">
        <v>0</v>
      </c>
      <c r="L154" s="24">
        <f>F154*K154</f>
        <v>0</v>
      </c>
      <c r="M154" s="25" t="s">
        <v>53</v>
      </c>
      <c r="N154" s="25" t="s">
        <v>75</v>
      </c>
      <c r="O154" s="24">
        <f>IF(N154="5",I154,0)</f>
        <v>0</v>
      </c>
      <c r="Z154" s="24">
        <f>IF(AD154=0,J154,0)</f>
        <v>0</v>
      </c>
      <c r="AA154" s="24">
        <f>IF(AD154=15,J154,0)</f>
        <v>0</v>
      </c>
      <c r="AB154" s="24">
        <f>IF(AD154=21,J154,0)</f>
        <v>0</v>
      </c>
      <c r="AD154" s="24">
        <v>21</v>
      </c>
      <c r="AE154" s="24">
        <f>G154*0</f>
        <v>0</v>
      </c>
      <c r="AF154" s="24">
        <f>G154*(1-0)</f>
        <v>0</v>
      </c>
      <c r="AM154" s="24">
        <f>F154*AE154</f>
        <v>0</v>
      </c>
      <c r="AN154" s="24">
        <f>F154*AF154</f>
        <v>0</v>
      </c>
      <c r="AO154" s="25" t="s">
        <v>282</v>
      </c>
      <c r="AP154" s="25" t="s">
        <v>253</v>
      </c>
      <c r="AQ154" s="18" t="s">
        <v>56</v>
      </c>
    </row>
    <row r="155" spans="1:43" x14ac:dyDescent="0.2">
      <c r="D155" s="26" t="s">
        <v>287</v>
      </c>
      <c r="F155" s="27">
        <v>34.025060000000003</v>
      </c>
    </row>
    <row r="156" spans="1:43" x14ac:dyDescent="0.2">
      <c r="A156" s="28"/>
      <c r="B156" s="29"/>
      <c r="C156" s="29" t="s">
        <v>288</v>
      </c>
      <c r="D156" s="60" t="s">
        <v>289</v>
      </c>
      <c r="E156" s="60"/>
      <c r="F156" s="60"/>
      <c r="G156" s="60"/>
      <c r="H156" s="23">
        <f>SUM(H157:H162)</f>
        <v>0</v>
      </c>
      <c r="I156" s="23">
        <f>SUM(I157:I162)</f>
        <v>0</v>
      </c>
      <c r="J156" s="23">
        <f>H156+I156</f>
        <v>0</v>
      </c>
      <c r="K156" s="18"/>
      <c r="L156" s="23">
        <f>SUM(L157:L162)</f>
        <v>0.31963841000000004</v>
      </c>
      <c r="M156" s="18"/>
      <c r="P156" s="23">
        <f>IF(Q156="PR",J156,SUM(O157:O162))</f>
        <v>0</v>
      </c>
      <c r="Q156" s="18" t="s">
        <v>48</v>
      </c>
      <c r="R156" s="23">
        <f>IF(Q156="HS",H156,0)</f>
        <v>0</v>
      </c>
      <c r="S156" s="23">
        <f>IF(Q156="HS",I156-P156,0)</f>
        <v>0</v>
      </c>
      <c r="T156" s="23">
        <f>IF(Q156="PS",H156,0)</f>
        <v>0</v>
      </c>
      <c r="U156" s="23">
        <f>IF(Q156="PS",I156-P156,0)</f>
        <v>0</v>
      </c>
      <c r="V156" s="23">
        <f>IF(Q156="MP",H156,0)</f>
        <v>0</v>
      </c>
      <c r="W156" s="23">
        <f>IF(Q156="MP",I156-P156,0)</f>
        <v>0</v>
      </c>
      <c r="X156" s="23">
        <f>IF(Q156="OM",H156,0)</f>
        <v>0</v>
      </c>
      <c r="Y156" s="18"/>
      <c r="AI156" s="23">
        <f>SUM(Z157:Z162)</f>
        <v>0</v>
      </c>
      <c r="AJ156" s="23">
        <f>SUM(AA157:AA162)</f>
        <v>0</v>
      </c>
      <c r="AK156" s="23">
        <f>SUM(AB157:AB162)</f>
        <v>0</v>
      </c>
    </row>
    <row r="157" spans="1:43" x14ac:dyDescent="0.2">
      <c r="A157" s="3" t="s">
        <v>290</v>
      </c>
      <c r="B157" s="3"/>
      <c r="C157" s="3" t="s">
        <v>291</v>
      </c>
      <c r="D157" s="3" t="s">
        <v>292</v>
      </c>
      <c r="E157" s="3" t="s">
        <v>217</v>
      </c>
      <c r="F157" s="24">
        <v>3</v>
      </c>
      <c r="G157" s="24">
        <v>0</v>
      </c>
      <c r="H157" s="24">
        <f>F157*AE157</f>
        <v>0</v>
      </c>
      <c r="I157" s="24">
        <f>J157-H157</f>
        <v>0</v>
      </c>
      <c r="J157" s="24">
        <f>F157*G157</f>
        <v>0</v>
      </c>
      <c r="K157" s="24">
        <v>0</v>
      </c>
      <c r="L157" s="24">
        <f>F157*K157</f>
        <v>0</v>
      </c>
      <c r="M157" s="25" t="s">
        <v>53</v>
      </c>
      <c r="N157" s="25" t="s">
        <v>49</v>
      </c>
      <c r="O157" s="24">
        <f>IF(N157="5",I157,0)</f>
        <v>0</v>
      </c>
      <c r="Z157" s="24">
        <f>IF(AD157=0,J157,0)</f>
        <v>0</v>
      </c>
      <c r="AA157" s="24">
        <f>IF(AD157=15,J157,0)</f>
        <v>0</v>
      </c>
      <c r="AB157" s="24">
        <f>IF(AD157=21,J157,0)</f>
        <v>0</v>
      </c>
      <c r="AD157" s="24">
        <v>21</v>
      </c>
      <c r="AE157" s="24">
        <f>G157*0</f>
        <v>0</v>
      </c>
      <c r="AF157" s="24">
        <f>G157*(1-0)</f>
        <v>0</v>
      </c>
      <c r="AM157" s="24">
        <f>F157*AE157</f>
        <v>0</v>
      </c>
      <c r="AN157" s="24">
        <f>F157*AF157</f>
        <v>0</v>
      </c>
      <c r="AO157" s="25" t="s">
        <v>293</v>
      </c>
      <c r="AP157" s="25" t="s">
        <v>253</v>
      </c>
      <c r="AQ157" s="18" t="s">
        <v>56</v>
      </c>
    </row>
    <row r="158" spans="1:43" x14ac:dyDescent="0.2">
      <c r="D158" s="26" t="s">
        <v>294</v>
      </c>
      <c r="F158" s="27">
        <v>1</v>
      </c>
    </row>
    <row r="159" spans="1:43" x14ac:dyDescent="0.2">
      <c r="D159" s="26" t="s">
        <v>295</v>
      </c>
      <c r="F159" s="27">
        <v>2</v>
      </c>
    </row>
    <row r="160" spans="1:43" x14ac:dyDescent="0.2">
      <c r="A160" s="3" t="s">
        <v>296</v>
      </c>
      <c r="B160" s="3"/>
      <c r="C160" s="3" t="s">
        <v>297</v>
      </c>
      <c r="D160" s="3" t="s">
        <v>298</v>
      </c>
      <c r="E160" s="3" t="s">
        <v>52</v>
      </c>
      <c r="F160" s="24">
        <v>1.7729999999999999</v>
      </c>
      <c r="G160" s="24">
        <v>0</v>
      </c>
      <c r="H160" s="24">
        <f>F160*AE160</f>
        <v>0</v>
      </c>
      <c r="I160" s="24">
        <f>J160-H160</f>
        <v>0</v>
      </c>
      <c r="J160" s="24">
        <f>F160*G160</f>
        <v>0</v>
      </c>
      <c r="K160" s="24">
        <v>7.7170000000000002E-2</v>
      </c>
      <c r="L160" s="24">
        <f>F160*K160</f>
        <v>0.13682241000000001</v>
      </c>
      <c r="M160" s="25" t="s">
        <v>53</v>
      </c>
      <c r="N160" s="25" t="s">
        <v>49</v>
      </c>
      <c r="O160" s="24">
        <f>IF(N160="5",I160,0)</f>
        <v>0</v>
      </c>
      <c r="Z160" s="24">
        <f>IF(AD160=0,J160,0)</f>
        <v>0</v>
      </c>
      <c r="AA160" s="24">
        <f>IF(AD160=15,J160,0)</f>
        <v>0</v>
      </c>
      <c r="AB160" s="24">
        <f>IF(AD160=21,J160,0)</f>
        <v>0</v>
      </c>
      <c r="AD160" s="24">
        <v>21</v>
      </c>
      <c r="AE160" s="24">
        <f>G160*0.105094339622642</f>
        <v>0</v>
      </c>
      <c r="AF160" s="24">
        <f>G160*(1-0.105094339622642)</f>
        <v>0</v>
      </c>
      <c r="AM160" s="24">
        <f>F160*AE160</f>
        <v>0</v>
      </c>
      <c r="AN160" s="24">
        <f>F160*AF160</f>
        <v>0</v>
      </c>
      <c r="AO160" s="25" t="s">
        <v>293</v>
      </c>
      <c r="AP160" s="25" t="s">
        <v>253</v>
      </c>
      <c r="AQ160" s="18" t="s">
        <v>56</v>
      </c>
    </row>
    <row r="161" spans="1:43" x14ac:dyDescent="0.2">
      <c r="D161" s="26" t="s">
        <v>299</v>
      </c>
      <c r="F161" s="27">
        <v>1.7729999999999999</v>
      </c>
    </row>
    <row r="162" spans="1:43" x14ac:dyDescent="0.2">
      <c r="A162" s="3" t="s">
        <v>300</v>
      </c>
      <c r="B162" s="3"/>
      <c r="C162" s="3" t="s">
        <v>301</v>
      </c>
      <c r="D162" s="3" t="s">
        <v>302</v>
      </c>
      <c r="E162" s="3" t="s">
        <v>52</v>
      </c>
      <c r="F162" s="24">
        <v>2.8565</v>
      </c>
      <c r="G162" s="24">
        <v>0</v>
      </c>
      <c r="H162" s="24">
        <f>F162*AE162</f>
        <v>0</v>
      </c>
      <c r="I162" s="24">
        <f>J162-H162</f>
        <v>0</v>
      </c>
      <c r="J162" s="24">
        <f>F162*G162</f>
        <v>0</v>
      </c>
      <c r="K162" s="24">
        <v>6.4000000000000001E-2</v>
      </c>
      <c r="L162" s="24">
        <f>F162*K162</f>
        <v>0.18281600000000001</v>
      </c>
      <c r="M162" s="25" t="s">
        <v>53</v>
      </c>
      <c r="N162" s="25" t="s">
        <v>49</v>
      </c>
      <c r="O162" s="24">
        <f>IF(N162="5",I162,0)</f>
        <v>0</v>
      </c>
      <c r="Z162" s="24">
        <f>IF(AD162=0,J162,0)</f>
        <v>0</v>
      </c>
      <c r="AA162" s="24">
        <f>IF(AD162=15,J162,0)</f>
        <v>0</v>
      </c>
      <c r="AB162" s="24">
        <f>IF(AD162=21,J162,0)</f>
        <v>0</v>
      </c>
      <c r="AD162" s="24">
        <v>21</v>
      </c>
      <c r="AE162" s="24">
        <f>G162*0.115863746958637</f>
        <v>0</v>
      </c>
      <c r="AF162" s="24">
        <f>G162*(1-0.115863746958637)</f>
        <v>0</v>
      </c>
      <c r="AM162" s="24">
        <f>F162*AE162</f>
        <v>0</v>
      </c>
      <c r="AN162" s="24">
        <f>F162*AF162</f>
        <v>0</v>
      </c>
      <c r="AO162" s="25" t="s">
        <v>293</v>
      </c>
      <c r="AP162" s="25" t="s">
        <v>253</v>
      </c>
      <c r="AQ162" s="18" t="s">
        <v>56</v>
      </c>
    </row>
    <row r="163" spans="1:43" x14ac:dyDescent="0.2">
      <c r="D163" s="26" t="s">
        <v>303</v>
      </c>
      <c r="F163" s="27">
        <v>2.8565</v>
      </c>
    </row>
    <row r="164" spans="1:43" x14ac:dyDescent="0.2">
      <c r="A164" s="28"/>
      <c r="B164" s="29"/>
      <c r="C164" s="29" t="s">
        <v>304</v>
      </c>
      <c r="D164" s="60" t="s">
        <v>305</v>
      </c>
      <c r="E164" s="60"/>
      <c r="F164" s="60"/>
      <c r="G164" s="60"/>
      <c r="H164" s="23">
        <f>SUM(H165:H169)</f>
        <v>0</v>
      </c>
      <c r="I164" s="23">
        <f>SUM(I165:I169)</f>
        <v>0</v>
      </c>
      <c r="J164" s="23">
        <f>H164+I164</f>
        <v>0</v>
      </c>
      <c r="K164" s="18"/>
      <c r="L164" s="23">
        <f>SUM(L165:L169)</f>
        <v>5.7413500000000006</v>
      </c>
      <c r="M164" s="18"/>
      <c r="P164" s="23">
        <f>IF(Q164="PR",J164,SUM(O165:O169))</f>
        <v>0</v>
      </c>
      <c r="Q164" s="18" t="s">
        <v>48</v>
      </c>
      <c r="R164" s="23">
        <f>IF(Q164="HS",H164,0)</f>
        <v>0</v>
      </c>
      <c r="S164" s="23">
        <f>IF(Q164="HS",I164-P164,0)</f>
        <v>0</v>
      </c>
      <c r="T164" s="23">
        <f>IF(Q164="PS",H164,0)</f>
        <v>0</v>
      </c>
      <c r="U164" s="23">
        <f>IF(Q164="PS",I164-P164,0)</f>
        <v>0</v>
      </c>
      <c r="V164" s="23">
        <f>IF(Q164="MP",H164,0)</f>
        <v>0</v>
      </c>
      <c r="W164" s="23">
        <f>IF(Q164="MP",I164-P164,0)</f>
        <v>0</v>
      </c>
      <c r="X164" s="23">
        <f>IF(Q164="OM",H164,0)</f>
        <v>0</v>
      </c>
      <c r="Y164" s="18"/>
      <c r="AI164" s="23">
        <f>SUM(Z165:Z169)</f>
        <v>0</v>
      </c>
      <c r="AJ164" s="23">
        <f>SUM(AA165:AA169)</f>
        <v>0</v>
      </c>
      <c r="AK164" s="23">
        <f>SUM(AB165:AB169)</f>
        <v>0</v>
      </c>
    </row>
    <row r="165" spans="1:43" x14ac:dyDescent="0.2">
      <c r="A165" s="3" t="s">
        <v>306</v>
      </c>
      <c r="B165" s="3"/>
      <c r="C165" s="3" t="s">
        <v>307</v>
      </c>
      <c r="D165" s="3" t="s">
        <v>308</v>
      </c>
      <c r="E165" s="3" t="s">
        <v>52</v>
      </c>
      <c r="F165" s="24">
        <v>13.5</v>
      </c>
      <c r="G165" s="24">
        <v>0</v>
      </c>
      <c r="H165" s="24">
        <f>F165*AE165</f>
        <v>0</v>
      </c>
      <c r="I165" s="24">
        <f>J165-H165</f>
        <v>0</v>
      </c>
      <c r="J165" s="24">
        <f>F165*G165</f>
        <v>0</v>
      </c>
      <c r="K165" s="24">
        <v>8.8999999999999996E-2</v>
      </c>
      <c r="L165" s="24">
        <f>F165*K165</f>
        <v>1.2015</v>
      </c>
      <c r="M165" s="25" t="s">
        <v>53</v>
      </c>
      <c r="N165" s="25" t="s">
        <v>49</v>
      </c>
      <c r="O165" s="24">
        <f>IF(N165="5",I165,0)</f>
        <v>0</v>
      </c>
      <c r="Z165" s="24">
        <f>IF(AD165=0,J165,0)</f>
        <v>0</v>
      </c>
      <c r="AA165" s="24">
        <f>IF(AD165=15,J165,0)</f>
        <v>0</v>
      </c>
      <c r="AB165" s="24">
        <f>IF(AD165=21,J165,0)</f>
        <v>0</v>
      </c>
      <c r="AD165" s="24">
        <v>21</v>
      </c>
      <c r="AE165" s="24">
        <f>G165*0</f>
        <v>0</v>
      </c>
      <c r="AF165" s="24">
        <f>G165*(1-0)</f>
        <v>0</v>
      </c>
      <c r="AM165" s="24">
        <f>F165*AE165</f>
        <v>0</v>
      </c>
      <c r="AN165" s="24">
        <f>F165*AF165</f>
        <v>0</v>
      </c>
      <c r="AO165" s="25" t="s">
        <v>309</v>
      </c>
      <c r="AP165" s="25" t="s">
        <v>253</v>
      </c>
      <c r="AQ165" s="18" t="s">
        <v>56</v>
      </c>
    </row>
    <row r="166" spans="1:43" x14ac:dyDescent="0.2">
      <c r="D166" s="26" t="s">
        <v>310</v>
      </c>
      <c r="F166" s="27">
        <v>10</v>
      </c>
    </row>
    <row r="167" spans="1:43" x14ac:dyDescent="0.2">
      <c r="D167" s="26" t="s">
        <v>311</v>
      </c>
      <c r="F167" s="27">
        <v>3.5</v>
      </c>
    </row>
    <row r="168" spans="1:43" x14ac:dyDescent="0.2">
      <c r="D168" s="26" t="s">
        <v>312</v>
      </c>
      <c r="F168" s="27">
        <v>0</v>
      </c>
    </row>
    <row r="169" spans="1:43" x14ac:dyDescent="0.2">
      <c r="A169" s="3" t="s">
        <v>313</v>
      </c>
      <c r="B169" s="3"/>
      <c r="C169" s="3" t="s">
        <v>314</v>
      </c>
      <c r="D169" s="3" t="s">
        <v>315</v>
      </c>
      <c r="E169" s="3" t="s">
        <v>52</v>
      </c>
      <c r="F169" s="24">
        <v>907.97</v>
      </c>
      <c r="G169" s="24">
        <v>0</v>
      </c>
      <c r="H169" s="24">
        <f>F169*AE169</f>
        <v>0</v>
      </c>
      <c r="I169" s="24">
        <f>J169-H169</f>
        <v>0</v>
      </c>
      <c r="J169" s="24">
        <f>F169*G169</f>
        <v>0</v>
      </c>
      <c r="K169" s="24">
        <v>5.0000000000000001E-3</v>
      </c>
      <c r="L169" s="24">
        <f>F169*K169</f>
        <v>4.5398500000000004</v>
      </c>
      <c r="M169" s="25" t="s">
        <v>53</v>
      </c>
      <c r="N169" s="25" t="s">
        <v>49</v>
      </c>
      <c r="O169" s="24">
        <f>IF(N169="5",I169,0)</f>
        <v>0</v>
      </c>
      <c r="Z169" s="24">
        <f>IF(AD169=0,J169,0)</f>
        <v>0</v>
      </c>
      <c r="AA169" s="24">
        <f>IF(AD169=15,J169,0)</f>
        <v>0</v>
      </c>
      <c r="AB169" s="24">
        <f>IF(AD169=21,J169,0)</f>
        <v>0</v>
      </c>
      <c r="AD169" s="24">
        <v>21</v>
      </c>
      <c r="AE169" s="24">
        <f>G169*0</f>
        <v>0</v>
      </c>
      <c r="AF169" s="24">
        <f>G169*(1-0)</f>
        <v>0</v>
      </c>
      <c r="AM169" s="24">
        <f>F169*AE169</f>
        <v>0</v>
      </c>
      <c r="AN169" s="24">
        <f>F169*AF169</f>
        <v>0</v>
      </c>
      <c r="AO169" s="25" t="s">
        <v>309</v>
      </c>
      <c r="AP169" s="25" t="s">
        <v>253</v>
      </c>
      <c r="AQ169" s="18" t="s">
        <v>56</v>
      </c>
    </row>
    <row r="170" spans="1:43" x14ac:dyDescent="0.2">
      <c r="D170" s="26" t="s">
        <v>171</v>
      </c>
      <c r="F170" s="27">
        <v>907.97</v>
      </c>
    </row>
    <row r="171" spans="1:43" x14ac:dyDescent="0.2">
      <c r="A171" s="28"/>
      <c r="B171" s="29"/>
      <c r="C171" s="29" t="s">
        <v>316</v>
      </c>
      <c r="D171" s="60" t="s">
        <v>317</v>
      </c>
      <c r="E171" s="60"/>
      <c r="F171" s="60"/>
      <c r="G171" s="60"/>
      <c r="H171" s="23">
        <f>SUM(H172:H172)</f>
        <v>0</v>
      </c>
      <c r="I171" s="23">
        <f>SUM(I172:I172)</f>
        <v>0</v>
      </c>
      <c r="J171" s="23">
        <f>H171+I171</f>
        <v>0</v>
      </c>
      <c r="K171" s="18"/>
      <c r="L171" s="23">
        <f>SUM(L172:L172)</f>
        <v>0.12292</v>
      </c>
      <c r="M171" s="18"/>
      <c r="P171" s="23">
        <f>IF(Q171="PR",J171,SUM(O172:O172))</f>
        <v>0</v>
      </c>
      <c r="Q171" s="18" t="s">
        <v>318</v>
      </c>
      <c r="R171" s="23">
        <f>IF(Q171="HS",H171,0)</f>
        <v>0</v>
      </c>
      <c r="S171" s="23">
        <f>IF(Q171="HS",I171-P171,0)</f>
        <v>0</v>
      </c>
      <c r="T171" s="23">
        <f>IF(Q171="PS",H171,0)</f>
        <v>0</v>
      </c>
      <c r="U171" s="23">
        <f>IF(Q171="PS",I171-P171,0)</f>
        <v>0</v>
      </c>
      <c r="V171" s="23">
        <f>IF(Q171="MP",H171,0)</f>
        <v>0</v>
      </c>
      <c r="W171" s="23">
        <f>IF(Q171="MP",I171-P171,0)</f>
        <v>0</v>
      </c>
      <c r="X171" s="23">
        <f>IF(Q171="OM",H171,0)</f>
        <v>0</v>
      </c>
      <c r="Y171" s="18"/>
      <c r="AI171" s="23">
        <f>SUM(Z172:Z172)</f>
        <v>0</v>
      </c>
      <c r="AJ171" s="23">
        <f>SUM(AA172:AA172)</f>
        <v>0</v>
      </c>
      <c r="AK171" s="23">
        <f>SUM(AB172:AB172)</f>
        <v>0</v>
      </c>
    </row>
    <row r="172" spans="1:43" s="34" customFormat="1" x14ac:dyDescent="0.2">
      <c r="A172" s="100" t="s">
        <v>319</v>
      </c>
      <c r="B172" s="101"/>
      <c r="C172" s="101" t="s">
        <v>320</v>
      </c>
      <c r="D172" s="101" t="s">
        <v>321</v>
      </c>
      <c r="E172" s="101" t="s">
        <v>322</v>
      </c>
      <c r="F172" s="102">
        <v>1</v>
      </c>
      <c r="G172" s="102">
        <v>0</v>
      </c>
      <c r="H172" s="102">
        <f>F172*AE172</f>
        <v>0</v>
      </c>
      <c r="I172" s="102">
        <f>J172-H172</f>
        <v>0</v>
      </c>
      <c r="J172" s="102">
        <f>F172*G172</f>
        <v>0</v>
      </c>
      <c r="K172" s="102">
        <v>0.12292</v>
      </c>
      <c r="L172" s="102">
        <f>F172*K172</f>
        <v>0.12292</v>
      </c>
      <c r="M172" s="103"/>
      <c r="N172" s="31" t="s">
        <v>65</v>
      </c>
      <c r="O172" s="30">
        <f>IF(N172="5",I172,0)</f>
        <v>0</v>
      </c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0">
        <f>IF(AD172=0,J172,0)</f>
        <v>0</v>
      </c>
      <c r="AA172" s="30">
        <f>IF(AD172=15,J172,0)</f>
        <v>0</v>
      </c>
      <c r="AB172" s="30">
        <f>IF(AD172=21,J172,0)</f>
        <v>0</v>
      </c>
      <c r="AC172" s="32"/>
      <c r="AD172" s="30">
        <v>21</v>
      </c>
      <c r="AE172" s="30">
        <f>G172*0.188761</f>
        <v>0</v>
      </c>
      <c r="AF172" s="30">
        <f>G172*(1-0.188761)</f>
        <v>0</v>
      </c>
      <c r="AG172" s="32"/>
      <c r="AH172" s="32"/>
      <c r="AI172" s="32"/>
      <c r="AJ172" s="32"/>
      <c r="AK172" s="32"/>
      <c r="AL172" s="32"/>
      <c r="AM172" s="30">
        <f>F172*AE172</f>
        <v>0</v>
      </c>
      <c r="AN172" s="30">
        <f>F172*AF172</f>
        <v>0</v>
      </c>
      <c r="AO172" s="31" t="s">
        <v>323</v>
      </c>
      <c r="AP172" s="31" t="s">
        <v>253</v>
      </c>
      <c r="AQ172" s="33" t="s">
        <v>56</v>
      </c>
    </row>
    <row r="173" spans="1:43" s="34" customFormat="1" x14ac:dyDescent="0.2">
      <c r="A173" s="104"/>
      <c r="B173" s="104"/>
      <c r="C173" s="104"/>
      <c r="D173" s="105" t="s">
        <v>324</v>
      </c>
      <c r="E173" s="104"/>
      <c r="F173" s="106">
        <v>1</v>
      </c>
      <c r="G173" s="104"/>
      <c r="H173" s="104"/>
      <c r="I173" s="104"/>
      <c r="J173" s="104"/>
      <c r="K173" s="104"/>
      <c r="L173" s="104"/>
      <c r="M173" s="104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</row>
    <row r="174" spans="1:43" x14ac:dyDescent="0.2">
      <c r="A174" s="28"/>
      <c r="B174" s="29"/>
      <c r="C174" s="29" t="s">
        <v>325</v>
      </c>
      <c r="D174" s="60" t="s">
        <v>326</v>
      </c>
      <c r="E174" s="60"/>
      <c r="F174" s="60"/>
      <c r="G174" s="60"/>
      <c r="H174" s="23">
        <f>SUM(H175:H180)</f>
        <v>0</v>
      </c>
      <c r="I174" s="23">
        <f>SUM(I175:I180)</f>
        <v>0</v>
      </c>
      <c r="J174" s="23">
        <f>H174+I174</f>
        <v>0</v>
      </c>
      <c r="K174" s="18"/>
      <c r="L174" s="23">
        <f>SUM(L175:L180)</f>
        <v>0</v>
      </c>
      <c r="M174" s="18"/>
      <c r="P174" s="23">
        <f>IF(Q174="PR",J174,SUM(O175:O180))</f>
        <v>0</v>
      </c>
      <c r="Q174" s="18" t="s">
        <v>48</v>
      </c>
      <c r="R174" s="23">
        <f>IF(Q174="HS",H174,0)</f>
        <v>0</v>
      </c>
      <c r="S174" s="23">
        <f>IF(Q174="HS",I174-P174,0)</f>
        <v>0</v>
      </c>
      <c r="T174" s="23">
        <f>IF(Q174="PS",H174,0)</f>
        <v>0</v>
      </c>
      <c r="U174" s="23">
        <f>IF(Q174="PS",I174-P174,0)</f>
        <v>0</v>
      </c>
      <c r="V174" s="23">
        <f>IF(Q174="MP",H174,0)</f>
        <v>0</v>
      </c>
      <c r="W174" s="23">
        <f>IF(Q174="MP",I174-P174,0)</f>
        <v>0</v>
      </c>
      <c r="X174" s="23">
        <f>IF(Q174="OM",H174,0)</f>
        <v>0</v>
      </c>
      <c r="Y174" s="18"/>
      <c r="AI174" s="23">
        <f>SUM(Z175:Z180)</f>
        <v>0</v>
      </c>
      <c r="AJ174" s="23">
        <f>SUM(AA175:AA180)</f>
        <v>0</v>
      </c>
      <c r="AK174" s="23">
        <f>SUM(AB175:AB180)</f>
        <v>0</v>
      </c>
    </row>
    <row r="175" spans="1:43" x14ac:dyDescent="0.2">
      <c r="A175" s="3" t="s">
        <v>327</v>
      </c>
      <c r="B175" s="3"/>
      <c r="C175" s="3" t="s">
        <v>328</v>
      </c>
      <c r="D175" s="3" t="s">
        <v>329</v>
      </c>
      <c r="E175" s="3" t="s">
        <v>277</v>
      </c>
      <c r="F175" s="24">
        <v>6.2810800000000002</v>
      </c>
      <c r="G175" s="24">
        <v>0</v>
      </c>
      <c r="H175" s="24">
        <f>F175*AE175</f>
        <v>0</v>
      </c>
      <c r="I175" s="24">
        <f>J175-H175</f>
        <v>0</v>
      </c>
      <c r="J175" s="24">
        <f>F175*G175</f>
        <v>0</v>
      </c>
      <c r="K175" s="24">
        <v>0</v>
      </c>
      <c r="L175" s="24">
        <f>F175*K175</f>
        <v>0</v>
      </c>
      <c r="M175" s="25" t="s">
        <v>53</v>
      </c>
      <c r="N175" s="25" t="s">
        <v>75</v>
      </c>
      <c r="O175" s="24">
        <f>IF(N175="5",I175,0)</f>
        <v>0</v>
      </c>
      <c r="Z175" s="24">
        <f>IF(AD175=0,J175,0)</f>
        <v>0</v>
      </c>
      <c r="AA175" s="24">
        <f>IF(AD175=15,J175,0)</f>
        <v>0</v>
      </c>
      <c r="AB175" s="24">
        <f>IF(AD175=21,J175,0)</f>
        <v>0</v>
      </c>
      <c r="AD175" s="24">
        <v>21</v>
      </c>
      <c r="AE175" s="24">
        <f>G175*0</f>
        <v>0</v>
      </c>
      <c r="AF175" s="24">
        <f>G175*(1-0)</f>
        <v>0</v>
      </c>
      <c r="AM175" s="24">
        <f>F175*AE175</f>
        <v>0</v>
      </c>
      <c r="AN175" s="24">
        <f>F175*AF175</f>
        <v>0</v>
      </c>
      <c r="AO175" s="25" t="s">
        <v>330</v>
      </c>
      <c r="AP175" s="25" t="s">
        <v>253</v>
      </c>
      <c r="AQ175" s="18" t="s">
        <v>56</v>
      </c>
    </row>
    <row r="176" spans="1:43" x14ac:dyDescent="0.2">
      <c r="A176" s="3" t="s">
        <v>331</v>
      </c>
      <c r="B176" s="3"/>
      <c r="C176" s="3" t="s">
        <v>332</v>
      </c>
      <c r="D176" s="3" t="s">
        <v>333</v>
      </c>
      <c r="E176" s="3" t="s">
        <v>277</v>
      </c>
      <c r="F176" s="24">
        <v>6.2810800000000002</v>
      </c>
      <c r="G176" s="24">
        <v>0</v>
      </c>
      <c r="H176" s="24">
        <f>F176*AE176</f>
        <v>0</v>
      </c>
      <c r="I176" s="24">
        <f>J176-H176</f>
        <v>0</v>
      </c>
      <c r="J176" s="24">
        <f>F176*G176</f>
        <v>0</v>
      </c>
      <c r="K176" s="24">
        <v>0</v>
      </c>
      <c r="L176" s="24">
        <f>F176*K176</f>
        <v>0</v>
      </c>
      <c r="M176" s="25" t="s">
        <v>53</v>
      </c>
      <c r="N176" s="25" t="s">
        <v>75</v>
      </c>
      <c r="O176" s="24">
        <f>IF(N176="5",I176,0)</f>
        <v>0</v>
      </c>
      <c r="Z176" s="24">
        <f>IF(AD176=0,J176,0)</f>
        <v>0</v>
      </c>
      <c r="AA176" s="24">
        <f>IF(AD176=15,J176,0)</f>
        <v>0</v>
      </c>
      <c r="AB176" s="24">
        <f>IF(AD176=21,J176,0)</f>
        <v>0</v>
      </c>
      <c r="AD176" s="24">
        <v>21</v>
      </c>
      <c r="AE176" s="24">
        <f>G176*0</f>
        <v>0</v>
      </c>
      <c r="AF176" s="24">
        <f>G176*(1-0)</f>
        <v>0</v>
      </c>
      <c r="AM176" s="24">
        <f>F176*AE176</f>
        <v>0</v>
      </c>
      <c r="AN176" s="24">
        <f>F176*AF176</f>
        <v>0</v>
      </c>
      <c r="AO176" s="25" t="s">
        <v>330</v>
      </c>
      <c r="AP176" s="25" t="s">
        <v>253</v>
      </c>
      <c r="AQ176" s="18" t="s">
        <v>56</v>
      </c>
    </row>
    <row r="177" spans="1:43" x14ac:dyDescent="0.2">
      <c r="A177" s="3" t="s">
        <v>334</v>
      </c>
      <c r="B177" s="3"/>
      <c r="C177" s="3" t="s">
        <v>335</v>
      </c>
      <c r="D177" s="3" t="s">
        <v>336</v>
      </c>
      <c r="E177" s="3" t="s">
        <v>277</v>
      </c>
      <c r="F177" s="24">
        <v>6.2810800000000002</v>
      </c>
      <c r="G177" s="24">
        <v>0</v>
      </c>
      <c r="H177" s="24">
        <f>F177*AE177</f>
        <v>0</v>
      </c>
      <c r="I177" s="24">
        <f>J177-H177</f>
        <v>0</v>
      </c>
      <c r="J177" s="24">
        <f>F177*G177</f>
        <v>0</v>
      </c>
      <c r="K177" s="24">
        <v>0</v>
      </c>
      <c r="L177" s="24">
        <f>F177*K177</f>
        <v>0</v>
      </c>
      <c r="M177" s="25" t="s">
        <v>53</v>
      </c>
      <c r="N177" s="25" t="s">
        <v>75</v>
      </c>
      <c r="O177" s="24">
        <f>IF(N177="5",I177,0)</f>
        <v>0</v>
      </c>
      <c r="Z177" s="24">
        <f>IF(AD177=0,J177,0)</f>
        <v>0</v>
      </c>
      <c r="AA177" s="24">
        <f>IF(AD177=15,J177,0)</f>
        <v>0</v>
      </c>
      <c r="AB177" s="24">
        <f>IF(AD177=21,J177,0)</f>
        <v>0</v>
      </c>
      <c r="AD177" s="24">
        <v>21</v>
      </c>
      <c r="AE177" s="24">
        <f>G177*0</f>
        <v>0</v>
      </c>
      <c r="AF177" s="24">
        <f>G177*(1-0)</f>
        <v>0</v>
      </c>
      <c r="AM177" s="24">
        <f>F177*AE177</f>
        <v>0</v>
      </c>
      <c r="AN177" s="24">
        <f>F177*AF177</f>
        <v>0</v>
      </c>
      <c r="AO177" s="25" t="s">
        <v>330</v>
      </c>
      <c r="AP177" s="25" t="s">
        <v>253</v>
      </c>
      <c r="AQ177" s="18" t="s">
        <v>56</v>
      </c>
    </row>
    <row r="178" spans="1:43" x14ac:dyDescent="0.2">
      <c r="A178" s="3" t="s">
        <v>337</v>
      </c>
      <c r="B178" s="3"/>
      <c r="C178" s="3" t="s">
        <v>338</v>
      </c>
      <c r="D178" s="3" t="s">
        <v>339</v>
      </c>
      <c r="E178" s="3" t="s">
        <v>277</v>
      </c>
      <c r="F178" s="24">
        <v>119.34052</v>
      </c>
      <c r="G178" s="24">
        <v>0</v>
      </c>
      <c r="H178" s="24">
        <f>F178*AE178</f>
        <v>0</v>
      </c>
      <c r="I178" s="24">
        <f>J178-H178</f>
        <v>0</v>
      </c>
      <c r="J178" s="24">
        <f>F178*G178</f>
        <v>0</v>
      </c>
      <c r="K178" s="24">
        <v>0</v>
      </c>
      <c r="L178" s="24">
        <f>F178*K178</f>
        <v>0</v>
      </c>
      <c r="M178" s="25" t="s">
        <v>53</v>
      </c>
      <c r="N178" s="25" t="s">
        <v>75</v>
      </c>
      <c r="O178" s="24">
        <f>IF(N178="5",I178,0)</f>
        <v>0</v>
      </c>
      <c r="Z178" s="24">
        <f>IF(AD178=0,J178,0)</f>
        <v>0</v>
      </c>
      <c r="AA178" s="24">
        <f>IF(AD178=15,J178,0)</f>
        <v>0</v>
      </c>
      <c r="AB178" s="24">
        <f>IF(AD178=21,J178,0)</f>
        <v>0</v>
      </c>
      <c r="AD178" s="24">
        <v>21</v>
      </c>
      <c r="AE178" s="24">
        <f>G178*0</f>
        <v>0</v>
      </c>
      <c r="AF178" s="24">
        <f>G178*(1-0)</f>
        <v>0</v>
      </c>
      <c r="AM178" s="24">
        <f>F178*AE178</f>
        <v>0</v>
      </c>
      <c r="AN178" s="24">
        <f>F178*AF178</f>
        <v>0</v>
      </c>
      <c r="AO178" s="25" t="s">
        <v>330</v>
      </c>
      <c r="AP178" s="25" t="s">
        <v>253</v>
      </c>
      <c r="AQ178" s="18" t="s">
        <v>56</v>
      </c>
    </row>
    <row r="179" spans="1:43" x14ac:dyDescent="0.2">
      <c r="D179" s="26" t="s">
        <v>340</v>
      </c>
      <c r="F179" s="27">
        <v>119.34052</v>
      </c>
    </row>
    <row r="180" spans="1:43" x14ac:dyDescent="0.2">
      <c r="A180" s="35" t="s">
        <v>341</v>
      </c>
      <c r="B180" s="35"/>
      <c r="C180" s="35" t="s">
        <v>342</v>
      </c>
      <c r="D180" s="35" t="s">
        <v>343</v>
      </c>
      <c r="E180" s="35" t="s">
        <v>277</v>
      </c>
      <c r="F180" s="36">
        <v>6.2810800000000002</v>
      </c>
      <c r="G180" s="36">
        <v>0</v>
      </c>
      <c r="H180" s="36">
        <f>F180*AE180</f>
        <v>0</v>
      </c>
      <c r="I180" s="36">
        <f>J180-H180</f>
        <v>0</v>
      </c>
      <c r="J180" s="36">
        <f>F180*G180</f>
        <v>0</v>
      </c>
      <c r="K180" s="36">
        <v>0</v>
      </c>
      <c r="L180" s="36">
        <f>F180*K180</f>
        <v>0</v>
      </c>
      <c r="M180" s="37" t="s">
        <v>53</v>
      </c>
      <c r="N180" s="25" t="s">
        <v>75</v>
      </c>
      <c r="O180" s="24">
        <f>IF(N180="5",I180,0)</f>
        <v>0</v>
      </c>
      <c r="Z180" s="24">
        <f>IF(AD180=0,J180,0)</f>
        <v>0</v>
      </c>
      <c r="AA180" s="24">
        <f>IF(AD180=15,J180,0)</f>
        <v>0</v>
      </c>
      <c r="AB180" s="24">
        <f>IF(AD180=21,J180,0)</f>
        <v>0</v>
      </c>
      <c r="AD180" s="24">
        <v>21</v>
      </c>
      <c r="AE180" s="24">
        <f>G180*0</f>
        <v>0</v>
      </c>
      <c r="AF180" s="24">
        <f>G180*(1-0)</f>
        <v>0</v>
      </c>
      <c r="AM180" s="24">
        <f>F180*AE180</f>
        <v>0</v>
      </c>
      <c r="AN180" s="24">
        <f>F180*AF180</f>
        <v>0</v>
      </c>
      <c r="AO180" s="25" t="s">
        <v>330</v>
      </c>
      <c r="AP180" s="25" t="s">
        <v>253</v>
      </c>
      <c r="AQ180" s="18" t="s">
        <v>56</v>
      </c>
    </row>
    <row r="181" spans="1:43" x14ac:dyDescent="0.2">
      <c r="A181" s="38"/>
      <c r="B181" s="38"/>
      <c r="C181" s="38"/>
      <c r="D181" s="38"/>
      <c r="E181" s="38"/>
      <c r="F181" s="38"/>
      <c r="G181" s="38"/>
      <c r="H181" s="61" t="s">
        <v>344</v>
      </c>
      <c r="I181" s="61"/>
      <c r="J181" s="39">
        <f>J12+J18+J97+J100+J118+J126+J131+J134+J151+J156+J164+J171+J174</f>
        <v>0</v>
      </c>
      <c r="K181" s="38"/>
      <c r="L181" s="38"/>
      <c r="M181" s="38"/>
      <c r="Z181" s="40">
        <f>SUM(Z13:Z180)</f>
        <v>0</v>
      </c>
      <c r="AA181" s="40">
        <f>SUM(AA13:AA180)</f>
        <v>0</v>
      </c>
      <c r="AB181" s="40">
        <f>SUM(AB13:AB180)</f>
        <v>0</v>
      </c>
    </row>
    <row r="182" spans="1:43" ht="11.25" customHeight="1" x14ac:dyDescent="0.2">
      <c r="A182" s="41" t="s">
        <v>345</v>
      </c>
    </row>
    <row r="183" spans="1:43" ht="409.6" hidden="1" customHeight="1" x14ac:dyDescent="0.2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</row>
  </sheetData>
  <mergeCells count="42"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J8:M9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D156:G156"/>
    <mergeCell ref="H10:J10"/>
    <mergeCell ref="K10:L10"/>
    <mergeCell ref="D12:G12"/>
    <mergeCell ref="D18:G18"/>
    <mergeCell ref="D97:G97"/>
    <mergeCell ref="D100:G100"/>
    <mergeCell ref="D118:G118"/>
    <mergeCell ref="D126:G126"/>
    <mergeCell ref="D131:G131"/>
    <mergeCell ref="D134:G134"/>
    <mergeCell ref="D151:G151"/>
    <mergeCell ref="D164:G164"/>
    <mergeCell ref="D171:G171"/>
    <mergeCell ref="D174:G174"/>
    <mergeCell ref="H181:I181"/>
    <mergeCell ref="A183:M183"/>
  </mergeCells>
  <pageMargins left="0.39400000000000007" right="0.39400000000000007" top="0.59099999999999997" bottom="0.59099999999999997" header="0.5" footer="0.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/>
  </sheetViews>
  <sheetFormatPr defaultColWidth="7.42578125" defaultRowHeight="12.75" x14ac:dyDescent="0.2"/>
  <cols>
    <col min="1" max="1" width="5.85546875" style="1" customWidth="1"/>
    <col min="2" max="2" width="8.140625" style="1" customWidth="1"/>
    <col min="3" max="3" width="14.5703125" style="1" customWidth="1"/>
    <col min="4" max="4" width="6.42578125" style="1" customWidth="1"/>
    <col min="5" max="5" width="8.85546875" style="1" customWidth="1"/>
    <col min="6" max="6" width="14.5703125" style="1" customWidth="1"/>
    <col min="7" max="7" width="5.85546875" style="1" customWidth="1"/>
    <col min="8" max="8" width="8.140625" style="1" customWidth="1"/>
    <col min="9" max="9" width="14.5703125" style="1" customWidth="1"/>
    <col min="10" max="10" width="7.42578125" style="1" customWidth="1"/>
    <col min="11" max="16384" width="7.42578125" style="1"/>
  </cols>
  <sheetData>
    <row r="1" spans="1:10" ht="36.6" customHeight="1" x14ac:dyDescent="0.2">
      <c r="A1" s="42"/>
      <c r="B1" s="43"/>
      <c r="C1" s="98" t="s">
        <v>346</v>
      </c>
      <c r="D1" s="98"/>
      <c r="E1" s="98"/>
      <c r="F1" s="98"/>
      <c r="G1" s="98"/>
      <c r="H1" s="98"/>
      <c r="I1" s="98"/>
    </row>
    <row r="2" spans="1:10" x14ac:dyDescent="0.2">
      <c r="A2" s="76" t="s">
        <v>1</v>
      </c>
      <c r="B2" s="76"/>
      <c r="C2" s="77" t="s">
        <v>2</v>
      </c>
      <c r="D2" s="77"/>
      <c r="E2" s="80" t="s">
        <v>4</v>
      </c>
      <c r="F2" s="80" t="s">
        <v>5</v>
      </c>
      <c r="G2" s="80"/>
      <c r="H2" s="80" t="s">
        <v>347</v>
      </c>
      <c r="I2" s="99"/>
      <c r="J2" s="2"/>
    </row>
    <row r="3" spans="1:10" ht="25.7" customHeight="1" x14ac:dyDescent="0.2">
      <c r="A3" s="76"/>
      <c r="B3" s="76"/>
      <c r="C3" s="77"/>
      <c r="D3" s="77"/>
      <c r="E3" s="80"/>
      <c r="F3" s="80"/>
      <c r="G3" s="80"/>
      <c r="H3" s="80"/>
      <c r="I3" s="99"/>
      <c r="J3" s="2"/>
    </row>
    <row r="4" spans="1:10" x14ac:dyDescent="0.2">
      <c r="A4" s="66" t="s">
        <v>6</v>
      </c>
      <c r="B4" s="66"/>
      <c r="C4" s="67" t="s">
        <v>7</v>
      </c>
      <c r="D4" s="67"/>
      <c r="E4" s="67" t="s">
        <v>10</v>
      </c>
      <c r="F4" s="67" t="s">
        <v>11</v>
      </c>
      <c r="G4" s="67"/>
      <c r="H4" s="67" t="s">
        <v>347</v>
      </c>
      <c r="I4" s="97"/>
      <c r="J4" s="2"/>
    </row>
    <row r="5" spans="1:10" x14ac:dyDescent="0.2">
      <c r="A5" s="66"/>
      <c r="B5" s="66"/>
      <c r="C5" s="67"/>
      <c r="D5" s="67"/>
      <c r="E5" s="67"/>
      <c r="F5" s="67"/>
      <c r="G5" s="67"/>
      <c r="H5" s="67"/>
      <c r="I5" s="97"/>
      <c r="J5" s="2"/>
    </row>
    <row r="6" spans="1:10" x14ac:dyDescent="0.2">
      <c r="A6" s="66" t="s">
        <v>12</v>
      </c>
      <c r="B6" s="66"/>
      <c r="C6" s="67" t="s">
        <v>13</v>
      </c>
      <c r="D6" s="67"/>
      <c r="E6" s="67" t="s">
        <v>15</v>
      </c>
      <c r="F6" s="67" t="s">
        <v>16</v>
      </c>
      <c r="G6" s="67"/>
      <c r="H6" s="67" t="s">
        <v>347</v>
      </c>
      <c r="I6" s="97"/>
      <c r="J6" s="2"/>
    </row>
    <row r="7" spans="1:10" x14ac:dyDescent="0.2">
      <c r="A7" s="66"/>
      <c r="B7" s="66"/>
      <c r="C7" s="67"/>
      <c r="D7" s="67"/>
      <c r="E7" s="67"/>
      <c r="F7" s="67"/>
      <c r="G7" s="67"/>
      <c r="H7" s="67"/>
      <c r="I7" s="97"/>
      <c r="J7" s="2"/>
    </row>
    <row r="8" spans="1:10" x14ac:dyDescent="0.2">
      <c r="A8" s="66" t="s">
        <v>8</v>
      </c>
      <c r="B8" s="66"/>
      <c r="C8" s="68" t="s">
        <v>9</v>
      </c>
      <c r="D8" s="68"/>
      <c r="E8" s="67" t="s">
        <v>14</v>
      </c>
      <c r="F8" s="62"/>
      <c r="G8" s="62"/>
      <c r="H8" s="68" t="s">
        <v>348</v>
      </c>
      <c r="I8" s="92" t="s">
        <v>341</v>
      </c>
      <c r="J8" s="2"/>
    </row>
    <row r="9" spans="1:10" x14ac:dyDescent="0.2">
      <c r="A9" s="66"/>
      <c r="B9" s="66"/>
      <c r="C9" s="68"/>
      <c r="D9" s="68"/>
      <c r="E9" s="67"/>
      <c r="F9" s="62"/>
      <c r="G9" s="62"/>
      <c r="H9" s="68"/>
      <c r="I9" s="92"/>
      <c r="J9" s="2"/>
    </row>
    <row r="10" spans="1:10" x14ac:dyDescent="0.2">
      <c r="A10" s="93" t="s">
        <v>17</v>
      </c>
      <c r="B10" s="93"/>
      <c r="C10" s="94"/>
      <c r="D10" s="94"/>
      <c r="E10" s="95" t="s">
        <v>19</v>
      </c>
      <c r="F10" s="95" t="s">
        <v>20</v>
      </c>
      <c r="G10" s="95"/>
      <c r="H10" s="96" t="s">
        <v>349</v>
      </c>
      <c r="I10" s="91">
        <v>42634</v>
      </c>
      <c r="J10" s="2"/>
    </row>
    <row r="11" spans="1:10" x14ac:dyDescent="0.2">
      <c r="A11" s="93"/>
      <c r="B11" s="93"/>
      <c r="C11" s="94"/>
      <c r="D11" s="94"/>
      <c r="E11" s="95"/>
      <c r="F11" s="95"/>
      <c r="G11" s="95"/>
      <c r="H11" s="96"/>
      <c r="I11" s="91"/>
      <c r="J11" s="2"/>
    </row>
    <row r="12" spans="1:10" ht="23.45" customHeight="1" x14ac:dyDescent="0.2">
      <c r="A12" s="89" t="s">
        <v>350</v>
      </c>
      <c r="B12" s="89"/>
      <c r="C12" s="89"/>
      <c r="D12" s="89"/>
      <c r="E12" s="89"/>
      <c r="F12" s="89"/>
      <c r="G12" s="89"/>
      <c r="H12" s="89"/>
      <c r="I12" s="89"/>
    </row>
    <row r="13" spans="1:10" ht="26.45" customHeight="1" x14ac:dyDescent="0.2">
      <c r="A13" s="44" t="s">
        <v>351</v>
      </c>
      <c r="B13" s="90" t="s">
        <v>352</v>
      </c>
      <c r="C13" s="90"/>
      <c r="D13" s="44" t="s">
        <v>353</v>
      </c>
      <c r="E13" s="90" t="s">
        <v>354</v>
      </c>
      <c r="F13" s="90"/>
      <c r="G13" s="44" t="s">
        <v>355</v>
      </c>
      <c r="H13" s="90" t="s">
        <v>356</v>
      </c>
      <c r="I13" s="90"/>
      <c r="J13" s="2"/>
    </row>
    <row r="14" spans="1:10" ht="15.2" customHeight="1" x14ac:dyDescent="0.2">
      <c r="A14" s="45" t="s">
        <v>357</v>
      </c>
      <c r="B14" s="46" t="s">
        <v>358</v>
      </c>
      <c r="C14" s="47">
        <f>SUM(Stavební_rozpočet!R12:R180)</f>
        <v>0</v>
      </c>
      <c r="D14" s="88" t="s">
        <v>359</v>
      </c>
      <c r="E14" s="88"/>
      <c r="F14" s="47">
        <v>0</v>
      </c>
      <c r="G14" s="88" t="s">
        <v>360</v>
      </c>
      <c r="H14" s="88"/>
      <c r="I14" s="47">
        <v>0</v>
      </c>
      <c r="J14" s="2"/>
    </row>
    <row r="15" spans="1:10" ht="15.2" customHeight="1" x14ac:dyDescent="0.2">
      <c r="A15" s="48"/>
      <c r="B15" s="46" t="s">
        <v>34</v>
      </c>
      <c r="C15" s="47">
        <f>SUM(Stavební_rozpočet!S12:S180)</f>
        <v>0</v>
      </c>
      <c r="D15" s="88" t="s">
        <v>361</v>
      </c>
      <c r="E15" s="88"/>
      <c r="F15" s="47">
        <v>0</v>
      </c>
      <c r="G15" s="88" t="s">
        <v>362</v>
      </c>
      <c r="H15" s="88"/>
      <c r="I15" s="47">
        <v>0</v>
      </c>
      <c r="J15" s="2"/>
    </row>
    <row r="16" spans="1:10" ht="15.2" customHeight="1" x14ac:dyDescent="0.2">
      <c r="A16" s="45" t="s">
        <v>363</v>
      </c>
      <c r="B16" s="46" t="s">
        <v>358</v>
      </c>
      <c r="C16" s="47">
        <f>SUM(Stavební_rozpočet!T12:T180)</f>
        <v>0</v>
      </c>
      <c r="D16" s="88" t="s">
        <v>364</v>
      </c>
      <c r="E16" s="88"/>
      <c r="F16" s="47">
        <v>0</v>
      </c>
      <c r="G16" s="88" t="s">
        <v>365</v>
      </c>
      <c r="H16" s="88"/>
      <c r="I16" s="47">
        <v>0</v>
      </c>
      <c r="J16" s="2"/>
    </row>
    <row r="17" spans="1:10" ht="15.2" customHeight="1" x14ac:dyDescent="0.2">
      <c r="A17" s="48"/>
      <c r="B17" s="46" t="s">
        <v>34</v>
      </c>
      <c r="C17" s="47">
        <f>SUM(Stavební_rozpočet!U12:U180)</f>
        <v>0</v>
      </c>
      <c r="D17" s="87"/>
      <c r="E17" s="87"/>
      <c r="F17" s="49"/>
      <c r="G17" s="88" t="s">
        <v>366</v>
      </c>
      <c r="H17" s="88"/>
      <c r="I17" s="47">
        <v>0</v>
      </c>
      <c r="J17" s="2"/>
    </row>
    <row r="18" spans="1:10" ht="15.2" customHeight="1" x14ac:dyDescent="0.2">
      <c r="A18" s="45" t="s">
        <v>367</v>
      </c>
      <c r="B18" s="46" t="s">
        <v>358</v>
      </c>
      <c r="C18" s="47">
        <f>SUM(Stavební_rozpočet!V12:V180)</f>
        <v>0</v>
      </c>
      <c r="D18" s="87"/>
      <c r="E18" s="87"/>
      <c r="F18" s="49"/>
      <c r="G18" s="88" t="s">
        <v>368</v>
      </c>
      <c r="H18" s="88"/>
      <c r="I18" s="47">
        <v>0</v>
      </c>
      <c r="J18" s="2"/>
    </row>
    <row r="19" spans="1:10" ht="15.2" customHeight="1" x14ac:dyDescent="0.2">
      <c r="A19" s="48"/>
      <c r="B19" s="46" t="s">
        <v>34</v>
      </c>
      <c r="C19" s="47">
        <f>SUM(Stavební_rozpočet!W12:W180)</f>
        <v>0</v>
      </c>
      <c r="D19" s="87"/>
      <c r="E19" s="87"/>
      <c r="F19" s="49"/>
      <c r="G19" s="88" t="s">
        <v>369</v>
      </c>
      <c r="H19" s="88"/>
      <c r="I19" s="47">
        <v>0</v>
      </c>
      <c r="J19" s="2"/>
    </row>
    <row r="20" spans="1:10" ht="15.2" customHeight="1" x14ac:dyDescent="0.2">
      <c r="A20" s="86" t="s">
        <v>370</v>
      </c>
      <c r="B20" s="86"/>
      <c r="C20" s="47">
        <f>SUM(Stavební_rozpočet!X12:X180)</f>
        <v>0</v>
      </c>
      <c r="D20" s="87"/>
      <c r="E20" s="87"/>
      <c r="F20" s="49"/>
      <c r="G20" s="87"/>
      <c r="H20" s="87"/>
      <c r="I20" s="49"/>
      <c r="J20" s="2"/>
    </row>
    <row r="21" spans="1:10" ht="15.2" customHeight="1" x14ac:dyDescent="0.2">
      <c r="A21" s="86" t="s">
        <v>371</v>
      </c>
      <c r="B21" s="86"/>
      <c r="C21" s="47">
        <f>SUM(Stavební_rozpočet!P12:P180)</f>
        <v>0</v>
      </c>
      <c r="D21" s="87"/>
      <c r="E21" s="87"/>
      <c r="F21" s="49"/>
      <c r="G21" s="87"/>
      <c r="H21" s="87"/>
      <c r="I21" s="49"/>
      <c r="J21" s="2"/>
    </row>
    <row r="22" spans="1:10" ht="16.7" customHeight="1" x14ac:dyDescent="0.2">
      <c r="A22" s="86" t="s">
        <v>372</v>
      </c>
      <c r="B22" s="86"/>
      <c r="C22" s="47">
        <f>SUM(C14:C21)</f>
        <v>0</v>
      </c>
      <c r="D22" s="86" t="s">
        <v>373</v>
      </c>
      <c r="E22" s="86"/>
      <c r="F22" s="47">
        <f>SUM(F14:F21)</f>
        <v>0</v>
      </c>
      <c r="G22" s="86" t="s">
        <v>374</v>
      </c>
      <c r="H22" s="86"/>
      <c r="I22" s="47">
        <f>SUM(I14:I21)</f>
        <v>0</v>
      </c>
      <c r="J22" s="2"/>
    </row>
    <row r="23" spans="1:10" ht="15.2" customHeight="1" thickBot="1" x14ac:dyDescent="0.25">
      <c r="A23" s="38"/>
      <c r="B23" s="38"/>
      <c r="C23" s="50"/>
      <c r="D23" s="86" t="s">
        <v>375</v>
      </c>
      <c r="E23" s="86"/>
      <c r="F23" s="51">
        <v>0</v>
      </c>
      <c r="G23" s="86" t="s">
        <v>376</v>
      </c>
      <c r="H23" s="86"/>
      <c r="I23" s="47">
        <v>0</v>
      </c>
      <c r="J23" s="2"/>
    </row>
    <row r="24" spans="1:10" ht="15.2" customHeight="1" x14ac:dyDescent="0.2">
      <c r="D24" s="38"/>
      <c r="E24" s="38"/>
      <c r="F24" s="52"/>
      <c r="G24" s="86" t="s">
        <v>377</v>
      </c>
      <c r="H24" s="86"/>
      <c r="I24" s="53"/>
    </row>
    <row r="25" spans="1:10" ht="15.2" customHeight="1" x14ac:dyDescent="0.2">
      <c r="F25" s="54"/>
      <c r="G25" s="86" t="s">
        <v>378</v>
      </c>
      <c r="H25" s="86"/>
      <c r="I25" s="47">
        <v>0</v>
      </c>
      <c r="J25" s="2"/>
    </row>
    <row r="26" spans="1:10" x14ac:dyDescent="0.2">
      <c r="A26" s="43"/>
      <c r="B26" s="43"/>
      <c r="C26" s="43"/>
      <c r="G26" s="38"/>
      <c r="H26" s="38"/>
      <c r="I26" s="38"/>
    </row>
    <row r="27" spans="1:10" ht="15.2" customHeight="1" x14ac:dyDescent="0.2">
      <c r="A27" s="84" t="s">
        <v>379</v>
      </c>
      <c r="B27" s="84"/>
      <c r="C27" s="55">
        <f>SUM(Stavební_rozpočet!Z12:Z180)</f>
        <v>0</v>
      </c>
      <c r="D27" s="56"/>
      <c r="E27" s="43"/>
      <c r="F27" s="43"/>
      <c r="G27" s="43"/>
      <c r="H27" s="43"/>
      <c r="I27" s="43"/>
    </row>
    <row r="28" spans="1:10" ht="15.2" customHeight="1" x14ac:dyDescent="0.2">
      <c r="A28" s="84" t="s">
        <v>380</v>
      </c>
      <c r="B28" s="84"/>
      <c r="C28" s="55">
        <f>SUM(Stavební_rozpočet!AA12:AA180)</f>
        <v>0</v>
      </c>
      <c r="D28" s="84" t="s">
        <v>381</v>
      </c>
      <c r="E28" s="84"/>
      <c r="F28" s="55">
        <f>ROUND(C28*(15/100),2)</f>
        <v>0</v>
      </c>
      <c r="G28" s="84" t="s">
        <v>382</v>
      </c>
      <c r="H28" s="84"/>
      <c r="I28" s="55">
        <f>SUM(C27:C29)</f>
        <v>0</v>
      </c>
      <c r="J28" s="2"/>
    </row>
    <row r="29" spans="1:10" ht="15.2" customHeight="1" x14ac:dyDescent="0.2">
      <c r="A29" s="84" t="s">
        <v>383</v>
      </c>
      <c r="B29" s="84"/>
      <c r="C29" s="55">
        <f>SUM(Stavební_rozpočet!AB12:AB180)+(F22+I22+F23+I23+I24+I25)</f>
        <v>0</v>
      </c>
      <c r="D29" s="84" t="s">
        <v>384</v>
      </c>
      <c r="E29" s="84"/>
      <c r="F29" s="55">
        <f>ROUND(C29*(21/100),2)</f>
        <v>0</v>
      </c>
      <c r="G29" s="84" t="s">
        <v>385</v>
      </c>
      <c r="H29" s="84"/>
      <c r="I29" s="55">
        <f>SUM(F28:F29)+I28</f>
        <v>0</v>
      </c>
      <c r="J29" s="2"/>
    </row>
    <row r="30" spans="1:10" ht="13.5" thickBot="1" x14ac:dyDescent="0.25">
      <c r="A30" s="57"/>
      <c r="B30" s="57"/>
      <c r="C30" s="57"/>
      <c r="D30" s="57"/>
      <c r="E30" s="57"/>
      <c r="F30" s="57"/>
      <c r="G30" s="57"/>
      <c r="H30" s="57"/>
      <c r="I30" s="57"/>
    </row>
    <row r="31" spans="1:10" ht="14.45" customHeight="1" x14ac:dyDescent="0.2">
      <c r="A31" s="85" t="s">
        <v>386</v>
      </c>
      <c r="B31" s="85"/>
      <c r="C31" s="85"/>
      <c r="D31" s="85" t="s">
        <v>387</v>
      </c>
      <c r="E31" s="85"/>
      <c r="F31" s="85"/>
      <c r="G31" s="85" t="s">
        <v>388</v>
      </c>
      <c r="H31" s="85"/>
      <c r="I31" s="85"/>
      <c r="J31" s="9"/>
    </row>
    <row r="32" spans="1:10" ht="14.45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9"/>
    </row>
    <row r="33" spans="1:10" ht="14.45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9"/>
    </row>
    <row r="34" spans="1:10" ht="14.45" customHeight="1" x14ac:dyDescent="0.2">
      <c r="A34" s="82"/>
      <c r="B34" s="82"/>
      <c r="C34" s="82"/>
      <c r="D34" s="82"/>
      <c r="E34" s="82"/>
      <c r="F34" s="82"/>
      <c r="G34" s="82"/>
      <c r="H34" s="82"/>
      <c r="I34" s="82"/>
      <c r="J34" s="9"/>
    </row>
    <row r="35" spans="1:10" ht="14.45" customHeight="1" thickBot="1" x14ac:dyDescent="0.25">
      <c r="A35" s="83" t="s">
        <v>389</v>
      </c>
      <c r="B35" s="83"/>
      <c r="C35" s="83"/>
      <c r="D35" s="83" t="s">
        <v>389</v>
      </c>
      <c r="E35" s="83"/>
      <c r="F35" s="83"/>
      <c r="G35" s="83" t="s">
        <v>389</v>
      </c>
      <c r="H35" s="83"/>
      <c r="I35" s="83"/>
      <c r="J35" s="9"/>
    </row>
    <row r="36" spans="1:10" ht="11.25" customHeight="1" x14ac:dyDescent="0.2">
      <c r="A36" s="58" t="s">
        <v>345</v>
      </c>
      <c r="B36" s="59"/>
      <c r="C36" s="59"/>
      <c r="D36" s="59"/>
      <c r="E36" s="59"/>
      <c r="F36" s="59"/>
      <c r="G36" s="59"/>
      <c r="H36" s="59"/>
      <c r="I36" s="59"/>
    </row>
    <row r="37" spans="1:10" ht="409.6" hidden="1" customHeight="1" x14ac:dyDescent="0.2">
      <c r="A37" s="62"/>
      <c r="B37" s="62"/>
      <c r="C37" s="62"/>
      <c r="D37" s="62"/>
      <c r="E37" s="62"/>
      <c r="F37" s="62"/>
      <c r="G37" s="62"/>
      <c r="H37" s="62"/>
      <c r="I37" s="62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7" right="0.39400000000000007" top="0.59099999999999997" bottom="0.59099999999999997" header="0.5" footer="0.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Stavební_rozpočet</vt:lpstr>
      <vt:lpstr>Krycí_list_rozpočtu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Janoskova Olga</cp:lastModifiedBy>
  <dcterms:created xsi:type="dcterms:W3CDTF">2016-09-21T13:53:04Z</dcterms:created>
  <dcterms:modified xsi:type="dcterms:W3CDTF">2016-09-22T10:04:05Z</dcterms:modified>
</cp:coreProperties>
</file>