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oskova\Documents\VZMR Chomutov zateplení\VZMR ZATEPLENÍ CHOMUTOV\"/>
    </mc:Choice>
  </mc:AlternateContent>
  <bookViews>
    <workbookView xWindow="0" yWindow="0" windowWidth="28800" windowHeight="13725"/>
  </bookViews>
  <sheets>
    <sheet name="Stavební_rozpočet" sheetId="1" r:id="rId1"/>
    <sheet name="Krycí_list_rozpočtu" sheetId="2" r:id="rId2"/>
  </sheets>
  <calcPr calcId="152511"/>
</workbook>
</file>

<file path=xl/calcChain.xml><?xml version="1.0" encoding="utf-8"?>
<calcChain xmlns="http://schemas.openxmlformats.org/spreadsheetml/2006/main">
  <c r="J54" i="1" l="1"/>
  <c r="J60" i="1"/>
  <c r="J67" i="1"/>
  <c r="I22" i="2" l="1"/>
  <c r="F22" i="2"/>
  <c r="AF184" i="1"/>
  <c r="AN184" i="1" s="1"/>
  <c r="AE184" i="1"/>
  <c r="H184" i="1" s="1"/>
  <c r="I184" i="1" s="1"/>
  <c r="O184" i="1" s="1"/>
  <c r="AA184" i="1"/>
  <c r="Z184" i="1"/>
  <c r="L184" i="1"/>
  <c r="J184" i="1"/>
  <c r="AB184" i="1" s="1"/>
  <c r="AN182" i="1"/>
  <c r="AF182" i="1"/>
  <c r="AE182" i="1"/>
  <c r="H182" i="1" s="1"/>
  <c r="AA182" i="1"/>
  <c r="Z182" i="1"/>
  <c r="L182" i="1"/>
  <c r="J182" i="1"/>
  <c r="AB182" i="1" s="1"/>
  <c r="AN181" i="1"/>
  <c r="AM181" i="1"/>
  <c r="AF181" i="1"/>
  <c r="AE181" i="1"/>
  <c r="H181" i="1" s="1"/>
  <c r="AA181" i="1"/>
  <c r="Z181" i="1"/>
  <c r="L181" i="1"/>
  <c r="L178" i="1" s="1"/>
  <c r="J181" i="1"/>
  <c r="AB181" i="1" s="1"/>
  <c r="AN180" i="1"/>
  <c r="AF180" i="1"/>
  <c r="AE180" i="1"/>
  <c r="H180" i="1" s="1"/>
  <c r="AB180" i="1"/>
  <c r="AA180" i="1"/>
  <c r="Z180" i="1"/>
  <c r="L180" i="1"/>
  <c r="J180" i="1"/>
  <c r="I180" i="1" s="1"/>
  <c r="O180" i="1" s="1"/>
  <c r="AF179" i="1"/>
  <c r="AN179" i="1" s="1"/>
  <c r="AE179" i="1"/>
  <c r="H179" i="1" s="1"/>
  <c r="AA179" i="1"/>
  <c r="AJ178" i="1" s="1"/>
  <c r="Z179" i="1"/>
  <c r="AI178" i="1" s="1"/>
  <c r="L179" i="1"/>
  <c r="J179" i="1"/>
  <c r="AB179" i="1" s="1"/>
  <c r="X178" i="1"/>
  <c r="W178" i="1"/>
  <c r="V178" i="1"/>
  <c r="U178" i="1"/>
  <c r="T178" i="1"/>
  <c r="AF176" i="1"/>
  <c r="AN176" i="1" s="1"/>
  <c r="AE176" i="1"/>
  <c r="H176" i="1" s="1"/>
  <c r="H175" i="1" s="1"/>
  <c r="V175" i="1" s="1"/>
  <c r="AB176" i="1"/>
  <c r="AK175" i="1" s="1"/>
  <c r="AA176" i="1"/>
  <c r="AJ175" i="1" s="1"/>
  <c r="Z176" i="1"/>
  <c r="AI175" i="1" s="1"/>
  <c r="O176" i="1"/>
  <c r="P175" i="1" s="1"/>
  <c r="L176" i="1"/>
  <c r="J176" i="1"/>
  <c r="X175" i="1"/>
  <c r="U175" i="1"/>
  <c r="T175" i="1"/>
  <c r="S175" i="1"/>
  <c r="R175" i="1"/>
  <c r="L175" i="1"/>
  <c r="AN173" i="1"/>
  <c r="AM173" i="1"/>
  <c r="AF173" i="1"/>
  <c r="AE173" i="1"/>
  <c r="H173" i="1" s="1"/>
  <c r="AA173" i="1"/>
  <c r="Z173" i="1"/>
  <c r="O173" i="1"/>
  <c r="L173" i="1"/>
  <c r="J173" i="1"/>
  <c r="AB173" i="1" s="1"/>
  <c r="AN169" i="1"/>
  <c r="AF169" i="1"/>
  <c r="AE169" i="1"/>
  <c r="H169" i="1" s="1"/>
  <c r="AA169" i="1"/>
  <c r="AJ168" i="1" s="1"/>
  <c r="Z169" i="1"/>
  <c r="AI168" i="1" s="1"/>
  <c r="O169" i="1"/>
  <c r="L169" i="1"/>
  <c r="L168" i="1" s="1"/>
  <c r="J169" i="1"/>
  <c r="AB169" i="1" s="1"/>
  <c r="X168" i="1"/>
  <c r="W168" i="1"/>
  <c r="V168" i="1"/>
  <c r="U168" i="1"/>
  <c r="T168" i="1"/>
  <c r="AN166" i="1"/>
  <c r="AF166" i="1"/>
  <c r="AE166" i="1"/>
  <c r="H166" i="1" s="1"/>
  <c r="I166" i="1" s="1"/>
  <c r="AB166" i="1"/>
  <c r="AA166" i="1"/>
  <c r="Z166" i="1"/>
  <c r="O166" i="1"/>
  <c r="L166" i="1"/>
  <c r="J166" i="1"/>
  <c r="AF164" i="1"/>
  <c r="AN164" i="1" s="1"/>
  <c r="AE164" i="1"/>
  <c r="H164" i="1" s="1"/>
  <c r="I164" i="1" s="1"/>
  <c r="AA164" i="1"/>
  <c r="Z164" i="1"/>
  <c r="O164" i="1"/>
  <c r="L164" i="1"/>
  <c r="J164" i="1"/>
  <c r="AB164" i="1" s="1"/>
  <c r="AN161" i="1"/>
  <c r="AF161" i="1"/>
  <c r="AE161" i="1"/>
  <c r="H161" i="1" s="1"/>
  <c r="AA161" i="1"/>
  <c r="Z161" i="1"/>
  <c r="O161" i="1"/>
  <c r="L161" i="1"/>
  <c r="J161" i="1"/>
  <c r="AB161" i="1" s="1"/>
  <c r="AJ160" i="1"/>
  <c r="X160" i="1"/>
  <c r="W160" i="1"/>
  <c r="V160" i="1"/>
  <c r="U160" i="1"/>
  <c r="T160" i="1"/>
  <c r="L160" i="1"/>
  <c r="AN158" i="1"/>
  <c r="AF158" i="1"/>
  <c r="AE158" i="1"/>
  <c r="H158" i="1" s="1"/>
  <c r="AB158" i="1"/>
  <c r="AA158" i="1"/>
  <c r="Z158" i="1"/>
  <c r="O158" i="1"/>
  <c r="P155" i="1" s="1"/>
  <c r="L158" i="1"/>
  <c r="L155" i="1" s="1"/>
  <c r="J158" i="1"/>
  <c r="I158" i="1"/>
  <c r="AF156" i="1"/>
  <c r="AN156" i="1" s="1"/>
  <c r="AE156" i="1"/>
  <c r="H156" i="1" s="1"/>
  <c r="I156" i="1" s="1"/>
  <c r="AB156" i="1"/>
  <c r="AK155" i="1" s="1"/>
  <c r="AA156" i="1"/>
  <c r="AJ155" i="1" s="1"/>
  <c r="Z156" i="1"/>
  <c r="O156" i="1"/>
  <c r="L156" i="1"/>
  <c r="J156" i="1"/>
  <c r="X155" i="1"/>
  <c r="W155" i="1"/>
  <c r="V155" i="1"/>
  <c r="U155" i="1"/>
  <c r="T155" i="1"/>
  <c r="AF154" i="1"/>
  <c r="AN154" i="1" s="1"/>
  <c r="AE154" i="1"/>
  <c r="H154" i="1" s="1"/>
  <c r="AA154" i="1"/>
  <c r="Z154" i="1"/>
  <c r="L154" i="1"/>
  <c r="J154" i="1"/>
  <c r="AB154" i="1" s="1"/>
  <c r="AF152" i="1"/>
  <c r="AN152" i="1" s="1"/>
  <c r="AE152" i="1"/>
  <c r="H152" i="1" s="1"/>
  <c r="I152" i="1" s="1"/>
  <c r="AA152" i="1"/>
  <c r="Z152" i="1"/>
  <c r="O152" i="1"/>
  <c r="L152" i="1"/>
  <c r="J152" i="1"/>
  <c r="AB152" i="1" s="1"/>
  <c r="AN150" i="1"/>
  <c r="AF150" i="1"/>
  <c r="AE150" i="1"/>
  <c r="H150" i="1" s="1"/>
  <c r="AB150" i="1"/>
  <c r="AA150" i="1"/>
  <c r="Z150" i="1"/>
  <c r="O150" i="1"/>
  <c r="L150" i="1"/>
  <c r="L138" i="1" s="1"/>
  <c r="J150" i="1"/>
  <c r="I150" i="1"/>
  <c r="AF141" i="1"/>
  <c r="AN141" i="1" s="1"/>
  <c r="AE141" i="1"/>
  <c r="H141" i="1" s="1"/>
  <c r="AA141" i="1"/>
  <c r="Z141" i="1"/>
  <c r="O141" i="1"/>
  <c r="L141" i="1"/>
  <c r="J141" i="1"/>
  <c r="AB141" i="1" s="1"/>
  <c r="AF139" i="1"/>
  <c r="AN139" i="1" s="1"/>
  <c r="AE139" i="1"/>
  <c r="H139" i="1" s="1"/>
  <c r="I139" i="1" s="1"/>
  <c r="AB139" i="1"/>
  <c r="AA139" i="1"/>
  <c r="AJ138" i="1" s="1"/>
  <c r="Z139" i="1"/>
  <c r="O139" i="1"/>
  <c r="L139" i="1"/>
  <c r="J139" i="1"/>
  <c r="X138" i="1"/>
  <c r="W138" i="1"/>
  <c r="V138" i="1"/>
  <c r="U138" i="1"/>
  <c r="T138" i="1"/>
  <c r="AF136" i="1"/>
  <c r="AN136" i="1" s="1"/>
  <c r="AE136" i="1"/>
  <c r="H136" i="1" s="1"/>
  <c r="H135" i="1" s="1"/>
  <c r="T135" i="1" s="1"/>
  <c r="AA136" i="1"/>
  <c r="AJ135" i="1" s="1"/>
  <c r="Z136" i="1"/>
  <c r="AI135" i="1" s="1"/>
  <c r="O136" i="1"/>
  <c r="L136" i="1"/>
  <c r="L135" i="1" s="1"/>
  <c r="J136" i="1"/>
  <c r="AB136" i="1" s="1"/>
  <c r="AK135" i="1" s="1"/>
  <c r="X135" i="1"/>
  <c r="W135" i="1"/>
  <c r="V135" i="1"/>
  <c r="S135" i="1"/>
  <c r="R135" i="1"/>
  <c r="P135" i="1"/>
  <c r="AF133" i="1"/>
  <c r="AN133" i="1" s="1"/>
  <c r="AE133" i="1"/>
  <c r="H133" i="1" s="1"/>
  <c r="H132" i="1" s="1"/>
  <c r="T132" i="1" s="1"/>
  <c r="AB133" i="1"/>
  <c r="AK132" i="1" s="1"/>
  <c r="AA133" i="1"/>
  <c r="AJ132" i="1" s="1"/>
  <c r="Z133" i="1"/>
  <c r="AI132" i="1" s="1"/>
  <c r="O133" i="1"/>
  <c r="L133" i="1"/>
  <c r="J133" i="1"/>
  <c r="X132" i="1"/>
  <c r="W132" i="1"/>
  <c r="V132" i="1"/>
  <c r="S132" i="1"/>
  <c r="R132" i="1"/>
  <c r="P132" i="1"/>
  <c r="L132" i="1"/>
  <c r="AM130" i="1"/>
  <c r="AF130" i="1"/>
  <c r="AN130" i="1" s="1"/>
  <c r="AE130" i="1"/>
  <c r="H130" i="1" s="1"/>
  <c r="AA130" i="1"/>
  <c r="Z130" i="1"/>
  <c r="O130" i="1"/>
  <c r="P127" i="1" s="1"/>
  <c r="L130" i="1"/>
  <c r="J130" i="1"/>
  <c r="I130" i="1" s="1"/>
  <c r="AF128" i="1"/>
  <c r="AN128" i="1" s="1"/>
  <c r="AE128" i="1"/>
  <c r="H128" i="1" s="1"/>
  <c r="H127" i="1" s="1"/>
  <c r="AA128" i="1"/>
  <c r="AJ127" i="1" s="1"/>
  <c r="Z128" i="1"/>
  <c r="AI127" i="1" s="1"/>
  <c r="O128" i="1"/>
  <c r="L128" i="1"/>
  <c r="L127" i="1" s="1"/>
  <c r="J128" i="1"/>
  <c r="AB128" i="1" s="1"/>
  <c r="X127" i="1"/>
  <c r="W127" i="1"/>
  <c r="V127" i="1"/>
  <c r="S127" i="1"/>
  <c r="R127" i="1"/>
  <c r="AF125" i="1"/>
  <c r="AN125" i="1" s="1"/>
  <c r="AE125" i="1"/>
  <c r="H125" i="1" s="1"/>
  <c r="AA125" i="1"/>
  <c r="AJ119" i="1" s="1"/>
  <c r="Z125" i="1"/>
  <c r="O125" i="1"/>
  <c r="L125" i="1"/>
  <c r="J125" i="1"/>
  <c r="AB125" i="1" s="1"/>
  <c r="AF123" i="1"/>
  <c r="AN123" i="1" s="1"/>
  <c r="AE123" i="1"/>
  <c r="H123" i="1" s="1"/>
  <c r="I123" i="1" s="1"/>
  <c r="AB123" i="1"/>
  <c r="AA123" i="1"/>
  <c r="Z123" i="1"/>
  <c r="O123" i="1"/>
  <c r="L123" i="1"/>
  <c r="J123" i="1"/>
  <c r="AN120" i="1"/>
  <c r="AM120" i="1"/>
  <c r="AF120" i="1"/>
  <c r="AE120" i="1"/>
  <c r="H120" i="1" s="1"/>
  <c r="AA120" i="1"/>
  <c r="Z120" i="1"/>
  <c r="O120" i="1"/>
  <c r="L120" i="1"/>
  <c r="L119" i="1" s="1"/>
  <c r="J120" i="1"/>
  <c r="AB120" i="1" s="1"/>
  <c r="X119" i="1"/>
  <c r="W119" i="1"/>
  <c r="V119" i="1"/>
  <c r="S119" i="1"/>
  <c r="R119" i="1"/>
  <c r="P119" i="1"/>
  <c r="AN110" i="1"/>
  <c r="AF110" i="1"/>
  <c r="AE110" i="1"/>
  <c r="H110" i="1" s="1"/>
  <c r="AB110" i="1"/>
  <c r="AA110" i="1"/>
  <c r="Z110" i="1"/>
  <c r="O110" i="1"/>
  <c r="L110" i="1"/>
  <c r="J110" i="1"/>
  <c r="I110" i="1" s="1"/>
  <c r="AF106" i="1"/>
  <c r="AN106" i="1" s="1"/>
  <c r="AE106" i="1"/>
  <c r="H106" i="1" s="1"/>
  <c r="AA106" i="1"/>
  <c r="Z106" i="1"/>
  <c r="O106" i="1"/>
  <c r="L106" i="1"/>
  <c r="J106" i="1"/>
  <c r="AB106" i="1" s="1"/>
  <c r="AF102" i="1"/>
  <c r="AN102" i="1" s="1"/>
  <c r="AE102" i="1"/>
  <c r="H102" i="1" s="1"/>
  <c r="I102" i="1" s="1"/>
  <c r="AA102" i="1"/>
  <c r="Z102" i="1"/>
  <c r="O102" i="1"/>
  <c r="L102" i="1"/>
  <c r="J102" i="1"/>
  <c r="AB102" i="1" s="1"/>
  <c r="AJ101" i="1"/>
  <c r="X101" i="1"/>
  <c r="W101" i="1"/>
  <c r="V101" i="1"/>
  <c r="S101" i="1"/>
  <c r="R101" i="1"/>
  <c r="L101" i="1"/>
  <c r="AN99" i="1"/>
  <c r="AM99" i="1"/>
  <c r="AF99" i="1"/>
  <c r="AE99" i="1"/>
  <c r="H99" i="1" s="1"/>
  <c r="H98" i="1" s="1"/>
  <c r="T98" i="1" s="1"/>
  <c r="AA99" i="1"/>
  <c r="Z99" i="1"/>
  <c r="AI98" i="1" s="1"/>
  <c r="O99" i="1"/>
  <c r="P98" i="1" s="1"/>
  <c r="L99" i="1"/>
  <c r="J99" i="1"/>
  <c r="AB99" i="1" s="1"/>
  <c r="AK98" i="1" s="1"/>
  <c r="AJ98" i="1"/>
  <c r="X98" i="1"/>
  <c r="W98" i="1"/>
  <c r="V98" i="1"/>
  <c r="S98" i="1"/>
  <c r="R98" i="1"/>
  <c r="L98" i="1"/>
  <c r="AM96" i="1"/>
  <c r="AF96" i="1"/>
  <c r="AN96" i="1" s="1"/>
  <c r="AE96" i="1"/>
  <c r="H96" i="1" s="1"/>
  <c r="AA96" i="1"/>
  <c r="Z96" i="1"/>
  <c r="O96" i="1"/>
  <c r="L96" i="1"/>
  <c r="J96" i="1"/>
  <c r="I96" i="1" s="1"/>
  <c r="AF94" i="1"/>
  <c r="AN94" i="1" s="1"/>
  <c r="AE94" i="1"/>
  <c r="H94" i="1" s="1"/>
  <c r="I94" i="1" s="1"/>
  <c r="AB94" i="1"/>
  <c r="AA94" i="1"/>
  <c r="Z94" i="1"/>
  <c r="O94" i="1"/>
  <c r="L94" i="1"/>
  <c r="J94" i="1"/>
  <c r="AF91" i="1"/>
  <c r="AN91" i="1" s="1"/>
  <c r="AE91" i="1"/>
  <c r="H91" i="1" s="1"/>
  <c r="AA91" i="1"/>
  <c r="Z91" i="1"/>
  <c r="O91" i="1"/>
  <c r="L91" i="1"/>
  <c r="J91" i="1"/>
  <c r="AB91" i="1" s="1"/>
  <c r="AN81" i="1"/>
  <c r="AM81" i="1"/>
  <c r="AF81" i="1"/>
  <c r="AE81" i="1"/>
  <c r="H81" i="1" s="1"/>
  <c r="AA81" i="1"/>
  <c r="Z81" i="1"/>
  <c r="O81" i="1"/>
  <c r="L81" i="1"/>
  <c r="J81" i="1"/>
  <c r="AB81" i="1" s="1"/>
  <c r="AN78" i="1"/>
  <c r="AF78" i="1"/>
  <c r="AE78" i="1"/>
  <c r="H78" i="1" s="1"/>
  <c r="I78" i="1" s="1"/>
  <c r="AB78" i="1"/>
  <c r="AA78" i="1"/>
  <c r="Z78" i="1"/>
  <c r="O78" i="1"/>
  <c r="L78" i="1"/>
  <c r="J78" i="1"/>
  <c r="AF75" i="1"/>
  <c r="AN75" i="1" s="1"/>
  <c r="AE75" i="1"/>
  <c r="H75" i="1" s="1"/>
  <c r="AA75" i="1"/>
  <c r="Z75" i="1"/>
  <c r="O75" i="1"/>
  <c r="L75" i="1"/>
  <c r="J75" i="1"/>
  <c r="AB75" i="1" s="1"/>
  <c r="AF67" i="1"/>
  <c r="AN67" i="1" s="1"/>
  <c r="AE67" i="1"/>
  <c r="AB67" i="1"/>
  <c r="AA67" i="1"/>
  <c r="Z67" i="1"/>
  <c r="O67" i="1"/>
  <c r="L67" i="1"/>
  <c r="AF60" i="1"/>
  <c r="AN60" i="1" s="1"/>
  <c r="AE60" i="1"/>
  <c r="AB60" i="1"/>
  <c r="AA60" i="1"/>
  <c r="Z60" i="1"/>
  <c r="O60" i="1"/>
  <c r="L60" i="1"/>
  <c r="AF54" i="1"/>
  <c r="AN54" i="1" s="1"/>
  <c r="AE54" i="1"/>
  <c r="H54" i="1" s="1"/>
  <c r="I54" i="1" s="1"/>
  <c r="AA54" i="1"/>
  <c r="Z54" i="1"/>
  <c r="O54" i="1"/>
  <c r="P18" i="1" s="1"/>
  <c r="L54" i="1"/>
  <c r="AB54" i="1"/>
  <c r="AF51" i="1"/>
  <c r="AN51" i="1" s="1"/>
  <c r="AE51" i="1"/>
  <c r="H51" i="1" s="1"/>
  <c r="I51" i="1" s="1"/>
  <c r="AB51" i="1"/>
  <c r="AA51" i="1"/>
  <c r="Z51" i="1"/>
  <c r="O51" i="1"/>
  <c r="L51" i="1"/>
  <c r="J51" i="1"/>
  <c r="AM48" i="1"/>
  <c r="AF48" i="1"/>
  <c r="AN48" i="1" s="1"/>
  <c r="AE48" i="1"/>
  <c r="H48" i="1" s="1"/>
  <c r="AA48" i="1"/>
  <c r="Z48" i="1"/>
  <c r="O48" i="1"/>
  <c r="L48" i="1"/>
  <c r="J48" i="1"/>
  <c r="AB48" i="1" s="1"/>
  <c r="I48" i="1"/>
  <c r="AF45" i="1"/>
  <c r="AN45" i="1" s="1"/>
  <c r="AE45" i="1"/>
  <c r="H45" i="1" s="1"/>
  <c r="AA45" i="1"/>
  <c r="Z45" i="1"/>
  <c r="O45" i="1"/>
  <c r="L45" i="1"/>
  <c r="J45" i="1"/>
  <c r="AB45" i="1" s="1"/>
  <c r="AM35" i="1"/>
  <c r="AF35" i="1"/>
  <c r="AN35" i="1" s="1"/>
  <c r="AE35" i="1"/>
  <c r="H35" i="1" s="1"/>
  <c r="AA35" i="1"/>
  <c r="Z35" i="1"/>
  <c r="O35" i="1"/>
  <c r="L35" i="1"/>
  <c r="J35" i="1"/>
  <c r="I35" i="1" s="1"/>
  <c r="AF25" i="1"/>
  <c r="AN25" i="1" s="1"/>
  <c r="AE25" i="1"/>
  <c r="H25" i="1" s="1"/>
  <c r="I25" i="1" s="1"/>
  <c r="AB25" i="1"/>
  <c r="AA25" i="1"/>
  <c r="Z25" i="1"/>
  <c r="O25" i="1"/>
  <c r="L25" i="1"/>
  <c r="J25" i="1"/>
  <c r="AF22" i="1"/>
  <c r="AN22" i="1" s="1"/>
  <c r="AE22" i="1"/>
  <c r="H22" i="1" s="1"/>
  <c r="AA22" i="1"/>
  <c r="Z22" i="1"/>
  <c r="O22" i="1"/>
  <c r="L22" i="1"/>
  <c r="J22" i="1"/>
  <c r="AB22" i="1" s="1"/>
  <c r="AN19" i="1"/>
  <c r="AM19" i="1"/>
  <c r="AF19" i="1"/>
  <c r="AE19" i="1"/>
  <c r="H19" i="1" s="1"/>
  <c r="AA19" i="1"/>
  <c r="Z19" i="1"/>
  <c r="O19" i="1"/>
  <c r="L19" i="1"/>
  <c r="J19" i="1"/>
  <c r="AB19" i="1" s="1"/>
  <c r="X18" i="1"/>
  <c r="W18" i="1"/>
  <c r="V18" i="1"/>
  <c r="U18" i="1"/>
  <c r="T18" i="1"/>
  <c r="L18" i="1"/>
  <c r="AM16" i="1"/>
  <c r="AF16" i="1"/>
  <c r="AN16" i="1" s="1"/>
  <c r="AE16" i="1"/>
  <c r="H16" i="1" s="1"/>
  <c r="I16" i="1" s="1"/>
  <c r="AA16" i="1"/>
  <c r="Z16" i="1"/>
  <c r="O16" i="1"/>
  <c r="L16" i="1"/>
  <c r="L12" i="1" s="1"/>
  <c r="J16" i="1"/>
  <c r="AB16" i="1" s="1"/>
  <c r="AM13" i="1"/>
  <c r="AF13" i="1"/>
  <c r="AN13" i="1" s="1"/>
  <c r="AE13" i="1"/>
  <c r="H13" i="1" s="1"/>
  <c r="AA13" i="1"/>
  <c r="Z13" i="1"/>
  <c r="O13" i="1"/>
  <c r="P12" i="1" s="1"/>
  <c r="L13" i="1"/>
  <c r="J13" i="1"/>
  <c r="AB13" i="1" s="1"/>
  <c r="X12" i="1"/>
  <c r="W12" i="1"/>
  <c r="V12" i="1"/>
  <c r="C18" i="2" s="1"/>
  <c r="U12" i="1"/>
  <c r="T12" i="1"/>
  <c r="I13" i="1" l="1"/>
  <c r="I12" i="1" s="1"/>
  <c r="S12" i="1" s="1"/>
  <c r="H12" i="1"/>
  <c r="R12" i="1" s="1"/>
  <c r="AK138" i="1"/>
  <c r="C20" i="2"/>
  <c r="I155" i="1"/>
  <c r="S155" i="1" s="1"/>
  <c r="H160" i="1"/>
  <c r="R160" i="1" s="1"/>
  <c r="AK178" i="1"/>
  <c r="I19" i="1"/>
  <c r="I81" i="1"/>
  <c r="I99" i="1"/>
  <c r="I98" i="1" s="1"/>
  <c r="I120" i="1"/>
  <c r="AM150" i="1"/>
  <c r="AM158" i="1"/>
  <c r="AK168" i="1"/>
  <c r="I173" i="1"/>
  <c r="I181" i="1"/>
  <c r="O181" i="1" s="1"/>
  <c r="C27" i="2"/>
  <c r="I136" i="1"/>
  <c r="I135" i="1" s="1"/>
  <c r="J135" i="1" s="1"/>
  <c r="AM102" i="1"/>
  <c r="AM152" i="1"/>
  <c r="AM25" i="1"/>
  <c r="AM123" i="1"/>
  <c r="I133" i="1"/>
  <c r="I132" i="1" s="1"/>
  <c r="J132" i="1" s="1"/>
  <c r="I176" i="1"/>
  <c r="I175" i="1" s="1"/>
  <c r="W175" i="1" s="1"/>
  <c r="C19" i="2" s="1"/>
  <c r="AI12" i="1"/>
  <c r="AM51" i="1"/>
  <c r="P101" i="1"/>
  <c r="AM133" i="1"/>
  <c r="AM139" i="1"/>
  <c r="AM156" i="1"/>
  <c r="AI160" i="1"/>
  <c r="P160" i="1"/>
  <c r="H168" i="1"/>
  <c r="R168" i="1" s="1"/>
  <c r="AM176" i="1"/>
  <c r="AK160" i="1"/>
  <c r="AM136" i="1"/>
  <c r="AM164" i="1"/>
  <c r="P168" i="1"/>
  <c r="H178" i="1"/>
  <c r="R178" i="1" s="1"/>
  <c r="AM184" i="1"/>
  <c r="AB35" i="1"/>
  <c r="AM94" i="1"/>
  <c r="AB96" i="1"/>
  <c r="C29" i="2" s="1"/>
  <c r="F29" i="2" s="1"/>
  <c r="AB130" i="1"/>
  <c r="AK127" i="1" s="1"/>
  <c r="AM78" i="1"/>
  <c r="AM110" i="1"/>
  <c r="AK119" i="1"/>
  <c r="AM166" i="1"/>
  <c r="AM180" i="1"/>
  <c r="AM67" i="1"/>
  <c r="H67" i="1"/>
  <c r="I67" i="1" s="1"/>
  <c r="AJ18" i="1"/>
  <c r="AM60" i="1"/>
  <c r="H60" i="1"/>
  <c r="I60" i="1" s="1"/>
  <c r="C28" i="2"/>
  <c r="F28" i="2" s="1"/>
  <c r="Z185" i="1"/>
  <c r="AK101" i="1"/>
  <c r="AK18" i="1"/>
  <c r="U98" i="1"/>
  <c r="J98" i="1"/>
  <c r="AJ12" i="1"/>
  <c r="H101" i="1"/>
  <c r="U132" i="1"/>
  <c r="U135" i="1"/>
  <c r="H138" i="1"/>
  <c r="AA185" i="1"/>
  <c r="AI18" i="1"/>
  <c r="AI101" i="1"/>
  <c r="T127" i="1"/>
  <c r="AI138" i="1"/>
  <c r="J175" i="1"/>
  <c r="J12" i="1"/>
  <c r="AK12" i="1"/>
  <c r="I22" i="1"/>
  <c r="AM22" i="1"/>
  <c r="I45" i="1"/>
  <c r="AM45" i="1"/>
  <c r="AM54" i="1"/>
  <c r="I75" i="1"/>
  <c r="AM75" i="1"/>
  <c r="I91" i="1"/>
  <c r="AM91" i="1"/>
  <c r="I106" i="1"/>
  <c r="I101" i="1" s="1"/>
  <c r="U101" i="1" s="1"/>
  <c r="AM106" i="1"/>
  <c r="AI119" i="1"/>
  <c r="H119" i="1"/>
  <c r="I125" i="1"/>
  <c r="I119" i="1" s="1"/>
  <c r="U119" i="1" s="1"/>
  <c r="AM125" i="1"/>
  <c r="I128" i="1"/>
  <c r="I127" i="1" s="1"/>
  <c r="U127" i="1" s="1"/>
  <c r="AM128" i="1"/>
  <c r="I141" i="1"/>
  <c r="AM141" i="1"/>
  <c r="I154" i="1"/>
  <c r="O154" i="1" s="1"/>
  <c r="P138" i="1" s="1"/>
  <c r="AM154" i="1"/>
  <c r="AI155" i="1"/>
  <c r="H155" i="1"/>
  <c r="I161" i="1"/>
  <c r="I160" i="1" s="1"/>
  <c r="AM161" i="1"/>
  <c r="I169" i="1"/>
  <c r="I168" i="1" s="1"/>
  <c r="AM169" i="1"/>
  <c r="I179" i="1"/>
  <c r="AM179" i="1"/>
  <c r="I182" i="1"/>
  <c r="O182" i="1" s="1"/>
  <c r="AM182" i="1"/>
  <c r="AB185" i="1" l="1"/>
  <c r="C17" i="2"/>
  <c r="H18" i="1"/>
  <c r="O179" i="1"/>
  <c r="P178" i="1" s="1"/>
  <c r="C21" i="2" s="1"/>
  <c r="I178" i="1"/>
  <c r="J119" i="1"/>
  <c r="T119" i="1"/>
  <c r="R18" i="1"/>
  <c r="C14" i="2" s="1"/>
  <c r="S160" i="1"/>
  <c r="J160" i="1"/>
  <c r="I138" i="1"/>
  <c r="S138" i="1" s="1"/>
  <c r="I18" i="1"/>
  <c r="S18" i="1" s="1"/>
  <c r="S168" i="1"/>
  <c r="J168" i="1"/>
  <c r="R155" i="1"/>
  <c r="J155" i="1"/>
  <c r="R138" i="1"/>
  <c r="T101" i="1"/>
  <c r="J101" i="1"/>
  <c r="I28" i="2"/>
  <c r="I29" i="2" s="1"/>
  <c r="J127" i="1"/>
  <c r="C16" i="2" l="1"/>
  <c r="J138" i="1"/>
  <c r="S178" i="1"/>
  <c r="C15" i="2" s="1"/>
  <c r="C22" i="2" s="1"/>
  <c r="J178" i="1"/>
  <c r="J18" i="1"/>
  <c r="J185" i="1" s="1"/>
</calcChain>
</file>

<file path=xl/sharedStrings.xml><?xml version="1.0" encoding="utf-8"?>
<sst xmlns="http://schemas.openxmlformats.org/spreadsheetml/2006/main" count="697" uniqueCount="400">
  <si>
    <t>Slepý stavební rozpočet</t>
  </si>
  <si>
    <t>Název stavby:</t>
  </si>
  <si>
    <t>STAVEBNÍ ÚPRAVY - ZATEPLENÍ OBJEKTU VÚRV - FASÁDY - revize 21.09.2016</t>
  </si>
  <si>
    <t>Doba výstavby:</t>
  </si>
  <si>
    <t>Objednatel:</t>
  </si>
  <si>
    <t>Výzkumný ústav rostlinné výroby</t>
  </si>
  <si>
    <t>Druh stavby:</t>
  </si>
  <si>
    <t>D.1.1. ARCHITEKTONICKO-STAVEBNÍ ŘEŠENÍ</t>
  </si>
  <si>
    <t>Začátek výstavby:</t>
  </si>
  <si>
    <t xml:space="preserve"> </t>
  </si>
  <si>
    <t>Projektant:</t>
  </si>
  <si>
    <t>ing. Jindřich Janoušek</t>
  </si>
  <si>
    <t>Lokalita:</t>
  </si>
  <si>
    <t>Chomutov, ul. Černovická č.p. 4987</t>
  </si>
  <si>
    <t>Konec výstavby:</t>
  </si>
  <si>
    <t>Zhotovitel:</t>
  </si>
  <si>
    <t>Dle výběrového řízení</t>
  </si>
  <si>
    <t>JKSO:</t>
  </si>
  <si>
    <t>Zpracováno dne:</t>
  </si>
  <si>
    <t>Zpracoval:</t>
  </si>
  <si>
    <t>Kamila Možná</t>
  </si>
  <si>
    <t>Č</t>
  </si>
  <si>
    <t>Objekt</t>
  </si>
  <si>
    <t>Kód</t>
  </si>
  <si>
    <t>Zkrácený popis</t>
  </si>
  <si>
    <t>M.j.</t>
  </si>
  <si>
    <t>Množství</t>
  </si>
  <si>
    <t>Jednot.</t>
  </si>
  <si>
    <t>Náklady (Kč)</t>
  </si>
  <si>
    <t>Hmotnost (t)</t>
  </si>
  <si>
    <t>Cenová</t>
  </si>
  <si>
    <t>Rozměry</t>
  </si>
  <si>
    <t>cena 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</si>
  <si>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</si>
  <si>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</si>
  <si>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</si>
  <si>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</si>
  <si>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</si>
  <si>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</si>
  <si>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</si>
  <si>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</si>
  <si>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</si>
  <si>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</si>
  <si>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</si>
  <si>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</si>
  <si>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</si>
  <si>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34</t>
  </si>
  <si>
    <t>Stěny a příčky</t>
  </si>
  <si>
    <t>HS</t>
  </si>
  <si>
    <t>1</t>
  </si>
  <si>
    <t>342266111R00</t>
  </si>
  <si>
    <t>Obklad stěn sádrokartonem na ocelovou konstrukci</t>
  </si>
  <si>
    <t>m2</t>
  </si>
  <si>
    <t>RTS I / 2016</t>
  </si>
  <si>
    <t>34_</t>
  </si>
  <si>
    <t>3_</t>
  </si>
  <si>
    <t>_</t>
  </si>
  <si>
    <t>(0,6+0,5)*3,3*2;mč, 1,08;</t>
  </si>
  <si>
    <t>7,26*0,05;ztratné 5%;</t>
  </si>
  <si>
    <t>2</t>
  </si>
  <si>
    <t>342266998R00</t>
  </si>
  <si>
    <t>Příplatek pro obklad za plochu do 5 m2</t>
  </si>
  <si>
    <t>7,26;viz obklad;</t>
  </si>
  <si>
    <t>62</t>
  </si>
  <si>
    <t>Úprava povrchů vnější</t>
  </si>
  <si>
    <t>3</t>
  </si>
  <si>
    <t>622311733RV1</t>
  </si>
  <si>
    <t>Zatepl.syst., fasáda, miner.desky tl. 120 mm zakončený stěrkou s výztužnou tkaninou</t>
  </si>
  <si>
    <t>62_</t>
  </si>
  <si>
    <t>6_</t>
  </si>
  <si>
    <t>4</t>
  </si>
  <si>
    <t>622311750RT6</t>
  </si>
  <si>
    <t>Povrchová úprava ostění KZS s min.vlnou s omítkou silikonovou</t>
  </si>
  <si>
    <t>1*3,3*2;vstup SO001;</t>
  </si>
  <si>
    <t>6,6*0,05;ztratné 5%;</t>
  </si>
  <si>
    <t>5</t>
  </si>
  <si>
    <t>622311524RU1</t>
  </si>
  <si>
    <t>Zateplovací systém Baumit, sokl, XPS tl. 140 mm s mozaikovou omítkou</t>
  </si>
  <si>
    <t>(38,04-5,7)*0,6;SO001 jihovýchod;</t>
  </si>
  <si>
    <t>14,98*0,6;SO002 jihovýchod;</t>
  </si>
  <si>
    <t>15*0,6;SO001 jihozápad;</t>
  </si>
  <si>
    <t>5,3*0,6;SO001 severovýchod;</t>
  </si>
  <si>
    <t>23,65*0,6;SO002 severovýchod;</t>
  </si>
  <si>
    <t>15*0,6;SO002 severozápad;</t>
  </si>
  <si>
    <t>13,94*0,6;SO002 jihozápad;</t>
  </si>
  <si>
    <t>29,78*0,6;SO001 severozápad;</t>
  </si>
  <si>
    <t>90,044*0,05;ztratné 5%;</t>
  </si>
  <si>
    <t>6</t>
  </si>
  <si>
    <t>622311134RT3</t>
  </si>
  <si>
    <t>Zateplovací systém, fasáda, EPS F tl.140 mm s omítkou silikonovou</t>
  </si>
  <si>
    <t>38,04*8-(5,7*3,5+2,4*2,1*16);SO001 jihovýchod;</t>
  </si>
  <si>
    <t>14,98*4,5-(2,4*2,1*3);SO002 jihovýchod;</t>
  </si>
  <si>
    <t>15*8-(1,2*2,1*14);SO001 jihozápad;</t>
  </si>
  <si>
    <t>5,3*8-(2,4*2,1)+10*3,5;SO001 severovýchod;</t>
  </si>
  <si>
    <t>23,65*4,5-(1,2*2,1*7);SO002 severovýchod;</t>
  </si>
  <si>
    <t>15*4,5-(2,4*2,1*2+1,45*2);SO002 severozápad;</t>
  </si>
  <si>
    <t>13,94*4,5-(1,2*2,1*4);SO002 jihozápad;</t>
  </si>
  <si>
    <t>29,78*8-(2,4*2,1*13+1,2*2,1*2+1*2);SO001 severozápad;</t>
  </si>
  <si>
    <t>774,785*0,05;ztratné 5%;</t>
  </si>
  <si>
    <t>7</t>
  </si>
  <si>
    <t>622311113R00</t>
  </si>
  <si>
    <t>Dilatační profil KZS rohový</t>
  </si>
  <si>
    <t>m</t>
  </si>
  <si>
    <t>5*2;SO002;</t>
  </si>
  <si>
    <t>10*0,05;ztratné 5%;</t>
  </si>
  <si>
    <t>8</t>
  </si>
  <si>
    <t>622311130RT3</t>
  </si>
  <si>
    <t>Zateplovací systém, ostění a nadpraží, EPS F tl. 30 mm s omítkou Silikon</t>
  </si>
  <si>
    <t>136,2375*0,3;viz okenní lišta;</t>
  </si>
  <si>
    <t>298,62*0,3;viz rohová lišta;</t>
  </si>
  <si>
    <t>9</t>
  </si>
  <si>
    <t>622311653RT3</t>
  </si>
  <si>
    <t>Zateplovací systém, parapety, XPS tl. 30 mm</t>
  </si>
  <si>
    <t>121,6*0,3;viz délka parapetů krát šířka;</t>
  </si>
  <si>
    <t>36,48*0,05;ztratné 5%;</t>
  </si>
  <si>
    <t>10</t>
  </si>
  <si>
    <t>620991121R00</t>
  </si>
  <si>
    <t>Zakrývání výplní vnějších otvorů</t>
  </si>
  <si>
    <t>1,2*2,1*14;jihozápad;</t>
  </si>
  <si>
    <t>2,4*2,1*16+2,4*2,1*3+5,7*3,5;jihovýchod;</t>
  </si>
  <si>
    <t>2,4*2,1*2+1,45*2+1*2+1,2*2,1*2+2,4*2,1*13+1*0,6*4;severozápad;</t>
  </si>
  <si>
    <t>2,4*2,1+1,2*2,1+1,2*2,1*7;severovýchod;</t>
  </si>
  <si>
    <t>1,2*2,1*4;jihozápad ze dvora;</t>
  </si>
  <si>
    <t>11</t>
  </si>
  <si>
    <t>622421491R00</t>
  </si>
  <si>
    <t>Doplňky zatepl. systémů, okenní lišta s okapničkou</t>
  </si>
  <si>
    <t>1,2*14;jihozápad;</t>
  </si>
  <si>
    <t>2,4*16+2,4*3+5,7;jihovýchod;</t>
  </si>
  <si>
    <t>2,4*2+1,45+1+1,2*2+2,4*13+1*4;severozápad;</t>
  </si>
  <si>
    <t>2,4+1,2+1,2*7;severovýchod;</t>
  </si>
  <si>
    <t>1,2*4;jihozápad ze dvora;</t>
  </si>
  <si>
    <t>129,75*0,05;ztratné 5%;</t>
  </si>
  <si>
    <t>12</t>
  </si>
  <si>
    <t>622421492R00</t>
  </si>
  <si>
    <t>Doplňky zatepl. systémů, okenní lišta s tkaninou</t>
  </si>
  <si>
    <t>2,1*2*14;jihozápad;</t>
  </si>
  <si>
    <t>2,1*2*16+2,1*2*3+3,5*2;jihovýchod;</t>
  </si>
  <si>
    <t>2,1*2*2+2*2+2*2+2,1*2*2+2,1*2*13+0,6*2*4;severozápad;</t>
  </si>
  <si>
    <t>2,1*2+2,1*2+2,1*2*7;severovýchod;</t>
  </si>
  <si>
    <t>2,1*2*4;jihozápad ze dvora;</t>
  </si>
  <si>
    <t>;ztratné 5%;</t>
  </si>
  <si>
    <t>284,4*0,05</t>
  </si>
  <si>
    <t>13</t>
  </si>
  <si>
    <t>622421497VD</t>
  </si>
  <si>
    <t>Doplňky zatep. systémů, APU lišta</t>
  </si>
  <si>
    <t>136,2375;viz okenní lišta;</t>
  </si>
  <si>
    <t>298,62;viz rohová lišta;</t>
  </si>
  <si>
    <t>14</t>
  </si>
  <si>
    <t>622421494R00</t>
  </si>
  <si>
    <t>Doplňky zatepl. systémů, podparapetní lišta s tkan + fólie</t>
  </si>
  <si>
    <t>121,6;viz parapety;</t>
  </si>
  <si>
    <t>121,6*0,05;ztratné 5%;</t>
  </si>
  <si>
    <t>15</t>
  </si>
  <si>
    <t>622311014R00</t>
  </si>
  <si>
    <t>Soklová lišta hliník KZS Baumit tl. 140 mm</t>
  </si>
  <si>
    <t>38,04-5,7;SO001 jihovýchod;</t>
  </si>
  <si>
    <t>14,98;SO002 jihovýchod;</t>
  </si>
  <si>
    <t>15;SO001 jihozápad;</t>
  </si>
  <si>
    <t>5,3;SO001 severovýchod;</t>
  </si>
  <si>
    <t>23,65;SO002 severovýchod;</t>
  </si>
  <si>
    <t>15;SO002 severozápad;</t>
  </si>
  <si>
    <t>13,94;SO002 jihozápad;</t>
  </si>
  <si>
    <t>29,78;SO001 severozápad;</t>
  </si>
  <si>
    <t>149,99*0,05;ztratné 5%;</t>
  </si>
  <si>
    <t>16</t>
  </si>
  <si>
    <t>622904112R00</t>
  </si>
  <si>
    <t>Očištění fasád tlakovou vodou</t>
  </si>
  <si>
    <t>94,4962;sokl 140mm s mozaik, omítkou;</t>
  </si>
  <si>
    <t>813,47425;fasáda EPS 140mm;</t>
  </si>
  <si>
    <t>17</t>
  </si>
  <si>
    <t>622422111R00</t>
  </si>
  <si>
    <t>Oprava vnějších omítek vápen. hladk. II, do 10 %</t>
  </si>
  <si>
    <t>907,97;viz omytí;</t>
  </si>
  <si>
    <t>18</t>
  </si>
  <si>
    <t>622481113R00</t>
  </si>
  <si>
    <t>Potažení vnějších stěn sklotex. pletivem, vypnutí</t>
  </si>
  <si>
    <t>157,4895*2;viz soklová lišta krát výška 2m;</t>
  </si>
  <si>
    <t>713</t>
  </si>
  <si>
    <t>Izolace tepelné</t>
  </si>
  <si>
    <t>PS</t>
  </si>
  <si>
    <t>19</t>
  </si>
  <si>
    <t>713134211RK3</t>
  </si>
  <si>
    <t>Montáž parozábrany na stěny s přelepením spojů včetně dodávky</t>
  </si>
  <si>
    <t>713_</t>
  </si>
  <si>
    <t>71_</t>
  </si>
  <si>
    <t>7,62;viz obklad SDK;</t>
  </si>
  <si>
    <t>764</t>
  </si>
  <si>
    <t>Konstrukce klempířské</t>
  </si>
  <si>
    <t>20</t>
  </si>
  <si>
    <t>764900050RA0</t>
  </si>
  <si>
    <t>Demontáž oplechování parapetů</t>
  </si>
  <si>
    <t>764_</t>
  </si>
  <si>
    <t>76_</t>
  </si>
  <si>
    <t>2,4*35;B1;</t>
  </si>
  <si>
    <t>1,2*28;B2;</t>
  </si>
  <si>
    <t>1*4;B3;</t>
  </si>
  <si>
    <t>21</t>
  </si>
  <si>
    <t>764410310RAB</t>
  </si>
  <si>
    <t>Oplechování parapetů z elox. hliníku včetně doplňků</t>
  </si>
  <si>
    <t>2,4*35;1/K;</t>
  </si>
  <si>
    <t>1,2*28;2/K;</t>
  </si>
  <si>
    <t>1*4;3/K;</t>
  </si>
  <si>
    <t>22</t>
  </si>
  <si>
    <t>764530430R00</t>
  </si>
  <si>
    <t>Oplechování návaznosti atiky z Ti Zn plechu, rš 330 mm vč. příponk. plechu a pásky</t>
  </si>
  <si>
    <t>15,3;jihozápad SO001;</t>
  </si>
  <si>
    <t>38,5;jihovýchod SO001;</t>
  </si>
  <si>
    <t>15;jihovýchod SO002;</t>
  </si>
  <si>
    <t>15,3;severovýchod SO001;</t>
  </si>
  <si>
    <t>24;severovýchod SO002;</t>
  </si>
  <si>
    <t>15;severozápad SO002;</t>
  </si>
  <si>
    <t>38,5;severozápad SO001;</t>
  </si>
  <si>
    <t>14,1;jihozápad SO002 ze dvora;</t>
  </si>
  <si>
    <t>766</t>
  </si>
  <si>
    <t>Konstrukce truhlářské</t>
  </si>
  <si>
    <t>23</t>
  </si>
  <si>
    <t>766629304R00</t>
  </si>
  <si>
    <t>Montáž dveří plastových</t>
  </si>
  <si>
    <t>kus</t>
  </si>
  <si>
    <t>766_</t>
  </si>
  <si>
    <t>1;1/P;</t>
  </si>
  <si>
    <t>1;4/D;</t>
  </si>
  <si>
    <t>24</t>
  </si>
  <si>
    <t>611111159VD</t>
  </si>
  <si>
    <t>Dveře plastové 900x1970mm</t>
  </si>
  <si>
    <t>0</t>
  </si>
  <si>
    <t>25</t>
  </si>
  <si>
    <t>611111162VD</t>
  </si>
  <si>
    <t>Dveře plastové 1450x1970mm</t>
  </si>
  <si>
    <t>767</t>
  </si>
  <si>
    <t>Konstrukce doplňkové stavební (zámečnické)</t>
  </si>
  <si>
    <t>26</t>
  </si>
  <si>
    <t>767001152VD</t>
  </si>
  <si>
    <t>Demontáž požárního žebříku</t>
  </si>
  <si>
    <t>767_</t>
  </si>
  <si>
    <t>1;B14;</t>
  </si>
  <si>
    <t>27</t>
  </si>
  <si>
    <t>767995114VD</t>
  </si>
  <si>
    <t>Zpětné osazení požárního žebříku včetně přikotvení</t>
  </si>
  <si>
    <t>1;viz demontáž;</t>
  </si>
  <si>
    <t>783</t>
  </si>
  <si>
    <t>Nátěry</t>
  </si>
  <si>
    <t>28</t>
  </si>
  <si>
    <t>783111112VD</t>
  </si>
  <si>
    <t>Ochranný nátěr požárního žebříku a zábradlí schodiště</t>
  </si>
  <si>
    <t>kompl</t>
  </si>
  <si>
    <t>783_</t>
  </si>
  <si>
    <t>78_</t>
  </si>
  <si>
    <t>1;technická zpráva;</t>
  </si>
  <si>
    <t>784</t>
  </si>
  <si>
    <t>Malby</t>
  </si>
  <si>
    <t>29</t>
  </si>
  <si>
    <t>784442021RT1</t>
  </si>
  <si>
    <t>Malba disperzní interiérová HET, výška do 3,8 m pro sádrokartony, 2 x nátěr</t>
  </si>
  <si>
    <t>784_</t>
  </si>
  <si>
    <t>7,26;viz obklad SDK;</t>
  </si>
  <si>
    <t>94</t>
  </si>
  <si>
    <t>Lešení a stavební výtahy</t>
  </si>
  <si>
    <t>30</t>
  </si>
  <si>
    <t>941955002R00</t>
  </si>
  <si>
    <t>Lešení lehké pomocné, výška podlahy do 1,9 m</t>
  </si>
  <si>
    <t>94_</t>
  </si>
  <si>
    <t>9_</t>
  </si>
  <si>
    <t>1*1*2;mč, 1,08;</t>
  </si>
  <si>
    <t>31</t>
  </si>
  <si>
    <t>941941041R00</t>
  </si>
  <si>
    <t>Montáž lešení leh.řad.s podlahami,š.1,2 m, H 10 m</t>
  </si>
  <si>
    <t>38,04*8,6;SO001 jihovýchod;</t>
  </si>
  <si>
    <t>14,98*5,1;SO002 jihovýchod;</t>
  </si>
  <si>
    <t>15*8,6;SO001 jihozápad;</t>
  </si>
  <si>
    <t>5,3*8,6;SO001 severovýchod;</t>
  </si>
  <si>
    <t>23,65*5,1;SO002 severovýchod;</t>
  </si>
  <si>
    <t>15*5,1;SO002 severozápad;</t>
  </si>
  <si>
    <t>13,94*5,1;SO002 jihozápad;</t>
  </si>
  <si>
    <t>29,78*8,6;SO001 severozápad;</t>
  </si>
  <si>
    <t>32</t>
  </si>
  <si>
    <t>941941291R00</t>
  </si>
  <si>
    <t>Příplatek za každý měsíc použití lešení k pol.1041</t>
  </si>
  <si>
    <t>1102,44*2;2 měsíce;</t>
  </si>
  <si>
    <t>33</t>
  </si>
  <si>
    <t>941941831R00</t>
  </si>
  <si>
    <t>Demontáž lešení leh.řad.s podlahami,š.1 m, H 10 m</t>
  </si>
  <si>
    <t>1102,44;viz montáž;</t>
  </si>
  <si>
    <t>998009101R00</t>
  </si>
  <si>
    <t>Přesun hmot lešení samostatně budovaného</t>
  </si>
  <si>
    <t>t</t>
  </si>
  <si>
    <t>95</t>
  </si>
  <si>
    <t>Různé dokončovací konstrukce a práce na pozemních stavbách</t>
  </si>
  <si>
    <t>35</t>
  </si>
  <si>
    <t>952901110R00</t>
  </si>
  <si>
    <t>Čištění mytím vnějších ploch oken a dveří</t>
  </si>
  <si>
    <t>95_</t>
  </si>
  <si>
    <t>274,21;viz zakrývání;</t>
  </si>
  <si>
    <t>36</t>
  </si>
  <si>
    <t>999281108R00</t>
  </si>
  <si>
    <t>Přesun hmot pro opravy a údržbu do výšky 12 m</t>
  </si>
  <si>
    <t>34,90486</t>
  </si>
  <si>
    <t>96</t>
  </si>
  <si>
    <t>Bourání konstrukcí</t>
  </si>
  <si>
    <t>37</t>
  </si>
  <si>
    <t>968061125R00</t>
  </si>
  <si>
    <t>Vyvěšení dřevěných dveřních křídel pl. do 2 m2</t>
  </si>
  <si>
    <t>96_</t>
  </si>
  <si>
    <t>1;B8;</t>
  </si>
  <si>
    <t>2;B11;</t>
  </si>
  <si>
    <t>38</t>
  </si>
  <si>
    <t>968072455R00</t>
  </si>
  <si>
    <t>Vybourání kovových dveřních zárubní pl. do 2 m2</t>
  </si>
  <si>
    <t>0,9*1,97;B8;</t>
  </si>
  <si>
    <t>39</t>
  </si>
  <si>
    <t>968072456R00</t>
  </si>
  <si>
    <t>Vybourání kovových dveřních zárubní pl. nad 2 m2</t>
  </si>
  <si>
    <t>1,45*1,97;B11;</t>
  </si>
  <si>
    <t>97</t>
  </si>
  <si>
    <t>Prorážení otvorů a ostatní bourací práce</t>
  </si>
  <si>
    <t>40</t>
  </si>
  <si>
    <t>978059611R00</t>
  </si>
  <si>
    <t>Odsekání vnějších obkladů soklů</t>
  </si>
  <si>
    <t>97_</t>
  </si>
  <si>
    <t>10;jihovýchod;</t>
  </si>
  <si>
    <t>3,5;severovýchod;</t>
  </si>
  <si>
    <t>;B13;</t>
  </si>
  <si>
    <t>41</t>
  </si>
  <si>
    <t>978015221R00</t>
  </si>
  <si>
    <t>Otlučení omítek vnějších MVC v složit.1-4 do 10 %</t>
  </si>
  <si>
    <t>M21</t>
  </si>
  <si>
    <t>Elektromontáže</t>
  </si>
  <si>
    <t>MP</t>
  </si>
  <si>
    <t>42</t>
  </si>
  <si>
    <t>210200020RAA</t>
  </si>
  <si>
    <t>M21_</t>
  </si>
  <si>
    <t>1;hromosvod;</t>
  </si>
  <si>
    <t>S</t>
  </si>
  <si>
    <t>Přesuny sutí</t>
  </si>
  <si>
    <t>43</t>
  </si>
  <si>
    <t>979082212R00</t>
  </si>
  <si>
    <t>Vodorovná doprava suti po suchu do 50 m</t>
  </si>
  <si>
    <t>S_</t>
  </si>
  <si>
    <t>44</t>
  </si>
  <si>
    <t>979087113R00</t>
  </si>
  <si>
    <t>Nakládání vybouraných hmot na dopravní prostředky</t>
  </si>
  <si>
    <t>45</t>
  </si>
  <si>
    <t>979081111R00</t>
  </si>
  <si>
    <t>Odvoz suti a vybour. hmot na skládku do 1 km</t>
  </si>
  <si>
    <t>46</t>
  </si>
  <si>
    <t>979081121R00</t>
  </si>
  <si>
    <t>Příplatek k odvozu za každý další 1 km</t>
  </si>
  <si>
    <t>6,28108*19;odvoz do 20km;</t>
  </si>
  <si>
    <t>47</t>
  </si>
  <si>
    <t>979999999R00</t>
  </si>
  <si>
    <t>Poplatek za skladku</t>
  </si>
  <si>
    <t>Celkem:</t>
  </si>
  <si>
    <t>Poznámka:</t>
  </si>
  <si>
    <t>Krycí list slepého rozpočtu</t>
  </si>
  <si>
    <t>IČ/DIČ: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</si>
  <si>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</si>
  <si>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</si>
  <si>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</si>
  <si>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</si>
  <si>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</si>
  <si>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</si>
  <si>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</si>
  <si>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</si>
  <si>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</si>
  <si>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</si>
  <si>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</si>
  <si>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</si>
  <si>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</si>
  <si>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</si>
  <si>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</si>
  <si>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</si>
  <si>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</si>
  <si>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</si>
  <si>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</si>
  <si>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</si>
  <si>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</si>
  <si>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</si>
  <si>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</si>
  <si>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</si>
  <si>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</si>
  <si>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</si>
  <si>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</si>
  <si>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</si>
  <si>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</si>
  <si>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</si>
  <si>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</si>
  <si>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</si>
  <si>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</si>
  <si>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</si>
  <si>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</si>
  <si>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</si>
  <si>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</si>
  <si>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</si>
  <si>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</si>
  <si>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</si>
  <si>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</si>
  <si>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</si>
  <si>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Hromosvod -  demontáž bleskosvodů, prodloužení úchytů a zpětná montáž bleskosvodů</t>
  </si>
  <si>
    <t>přídané položky: č. 22, 28 a 42</t>
  </si>
  <si>
    <t>opravené položky: č. 8, 11, 12 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</si>
</sst>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17" x14ac:knownFonts="1">
    <font>
      <sz val="10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24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i/>
      <sz val="10"/>
      <color rgb="FFC00000"/>
      <name val="Arial"/>
      <family val="2"/>
      <charset val="238"/>
    </font>
    <font>
      <sz val="10"/>
      <color rgb="FF7030A0"/>
      <name val="Arial"/>
      <family val="2"/>
      <charset val="238"/>
    </font>
    <font>
      <i/>
      <sz val="10"/>
      <color rgb="FF7030A0"/>
      <name val="Arial"/>
      <family val="2"/>
      <charset val="238"/>
    </font>
    <font>
      <b/>
      <sz val="10"/>
      <color rgb="FF7030A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0" borderId="5" xfId="0" applyFill="1" applyBorder="1" applyAlignment="1" applyProtection="1">
      <alignment vertical="center"/>
    </xf>
    <xf numFmtId="49" fontId="0" fillId="0" borderId="0" xfId="0" applyNumberFormat="1" applyFill="1" applyAlignment="1" applyProtection="1">
      <alignment horizontal="left" vertical="center"/>
    </xf>
    <xf numFmtId="49" fontId="2" fillId="0" borderId="10" xfId="0" applyNumberFormat="1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vertical="center"/>
    </xf>
    <xf numFmtId="49" fontId="0" fillId="0" borderId="16" xfId="0" applyNumberFormat="1" applyFill="1" applyBorder="1" applyAlignment="1" applyProtection="1">
      <alignment horizontal="left" vertical="center"/>
    </xf>
    <xf numFmtId="49" fontId="0" fillId="0" borderId="17" xfId="0" applyNumberFormat="1" applyFill="1" applyBorder="1" applyAlignment="1" applyProtection="1">
      <alignment horizontal="left" vertical="center"/>
    </xf>
    <xf numFmtId="49" fontId="2" fillId="0" borderId="17" xfId="0" applyNumberFormat="1" applyFont="1" applyFill="1" applyBorder="1" applyAlignment="1" applyProtection="1">
      <alignment horizontal="left" vertical="center"/>
    </xf>
    <xf numFmtId="49" fontId="2" fillId="0" borderId="18" xfId="0" applyNumberFormat="1" applyFont="1" applyFill="1" applyBorder="1" applyAlignment="1" applyProtection="1">
      <alignment horizontal="right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49" fontId="2" fillId="0" borderId="21" xfId="0" applyNumberFormat="1" applyFont="1" applyFill="1" applyBorder="1" applyAlignment="1" applyProtection="1">
      <alignment horizontal="center" vertical="center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right" vertical="center"/>
    </xf>
    <xf numFmtId="49" fontId="0" fillId="2" borderId="23" xfId="0" applyNumberFormat="1" applyFill="1" applyBorder="1" applyAlignment="1" applyProtection="1">
      <alignment horizontal="left" vertical="center"/>
    </xf>
    <xf numFmtId="49" fontId="2" fillId="2" borderId="23" xfId="0" applyNumberFormat="1" applyFont="1" applyFill="1" applyBorder="1" applyAlignment="1" applyProtection="1">
      <alignment horizontal="left" vertical="center"/>
    </xf>
    <xf numFmtId="4" fontId="2" fillId="2" borderId="23" xfId="0" applyNumberFormat="1" applyFont="1" applyFill="1" applyBorder="1" applyAlignment="1" applyProtection="1">
      <alignment horizontal="right" vertical="center"/>
    </xf>
    <xf numFmtId="49" fontId="2" fillId="2" borderId="23" xfId="0" applyNumberFormat="1" applyFont="1" applyFill="1" applyBorder="1" applyAlignment="1" applyProtection="1">
      <alignment horizontal="right" vertical="center"/>
    </xf>
    <xf numFmtId="4" fontId="2" fillId="2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 vertical="center"/>
    </xf>
    <xf numFmtId="49" fontId="0" fillId="0" borderId="0" xfId="0" applyNumberFormat="1" applyFill="1" applyAlignment="1" applyProtection="1">
      <alignment horizontal="right" vertical="center"/>
    </xf>
    <xf numFmtId="49" fontId="3" fillId="0" borderId="0" xfId="0" applyNumberFormat="1" applyFont="1" applyFill="1" applyAlignment="1" applyProtection="1">
      <alignment horizontal="left" vertical="center"/>
    </xf>
    <xf numFmtId="4" fontId="3" fillId="0" borderId="0" xfId="0" applyNumberFormat="1" applyFont="1" applyFill="1" applyAlignment="1" applyProtection="1">
      <alignment horizontal="right" vertical="center"/>
    </xf>
    <xf numFmtId="49" fontId="0" fillId="2" borderId="0" xfId="0" applyNumberFormat="1" applyFill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</xf>
    <xf numFmtId="49" fontId="0" fillId="0" borderId="1" xfId="0" applyNumberFormat="1" applyFill="1" applyBorder="1" applyAlignment="1" applyProtection="1">
      <alignment horizontal="left" vertical="center"/>
    </xf>
    <xf numFmtId="4" fontId="0" fillId="0" borderId="1" xfId="0" applyNumberFormat="1" applyFill="1" applyBorder="1" applyAlignment="1" applyProtection="1">
      <alignment horizontal="right" vertical="center"/>
    </xf>
    <xf numFmtId="49" fontId="0" fillId="0" borderId="1" xfId="0" applyNumberForma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Alignment="1" applyProtection="1">
      <alignment horizontal="right" vertical="center"/>
    </xf>
    <xf numFmtId="49" fontId="4" fillId="0" borderId="0" xfId="0" applyNumberFormat="1" applyFont="1" applyFill="1" applyAlignment="1" applyProtection="1">
      <alignment horizontal="left" vertical="center"/>
    </xf>
    <xf numFmtId="0" fontId="0" fillId="0" borderId="1" xfId="0" applyFill="1" applyBorder="1" applyAlignment="1" applyProtection="1"/>
    <xf numFmtId="0" fontId="0" fillId="0" borderId="1" xfId="0" applyFill="1" applyBorder="1" applyAlignment="1" applyProtection="1">
      <alignment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9" fillId="0" borderId="28" xfId="0" applyNumberFormat="1" applyFont="1" applyFill="1" applyBorder="1" applyAlignment="1" applyProtection="1">
      <alignment horizontal="left" vertical="center"/>
    </xf>
    <xf numFmtId="49" fontId="10" fillId="0" borderId="27" xfId="0" applyNumberFormat="1" applyFont="1" applyFill="1" applyBorder="1" applyAlignment="1" applyProtection="1">
      <alignment horizontal="left" vertical="center"/>
    </xf>
    <xf numFmtId="4" fontId="10" fillId="0" borderId="27" xfId="0" applyNumberFormat="1" applyFont="1" applyFill="1" applyBorder="1" applyAlignment="1" applyProtection="1">
      <alignment horizontal="right" vertical="center"/>
    </xf>
    <xf numFmtId="49" fontId="9" fillId="0" borderId="29" xfId="0" applyNumberFormat="1" applyFont="1" applyFill="1" applyBorder="1" applyAlignment="1" applyProtection="1">
      <alignment horizontal="left" vertical="center"/>
    </xf>
    <xf numFmtId="49" fontId="10" fillId="0" borderId="27" xfId="0" applyNumberFormat="1" applyFont="1" applyFill="1" applyBorder="1" applyAlignment="1" applyProtection="1">
      <alignment horizontal="right" vertical="center"/>
    </xf>
    <xf numFmtId="0" fontId="0" fillId="0" borderId="4" xfId="0" applyFill="1" applyBorder="1" applyAlignment="1" applyProtection="1">
      <alignment vertical="center"/>
    </xf>
    <xf numFmtId="4" fontId="10" fillId="0" borderId="20" xfId="0" applyNumberFormat="1" applyFont="1" applyFill="1" applyBorder="1" applyAlignment="1" applyProtection="1">
      <alignment horizontal="right" vertical="center"/>
    </xf>
    <xf numFmtId="0" fontId="0" fillId="0" borderId="30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4" fontId="9" fillId="2" borderId="32" xfId="0" applyNumberFormat="1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49" fontId="4" fillId="0" borderId="23" xfId="0" applyNumberFormat="1" applyFont="1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vertical="center"/>
    </xf>
    <xf numFmtId="49" fontId="11" fillId="0" borderId="0" xfId="0" applyNumberFormat="1" applyFont="1" applyFill="1" applyAlignment="1" applyProtection="1">
      <alignment horizontal="left" vertical="center"/>
    </xf>
    <xf numFmtId="4" fontId="11" fillId="0" borderId="0" xfId="0" applyNumberFormat="1" applyFont="1" applyFill="1" applyAlignment="1" applyProtection="1">
      <alignment horizontal="right" vertical="center"/>
    </xf>
    <xf numFmtId="49" fontId="11" fillId="0" borderId="0" xfId="0" applyNumberFormat="1" applyFont="1" applyFill="1" applyAlignment="1" applyProtection="1">
      <alignment horizontal="right" vertical="center"/>
    </xf>
    <xf numFmtId="0" fontId="11" fillId="0" borderId="0" xfId="0" applyFont="1" applyAlignment="1">
      <alignment vertical="center"/>
    </xf>
    <xf numFmtId="49" fontId="12" fillId="2" borderId="0" xfId="0" applyNumberFormat="1" applyFont="1" applyFill="1" applyAlignment="1" applyProtection="1">
      <alignment horizontal="right" vertical="center"/>
    </xf>
    <xf numFmtId="0" fontId="11" fillId="0" borderId="0" xfId="0" applyFont="1"/>
    <xf numFmtId="49" fontId="13" fillId="0" borderId="0" xfId="0" applyNumberFormat="1" applyFont="1" applyFill="1" applyAlignment="1" applyProtection="1">
      <alignment horizontal="left" vertical="center"/>
    </xf>
    <xf numFmtId="4" fontId="13" fillId="0" borderId="0" xfId="0" applyNumberFormat="1" applyFont="1" applyFill="1" applyAlignment="1" applyProtection="1">
      <alignment horizontal="right" vertical="center"/>
    </xf>
    <xf numFmtId="49" fontId="14" fillId="0" borderId="0" xfId="0" applyNumberFormat="1" applyFont="1" applyFill="1" applyAlignment="1" applyProtection="1">
      <alignment horizontal="left" vertical="center"/>
    </xf>
    <xf numFmtId="4" fontId="14" fillId="0" borderId="0" xfId="0" applyNumberFormat="1" applyFont="1" applyFill="1" applyAlignment="1" applyProtection="1">
      <alignment horizontal="right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Fill="1" applyAlignment="1" applyProtection="1">
      <alignment horizontal="left" vertical="center"/>
    </xf>
    <xf numFmtId="4" fontId="15" fillId="0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left" vertical="center"/>
    </xf>
    <xf numFmtId="49" fontId="12" fillId="2" borderId="0" xfId="0" applyNumberFormat="1" applyFont="1" applyFill="1" applyAlignment="1" applyProtection="1">
      <alignment horizontal="left" vertical="center"/>
    </xf>
    <xf numFmtId="4" fontId="12" fillId="2" borderId="0" xfId="0" applyNumberFormat="1" applyFont="1" applyFill="1" applyAlignment="1" applyProtection="1">
      <alignment horizontal="right" vertical="center"/>
    </xf>
    <xf numFmtId="49" fontId="14" fillId="0" borderId="0" xfId="0" applyNumberFormat="1" applyFont="1" applyFill="1" applyAlignment="1" applyProtection="1">
      <alignment horizontal="right" vertical="center"/>
    </xf>
    <xf numFmtId="49" fontId="16" fillId="2" borderId="0" xfId="0" applyNumberFormat="1" applyFont="1" applyFill="1" applyAlignment="1" applyProtection="1">
      <alignment horizontal="right" vertical="center"/>
    </xf>
    <xf numFmtId="0" fontId="14" fillId="0" borderId="0" xfId="0" applyFont="1"/>
    <xf numFmtId="0" fontId="0" fillId="0" borderId="6" xfId="0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49" fontId="0" fillId="0" borderId="3" xfId="0" applyNumberFormat="1" applyFill="1" applyBorder="1" applyAlignment="1" applyProtection="1">
      <alignment horizontal="left" vertical="center"/>
    </xf>
    <xf numFmtId="0" fontId="0" fillId="0" borderId="3" xfId="0" applyFill="1" applyBorder="1"/>
    <xf numFmtId="0" fontId="0" fillId="0" borderId="3" xfId="0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49" fontId="0" fillId="0" borderId="0" xfId="0" applyNumberFormat="1" applyFill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horizontal="left" vertical="center" wrapText="1"/>
    </xf>
    <xf numFmtId="0" fontId="0" fillId="0" borderId="0" xfId="0" applyFill="1"/>
    <xf numFmtId="49" fontId="2" fillId="2" borderId="0" xfId="0" applyNumberFormat="1" applyFont="1" applyFill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8" xfId="0" applyFill="1" applyBorder="1"/>
    <xf numFmtId="49" fontId="0" fillId="0" borderId="8" xfId="0" applyNumberFormat="1" applyFill="1" applyBorder="1" applyAlignment="1" applyProtection="1">
      <alignment horizontal="left" vertical="center"/>
    </xf>
    <xf numFmtId="164" fontId="0" fillId="0" borderId="8" xfId="0" applyNumberFormat="1" applyFill="1" applyBorder="1" applyAlignment="1" applyProtection="1">
      <alignment horizontal="left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2" borderId="23" xfId="0" applyNumberFormat="1" applyFont="1" applyFill="1" applyBorder="1" applyAlignment="1" applyProtection="1">
      <alignment horizontal="left" vertical="center"/>
    </xf>
    <xf numFmtId="49" fontId="12" fillId="2" borderId="0" xfId="0" applyNumberFormat="1" applyFont="1" applyFill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4" xfId="0" applyFill="1" applyBorder="1"/>
    <xf numFmtId="0" fontId="0" fillId="0" borderId="6" xfId="0" applyFill="1" applyBorder="1"/>
    <xf numFmtId="164" fontId="0" fillId="0" borderId="25" xfId="0" applyNumberFormat="1" applyFill="1" applyBorder="1" applyAlignment="1" applyProtection="1">
      <alignment horizontal="left" vertical="center"/>
    </xf>
    <xf numFmtId="49" fontId="0" fillId="0" borderId="6" xfId="0" applyNumberFormat="1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 wrapText="1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 vertical="center" wrapText="1"/>
    </xf>
    <xf numFmtId="49" fontId="0" fillId="0" borderId="1" xfId="0" applyNumberFormat="1" applyFill="1" applyBorder="1" applyAlignment="1" applyProtection="1">
      <alignment horizontal="left" vertical="center"/>
    </xf>
    <xf numFmtId="49" fontId="6" fillId="0" borderId="26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left" vertical="center"/>
    </xf>
    <xf numFmtId="49" fontId="10" fillId="0" borderId="27" xfId="0" applyNumberFormat="1" applyFont="1" applyFill="1" applyBorder="1" applyAlignment="1" applyProtection="1">
      <alignment horizontal="left" vertical="center"/>
    </xf>
    <xf numFmtId="0" fontId="0" fillId="0" borderId="27" xfId="0" applyFill="1" applyBorder="1"/>
    <xf numFmtId="49" fontId="9" fillId="0" borderId="27" xfId="0" applyNumberFormat="1" applyFont="1" applyFill="1" applyBorder="1" applyAlignment="1" applyProtection="1">
      <alignment horizontal="left" vertical="center"/>
    </xf>
    <xf numFmtId="49" fontId="9" fillId="2" borderId="31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/>
    </xf>
    <xf numFmtId="0" fontId="0" fillId="0" borderId="34" xfId="0" applyFill="1" applyBorder="1"/>
    <xf numFmtId="49" fontId="10" fillId="0" borderId="22" xfId="0" applyNumberFormat="1" applyFont="1" applyFill="1" applyBorder="1" applyAlignment="1" applyProtection="1">
      <alignment horizontal="left" vertic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9"/>
  <sheetViews>
    <sheetView tabSelected="1" topLeftCell="A140" workbookViewId="0">
      <selection activeCell="B48" sqref="B48"/>
    </sheetView>
  </sheetViews>
  <sheetFormatPr defaultColWidth="11.5703125" defaultRowHeight="12.75" x14ac:dyDescent="0.2"/>
  <cols>
    <col min="1" max="1" width="3.7109375" style="1" customWidth="1"/>
    <col min="2" max="2" width="6.85546875" style="1" customWidth="1"/>
    <col min="3" max="3" width="13.28515625" style="1" customWidth="1"/>
    <col min="4" max="4" width="77" style="1" customWidth="1"/>
    <col min="5" max="5" width="6.42578125" style="1" customWidth="1"/>
    <col min="6" max="6" width="12.85546875" style="1" customWidth="1"/>
    <col min="7" max="7" width="12" style="1" customWidth="1"/>
    <col min="8" max="10" width="14.28515625" style="1" customWidth="1"/>
    <col min="11" max="13" width="11.7109375" style="1" customWidth="1"/>
    <col min="14" max="14" width="0" style="1" hidden="1" customWidth="1"/>
    <col min="15" max="47" width="12.140625" style="1" hidden="1" customWidth="1"/>
    <col min="48" max="48" width="11.5703125" style="1" customWidth="1"/>
    <col min="49" max="16384" width="11.5703125" style="1"/>
  </cols>
  <sheetData>
    <row r="1" spans="1:43" customFormat="1" ht="23.25" x14ac:dyDescent="0.3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customFormat="1" x14ac:dyDescent="0.2">
      <c r="A2" s="76" t="s">
        <v>1</v>
      </c>
      <c r="B2" s="76"/>
      <c r="C2" s="76"/>
      <c r="D2" s="77" t="s">
        <v>2</v>
      </c>
      <c r="E2" s="78" t="s">
        <v>3</v>
      </c>
      <c r="F2" s="78"/>
      <c r="G2" s="79"/>
      <c r="H2" s="79"/>
      <c r="I2" s="80" t="s">
        <v>4</v>
      </c>
      <c r="J2" s="81" t="s">
        <v>5</v>
      </c>
      <c r="K2" s="81"/>
      <c r="L2" s="81"/>
      <c r="M2" s="81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customFormat="1" x14ac:dyDescent="0.2">
      <c r="A3" s="76"/>
      <c r="B3" s="76"/>
      <c r="C3" s="76"/>
      <c r="D3" s="77"/>
      <c r="E3" s="78"/>
      <c r="F3" s="78"/>
      <c r="G3" s="79"/>
      <c r="H3" s="79"/>
      <c r="I3" s="80"/>
      <c r="J3" s="81"/>
      <c r="K3" s="81"/>
      <c r="L3" s="81"/>
      <c r="M3" s="81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customFormat="1" x14ac:dyDescent="0.2">
      <c r="A4" s="82" t="s">
        <v>6</v>
      </c>
      <c r="B4" s="82"/>
      <c r="C4" s="82"/>
      <c r="D4" s="83" t="s">
        <v>7</v>
      </c>
      <c r="E4" s="84" t="s">
        <v>8</v>
      </c>
      <c r="F4" s="84"/>
      <c r="G4" s="84" t="s">
        <v>9</v>
      </c>
      <c r="H4" s="84"/>
      <c r="I4" s="83" t="s">
        <v>10</v>
      </c>
      <c r="J4" s="74" t="s">
        <v>11</v>
      </c>
      <c r="K4" s="74"/>
      <c r="L4" s="74"/>
      <c r="M4" s="74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customFormat="1" x14ac:dyDescent="0.2">
      <c r="A5" s="82"/>
      <c r="B5" s="82"/>
      <c r="C5" s="82"/>
      <c r="D5" s="83"/>
      <c r="E5" s="84"/>
      <c r="F5" s="84"/>
      <c r="G5" s="84"/>
      <c r="H5" s="84"/>
      <c r="I5" s="83"/>
      <c r="J5" s="74"/>
      <c r="K5" s="74"/>
      <c r="L5" s="74"/>
      <c r="M5" s="74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customFormat="1" x14ac:dyDescent="0.2">
      <c r="A6" s="82" t="s">
        <v>12</v>
      </c>
      <c r="B6" s="82"/>
      <c r="C6" s="82"/>
      <c r="D6" s="83" t="s">
        <v>13</v>
      </c>
      <c r="E6" s="84" t="s">
        <v>14</v>
      </c>
      <c r="F6" s="84"/>
      <c r="G6" s="87"/>
      <c r="H6" s="87"/>
      <c r="I6" s="83" t="s">
        <v>15</v>
      </c>
      <c r="J6" s="74" t="s">
        <v>16</v>
      </c>
      <c r="K6" s="74"/>
      <c r="L6" s="74"/>
      <c r="M6" s="74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customFormat="1" x14ac:dyDescent="0.2">
      <c r="A7" s="82"/>
      <c r="B7" s="82"/>
      <c r="C7" s="82"/>
      <c r="D7" s="83"/>
      <c r="E7" s="84"/>
      <c r="F7" s="84"/>
      <c r="G7" s="87"/>
      <c r="H7" s="87"/>
      <c r="I7" s="83"/>
      <c r="J7" s="74"/>
      <c r="K7" s="74"/>
      <c r="L7" s="74"/>
      <c r="M7" s="74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customFormat="1" ht="13.5" thickBot="1" x14ac:dyDescent="0.25">
      <c r="A8" s="89" t="s">
        <v>17</v>
      </c>
      <c r="B8" s="89"/>
      <c r="C8" s="89"/>
      <c r="D8" s="90"/>
      <c r="E8" s="91" t="s">
        <v>18</v>
      </c>
      <c r="F8" s="91"/>
      <c r="G8" s="92">
        <v>42636</v>
      </c>
      <c r="H8" s="92"/>
      <c r="I8" s="85" t="s">
        <v>19</v>
      </c>
      <c r="J8" s="86" t="s">
        <v>20</v>
      </c>
      <c r="K8" s="86"/>
      <c r="L8" s="86"/>
      <c r="M8" s="86"/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customFormat="1" ht="13.5" thickBot="1" x14ac:dyDescent="0.25">
      <c r="A9" s="89"/>
      <c r="B9" s="89"/>
      <c r="C9" s="89"/>
      <c r="D9" s="90"/>
      <c r="E9" s="91"/>
      <c r="F9" s="91"/>
      <c r="G9" s="92"/>
      <c r="H9" s="92"/>
      <c r="I9" s="85"/>
      <c r="J9" s="86"/>
      <c r="K9" s="86"/>
      <c r="L9" s="86"/>
      <c r="M9" s="86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customFormat="1" x14ac:dyDescent="0.2">
      <c r="A10" s="4" t="s">
        <v>21</v>
      </c>
      <c r="B10" s="5" t="s">
        <v>22</v>
      </c>
      <c r="C10" s="5" t="s">
        <v>23</v>
      </c>
      <c r="D10" s="5" t="s">
        <v>24</v>
      </c>
      <c r="E10" s="5" t="s">
        <v>25</v>
      </c>
      <c r="F10" s="6" t="s">
        <v>26</v>
      </c>
      <c r="G10" s="7" t="s">
        <v>27</v>
      </c>
      <c r="H10" s="93" t="s">
        <v>28</v>
      </c>
      <c r="I10" s="93"/>
      <c r="J10" s="93"/>
      <c r="K10" s="93" t="s">
        <v>29</v>
      </c>
      <c r="L10" s="93"/>
      <c r="M10" s="8" t="s">
        <v>30</v>
      </c>
      <c r="N10" s="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customFormat="1" ht="13.5" thickBot="1" x14ac:dyDescent="0.25">
      <c r="A11" s="10" t="s">
        <v>9</v>
      </c>
      <c r="B11" s="11" t="s">
        <v>9</v>
      </c>
      <c r="C11" s="11" t="s">
        <v>9</v>
      </c>
      <c r="D11" s="12" t="s">
        <v>31</v>
      </c>
      <c r="E11" s="11" t="s">
        <v>9</v>
      </c>
      <c r="F11" s="11" t="s">
        <v>9</v>
      </c>
      <c r="G11" s="13" t="s">
        <v>32</v>
      </c>
      <c r="H11" s="14" t="s">
        <v>33</v>
      </c>
      <c r="I11" s="15" t="s">
        <v>34</v>
      </c>
      <c r="J11" s="16" t="s">
        <v>35</v>
      </c>
      <c r="K11" s="14" t="s">
        <v>27</v>
      </c>
      <c r="L11" s="16" t="s">
        <v>35</v>
      </c>
      <c r="M11" s="17" t="s">
        <v>36</v>
      </c>
      <c r="N11" s="9"/>
      <c r="O11" s="1"/>
      <c r="P11" s="18" t="s">
        <v>37</v>
      </c>
      <c r="Q11" s="18" t="s">
        <v>38</v>
      </c>
      <c r="R11" s="18" t="s">
        <v>39</v>
      </c>
      <c r="S11" s="18" t="s">
        <v>40</v>
      </c>
      <c r="T11" s="18" t="s">
        <v>41</v>
      </c>
      <c r="U11" s="18" t="s">
        <v>42</v>
      </c>
      <c r="V11" s="18" t="s">
        <v>43</v>
      </c>
      <c r="W11" s="18" t="s">
        <v>44</v>
      </c>
      <c r="X11" s="18" t="s">
        <v>45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customFormat="1" x14ac:dyDescent="0.2">
      <c r="A12" s="19"/>
      <c r="B12" s="20"/>
      <c r="C12" s="20" t="s">
        <v>46</v>
      </c>
      <c r="D12" s="94" t="s">
        <v>47</v>
      </c>
      <c r="E12" s="94"/>
      <c r="F12" s="94"/>
      <c r="G12" s="94"/>
      <c r="H12" s="21">
        <f>SUM(H13:H16)</f>
        <v>0</v>
      </c>
      <c r="I12" s="21">
        <f>SUM(I13:I16)</f>
        <v>0</v>
      </c>
      <c r="J12" s="21">
        <f>H12+I12</f>
        <v>0</v>
      </c>
      <c r="K12" s="22"/>
      <c r="L12" s="21">
        <f>SUM(L13:L16)</f>
        <v>0.1357884</v>
      </c>
      <c r="M12" s="22"/>
      <c r="N12" s="1"/>
      <c r="O12" s="1"/>
      <c r="P12" s="23">
        <f>IF(Q12="PR",J12,SUM(O13:O16))</f>
        <v>0</v>
      </c>
      <c r="Q12" s="18" t="s">
        <v>48</v>
      </c>
      <c r="R12" s="23">
        <f>IF(Q12="HS",H12,0)</f>
        <v>0</v>
      </c>
      <c r="S12" s="23">
        <f>IF(Q12="HS",I12-P12,0)</f>
        <v>0</v>
      </c>
      <c r="T12" s="23">
        <f>IF(Q12="PS",H12,0)</f>
        <v>0</v>
      </c>
      <c r="U12" s="23">
        <f>IF(Q12="PS",I12-P12,0)</f>
        <v>0</v>
      </c>
      <c r="V12" s="23">
        <f>IF(Q12="MP",H12,0)</f>
        <v>0</v>
      </c>
      <c r="W12" s="23">
        <f>IF(Q12="MP",I12-P12,0)</f>
        <v>0</v>
      </c>
      <c r="X12" s="23">
        <f>IF(Q12="OM",H12,0)</f>
        <v>0</v>
      </c>
      <c r="Y12" s="18"/>
      <c r="Z12" s="1"/>
      <c r="AA12" s="1"/>
      <c r="AB12" s="1"/>
      <c r="AC12" s="1"/>
      <c r="AD12" s="1"/>
      <c r="AE12" s="1"/>
      <c r="AF12" s="1"/>
      <c r="AG12" s="1"/>
      <c r="AH12" s="1"/>
      <c r="AI12" s="23">
        <f>SUM(Z13:Z16)</f>
        <v>0</v>
      </c>
      <c r="AJ12" s="23">
        <f>SUM(AA13:AA16)</f>
        <v>0</v>
      </c>
      <c r="AK12" s="23">
        <f>SUM(AB13:AB16)</f>
        <v>0</v>
      </c>
      <c r="AL12" s="1"/>
      <c r="AM12" s="1"/>
      <c r="AN12" s="1"/>
      <c r="AO12" s="1"/>
      <c r="AP12" s="1"/>
      <c r="AQ12" s="1"/>
    </row>
    <row r="13" spans="1:43" customFormat="1" x14ac:dyDescent="0.2">
      <c r="A13" s="3" t="s">
        <v>49</v>
      </c>
      <c r="B13" s="3"/>
      <c r="C13" s="3" t="s">
        <v>50</v>
      </c>
      <c r="D13" s="3" t="s">
        <v>51</v>
      </c>
      <c r="E13" s="3" t="s">
        <v>52</v>
      </c>
      <c r="F13" s="24">
        <v>7.62</v>
      </c>
      <c r="G13" s="24">
        <v>0</v>
      </c>
      <c r="H13" s="24">
        <f>F13*AE13</f>
        <v>0</v>
      </c>
      <c r="I13" s="24">
        <f>J13-H13</f>
        <v>0</v>
      </c>
      <c r="J13" s="24">
        <f>F13*G13</f>
        <v>0</v>
      </c>
      <c r="K13" s="24">
        <v>1.7819999999999999E-2</v>
      </c>
      <c r="L13" s="24">
        <f>F13*K13</f>
        <v>0.1357884</v>
      </c>
      <c r="M13" s="25" t="s">
        <v>53</v>
      </c>
      <c r="N13" s="25" t="s">
        <v>49</v>
      </c>
      <c r="O13" s="24">
        <f>IF(N13="5",I13,0)</f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4">
        <f>IF(AD13=0,J13,0)</f>
        <v>0</v>
      </c>
      <c r="AA13" s="24">
        <f>IF(AD13=15,J13,0)</f>
        <v>0</v>
      </c>
      <c r="AB13" s="24">
        <f>IF(AD13=21,J13,0)</f>
        <v>0</v>
      </c>
      <c r="AC13" s="1"/>
      <c r="AD13" s="24">
        <v>21</v>
      </c>
      <c r="AE13" s="24">
        <f>G13*0.462233009708738</f>
        <v>0</v>
      </c>
      <c r="AF13" s="24">
        <f>G13*(1-0.462233009708738)</f>
        <v>0</v>
      </c>
      <c r="AG13" s="1"/>
      <c r="AH13" s="1"/>
      <c r="AI13" s="1"/>
      <c r="AJ13" s="1"/>
      <c r="AK13" s="1"/>
      <c r="AL13" s="1"/>
      <c r="AM13" s="24">
        <f>F13*AE13</f>
        <v>0</v>
      </c>
      <c r="AN13" s="24">
        <f>F13*AF13</f>
        <v>0</v>
      </c>
      <c r="AO13" s="25" t="s">
        <v>54</v>
      </c>
      <c r="AP13" s="25" t="s">
        <v>55</v>
      </c>
      <c r="AQ13" s="18" t="s">
        <v>56</v>
      </c>
    </row>
    <row r="14" spans="1:43" customFormat="1" x14ac:dyDescent="0.2">
      <c r="A14" s="1"/>
      <c r="B14" s="1"/>
      <c r="C14" s="1"/>
      <c r="D14" s="26" t="s">
        <v>57</v>
      </c>
      <c r="E14" s="1"/>
      <c r="F14" s="27">
        <v>7.26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customFormat="1" x14ac:dyDescent="0.2">
      <c r="A15" s="1"/>
      <c r="B15" s="1"/>
      <c r="C15" s="1"/>
      <c r="D15" s="26" t="s">
        <v>58</v>
      </c>
      <c r="E15" s="1"/>
      <c r="F15" s="27">
        <v>0.36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customFormat="1" x14ac:dyDescent="0.2">
      <c r="A16" s="3" t="s">
        <v>59</v>
      </c>
      <c r="B16" s="3"/>
      <c r="C16" s="3" t="s">
        <v>60</v>
      </c>
      <c r="D16" s="3" t="s">
        <v>61</v>
      </c>
      <c r="E16" s="3" t="s">
        <v>52</v>
      </c>
      <c r="F16" s="24">
        <v>7.26</v>
      </c>
      <c r="G16" s="24">
        <v>0</v>
      </c>
      <c r="H16" s="24">
        <f>F16*AE16</f>
        <v>0</v>
      </c>
      <c r="I16" s="24">
        <f>J16-H16</f>
        <v>0</v>
      </c>
      <c r="J16" s="24">
        <f>F16*G16</f>
        <v>0</v>
      </c>
      <c r="K16" s="24">
        <v>0</v>
      </c>
      <c r="L16" s="24">
        <f>F16*K16</f>
        <v>0</v>
      </c>
      <c r="M16" s="25" t="s">
        <v>53</v>
      </c>
      <c r="N16" s="25" t="s">
        <v>49</v>
      </c>
      <c r="O16" s="24">
        <f>IF(N16="5",I16,0)</f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4">
        <f>IF(AD16=0,J16,0)</f>
        <v>0</v>
      </c>
      <c r="AA16" s="24">
        <f>IF(AD16=15,J16,0)</f>
        <v>0</v>
      </c>
      <c r="AB16" s="24">
        <f>IF(AD16=21,J16,0)</f>
        <v>0</v>
      </c>
      <c r="AC16" s="1"/>
      <c r="AD16" s="24">
        <v>21</v>
      </c>
      <c r="AE16" s="24">
        <f>G16*0</f>
        <v>0</v>
      </c>
      <c r="AF16" s="24">
        <f>G16*(1-0)</f>
        <v>0</v>
      </c>
      <c r="AG16" s="1"/>
      <c r="AH16" s="1"/>
      <c r="AI16" s="1"/>
      <c r="AJ16" s="1"/>
      <c r="AK16" s="1"/>
      <c r="AL16" s="1"/>
      <c r="AM16" s="24">
        <f>F16*AE16</f>
        <v>0</v>
      </c>
      <c r="AN16" s="24">
        <f>F16*AF16</f>
        <v>0</v>
      </c>
      <c r="AO16" s="25" t="s">
        <v>54</v>
      </c>
      <c r="AP16" s="25" t="s">
        <v>55</v>
      </c>
      <c r="AQ16" s="18" t="s">
        <v>56</v>
      </c>
    </row>
    <row r="17" spans="1:43" customFormat="1" x14ac:dyDescent="0.2">
      <c r="A17" s="1"/>
      <c r="B17" s="1"/>
      <c r="C17" s="1"/>
      <c r="D17" s="26" t="s">
        <v>62</v>
      </c>
      <c r="E17" s="1"/>
      <c r="F17" s="27">
        <v>7.26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customFormat="1" x14ac:dyDescent="0.2">
      <c r="A18" s="28"/>
      <c r="B18" s="29"/>
      <c r="C18" s="29" t="s">
        <v>63</v>
      </c>
      <c r="D18" s="88" t="s">
        <v>64</v>
      </c>
      <c r="E18" s="88"/>
      <c r="F18" s="88"/>
      <c r="G18" s="88"/>
      <c r="H18" s="23">
        <f>SUM(H19:H96)</f>
        <v>0</v>
      </c>
      <c r="I18" s="23">
        <f>SUM(I19:I96)</f>
        <v>0</v>
      </c>
      <c r="J18" s="23">
        <f>H18+I18</f>
        <v>0</v>
      </c>
      <c r="K18" s="18"/>
      <c r="L18" s="23">
        <f>SUM(L19:L96)</f>
        <v>33.666860326000005</v>
      </c>
      <c r="M18" s="18"/>
      <c r="N18" s="1"/>
      <c r="O18" s="1"/>
      <c r="P18" s="23">
        <f>IF(Q18="PR",J18,SUM(O19:O96))</f>
        <v>0</v>
      </c>
      <c r="Q18" s="18" t="s">
        <v>48</v>
      </c>
      <c r="R18" s="23">
        <f>IF(Q18="HS",H18,0)</f>
        <v>0</v>
      </c>
      <c r="S18" s="23">
        <f>IF(Q18="HS",I18-P18,0)</f>
        <v>0</v>
      </c>
      <c r="T18" s="23">
        <f>IF(Q18="PS",H18,0)</f>
        <v>0</v>
      </c>
      <c r="U18" s="23">
        <f>IF(Q18="PS",I18-P18,0)</f>
        <v>0</v>
      </c>
      <c r="V18" s="23">
        <f>IF(Q18="MP",H18,0)</f>
        <v>0</v>
      </c>
      <c r="W18" s="23">
        <f>IF(Q18="MP",I18-P18,0)</f>
        <v>0</v>
      </c>
      <c r="X18" s="23">
        <f>IF(Q18="OM",H18,0)</f>
        <v>0</v>
      </c>
      <c r="Y18" s="18"/>
      <c r="Z18" s="1"/>
      <c r="AA18" s="1"/>
      <c r="AB18" s="1"/>
      <c r="AC18" s="1"/>
      <c r="AD18" s="1"/>
      <c r="AE18" s="1"/>
      <c r="AF18" s="1"/>
      <c r="AG18" s="1"/>
      <c r="AH18" s="1"/>
      <c r="AI18" s="23">
        <f>SUM(Z19:Z96)</f>
        <v>0</v>
      </c>
      <c r="AJ18" s="23">
        <f>SUM(AA19:AA96)</f>
        <v>0</v>
      </c>
      <c r="AK18" s="23">
        <f>SUM(AB19:AB96)</f>
        <v>0</v>
      </c>
      <c r="AL18" s="1"/>
      <c r="AM18" s="1"/>
      <c r="AN18" s="1"/>
      <c r="AO18" s="1"/>
      <c r="AP18" s="1"/>
      <c r="AQ18" s="1"/>
    </row>
    <row r="19" spans="1:43" customFormat="1" x14ac:dyDescent="0.2">
      <c r="A19" s="3" t="s">
        <v>65</v>
      </c>
      <c r="B19" s="3"/>
      <c r="C19" s="3" t="s">
        <v>66</v>
      </c>
      <c r="D19" s="3" t="s">
        <v>67</v>
      </c>
      <c r="E19" s="3" t="s">
        <v>52</v>
      </c>
      <c r="F19" s="24">
        <v>7.62</v>
      </c>
      <c r="G19" s="24">
        <v>0</v>
      </c>
      <c r="H19" s="24">
        <f>F19*AE19</f>
        <v>0</v>
      </c>
      <c r="I19" s="24">
        <f>J19-H19</f>
        <v>0</v>
      </c>
      <c r="J19" s="24">
        <f>F19*G19</f>
        <v>0</v>
      </c>
      <c r="K19" s="24">
        <v>2.555E-2</v>
      </c>
      <c r="L19" s="24">
        <f>F19*K19</f>
        <v>0.194691</v>
      </c>
      <c r="M19" s="25" t="s">
        <v>53</v>
      </c>
      <c r="N19" s="25" t="s">
        <v>49</v>
      </c>
      <c r="O19" s="24">
        <f>IF(N19="5",I19,0)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4">
        <f>IF(AD19=0,J19,0)</f>
        <v>0</v>
      </c>
      <c r="AA19" s="24">
        <f>IF(AD19=15,J19,0)</f>
        <v>0</v>
      </c>
      <c r="AB19" s="24">
        <f>IF(AD19=21,J19,0)</f>
        <v>0</v>
      </c>
      <c r="AC19" s="1"/>
      <c r="AD19" s="24">
        <v>21</v>
      </c>
      <c r="AE19" s="24">
        <f>G19*0.665413223140496</f>
        <v>0</v>
      </c>
      <c r="AF19" s="24">
        <f>G19*(1-0.665413223140496)</f>
        <v>0</v>
      </c>
      <c r="AG19" s="1"/>
      <c r="AH19" s="1"/>
      <c r="AI19" s="1"/>
      <c r="AJ19" s="1"/>
      <c r="AK19" s="1"/>
      <c r="AL19" s="1"/>
      <c r="AM19" s="24">
        <f>F19*AE19</f>
        <v>0</v>
      </c>
      <c r="AN19" s="24">
        <f>F19*AF19</f>
        <v>0</v>
      </c>
      <c r="AO19" s="25" t="s">
        <v>68</v>
      </c>
      <c r="AP19" s="25" t="s">
        <v>69</v>
      </c>
      <c r="AQ19" s="18" t="s">
        <v>56</v>
      </c>
    </row>
    <row r="20" spans="1:43" customFormat="1" x14ac:dyDescent="0.2">
      <c r="A20" s="1"/>
      <c r="B20" s="1"/>
      <c r="C20" s="1"/>
      <c r="D20" s="26" t="s">
        <v>57</v>
      </c>
      <c r="E20" s="1"/>
      <c r="F20" s="27">
        <v>7.26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customFormat="1" x14ac:dyDescent="0.2">
      <c r="A21" s="1"/>
      <c r="B21" s="1"/>
      <c r="C21" s="1"/>
      <c r="D21" s="26" t="s">
        <v>58</v>
      </c>
      <c r="E21" s="1"/>
      <c r="F21" s="27">
        <v>0.36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customFormat="1" x14ac:dyDescent="0.2">
      <c r="A22" s="3" t="s">
        <v>70</v>
      </c>
      <c r="B22" s="3"/>
      <c r="C22" s="3" t="s">
        <v>71</v>
      </c>
      <c r="D22" s="3" t="s">
        <v>72</v>
      </c>
      <c r="E22" s="3" t="s">
        <v>52</v>
      </c>
      <c r="F22" s="24">
        <v>6.93</v>
      </c>
      <c r="G22" s="24">
        <v>0</v>
      </c>
      <c r="H22" s="24">
        <f>F22*AE22</f>
        <v>0</v>
      </c>
      <c r="I22" s="24">
        <f>J22-H22</f>
        <v>0</v>
      </c>
      <c r="J22" s="24">
        <f>F22*G22</f>
        <v>0</v>
      </c>
      <c r="K22" s="24">
        <v>1.206E-2</v>
      </c>
      <c r="L22" s="24">
        <f>F22*K22</f>
        <v>8.3575799999999992E-2</v>
      </c>
      <c r="M22" s="25" t="s">
        <v>53</v>
      </c>
      <c r="N22" s="25" t="s">
        <v>49</v>
      </c>
      <c r="O22" s="24">
        <f>IF(N22="5",I22,0)</f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24">
        <f>IF(AD22=0,J22,0)</f>
        <v>0</v>
      </c>
      <c r="AA22" s="24">
        <f>IF(AD22=15,J22,0)</f>
        <v>0</v>
      </c>
      <c r="AB22" s="24">
        <f>IF(AD22=21,J22,0)</f>
        <v>0</v>
      </c>
      <c r="AC22" s="1"/>
      <c r="AD22" s="24">
        <v>21</v>
      </c>
      <c r="AE22" s="24">
        <f>G22*0.449469234657622</f>
        <v>0</v>
      </c>
      <c r="AF22" s="24">
        <f>G22*(1-0.449469234657622)</f>
        <v>0</v>
      </c>
      <c r="AG22" s="1"/>
      <c r="AH22" s="1"/>
      <c r="AI22" s="1"/>
      <c r="AJ22" s="1"/>
      <c r="AK22" s="1"/>
      <c r="AL22" s="1"/>
      <c r="AM22" s="24">
        <f>F22*AE22</f>
        <v>0</v>
      </c>
      <c r="AN22" s="24">
        <f>F22*AF22</f>
        <v>0</v>
      </c>
      <c r="AO22" s="25" t="s">
        <v>68</v>
      </c>
      <c r="AP22" s="25" t="s">
        <v>69</v>
      </c>
      <c r="AQ22" s="18" t="s">
        <v>56</v>
      </c>
    </row>
    <row r="23" spans="1:43" customFormat="1" x14ac:dyDescent="0.2">
      <c r="A23" s="1"/>
      <c r="B23" s="1"/>
      <c r="C23" s="1"/>
      <c r="D23" s="26" t="s">
        <v>73</v>
      </c>
      <c r="E23" s="1"/>
      <c r="F23" s="27">
        <v>6.6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customFormat="1" x14ac:dyDescent="0.2">
      <c r="A24" s="1"/>
      <c r="B24" s="1"/>
      <c r="C24" s="1"/>
      <c r="D24" s="26" t="s">
        <v>74</v>
      </c>
      <c r="E24" s="1"/>
      <c r="F24" s="27">
        <v>0.33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customFormat="1" x14ac:dyDescent="0.2">
      <c r="A25" s="3" t="s">
        <v>75</v>
      </c>
      <c r="B25" s="3"/>
      <c r="C25" s="3" t="s">
        <v>76</v>
      </c>
      <c r="D25" s="3" t="s">
        <v>77</v>
      </c>
      <c r="E25" s="3" t="s">
        <v>52</v>
      </c>
      <c r="F25" s="24">
        <v>94.496200000000002</v>
      </c>
      <c r="G25" s="24">
        <v>0</v>
      </c>
      <c r="H25" s="24">
        <f>F25*AE25</f>
        <v>0</v>
      </c>
      <c r="I25" s="24">
        <f>J25-H25</f>
        <v>0</v>
      </c>
      <c r="J25" s="24">
        <f>F25*G25</f>
        <v>0</v>
      </c>
      <c r="K25" s="24">
        <v>1.856E-2</v>
      </c>
      <c r="L25" s="24">
        <f>F25*K25</f>
        <v>1.753849472</v>
      </c>
      <c r="M25" s="25"/>
      <c r="N25" s="25" t="s">
        <v>49</v>
      </c>
      <c r="O25" s="24">
        <f>IF(N25="5",I25,0)</f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24">
        <f>IF(AD25=0,J25,0)</f>
        <v>0</v>
      </c>
      <c r="AA25" s="24">
        <f>IF(AD25=15,J25,0)</f>
        <v>0</v>
      </c>
      <c r="AB25" s="24">
        <f>IF(AD25=21,J25,0)</f>
        <v>0</v>
      </c>
      <c r="AC25" s="1"/>
      <c r="AD25" s="24">
        <v>21</v>
      </c>
      <c r="AE25" s="24">
        <f>G25*0.697629407351838</f>
        <v>0</v>
      </c>
      <c r="AF25" s="24">
        <f>G25*(1-0.697629407351838)</f>
        <v>0</v>
      </c>
      <c r="AG25" s="1"/>
      <c r="AH25" s="1"/>
      <c r="AI25" s="1"/>
      <c r="AJ25" s="1"/>
      <c r="AK25" s="1"/>
      <c r="AL25" s="1"/>
      <c r="AM25" s="24">
        <f>F25*AE25</f>
        <v>0</v>
      </c>
      <c r="AN25" s="24">
        <f>F25*AF25</f>
        <v>0</v>
      </c>
      <c r="AO25" s="25" t="s">
        <v>68</v>
      </c>
      <c r="AP25" s="25" t="s">
        <v>69</v>
      </c>
      <c r="AQ25" s="18" t="s">
        <v>56</v>
      </c>
    </row>
    <row r="26" spans="1:43" customFormat="1" x14ac:dyDescent="0.2">
      <c r="A26" s="1"/>
      <c r="B26" s="1"/>
      <c r="C26" s="1"/>
      <c r="D26" s="26" t="s">
        <v>78</v>
      </c>
      <c r="E26" s="1"/>
      <c r="F26" s="27">
        <v>19.404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customFormat="1" x14ac:dyDescent="0.2">
      <c r="A27" s="1"/>
      <c r="B27" s="1"/>
      <c r="C27" s="1"/>
      <c r="D27" s="26" t="s">
        <v>79</v>
      </c>
      <c r="E27" s="1"/>
      <c r="F27" s="27">
        <v>8.9879999999999995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customFormat="1" x14ac:dyDescent="0.2">
      <c r="A28" s="1"/>
      <c r="B28" s="1"/>
      <c r="C28" s="1"/>
      <c r="D28" s="26" t="s">
        <v>80</v>
      </c>
      <c r="E28" s="1"/>
      <c r="F28" s="27">
        <v>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customFormat="1" x14ac:dyDescent="0.2">
      <c r="A29" s="1"/>
      <c r="B29" s="1"/>
      <c r="C29" s="1"/>
      <c r="D29" s="26" t="s">
        <v>81</v>
      </c>
      <c r="E29" s="1"/>
      <c r="F29" s="27">
        <v>3.18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customFormat="1" x14ac:dyDescent="0.2">
      <c r="A30" s="1"/>
      <c r="B30" s="1"/>
      <c r="C30" s="1"/>
      <c r="D30" s="26" t="s">
        <v>82</v>
      </c>
      <c r="E30" s="1"/>
      <c r="F30" s="27">
        <v>14.19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customFormat="1" x14ac:dyDescent="0.2">
      <c r="A31" s="1"/>
      <c r="B31" s="1"/>
      <c r="C31" s="1"/>
      <c r="D31" s="26" t="s">
        <v>83</v>
      </c>
      <c r="E31" s="1"/>
      <c r="F31" s="27">
        <v>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customFormat="1" x14ac:dyDescent="0.2">
      <c r="A32" s="1"/>
      <c r="B32" s="1"/>
      <c r="C32" s="1"/>
      <c r="D32" s="26" t="s">
        <v>84</v>
      </c>
      <c r="E32" s="1"/>
      <c r="F32" s="27">
        <v>8.3640000000000008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customFormat="1" x14ac:dyDescent="0.2">
      <c r="A33" s="1"/>
      <c r="B33" s="1"/>
      <c r="C33" s="1"/>
      <c r="D33" s="26" t="s">
        <v>85</v>
      </c>
      <c r="E33" s="1"/>
      <c r="F33" s="27">
        <v>17.867999999999999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customFormat="1" x14ac:dyDescent="0.2">
      <c r="A34" s="1"/>
      <c r="B34" s="1"/>
      <c r="C34" s="1"/>
      <c r="D34" s="26" t="s">
        <v>86</v>
      </c>
      <c r="E34" s="1"/>
      <c r="F34" s="27">
        <v>4.5022000000000002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customFormat="1" x14ac:dyDescent="0.2">
      <c r="A35" s="3" t="s">
        <v>87</v>
      </c>
      <c r="B35" s="3"/>
      <c r="C35" s="3" t="s">
        <v>88</v>
      </c>
      <c r="D35" s="3" t="s">
        <v>89</v>
      </c>
      <c r="E35" s="3" t="s">
        <v>52</v>
      </c>
      <c r="F35" s="24">
        <v>813.47424999999998</v>
      </c>
      <c r="G35" s="24">
        <v>0</v>
      </c>
      <c r="H35" s="24">
        <f>F35*AE35</f>
        <v>0</v>
      </c>
      <c r="I35" s="24">
        <f>J35-H35</f>
        <v>0</v>
      </c>
      <c r="J35" s="24">
        <f>F35*G35</f>
        <v>0</v>
      </c>
      <c r="K35" s="24">
        <v>1.3650000000000001E-2</v>
      </c>
      <c r="L35" s="24">
        <f>F35*K35</f>
        <v>11.1039235125</v>
      </c>
      <c r="M35" s="25" t="s">
        <v>53</v>
      </c>
      <c r="N35" s="25" t="s">
        <v>49</v>
      </c>
      <c r="O35" s="24">
        <f>IF(N35="5",I35,0)</f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24">
        <f>IF(AD35=0,J35,0)</f>
        <v>0</v>
      </c>
      <c r="AA35" s="24">
        <f>IF(AD35=15,J35,0)</f>
        <v>0</v>
      </c>
      <c r="AB35" s="24">
        <f>IF(AD35=21,J35,0)</f>
        <v>0</v>
      </c>
      <c r="AC35" s="1"/>
      <c r="AD35" s="24">
        <v>21</v>
      </c>
      <c r="AE35" s="24">
        <f>G35*0.540896017699115</f>
        <v>0</v>
      </c>
      <c r="AF35" s="24">
        <f>G35*(1-0.540896017699115)</f>
        <v>0</v>
      </c>
      <c r="AG35" s="1"/>
      <c r="AH35" s="1"/>
      <c r="AI35" s="1"/>
      <c r="AJ35" s="1"/>
      <c r="AK35" s="1"/>
      <c r="AL35" s="1"/>
      <c r="AM35" s="24">
        <f>F35*AE35</f>
        <v>0</v>
      </c>
      <c r="AN35" s="24">
        <f>F35*AF35</f>
        <v>0</v>
      </c>
      <c r="AO35" s="25" t="s">
        <v>68</v>
      </c>
      <c r="AP35" s="25" t="s">
        <v>69</v>
      </c>
      <c r="AQ35" s="18" t="s">
        <v>56</v>
      </c>
    </row>
    <row r="36" spans="1:43" customFormat="1" x14ac:dyDescent="0.2">
      <c r="A36" s="1"/>
      <c r="B36" s="1"/>
      <c r="C36" s="1"/>
      <c r="D36" s="26" t="s">
        <v>90</v>
      </c>
      <c r="E36" s="1"/>
      <c r="F36" s="27">
        <v>203.73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customFormat="1" x14ac:dyDescent="0.2">
      <c r="A37" s="1"/>
      <c r="B37" s="1"/>
      <c r="C37" s="1"/>
      <c r="D37" s="26" t="s">
        <v>91</v>
      </c>
      <c r="E37" s="1"/>
      <c r="F37" s="27">
        <v>52.29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customFormat="1" x14ac:dyDescent="0.2">
      <c r="A38" s="1"/>
      <c r="B38" s="1"/>
      <c r="C38" s="1"/>
      <c r="D38" s="26" t="s">
        <v>92</v>
      </c>
      <c r="E38" s="1"/>
      <c r="F38" s="27">
        <v>84.72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customFormat="1" x14ac:dyDescent="0.2">
      <c r="A39" s="1"/>
      <c r="B39" s="1"/>
      <c r="C39" s="1"/>
      <c r="D39" s="26" t="s">
        <v>93</v>
      </c>
      <c r="E39" s="1"/>
      <c r="F39" s="27">
        <v>72.36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customFormat="1" x14ac:dyDescent="0.2">
      <c r="A40" s="1"/>
      <c r="B40" s="1"/>
      <c r="C40" s="1"/>
      <c r="D40" s="26" t="s">
        <v>94</v>
      </c>
      <c r="E40" s="1"/>
      <c r="F40" s="27">
        <v>88.784999999999997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customFormat="1" x14ac:dyDescent="0.2">
      <c r="A41" s="1"/>
      <c r="B41" s="1"/>
      <c r="C41" s="1"/>
      <c r="D41" s="26" t="s">
        <v>95</v>
      </c>
      <c r="E41" s="1"/>
      <c r="F41" s="27">
        <v>54.52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customFormat="1" x14ac:dyDescent="0.2">
      <c r="A42" s="1"/>
      <c r="B42" s="1"/>
      <c r="C42" s="1"/>
      <c r="D42" s="26" t="s">
        <v>96</v>
      </c>
      <c r="E42" s="1"/>
      <c r="F42" s="27">
        <v>52.65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customFormat="1" x14ac:dyDescent="0.2">
      <c r="A43" s="1"/>
      <c r="B43" s="1"/>
      <c r="C43" s="1"/>
      <c r="D43" s="26" t="s">
        <v>97</v>
      </c>
      <c r="E43" s="1"/>
      <c r="F43" s="27">
        <v>165.68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customFormat="1" x14ac:dyDescent="0.2">
      <c r="A44" s="1"/>
      <c r="B44" s="1"/>
      <c r="C44" s="1"/>
      <c r="D44" s="26" t="s">
        <v>98</v>
      </c>
      <c r="E44" s="1"/>
      <c r="F44" s="27">
        <v>38.739249999999998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customFormat="1" x14ac:dyDescent="0.2">
      <c r="A45" s="3" t="s">
        <v>99</v>
      </c>
      <c r="B45" s="3"/>
      <c r="C45" s="3" t="s">
        <v>100</v>
      </c>
      <c r="D45" s="3" t="s">
        <v>101</v>
      </c>
      <c r="E45" s="3" t="s">
        <v>102</v>
      </c>
      <c r="F45" s="24">
        <v>10.5</v>
      </c>
      <c r="G45" s="24">
        <v>0</v>
      </c>
      <c r="H45" s="24">
        <f>F45*AE45</f>
        <v>0</v>
      </c>
      <c r="I45" s="24">
        <f>J45-H45</f>
        <v>0</v>
      </c>
      <c r="J45" s="24">
        <f>F45*G45</f>
        <v>0</v>
      </c>
      <c r="K45" s="24">
        <v>5.1000000000000004E-4</v>
      </c>
      <c r="L45" s="24">
        <f>F45*K45</f>
        <v>5.3550000000000004E-3</v>
      </c>
      <c r="M45" s="25" t="s">
        <v>53</v>
      </c>
      <c r="N45" s="25" t="s">
        <v>49</v>
      </c>
      <c r="O45" s="24">
        <f>IF(N45="5",I45,0)</f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24">
        <f>IF(AD45=0,J45,0)</f>
        <v>0</v>
      </c>
      <c r="AA45" s="24">
        <f>IF(AD45=15,J45,0)</f>
        <v>0</v>
      </c>
      <c r="AB45" s="24">
        <f>IF(AD45=21,J45,0)</f>
        <v>0</v>
      </c>
      <c r="AC45" s="1"/>
      <c r="AD45" s="24">
        <v>21</v>
      </c>
      <c r="AE45" s="24">
        <f>G45*0.759439252336449</f>
        <v>0</v>
      </c>
      <c r="AF45" s="24">
        <f>G45*(1-0.759439252336449)</f>
        <v>0</v>
      </c>
      <c r="AG45" s="1"/>
      <c r="AH45" s="1"/>
      <c r="AI45" s="1"/>
      <c r="AJ45" s="1"/>
      <c r="AK45" s="1"/>
      <c r="AL45" s="1"/>
      <c r="AM45" s="24">
        <f>F45*AE45</f>
        <v>0</v>
      </c>
      <c r="AN45" s="24">
        <f>F45*AF45</f>
        <v>0</v>
      </c>
      <c r="AO45" s="25" t="s">
        <v>68</v>
      </c>
      <c r="AP45" s="25" t="s">
        <v>69</v>
      </c>
      <c r="AQ45" s="18" t="s">
        <v>56</v>
      </c>
    </row>
    <row r="46" spans="1:43" customFormat="1" x14ac:dyDescent="0.2">
      <c r="A46" s="1"/>
      <c r="B46" s="1"/>
      <c r="C46" s="1"/>
      <c r="D46" s="26" t="s">
        <v>103</v>
      </c>
      <c r="E46" s="1"/>
      <c r="F46" s="27">
        <v>10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customFormat="1" x14ac:dyDescent="0.2">
      <c r="A47" s="1"/>
      <c r="B47" s="1"/>
      <c r="C47" s="1"/>
      <c r="D47" s="26" t="s">
        <v>104</v>
      </c>
      <c r="E47" s="1"/>
      <c r="F47" s="27">
        <v>0.5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s="73" customFormat="1" x14ac:dyDescent="0.2">
      <c r="A48" s="63" t="s">
        <v>105</v>
      </c>
      <c r="B48" s="63"/>
      <c r="C48" s="63" t="s">
        <v>106</v>
      </c>
      <c r="D48" s="63" t="s">
        <v>107</v>
      </c>
      <c r="E48" s="63" t="s">
        <v>52</v>
      </c>
      <c r="F48" s="64">
        <v>130.45724999999999</v>
      </c>
      <c r="G48" s="64">
        <v>0</v>
      </c>
      <c r="H48" s="64">
        <f>F48*AE48</f>
        <v>0</v>
      </c>
      <c r="I48" s="64">
        <f>J48-H48</f>
        <v>0</v>
      </c>
      <c r="J48" s="64">
        <f>F48*G48</f>
        <v>0</v>
      </c>
      <c r="K48" s="64">
        <v>1.225E-2</v>
      </c>
      <c r="L48" s="64">
        <f>F48*K48</f>
        <v>1.5981013124999999</v>
      </c>
      <c r="M48" s="71" t="s">
        <v>53</v>
      </c>
      <c r="N48" s="71" t="s">
        <v>49</v>
      </c>
      <c r="O48" s="64">
        <f>IF(N48="5",I48,0)</f>
        <v>0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4">
        <f>IF(AD48=0,J48,0)</f>
        <v>0</v>
      </c>
      <c r="AA48" s="64">
        <f>IF(AD48=15,J48,0)</f>
        <v>0</v>
      </c>
      <c r="AB48" s="64">
        <f>IF(AD48=21,J48,0)</f>
        <v>0</v>
      </c>
      <c r="AC48" s="65"/>
      <c r="AD48" s="64">
        <v>21</v>
      </c>
      <c r="AE48" s="64">
        <f>G48*0.478605527638191</f>
        <v>0</v>
      </c>
      <c r="AF48" s="64">
        <f>G48*(1-0.478605527638191)</f>
        <v>0</v>
      </c>
      <c r="AG48" s="65"/>
      <c r="AH48" s="65"/>
      <c r="AI48" s="65"/>
      <c r="AJ48" s="65"/>
      <c r="AK48" s="65"/>
      <c r="AL48" s="65"/>
      <c r="AM48" s="64">
        <f>F48*AE48</f>
        <v>0</v>
      </c>
      <c r="AN48" s="64">
        <f>F48*AF48</f>
        <v>0</v>
      </c>
      <c r="AO48" s="71" t="s">
        <v>68</v>
      </c>
      <c r="AP48" s="71" t="s">
        <v>69</v>
      </c>
      <c r="AQ48" s="72" t="s">
        <v>56</v>
      </c>
    </row>
    <row r="49" spans="1:43" s="73" customFormat="1" x14ac:dyDescent="0.2">
      <c r="A49" s="65"/>
      <c r="B49" s="65"/>
      <c r="C49" s="65"/>
      <c r="D49" s="66" t="s">
        <v>108</v>
      </c>
      <c r="E49" s="65"/>
      <c r="F49" s="67">
        <v>40.871250000000003</v>
      </c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</row>
    <row r="50" spans="1:43" s="73" customFormat="1" x14ac:dyDescent="0.2">
      <c r="A50" s="65"/>
      <c r="B50" s="65"/>
      <c r="C50" s="65"/>
      <c r="D50" s="66" t="s">
        <v>109</v>
      </c>
      <c r="E50" s="65"/>
      <c r="F50" s="67">
        <v>89.585999999999999</v>
      </c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</row>
    <row r="51" spans="1:43" customFormat="1" x14ac:dyDescent="0.2">
      <c r="A51" s="3" t="s">
        <v>110</v>
      </c>
      <c r="B51" s="3"/>
      <c r="C51" s="3" t="s">
        <v>111</v>
      </c>
      <c r="D51" s="3" t="s">
        <v>112</v>
      </c>
      <c r="E51" s="3" t="s">
        <v>52</v>
      </c>
      <c r="F51" s="24">
        <v>38.304000000000002</v>
      </c>
      <c r="G51" s="24">
        <v>0</v>
      </c>
      <c r="H51" s="24">
        <f>F51*AE51</f>
        <v>0</v>
      </c>
      <c r="I51" s="24">
        <f>J51-H51</f>
        <v>0</v>
      </c>
      <c r="J51" s="24">
        <f>F51*G51</f>
        <v>0</v>
      </c>
      <c r="K51" s="24">
        <v>1.38E-2</v>
      </c>
      <c r="L51" s="24">
        <f>F51*K51</f>
        <v>0.52859520000000004</v>
      </c>
      <c r="M51" s="25" t="s">
        <v>53</v>
      </c>
      <c r="N51" s="25" t="s">
        <v>49</v>
      </c>
      <c r="O51" s="24">
        <f>IF(N51="5",I51,0)</f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24">
        <f>IF(AD51=0,J51,0)</f>
        <v>0</v>
      </c>
      <c r="AA51" s="24">
        <f>IF(AD51=15,J51,0)</f>
        <v>0</v>
      </c>
      <c r="AB51" s="24">
        <f>IF(AD51=21,J51,0)</f>
        <v>0</v>
      </c>
      <c r="AC51" s="1"/>
      <c r="AD51" s="24">
        <v>21</v>
      </c>
      <c r="AE51" s="24">
        <f>G51*0.442895533398516</f>
        <v>0</v>
      </c>
      <c r="AF51" s="24">
        <f>G51*(1-0.442895533398516)</f>
        <v>0</v>
      </c>
      <c r="AG51" s="1"/>
      <c r="AH51" s="1"/>
      <c r="AI51" s="1"/>
      <c r="AJ51" s="1"/>
      <c r="AK51" s="1"/>
      <c r="AL51" s="1"/>
      <c r="AM51" s="24">
        <f>F51*AE51</f>
        <v>0</v>
      </c>
      <c r="AN51" s="24">
        <f>F51*AF51</f>
        <v>0</v>
      </c>
      <c r="AO51" s="25" t="s">
        <v>68</v>
      </c>
      <c r="AP51" s="25" t="s">
        <v>69</v>
      </c>
      <c r="AQ51" s="18" t="s">
        <v>56</v>
      </c>
    </row>
    <row r="52" spans="1:43" customFormat="1" x14ac:dyDescent="0.2">
      <c r="A52" s="1"/>
      <c r="B52" s="1"/>
      <c r="C52" s="1"/>
      <c r="D52" s="26" t="s">
        <v>113</v>
      </c>
      <c r="E52" s="1"/>
      <c r="F52" s="27">
        <v>36.479999999999997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customFormat="1" x14ac:dyDescent="0.2">
      <c r="A53" s="1"/>
      <c r="B53" s="1"/>
      <c r="C53" s="1"/>
      <c r="D53" s="26" t="s">
        <v>114</v>
      </c>
      <c r="E53" s="1"/>
      <c r="F53" s="27">
        <v>1.8240000000000001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customFormat="1" x14ac:dyDescent="0.2">
      <c r="A54" s="3" t="s">
        <v>115</v>
      </c>
      <c r="B54" s="3"/>
      <c r="C54" s="3" t="s">
        <v>116</v>
      </c>
      <c r="D54" s="3" t="s">
        <v>117</v>
      </c>
      <c r="E54" s="3" t="s">
        <v>52</v>
      </c>
      <c r="F54" s="24">
        <v>274.20999999999998</v>
      </c>
      <c r="G54" s="24">
        <v>0</v>
      </c>
      <c r="H54" s="24">
        <f>F54*AE54</f>
        <v>0</v>
      </c>
      <c r="I54" s="24">
        <f>J54-H54</f>
        <v>0</v>
      </c>
      <c r="J54" s="24">
        <f>F54*G54</f>
        <v>0</v>
      </c>
      <c r="K54" s="24">
        <v>4.0000000000000003E-5</v>
      </c>
      <c r="L54" s="24">
        <f>F54*K54</f>
        <v>1.09684E-2</v>
      </c>
      <c r="M54" s="25" t="s">
        <v>53</v>
      </c>
      <c r="N54" s="25" t="s">
        <v>49</v>
      </c>
      <c r="O54" s="24">
        <f>IF(N54="5",I54,0)</f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24">
        <f>IF(AD54=0,J54,0)</f>
        <v>0</v>
      </c>
      <c r="AA54" s="24">
        <f>IF(AD54=15,J54,0)</f>
        <v>0</v>
      </c>
      <c r="AB54" s="24">
        <f>IF(AD54=21,J54,0)</f>
        <v>0</v>
      </c>
      <c r="AC54" s="1"/>
      <c r="AD54" s="24">
        <v>21</v>
      </c>
      <c r="AE54" s="24">
        <f>G54*0.386834733893557</f>
        <v>0</v>
      </c>
      <c r="AF54" s="24">
        <f>G54*(1-0.386834733893557)</f>
        <v>0</v>
      </c>
      <c r="AG54" s="1"/>
      <c r="AH54" s="1"/>
      <c r="AI54" s="1"/>
      <c r="AJ54" s="1"/>
      <c r="AK54" s="1"/>
      <c r="AL54" s="1"/>
      <c r="AM54" s="24">
        <f>F54*AE54</f>
        <v>0</v>
      </c>
      <c r="AN54" s="24">
        <f>F54*AF54</f>
        <v>0</v>
      </c>
      <c r="AO54" s="25" t="s">
        <v>68</v>
      </c>
      <c r="AP54" s="25" t="s">
        <v>69</v>
      </c>
      <c r="AQ54" s="18" t="s">
        <v>56</v>
      </c>
    </row>
    <row r="55" spans="1:43" customFormat="1" x14ac:dyDescent="0.2">
      <c r="A55" s="1"/>
      <c r="B55" s="1"/>
      <c r="C55" s="1"/>
      <c r="D55" s="26" t="s">
        <v>118</v>
      </c>
      <c r="E55" s="1"/>
      <c r="F55" s="27">
        <v>35.28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customFormat="1" x14ac:dyDescent="0.2">
      <c r="A56" s="1"/>
      <c r="B56" s="1"/>
      <c r="C56" s="1"/>
      <c r="D56" s="26" t="s">
        <v>119</v>
      </c>
      <c r="E56" s="1"/>
      <c r="F56" s="27">
        <v>115.71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customFormat="1" x14ac:dyDescent="0.2">
      <c r="A57" s="1"/>
      <c r="B57" s="1"/>
      <c r="C57" s="1"/>
      <c r="D57" s="26" t="s">
        <v>120</v>
      </c>
      <c r="E57" s="1"/>
      <c r="F57" s="27">
        <v>87.94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customFormat="1" x14ac:dyDescent="0.2">
      <c r="A58" s="1"/>
      <c r="B58" s="1"/>
      <c r="C58" s="1"/>
      <c r="D58" s="26" t="s">
        <v>121</v>
      </c>
      <c r="E58" s="1"/>
      <c r="F58" s="27">
        <v>25.2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customFormat="1" x14ac:dyDescent="0.2">
      <c r="A59" s="1"/>
      <c r="B59" s="1"/>
      <c r="C59" s="1"/>
      <c r="D59" s="26" t="s">
        <v>122</v>
      </c>
      <c r="E59" s="1"/>
      <c r="F59" s="27">
        <v>10.08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customFormat="1" x14ac:dyDescent="0.2">
      <c r="A60" s="63" t="s">
        <v>123</v>
      </c>
      <c r="B60" s="63"/>
      <c r="C60" s="63" t="s">
        <v>124</v>
      </c>
      <c r="D60" s="63" t="s">
        <v>125</v>
      </c>
      <c r="E60" s="63" t="s">
        <v>102</v>
      </c>
      <c r="F60" s="64">
        <v>136.23750000000001</v>
      </c>
      <c r="G60" s="24">
        <v>0</v>
      </c>
      <c r="H60" s="24">
        <f>F60*AE60</f>
        <v>0</v>
      </c>
      <c r="I60" s="24">
        <f>J60-H60</f>
        <v>0</v>
      </c>
      <c r="J60" s="24">
        <f>F60*G60</f>
        <v>0</v>
      </c>
      <c r="K60" s="24">
        <v>2.0000000000000002E-5</v>
      </c>
      <c r="L60" s="24">
        <f>F60*K60</f>
        <v>2.7247500000000006E-3</v>
      </c>
      <c r="M60" s="25"/>
      <c r="N60" s="25" t="s">
        <v>49</v>
      </c>
      <c r="O60" s="24">
        <f>IF(N60="5",I60,0)</f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24">
        <f>IF(AD60=0,J60,0)</f>
        <v>0</v>
      </c>
      <c r="AA60" s="24">
        <f>IF(AD60=15,J60,0)</f>
        <v>0</v>
      </c>
      <c r="AB60" s="24">
        <f>IF(AD60=21,J60,0)</f>
        <v>0</v>
      </c>
      <c r="AC60" s="1"/>
      <c r="AD60" s="24">
        <v>21</v>
      </c>
      <c r="AE60" s="24">
        <f>G60*0.406936690818387</f>
        <v>0</v>
      </c>
      <c r="AF60" s="24">
        <f>G60*(1-0.406936690818387)</f>
        <v>0</v>
      </c>
      <c r="AG60" s="1"/>
      <c r="AH60" s="1"/>
      <c r="AI60" s="1"/>
      <c r="AJ60" s="1"/>
      <c r="AK60" s="1"/>
      <c r="AL60" s="1"/>
      <c r="AM60" s="24">
        <f>F60*AE60</f>
        <v>0</v>
      </c>
      <c r="AN60" s="24">
        <f>F60*AF60</f>
        <v>0</v>
      </c>
      <c r="AO60" s="25" t="s">
        <v>68</v>
      </c>
      <c r="AP60" s="25" t="s">
        <v>69</v>
      </c>
      <c r="AQ60" s="18" t="s">
        <v>56</v>
      </c>
    </row>
    <row r="61" spans="1:43" customFormat="1" x14ac:dyDescent="0.2">
      <c r="A61" s="65"/>
      <c r="B61" s="65"/>
      <c r="C61" s="65"/>
      <c r="D61" s="66" t="s">
        <v>126</v>
      </c>
      <c r="E61" s="65"/>
      <c r="F61" s="67">
        <v>16.8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customFormat="1" x14ac:dyDescent="0.2">
      <c r="A62" s="65"/>
      <c r="B62" s="65"/>
      <c r="C62" s="65"/>
      <c r="D62" s="66" t="s">
        <v>127</v>
      </c>
      <c r="E62" s="65"/>
      <c r="F62" s="67">
        <v>51.3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customFormat="1" x14ac:dyDescent="0.2">
      <c r="A63" s="65"/>
      <c r="B63" s="65"/>
      <c r="C63" s="65"/>
      <c r="D63" s="66" t="s">
        <v>128</v>
      </c>
      <c r="E63" s="65"/>
      <c r="F63" s="67">
        <v>44.85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customFormat="1" x14ac:dyDescent="0.2">
      <c r="A64" s="65"/>
      <c r="B64" s="65"/>
      <c r="C64" s="65"/>
      <c r="D64" s="66" t="s">
        <v>129</v>
      </c>
      <c r="E64" s="65"/>
      <c r="F64" s="67">
        <v>12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customFormat="1" x14ac:dyDescent="0.2">
      <c r="A65" s="65"/>
      <c r="B65" s="65"/>
      <c r="C65" s="65"/>
      <c r="D65" s="66" t="s">
        <v>130</v>
      </c>
      <c r="E65" s="65"/>
      <c r="F65" s="67">
        <v>4.8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customFormat="1" x14ac:dyDescent="0.2">
      <c r="A66" s="65"/>
      <c r="B66" s="65"/>
      <c r="C66" s="65"/>
      <c r="D66" s="66" t="s">
        <v>131</v>
      </c>
      <c r="E66" s="65"/>
      <c r="F66" s="67">
        <v>6.4874999999999998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customFormat="1" x14ac:dyDescent="0.2">
      <c r="A67" s="63" t="s">
        <v>132</v>
      </c>
      <c r="B67" s="63"/>
      <c r="C67" s="63" t="s">
        <v>133</v>
      </c>
      <c r="D67" s="63" t="s">
        <v>134</v>
      </c>
      <c r="E67" s="63" t="s">
        <v>102</v>
      </c>
      <c r="F67" s="64">
        <v>298.62</v>
      </c>
      <c r="G67" s="24">
        <v>0</v>
      </c>
      <c r="H67" s="24">
        <f>F67*AE67</f>
        <v>0</v>
      </c>
      <c r="I67" s="24">
        <f>J67-H67</f>
        <v>0</v>
      </c>
      <c r="J67" s="24">
        <f>F67*G67</f>
        <v>0</v>
      </c>
      <c r="K67" s="24">
        <v>0</v>
      </c>
      <c r="L67" s="24">
        <f>F67*K67</f>
        <v>0</v>
      </c>
      <c r="M67" s="25" t="s">
        <v>53</v>
      </c>
      <c r="N67" s="25" t="s">
        <v>49</v>
      </c>
      <c r="O67" s="24">
        <f>IF(N67="5",I67,0)</f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24">
        <f>IF(AD67=0,J67,0)</f>
        <v>0</v>
      </c>
      <c r="AA67" s="24">
        <f>IF(AD67=15,J67,0)</f>
        <v>0</v>
      </c>
      <c r="AB67" s="24">
        <f>IF(AD67=21,J67,0)</f>
        <v>0</v>
      </c>
      <c r="AC67" s="1"/>
      <c r="AD67" s="24">
        <v>21</v>
      </c>
      <c r="AE67" s="24">
        <f>G67*0.666576271186441</f>
        <v>0</v>
      </c>
      <c r="AF67" s="24">
        <f>G67*(1-0.666576271186441)</f>
        <v>0</v>
      </c>
      <c r="AG67" s="1"/>
      <c r="AH67" s="1"/>
      <c r="AI67" s="1"/>
      <c r="AJ67" s="1"/>
      <c r="AK67" s="1"/>
      <c r="AL67" s="1"/>
      <c r="AM67" s="24">
        <f>F67*AE67</f>
        <v>0</v>
      </c>
      <c r="AN67" s="24">
        <f>F67*AF67</f>
        <v>0</v>
      </c>
      <c r="AO67" s="25" t="s">
        <v>68</v>
      </c>
      <c r="AP67" s="25" t="s">
        <v>69</v>
      </c>
      <c r="AQ67" s="18" t="s">
        <v>56</v>
      </c>
    </row>
    <row r="68" spans="1:43" customFormat="1" x14ac:dyDescent="0.2">
      <c r="A68" s="65"/>
      <c r="B68" s="65"/>
      <c r="C68" s="65"/>
      <c r="D68" s="66" t="s">
        <v>135</v>
      </c>
      <c r="E68" s="65"/>
      <c r="F68" s="67">
        <v>58.8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customFormat="1" x14ac:dyDescent="0.2">
      <c r="A69" s="65"/>
      <c r="B69" s="65"/>
      <c r="C69" s="65"/>
      <c r="D69" s="66" t="s">
        <v>136</v>
      </c>
      <c r="E69" s="65"/>
      <c r="F69" s="67">
        <v>86.8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customFormat="1" x14ac:dyDescent="0.2">
      <c r="A70" s="65"/>
      <c r="B70" s="65"/>
      <c r="C70" s="65"/>
      <c r="D70" s="66" t="s">
        <v>137</v>
      </c>
      <c r="E70" s="65"/>
      <c r="F70" s="67">
        <v>84.2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customFormat="1" x14ac:dyDescent="0.2">
      <c r="A71" s="65"/>
      <c r="B71" s="65"/>
      <c r="C71" s="65"/>
      <c r="D71" s="66" t="s">
        <v>138</v>
      </c>
      <c r="E71" s="65"/>
      <c r="F71" s="67">
        <v>37.799999999999997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customFormat="1" x14ac:dyDescent="0.2">
      <c r="A72" s="65"/>
      <c r="B72" s="65"/>
      <c r="C72" s="65"/>
      <c r="D72" s="66" t="s">
        <v>139</v>
      </c>
      <c r="E72" s="65"/>
      <c r="F72" s="67">
        <v>16.8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customFormat="1" x14ac:dyDescent="0.2">
      <c r="A73" s="65"/>
      <c r="B73" s="65"/>
      <c r="C73" s="65"/>
      <c r="D73" s="66" t="s">
        <v>140</v>
      </c>
      <c r="E73" s="65"/>
      <c r="F73" s="67"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customFormat="1" x14ac:dyDescent="0.2">
      <c r="A74" s="65"/>
      <c r="B74" s="65"/>
      <c r="C74" s="65"/>
      <c r="D74" s="66" t="s">
        <v>141</v>
      </c>
      <c r="E74" s="65"/>
      <c r="F74" s="67">
        <v>14.22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customFormat="1" x14ac:dyDescent="0.2">
      <c r="A75" s="63" t="s">
        <v>142</v>
      </c>
      <c r="B75" s="63"/>
      <c r="C75" s="63" t="s">
        <v>143</v>
      </c>
      <c r="D75" s="63" t="s">
        <v>144</v>
      </c>
      <c r="E75" s="63" t="s">
        <v>102</v>
      </c>
      <c r="F75" s="64">
        <v>434.85750000000002</v>
      </c>
      <c r="G75" s="24">
        <v>0</v>
      </c>
      <c r="H75" s="24">
        <f>F75*AE75</f>
        <v>0</v>
      </c>
      <c r="I75" s="24">
        <f>J75-H75</f>
        <v>0</v>
      </c>
      <c r="J75" s="24">
        <f>F75*G75</f>
        <v>0</v>
      </c>
      <c r="K75" s="24">
        <v>0</v>
      </c>
      <c r="L75" s="24">
        <f>F75*K75</f>
        <v>0</v>
      </c>
      <c r="M75" s="25"/>
      <c r="N75" s="25" t="s">
        <v>49</v>
      </c>
      <c r="O75" s="24">
        <f>IF(N75="5",I75,0)</f>
        <v>0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24">
        <f>IF(AD75=0,J75,0)</f>
        <v>0</v>
      </c>
      <c r="AA75" s="24">
        <f>IF(AD75=15,J75,0)</f>
        <v>0</v>
      </c>
      <c r="AB75" s="24">
        <f>IF(AD75=21,J75,0)</f>
        <v>0</v>
      </c>
      <c r="AC75" s="1"/>
      <c r="AD75" s="24">
        <v>21</v>
      </c>
      <c r="AE75" s="24">
        <f>G75*0.584412007711374</f>
        <v>0</v>
      </c>
      <c r="AF75" s="24">
        <f>G75*(1-0.584412007711374)</f>
        <v>0</v>
      </c>
      <c r="AG75" s="1"/>
      <c r="AH75" s="1"/>
      <c r="AI75" s="1"/>
      <c r="AJ75" s="1"/>
      <c r="AK75" s="1"/>
      <c r="AL75" s="1"/>
      <c r="AM75" s="24">
        <f>F75*AE75</f>
        <v>0</v>
      </c>
      <c r="AN75" s="24">
        <f>F75*AF75</f>
        <v>0</v>
      </c>
      <c r="AO75" s="25" t="s">
        <v>68</v>
      </c>
      <c r="AP75" s="25" t="s">
        <v>69</v>
      </c>
      <c r="AQ75" s="18" t="s">
        <v>56</v>
      </c>
    </row>
    <row r="76" spans="1:43" customFormat="1" x14ac:dyDescent="0.2">
      <c r="A76" s="65"/>
      <c r="B76" s="65"/>
      <c r="C76" s="65"/>
      <c r="D76" s="66" t="s">
        <v>145</v>
      </c>
      <c r="E76" s="65"/>
      <c r="F76" s="67">
        <v>136.23750000000001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customFormat="1" x14ac:dyDescent="0.2">
      <c r="A77" s="65"/>
      <c r="B77" s="65"/>
      <c r="C77" s="65"/>
      <c r="D77" s="66" t="s">
        <v>146</v>
      </c>
      <c r="E77" s="65"/>
      <c r="F77" s="67">
        <v>298.62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customFormat="1" x14ac:dyDescent="0.2">
      <c r="A78" s="3" t="s">
        <v>147</v>
      </c>
      <c r="B78" s="3"/>
      <c r="C78" s="3" t="s">
        <v>148</v>
      </c>
      <c r="D78" s="3" t="s">
        <v>149</v>
      </c>
      <c r="E78" s="3" t="s">
        <v>102</v>
      </c>
      <c r="F78" s="24">
        <v>127.68</v>
      </c>
      <c r="G78" s="24">
        <v>0</v>
      </c>
      <c r="H78" s="24">
        <f>F78*AE78</f>
        <v>0</v>
      </c>
      <c r="I78" s="24">
        <f>J78-H78</f>
        <v>0</v>
      </c>
      <c r="J78" s="24">
        <f>F78*G78</f>
        <v>0</v>
      </c>
      <c r="K78" s="24">
        <v>0</v>
      </c>
      <c r="L78" s="24">
        <f>F78*K78</f>
        <v>0</v>
      </c>
      <c r="M78" s="25" t="s">
        <v>53</v>
      </c>
      <c r="N78" s="25" t="s">
        <v>49</v>
      </c>
      <c r="O78" s="24">
        <f>IF(N78="5",I78,0)</f>
        <v>0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24">
        <f>IF(AD78=0,J78,0)</f>
        <v>0</v>
      </c>
      <c r="AA78" s="24">
        <f>IF(AD78=15,J78,0)</f>
        <v>0</v>
      </c>
      <c r="AB78" s="24">
        <f>IF(AD78=21,J78,0)</f>
        <v>0</v>
      </c>
      <c r="AC78" s="1"/>
      <c r="AD78" s="24">
        <v>21</v>
      </c>
      <c r="AE78" s="24">
        <f>G78*0.542511627906977</f>
        <v>0</v>
      </c>
      <c r="AF78" s="24">
        <f>G78*(1-0.542511627906977)</f>
        <v>0</v>
      </c>
      <c r="AG78" s="1"/>
      <c r="AH78" s="1"/>
      <c r="AI78" s="1"/>
      <c r="AJ78" s="1"/>
      <c r="AK78" s="1"/>
      <c r="AL78" s="1"/>
      <c r="AM78" s="24">
        <f>F78*AE78</f>
        <v>0</v>
      </c>
      <c r="AN78" s="24">
        <f>F78*AF78</f>
        <v>0</v>
      </c>
      <c r="AO78" s="25" t="s">
        <v>68</v>
      </c>
      <c r="AP78" s="25" t="s">
        <v>69</v>
      </c>
      <c r="AQ78" s="18" t="s">
        <v>56</v>
      </c>
    </row>
    <row r="79" spans="1:43" customFormat="1" x14ac:dyDescent="0.2">
      <c r="A79" s="1"/>
      <c r="B79" s="1"/>
      <c r="C79" s="1"/>
      <c r="D79" s="26" t="s">
        <v>150</v>
      </c>
      <c r="E79" s="1"/>
      <c r="F79" s="27">
        <v>121.6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customFormat="1" x14ac:dyDescent="0.2">
      <c r="A80" s="1"/>
      <c r="B80" s="1"/>
      <c r="C80" s="1"/>
      <c r="D80" s="26" t="s">
        <v>151</v>
      </c>
      <c r="E80" s="1"/>
      <c r="F80" s="27">
        <v>6.08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customFormat="1" x14ac:dyDescent="0.2">
      <c r="A81" s="3" t="s">
        <v>152</v>
      </c>
      <c r="B81" s="3"/>
      <c r="C81" s="3" t="s">
        <v>153</v>
      </c>
      <c r="D81" s="3" t="s">
        <v>154</v>
      </c>
      <c r="E81" s="3" t="s">
        <v>102</v>
      </c>
      <c r="F81" s="24">
        <v>157.48949999999999</v>
      </c>
      <c r="G81" s="24">
        <v>0</v>
      </c>
      <c r="H81" s="24">
        <f>F81*AE81</f>
        <v>0</v>
      </c>
      <c r="I81" s="24">
        <f>J81-H81</f>
        <v>0</v>
      </c>
      <c r="J81" s="24">
        <f>F81*G81</f>
        <v>0</v>
      </c>
      <c r="K81" s="24">
        <v>2.7999999999999998E-4</v>
      </c>
      <c r="L81" s="24">
        <f>F81*K81</f>
        <v>4.4097059999999993E-2</v>
      </c>
      <c r="M81" s="25" t="s">
        <v>53</v>
      </c>
      <c r="N81" s="25" t="s">
        <v>49</v>
      </c>
      <c r="O81" s="24">
        <f>IF(N81="5",I81,0)</f>
        <v>0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24">
        <f>IF(AD81=0,J81,0)</f>
        <v>0</v>
      </c>
      <c r="AA81" s="24">
        <f>IF(AD81=15,J81,0)</f>
        <v>0</v>
      </c>
      <c r="AB81" s="24">
        <f>IF(AD81=21,J81,0)</f>
        <v>0</v>
      </c>
      <c r="AC81" s="1"/>
      <c r="AD81" s="24">
        <v>21</v>
      </c>
      <c r="AE81" s="24">
        <f>G81*0.59812865497076</f>
        <v>0</v>
      </c>
      <c r="AF81" s="24">
        <f>G81*(1-0.59812865497076)</f>
        <v>0</v>
      </c>
      <c r="AG81" s="1"/>
      <c r="AH81" s="1"/>
      <c r="AI81" s="1"/>
      <c r="AJ81" s="1"/>
      <c r="AK81" s="1"/>
      <c r="AL81" s="1"/>
      <c r="AM81" s="24">
        <f>F81*AE81</f>
        <v>0</v>
      </c>
      <c r="AN81" s="24">
        <f>F81*AF81</f>
        <v>0</v>
      </c>
      <c r="AO81" s="25" t="s">
        <v>68</v>
      </c>
      <c r="AP81" s="25" t="s">
        <v>69</v>
      </c>
      <c r="AQ81" s="18" t="s">
        <v>56</v>
      </c>
    </row>
    <row r="82" spans="1:43" customFormat="1" x14ac:dyDescent="0.2">
      <c r="A82" s="1"/>
      <c r="B82" s="1"/>
      <c r="C82" s="1"/>
      <c r="D82" s="26" t="s">
        <v>155</v>
      </c>
      <c r="E82" s="1"/>
      <c r="F82" s="27">
        <v>32.340000000000003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customFormat="1" x14ac:dyDescent="0.2">
      <c r="A83" s="1"/>
      <c r="B83" s="1"/>
      <c r="C83" s="1"/>
      <c r="D83" s="26" t="s">
        <v>156</v>
      </c>
      <c r="E83" s="1"/>
      <c r="F83" s="27">
        <v>14.98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customFormat="1" x14ac:dyDescent="0.2">
      <c r="A84" s="1"/>
      <c r="B84" s="1"/>
      <c r="C84" s="1"/>
      <c r="D84" s="26" t="s">
        <v>157</v>
      </c>
      <c r="E84" s="1"/>
      <c r="F84" s="27">
        <v>15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customFormat="1" x14ac:dyDescent="0.2">
      <c r="A85" s="1"/>
      <c r="B85" s="1"/>
      <c r="C85" s="1"/>
      <c r="D85" s="26" t="s">
        <v>158</v>
      </c>
      <c r="E85" s="1"/>
      <c r="F85" s="27">
        <v>5.3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customFormat="1" x14ac:dyDescent="0.2">
      <c r="A86" s="1"/>
      <c r="B86" s="1"/>
      <c r="C86" s="1"/>
      <c r="D86" s="26" t="s">
        <v>159</v>
      </c>
      <c r="E86" s="1"/>
      <c r="F86" s="27">
        <v>23.65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customFormat="1" x14ac:dyDescent="0.2">
      <c r="A87" s="1"/>
      <c r="B87" s="1"/>
      <c r="C87" s="1"/>
      <c r="D87" s="26" t="s">
        <v>160</v>
      </c>
      <c r="E87" s="1"/>
      <c r="F87" s="27">
        <v>15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customFormat="1" x14ac:dyDescent="0.2">
      <c r="A88" s="1"/>
      <c r="B88" s="1"/>
      <c r="C88" s="1"/>
      <c r="D88" s="26" t="s">
        <v>161</v>
      </c>
      <c r="E88" s="1"/>
      <c r="F88" s="27">
        <v>13.94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customFormat="1" x14ac:dyDescent="0.2">
      <c r="A89" s="1"/>
      <c r="B89" s="1"/>
      <c r="C89" s="1"/>
      <c r="D89" s="26" t="s">
        <v>162</v>
      </c>
      <c r="E89" s="1"/>
      <c r="F89" s="27">
        <v>29.78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customFormat="1" x14ac:dyDescent="0.2">
      <c r="A90" s="1"/>
      <c r="B90" s="1"/>
      <c r="C90" s="1"/>
      <c r="D90" s="26" t="s">
        <v>163</v>
      </c>
      <c r="E90" s="1"/>
      <c r="F90" s="27">
        <v>7.4995000000000003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customFormat="1" x14ac:dyDescent="0.2">
      <c r="A91" s="3" t="s">
        <v>164</v>
      </c>
      <c r="B91" s="3"/>
      <c r="C91" s="3" t="s">
        <v>165</v>
      </c>
      <c r="D91" s="3" t="s">
        <v>166</v>
      </c>
      <c r="E91" s="3" t="s">
        <v>52</v>
      </c>
      <c r="F91" s="24">
        <v>907.97045000000003</v>
      </c>
      <c r="G91" s="24">
        <v>0</v>
      </c>
      <c r="H91" s="24">
        <f>F91*AE91</f>
        <v>0</v>
      </c>
      <c r="I91" s="24">
        <f>J91-H91</f>
        <v>0</v>
      </c>
      <c r="J91" s="24">
        <f>F91*G91</f>
        <v>0</v>
      </c>
      <c r="K91" s="24">
        <v>2.0000000000000002E-5</v>
      </c>
      <c r="L91" s="24">
        <f>F91*K91</f>
        <v>1.8159409000000001E-2</v>
      </c>
      <c r="M91" s="25" t="s">
        <v>53</v>
      </c>
      <c r="N91" s="25" t="s">
        <v>49</v>
      </c>
      <c r="O91" s="24">
        <f>IF(N91="5",I91,0)</f>
        <v>0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24">
        <f>IF(AD91=0,J91,0)</f>
        <v>0</v>
      </c>
      <c r="AA91" s="24">
        <f>IF(AD91=15,J91,0)</f>
        <v>0</v>
      </c>
      <c r="AB91" s="24">
        <f>IF(AD91=21,J91,0)</f>
        <v>0</v>
      </c>
      <c r="AC91" s="1"/>
      <c r="AD91" s="24">
        <v>21</v>
      </c>
      <c r="AE91" s="24">
        <f>G91*0.0849964780464898</f>
        <v>0</v>
      </c>
      <c r="AF91" s="24">
        <f>G91*(1-0.0849964780464898)</f>
        <v>0</v>
      </c>
      <c r="AG91" s="1"/>
      <c r="AH91" s="1"/>
      <c r="AI91" s="1"/>
      <c r="AJ91" s="1"/>
      <c r="AK91" s="1"/>
      <c r="AL91" s="1"/>
      <c r="AM91" s="24">
        <f>F91*AE91</f>
        <v>0</v>
      </c>
      <c r="AN91" s="24">
        <f>F91*AF91</f>
        <v>0</v>
      </c>
      <c r="AO91" s="25" t="s">
        <v>68</v>
      </c>
      <c r="AP91" s="25" t="s">
        <v>69</v>
      </c>
      <c r="AQ91" s="18" t="s">
        <v>56</v>
      </c>
    </row>
    <row r="92" spans="1:43" customFormat="1" x14ac:dyDescent="0.2">
      <c r="A92" s="1"/>
      <c r="B92" s="1"/>
      <c r="C92" s="1"/>
      <c r="D92" s="26" t="s">
        <v>167</v>
      </c>
      <c r="E92" s="1"/>
      <c r="F92" s="27">
        <v>94.496200000000002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customFormat="1" x14ac:dyDescent="0.2">
      <c r="A93" s="1"/>
      <c r="B93" s="1"/>
      <c r="C93" s="1"/>
      <c r="D93" s="26" t="s">
        <v>168</v>
      </c>
      <c r="E93" s="1"/>
      <c r="F93" s="27">
        <v>813.47424999999998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customFormat="1" x14ac:dyDescent="0.2">
      <c r="A94" s="3" t="s">
        <v>169</v>
      </c>
      <c r="B94" s="3"/>
      <c r="C94" s="3" t="s">
        <v>170</v>
      </c>
      <c r="D94" s="3" t="s">
        <v>171</v>
      </c>
      <c r="E94" s="3" t="s">
        <v>52</v>
      </c>
      <c r="F94" s="24">
        <v>907.97</v>
      </c>
      <c r="G94" s="24">
        <v>0</v>
      </c>
      <c r="H94" s="24">
        <f>F94*AE94</f>
        <v>0</v>
      </c>
      <c r="I94" s="24">
        <f>J94-H94</f>
        <v>0</v>
      </c>
      <c r="J94" s="24">
        <f>F94*G94</f>
        <v>0</v>
      </c>
      <c r="K94" s="24">
        <v>2.001E-2</v>
      </c>
      <c r="L94" s="24">
        <f>F94*K94</f>
        <v>18.168479699999999</v>
      </c>
      <c r="M94" s="25" t="s">
        <v>53</v>
      </c>
      <c r="N94" s="25" t="s">
        <v>49</v>
      </c>
      <c r="O94" s="24">
        <f>IF(N94="5",I94,0)</f>
        <v>0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24">
        <f>IF(AD94=0,J94,0)</f>
        <v>0</v>
      </c>
      <c r="AA94" s="24">
        <f>IF(AD94=15,J94,0)</f>
        <v>0</v>
      </c>
      <c r="AB94" s="24">
        <f>IF(AD94=21,J94,0)</f>
        <v>0</v>
      </c>
      <c r="AC94" s="1"/>
      <c r="AD94" s="24">
        <v>21</v>
      </c>
      <c r="AE94" s="24">
        <f>G94*0.295473251028807</f>
        <v>0</v>
      </c>
      <c r="AF94" s="24">
        <f>G94*(1-0.295473251028807)</f>
        <v>0</v>
      </c>
      <c r="AG94" s="1"/>
      <c r="AH94" s="1"/>
      <c r="AI94" s="1"/>
      <c r="AJ94" s="1"/>
      <c r="AK94" s="1"/>
      <c r="AL94" s="1"/>
      <c r="AM94" s="24">
        <f>F94*AE94</f>
        <v>0</v>
      </c>
      <c r="AN94" s="24">
        <f>F94*AF94</f>
        <v>0</v>
      </c>
      <c r="AO94" s="25" t="s">
        <v>68</v>
      </c>
      <c r="AP94" s="25" t="s">
        <v>69</v>
      </c>
      <c r="AQ94" s="18" t="s">
        <v>56</v>
      </c>
    </row>
    <row r="95" spans="1:43" customFormat="1" x14ac:dyDescent="0.2">
      <c r="A95" s="1"/>
      <c r="B95" s="1"/>
      <c r="C95" s="1"/>
      <c r="D95" s="26" t="s">
        <v>172</v>
      </c>
      <c r="E95" s="1"/>
      <c r="F95" s="27">
        <v>907.97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customFormat="1" x14ac:dyDescent="0.2">
      <c r="A96" s="3" t="s">
        <v>173</v>
      </c>
      <c r="B96" s="3"/>
      <c r="C96" s="3" t="s">
        <v>174</v>
      </c>
      <c r="D96" s="3" t="s">
        <v>175</v>
      </c>
      <c r="E96" s="3" t="s">
        <v>52</v>
      </c>
      <c r="F96" s="24">
        <v>314.97899999999998</v>
      </c>
      <c r="G96" s="24">
        <v>0</v>
      </c>
      <c r="H96" s="24">
        <f>F96*AE96</f>
        <v>0</v>
      </c>
      <c r="I96" s="24">
        <f>J96-H96</f>
        <v>0</v>
      </c>
      <c r="J96" s="24">
        <f>F96*G96</f>
        <v>0</v>
      </c>
      <c r="K96" s="24">
        <v>4.8999999999999998E-4</v>
      </c>
      <c r="L96" s="24">
        <f>F96*K96</f>
        <v>0.15433970999999999</v>
      </c>
      <c r="M96" s="25" t="s">
        <v>53</v>
      </c>
      <c r="N96" s="25" t="s">
        <v>49</v>
      </c>
      <c r="O96" s="24">
        <f>IF(N96="5",I96,0)</f>
        <v>0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24">
        <f>IF(AD96=0,J96,0)</f>
        <v>0</v>
      </c>
      <c r="AA96" s="24">
        <f>IF(AD96=15,J96,0)</f>
        <v>0</v>
      </c>
      <c r="AB96" s="24">
        <f>IF(AD96=21,J96,0)</f>
        <v>0</v>
      </c>
      <c r="AC96" s="1"/>
      <c r="AD96" s="24">
        <v>21</v>
      </c>
      <c r="AE96" s="24">
        <f>G96*0.282478632478632</f>
        <v>0</v>
      </c>
      <c r="AF96" s="24">
        <f>G96*(1-0.282478632478632)</f>
        <v>0</v>
      </c>
      <c r="AG96" s="1"/>
      <c r="AH96" s="1"/>
      <c r="AI96" s="1"/>
      <c r="AJ96" s="1"/>
      <c r="AK96" s="1"/>
      <c r="AL96" s="1"/>
      <c r="AM96" s="24">
        <f>F96*AE96</f>
        <v>0</v>
      </c>
      <c r="AN96" s="24">
        <f>F96*AF96</f>
        <v>0</v>
      </c>
      <c r="AO96" s="25" t="s">
        <v>68</v>
      </c>
      <c r="AP96" s="25" t="s">
        <v>69</v>
      </c>
      <c r="AQ96" s="18" t="s">
        <v>56</v>
      </c>
    </row>
    <row r="97" spans="1:43" customFormat="1" x14ac:dyDescent="0.2">
      <c r="A97" s="1"/>
      <c r="B97" s="1"/>
      <c r="C97" s="1"/>
      <c r="D97" s="26" t="s">
        <v>176</v>
      </c>
      <c r="E97" s="1"/>
      <c r="F97" s="27">
        <v>314.97899999999998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customFormat="1" x14ac:dyDescent="0.2">
      <c r="A98" s="28"/>
      <c r="B98" s="29"/>
      <c r="C98" s="29" t="s">
        <v>177</v>
      </c>
      <c r="D98" s="88" t="s">
        <v>178</v>
      </c>
      <c r="E98" s="88"/>
      <c r="F98" s="88"/>
      <c r="G98" s="88"/>
      <c r="H98" s="23">
        <f>SUM(H99:H99)</f>
        <v>0</v>
      </c>
      <c r="I98" s="23">
        <f>SUM(I99:I99)</f>
        <v>0</v>
      </c>
      <c r="J98" s="23">
        <f>H98+I98</f>
        <v>0</v>
      </c>
      <c r="K98" s="18"/>
      <c r="L98" s="23">
        <f>SUM(L99:L99)</f>
        <v>1.1429999999999999E-3</v>
      </c>
      <c r="M98" s="18"/>
      <c r="N98" s="1"/>
      <c r="O98" s="1"/>
      <c r="P98" s="23">
        <f>IF(Q98="PR",J98,SUM(O99:O99))</f>
        <v>0</v>
      </c>
      <c r="Q98" s="18" t="s">
        <v>179</v>
      </c>
      <c r="R98" s="23">
        <f>IF(Q98="HS",H98,0)</f>
        <v>0</v>
      </c>
      <c r="S98" s="23">
        <f>IF(Q98="HS",I98-P98,0)</f>
        <v>0</v>
      </c>
      <c r="T98" s="23">
        <f>IF(Q98="PS",H98,0)</f>
        <v>0</v>
      </c>
      <c r="U98" s="23">
        <f>IF(Q98="PS",I98-P98,0)</f>
        <v>0</v>
      </c>
      <c r="V98" s="23">
        <f>IF(Q98="MP",H98,0)</f>
        <v>0</v>
      </c>
      <c r="W98" s="23">
        <f>IF(Q98="MP",I98-P98,0)</f>
        <v>0</v>
      </c>
      <c r="X98" s="23">
        <f>IF(Q98="OM",H98,0)</f>
        <v>0</v>
      </c>
      <c r="Y98" s="18"/>
      <c r="Z98" s="1"/>
      <c r="AA98" s="1"/>
      <c r="AB98" s="1"/>
      <c r="AC98" s="1"/>
      <c r="AD98" s="1"/>
      <c r="AE98" s="1"/>
      <c r="AF98" s="1"/>
      <c r="AG98" s="1"/>
      <c r="AH98" s="1"/>
      <c r="AI98" s="23">
        <f>SUM(Z99:Z99)</f>
        <v>0</v>
      </c>
      <c r="AJ98" s="23">
        <f>SUM(AA99:AA99)</f>
        <v>0</v>
      </c>
      <c r="AK98" s="23">
        <f>SUM(AB99:AB99)</f>
        <v>0</v>
      </c>
      <c r="AL98" s="1"/>
      <c r="AM98" s="1"/>
      <c r="AN98" s="1"/>
      <c r="AO98" s="1"/>
      <c r="AP98" s="1"/>
      <c r="AQ98" s="1"/>
    </row>
    <row r="99" spans="1:43" customFormat="1" x14ac:dyDescent="0.2">
      <c r="A99" s="3" t="s">
        <v>180</v>
      </c>
      <c r="B99" s="3"/>
      <c r="C99" s="3" t="s">
        <v>181</v>
      </c>
      <c r="D99" s="3" t="s">
        <v>182</v>
      </c>
      <c r="E99" s="3" t="s">
        <v>52</v>
      </c>
      <c r="F99" s="24">
        <v>7.62</v>
      </c>
      <c r="G99" s="24">
        <v>0</v>
      </c>
      <c r="H99" s="24">
        <f>F99*AE99</f>
        <v>0</v>
      </c>
      <c r="I99" s="24">
        <f>J99-H99</f>
        <v>0</v>
      </c>
      <c r="J99" s="24">
        <f>F99*G99</f>
        <v>0</v>
      </c>
      <c r="K99" s="24">
        <v>1.4999999999999999E-4</v>
      </c>
      <c r="L99" s="24">
        <f>F99*K99</f>
        <v>1.1429999999999999E-3</v>
      </c>
      <c r="M99" s="25" t="s">
        <v>53</v>
      </c>
      <c r="N99" s="25" t="s">
        <v>49</v>
      </c>
      <c r="O99" s="24">
        <f>IF(N99="5",I99,0)</f>
        <v>0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24">
        <f>IF(AD99=0,J99,0)</f>
        <v>0</v>
      </c>
      <c r="AA99" s="24">
        <f>IF(AD99=15,J99,0)</f>
        <v>0</v>
      </c>
      <c r="AB99" s="24">
        <f>IF(AD99=21,J99,0)</f>
        <v>0</v>
      </c>
      <c r="AC99" s="1"/>
      <c r="AD99" s="24">
        <v>21</v>
      </c>
      <c r="AE99" s="24">
        <f>G99*0.344774011299435</f>
        <v>0</v>
      </c>
      <c r="AF99" s="24">
        <f>G99*(1-0.344774011299435)</f>
        <v>0</v>
      </c>
      <c r="AG99" s="1"/>
      <c r="AH99" s="1"/>
      <c r="AI99" s="1"/>
      <c r="AJ99" s="1"/>
      <c r="AK99" s="1"/>
      <c r="AL99" s="1"/>
      <c r="AM99" s="24">
        <f>F99*AE99</f>
        <v>0</v>
      </c>
      <c r="AN99" s="24">
        <f>F99*AF99</f>
        <v>0</v>
      </c>
      <c r="AO99" s="25" t="s">
        <v>183</v>
      </c>
      <c r="AP99" s="25" t="s">
        <v>184</v>
      </c>
      <c r="AQ99" s="18" t="s">
        <v>56</v>
      </c>
    </row>
    <row r="100" spans="1:43" customFormat="1" x14ac:dyDescent="0.2">
      <c r="A100" s="1"/>
      <c r="B100" s="1"/>
      <c r="C100" s="1"/>
      <c r="D100" s="26" t="s">
        <v>185</v>
      </c>
      <c r="E100" s="1"/>
      <c r="F100" s="27">
        <v>7.62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customFormat="1" x14ac:dyDescent="0.2">
      <c r="A101" s="28"/>
      <c r="B101" s="29"/>
      <c r="C101" s="29" t="s">
        <v>186</v>
      </c>
      <c r="D101" s="88" t="s">
        <v>187</v>
      </c>
      <c r="E101" s="88"/>
      <c r="F101" s="88"/>
      <c r="G101" s="88"/>
      <c r="H101" s="23">
        <f>SUM(H102:H110)</f>
        <v>0</v>
      </c>
      <c r="I101" s="23">
        <f>SUM(I102:I110)</f>
        <v>0</v>
      </c>
      <c r="J101" s="23">
        <f>H101+I101</f>
        <v>0</v>
      </c>
      <c r="K101" s="18"/>
      <c r="L101" s="23">
        <f>SUM(L102:L110)</f>
        <v>1.1732429999999998</v>
      </c>
      <c r="M101" s="18"/>
      <c r="N101" s="1"/>
      <c r="O101" s="1"/>
      <c r="P101" s="23">
        <f>IF(Q101="PR",J101,SUM(O102:O110))</f>
        <v>0</v>
      </c>
      <c r="Q101" s="18" t="s">
        <v>179</v>
      </c>
      <c r="R101" s="23">
        <f>IF(Q101="HS",H101,0)</f>
        <v>0</v>
      </c>
      <c r="S101" s="23">
        <f>IF(Q101="HS",I101-P101,0)</f>
        <v>0</v>
      </c>
      <c r="T101" s="23">
        <f>IF(Q101="PS",H101,0)</f>
        <v>0</v>
      </c>
      <c r="U101" s="23">
        <f>IF(Q101="PS",I101-P101,0)</f>
        <v>0</v>
      </c>
      <c r="V101" s="23">
        <f>IF(Q101="MP",H101,0)</f>
        <v>0</v>
      </c>
      <c r="W101" s="23">
        <f>IF(Q101="MP",I101-P101,0)</f>
        <v>0</v>
      </c>
      <c r="X101" s="23">
        <f>IF(Q101="OM",H101,0)</f>
        <v>0</v>
      </c>
      <c r="Y101" s="18"/>
      <c r="Z101" s="1"/>
      <c r="AA101" s="1"/>
      <c r="AB101" s="1"/>
      <c r="AC101" s="1"/>
      <c r="AD101" s="1"/>
      <c r="AE101" s="1"/>
      <c r="AF101" s="1"/>
      <c r="AG101" s="1"/>
      <c r="AH101" s="1"/>
      <c r="AI101" s="23">
        <f>SUM(Z102:Z110)</f>
        <v>0</v>
      </c>
      <c r="AJ101" s="23">
        <f>SUM(AA102:AA110)</f>
        <v>0</v>
      </c>
      <c r="AK101" s="23">
        <f>SUM(AB102:AB110)</f>
        <v>0</v>
      </c>
      <c r="AL101" s="1"/>
      <c r="AM101" s="1"/>
      <c r="AN101" s="1"/>
      <c r="AO101" s="1"/>
      <c r="AP101" s="1"/>
      <c r="AQ101" s="1"/>
    </row>
    <row r="102" spans="1:43" customFormat="1" x14ac:dyDescent="0.2">
      <c r="A102" s="3" t="s">
        <v>188</v>
      </c>
      <c r="B102" s="3"/>
      <c r="C102" s="3" t="s">
        <v>189</v>
      </c>
      <c r="D102" s="3" t="s">
        <v>190</v>
      </c>
      <c r="E102" s="3" t="s">
        <v>102</v>
      </c>
      <c r="F102" s="24">
        <v>121.6</v>
      </c>
      <c r="G102" s="24">
        <v>0</v>
      </c>
      <c r="H102" s="24">
        <f>F102*AE102</f>
        <v>0</v>
      </c>
      <c r="I102" s="24">
        <f>J102-H102</f>
        <v>0</v>
      </c>
      <c r="J102" s="24">
        <f>F102*G102</f>
        <v>0</v>
      </c>
      <c r="K102" s="24">
        <v>1.81E-3</v>
      </c>
      <c r="L102" s="24">
        <f>F102*K102</f>
        <v>0.22009599999999999</v>
      </c>
      <c r="M102" s="25" t="s">
        <v>53</v>
      </c>
      <c r="N102" s="25" t="s">
        <v>65</v>
      </c>
      <c r="O102" s="24">
        <f>IF(N102="5",I102,0)</f>
        <v>0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4">
        <f>IF(AD102=0,J102,0)</f>
        <v>0</v>
      </c>
      <c r="AA102" s="24">
        <f>IF(AD102=15,J102,0)</f>
        <v>0</v>
      </c>
      <c r="AB102" s="24">
        <f>IF(AD102=21,J102,0)</f>
        <v>0</v>
      </c>
      <c r="AC102" s="1"/>
      <c r="AD102" s="24">
        <v>21</v>
      </c>
      <c r="AE102" s="24">
        <f>G102*0</f>
        <v>0</v>
      </c>
      <c r="AF102" s="24">
        <f>G102*(1-0)</f>
        <v>0</v>
      </c>
      <c r="AG102" s="1"/>
      <c r="AH102" s="1"/>
      <c r="AI102" s="1"/>
      <c r="AJ102" s="1"/>
      <c r="AK102" s="1"/>
      <c r="AL102" s="1"/>
      <c r="AM102" s="24">
        <f>F102*AE102</f>
        <v>0</v>
      </c>
      <c r="AN102" s="24">
        <f>F102*AF102</f>
        <v>0</v>
      </c>
      <c r="AO102" s="25" t="s">
        <v>191</v>
      </c>
      <c r="AP102" s="25" t="s">
        <v>192</v>
      </c>
      <c r="AQ102" s="18" t="s">
        <v>56</v>
      </c>
    </row>
    <row r="103" spans="1:43" customFormat="1" x14ac:dyDescent="0.2">
      <c r="A103" s="1"/>
      <c r="B103" s="1"/>
      <c r="C103" s="1"/>
      <c r="D103" s="26" t="s">
        <v>193</v>
      </c>
      <c r="E103" s="1"/>
      <c r="F103" s="27">
        <v>84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customFormat="1" x14ac:dyDescent="0.2">
      <c r="A104" s="1"/>
      <c r="B104" s="1"/>
      <c r="C104" s="1"/>
      <c r="D104" s="26" t="s">
        <v>194</v>
      </c>
      <c r="E104" s="1"/>
      <c r="F104" s="27">
        <v>33.6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customFormat="1" x14ac:dyDescent="0.2">
      <c r="A105" s="1"/>
      <c r="B105" s="1"/>
      <c r="C105" s="1"/>
      <c r="D105" s="26" t="s">
        <v>195</v>
      </c>
      <c r="E105" s="1"/>
      <c r="F105" s="27">
        <v>4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customFormat="1" x14ac:dyDescent="0.2">
      <c r="A106" s="3" t="s">
        <v>196</v>
      </c>
      <c r="B106" s="3"/>
      <c r="C106" s="3" t="s">
        <v>197</v>
      </c>
      <c r="D106" s="3" t="s">
        <v>198</v>
      </c>
      <c r="E106" s="3" t="s">
        <v>102</v>
      </c>
      <c r="F106" s="24">
        <v>121.6</v>
      </c>
      <c r="G106" s="24">
        <v>0</v>
      </c>
      <c r="H106" s="24">
        <f>F106*AE106</f>
        <v>0</v>
      </c>
      <c r="I106" s="24">
        <f>J106-H106</f>
        <v>0</v>
      </c>
      <c r="J106" s="24">
        <f>F106*G106</f>
        <v>0</v>
      </c>
      <c r="K106" s="24">
        <v>2.4199999999999998E-3</v>
      </c>
      <c r="L106" s="24">
        <f>F106*K106</f>
        <v>0.29427199999999998</v>
      </c>
      <c r="M106" s="25" t="s">
        <v>53</v>
      </c>
      <c r="N106" s="25" t="s">
        <v>65</v>
      </c>
      <c r="O106" s="24">
        <f>IF(N106="5",I106,0)</f>
        <v>0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4">
        <f>IF(AD106=0,J106,0)</f>
        <v>0</v>
      </c>
      <c r="AA106" s="24">
        <f>IF(AD106=15,J106,0)</f>
        <v>0</v>
      </c>
      <c r="AB106" s="24">
        <f>IF(AD106=21,J106,0)</f>
        <v>0</v>
      </c>
      <c r="AC106" s="1"/>
      <c r="AD106" s="24">
        <v>21</v>
      </c>
      <c r="AE106" s="24">
        <f>G106*0.232118380933732</f>
        <v>0</v>
      </c>
      <c r="AF106" s="24">
        <f>G106*(1-0.232118380933732)</f>
        <v>0</v>
      </c>
      <c r="AG106" s="1"/>
      <c r="AH106" s="1"/>
      <c r="AI106" s="1"/>
      <c r="AJ106" s="1"/>
      <c r="AK106" s="1"/>
      <c r="AL106" s="1"/>
      <c r="AM106" s="24">
        <f>F106*AE106</f>
        <v>0</v>
      </c>
      <c r="AN106" s="24">
        <f>F106*AF106</f>
        <v>0</v>
      </c>
      <c r="AO106" s="25" t="s">
        <v>191</v>
      </c>
      <c r="AP106" s="25" t="s">
        <v>192</v>
      </c>
      <c r="AQ106" s="18" t="s">
        <v>56</v>
      </c>
    </row>
    <row r="107" spans="1:43" customFormat="1" x14ac:dyDescent="0.2">
      <c r="A107" s="1"/>
      <c r="B107" s="1"/>
      <c r="C107" s="1"/>
      <c r="D107" s="26" t="s">
        <v>199</v>
      </c>
      <c r="E107" s="1"/>
      <c r="F107" s="27">
        <v>84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customFormat="1" x14ac:dyDescent="0.2">
      <c r="A108" s="1"/>
      <c r="B108" s="1"/>
      <c r="C108" s="1"/>
      <c r="D108" s="26" t="s">
        <v>200</v>
      </c>
      <c r="E108" s="1"/>
      <c r="F108" s="27">
        <v>33.6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customFormat="1" x14ac:dyDescent="0.2">
      <c r="A109" s="1"/>
      <c r="B109" s="1"/>
      <c r="C109" s="1"/>
      <c r="D109" s="26" t="s">
        <v>201</v>
      </c>
      <c r="E109" s="1"/>
      <c r="F109" s="27">
        <v>4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s="60" customFormat="1" x14ac:dyDescent="0.2">
      <c r="A110" s="55" t="s">
        <v>202</v>
      </c>
      <c r="B110" s="55"/>
      <c r="C110" s="55" t="s">
        <v>203</v>
      </c>
      <c r="D110" s="55" t="s">
        <v>204</v>
      </c>
      <c r="E110" s="55" t="s">
        <v>102</v>
      </c>
      <c r="F110" s="56">
        <v>175.7</v>
      </c>
      <c r="G110" s="56">
        <v>0</v>
      </c>
      <c r="H110" s="56">
        <f>F110*AE110</f>
        <v>0</v>
      </c>
      <c r="I110" s="56">
        <f>J110-H110</f>
        <v>0</v>
      </c>
      <c r="J110" s="56">
        <f>F110*G110</f>
        <v>0</v>
      </c>
      <c r="K110" s="56">
        <v>3.7499999999999999E-3</v>
      </c>
      <c r="L110" s="56">
        <f>F110*K110</f>
        <v>0.65887499999999999</v>
      </c>
      <c r="M110" s="57"/>
      <c r="N110" s="57" t="s">
        <v>49</v>
      </c>
      <c r="O110" s="56">
        <f>IF(N110="5",I110,0)</f>
        <v>0</v>
      </c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6">
        <f>IF(AD110=0,J110,0)</f>
        <v>0</v>
      </c>
      <c r="AA110" s="56">
        <f>IF(AD110=15,J110,0)</f>
        <v>0</v>
      </c>
      <c r="AB110" s="56">
        <f>IF(AD110=21,J110,0)</f>
        <v>0</v>
      </c>
      <c r="AC110" s="58"/>
      <c r="AD110" s="56">
        <v>21</v>
      </c>
      <c r="AE110" s="56">
        <f>G110*0.459791835830811</f>
        <v>0</v>
      </c>
      <c r="AF110" s="56">
        <f>G110*(1-0.459791835830811)</f>
        <v>0</v>
      </c>
      <c r="AG110" s="58"/>
      <c r="AH110" s="58"/>
      <c r="AI110" s="58"/>
      <c r="AJ110" s="58"/>
      <c r="AK110" s="58"/>
      <c r="AL110" s="58"/>
      <c r="AM110" s="56">
        <f>F110*AE110</f>
        <v>0</v>
      </c>
      <c r="AN110" s="56">
        <f>F110*AF110</f>
        <v>0</v>
      </c>
      <c r="AO110" s="57" t="s">
        <v>191</v>
      </c>
      <c r="AP110" s="57" t="s">
        <v>192</v>
      </c>
      <c r="AQ110" s="59" t="s">
        <v>56</v>
      </c>
    </row>
    <row r="111" spans="1:43" s="60" customFormat="1" x14ac:dyDescent="0.2">
      <c r="A111" s="58"/>
      <c r="B111" s="58"/>
      <c r="C111" s="58"/>
      <c r="D111" s="61" t="s">
        <v>205</v>
      </c>
      <c r="E111" s="58"/>
      <c r="F111" s="62">
        <v>15.3</v>
      </c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</row>
    <row r="112" spans="1:43" s="60" customFormat="1" x14ac:dyDescent="0.2">
      <c r="A112" s="58"/>
      <c r="B112" s="58"/>
      <c r="C112" s="58"/>
      <c r="D112" s="61" t="s">
        <v>206</v>
      </c>
      <c r="E112" s="58"/>
      <c r="F112" s="62">
        <v>38.5</v>
      </c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</row>
    <row r="113" spans="1:43" s="60" customFormat="1" x14ac:dyDescent="0.2">
      <c r="A113" s="58"/>
      <c r="B113" s="58"/>
      <c r="C113" s="58"/>
      <c r="D113" s="61" t="s">
        <v>207</v>
      </c>
      <c r="E113" s="58"/>
      <c r="F113" s="62">
        <v>15</v>
      </c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</row>
    <row r="114" spans="1:43" s="60" customFormat="1" x14ac:dyDescent="0.2">
      <c r="A114" s="58"/>
      <c r="B114" s="58"/>
      <c r="C114" s="58"/>
      <c r="D114" s="61" t="s">
        <v>208</v>
      </c>
      <c r="E114" s="58"/>
      <c r="F114" s="62">
        <v>15.3</v>
      </c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</row>
    <row r="115" spans="1:43" s="60" customFormat="1" x14ac:dyDescent="0.2">
      <c r="A115" s="58"/>
      <c r="B115" s="58"/>
      <c r="C115" s="58"/>
      <c r="D115" s="61" t="s">
        <v>209</v>
      </c>
      <c r="E115" s="58"/>
      <c r="F115" s="62">
        <v>24</v>
      </c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</row>
    <row r="116" spans="1:43" s="60" customFormat="1" x14ac:dyDescent="0.2">
      <c r="A116" s="58"/>
      <c r="B116" s="58"/>
      <c r="C116" s="58"/>
      <c r="D116" s="61" t="s">
        <v>210</v>
      </c>
      <c r="E116" s="58"/>
      <c r="F116" s="62">
        <v>15</v>
      </c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</row>
    <row r="117" spans="1:43" s="60" customFormat="1" x14ac:dyDescent="0.2">
      <c r="A117" s="58"/>
      <c r="B117" s="58"/>
      <c r="C117" s="58"/>
      <c r="D117" s="61" t="s">
        <v>211</v>
      </c>
      <c r="E117" s="58"/>
      <c r="F117" s="62">
        <v>38.5</v>
      </c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</row>
    <row r="118" spans="1:43" s="60" customFormat="1" x14ac:dyDescent="0.2">
      <c r="A118" s="58"/>
      <c r="B118" s="58"/>
      <c r="C118" s="58"/>
      <c r="D118" s="61" t="s">
        <v>212</v>
      </c>
      <c r="E118" s="58"/>
      <c r="F118" s="62">
        <v>14.1</v>
      </c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</row>
    <row r="119" spans="1:43" customFormat="1" x14ac:dyDescent="0.2">
      <c r="A119" s="28"/>
      <c r="B119" s="29"/>
      <c r="C119" s="29" t="s">
        <v>213</v>
      </c>
      <c r="D119" s="88" t="s">
        <v>214</v>
      </c>
      <c r="E119" s="88"/>
      <c r="F119" s="88"/>
      <c r="G119" s="88"/>
      <c r="H119" s="23">
        <f>SUM(H120:H125)</f>
        <v>0</v>
      </c>
      <c r="I119" s="23">
        <f>SUM(I120:I125)</f>
        <v>0</v>
      </c>
      <c r="J119" s="23">
        <f>H119+I119</f>
        <v>0</v>
      </c>
      <c r="K119" s="18"/>
      <c r="L119" s="23">
        <f>SUM(L120:L125)</f>
        <v>0.14335999999999999</v>
      </c>
      <c r="M119" s="18"/>
      <c r="N119" s="1"/>
      <c r="O119" s="1"/>
      <c r="P119" s="23">
        <f>IF(Q119="PR",J119,SUM(O120:O125))</f>
        <v>0</v>
      </c>
      <c r="Q119" s="18" t="s">
        <v>179</v>
      </c>
      <c r="R119" s="23">
        <f>IF(Q119="HS",H119,0)</f>
        <v>0</v>
      </c>
      <c r="S119" s="23">
        <f>IF(Q119="HS",I119-P119,0)</f>
        <v>0</v>
      </c>
      <c r="T119" s="23">
        <f>IF(Q119="PS",H119,0)</f>
        <v>0</v>
      </c>
      <c r="U119" s="23">
        <f>IF(Q119="PS",I119-P119,0)</f>
        <v>0</v>
      </c>
      <c r="V119" s="23">
        <f>IF(Q119="MP",H119,0)</f>
        <v>0</v>
      </c>
      <c r="W119" s="23">
        <f>IF(Q119="MP",I119-P119,0)</f>
        <v>0</v>
      </c>
      <c r="X119" s="23">
        <f>IF(Q119="OM",H119,0)</f>
        <v>0</v>
      </c>
      <c r="Y119" s="18"/>
      <c r="Z119" s="1"/>
      <c r="AA119" s="1"/>
      <c r="AB119" s="1"/>
      <c r="AC119" s="1"/>
      <c r="AD119" s="1"/>
      <c r="AE119" s="1"/>
      <c r="AF119" s="1"/>
      <c r="AG119" s="1"/>
      <c r="AH119" s="1"/>
      <c r="AI119" s="23">
        <f>SUM(Z120:Z125)</f>
        <v>0</v>
      </c>
      <c r="AJ119" s="23">
        <f>SUM(AA120:AA125)</f>
        <v>0</v>
      </c>
      <c r="AK119" s="23">
        <f>SUM(AB120:AB125)</f>
        <v>0</v>
      </c>
      <c r="AL119" s="1"/>
      <c r="AM119" s="1"/>
      <c r="AN119" s="1"/>
      <c r="AO119" s="1"/>
      <c r="AP119" s="1"/>
      <c r="AQ119" s="1"/>
    </row>
    <row r="120" spans="1:43" customFormat="1" x14ac:dyDescent="0.2">
      <c r="A120" s="3" t="s">
        <v>215</v>
      </c>
      <c r="B120" s="3"/>
      <c r="C120" s="3" t="s">
        <v>216</v>
      </c>
      <c r="D120" s="3" t="s">
        <v>217</v>
      </c>
      <c r="E120" s="3" t="s">
        <v>218</v>
      </c>
      <c r="F120" s="24">
        <v>2</v>
      </c>
      <c r="G120" s="24">
        <v>0</v>
      </c>
      <c r="H120" s="24">
        <f>F120*AE120</f>
        <v>0</v>
      </c>
      <c r="I120" s="24">
        <f>J120-H120</f>
        <v>0</v>
      </c>
      <c r="J120" s="24">
        <f>F120*G120</f>
        <v>0</v>
      </c>
      <c r="K120" s="24">
        <v>1.6800000000000001E-3</v>
      </c>
      <c r="L120" s="24">
        <f>F120*K120</f>
        <v>3.3600000000000001E-3</v>
      </c>
      <c r="M120" s="25" t="s">
        <v>53</v>
      </c>
      <c r="N120" s="25" t="s">
        <v>49</v>
      </c>
      <c r="O120" s="24">
        <f>IF(N120="5",I120,0)</f>
        <v>0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4">
        <f>IF(AD120=0,J120,0)</f>
        <v>0</v>
      </c>
      <c r="AA120" s="24">
        <f>IF(AD120=15,J120,0)</f>
        <v>0</v>
      </c>
      <c r="AB120" s="24">
        <f>IF(AD120=21,J120,0)</f>
        <v>0</v>
      </c>
      <c r="AC120" s="1"/>
      <c r="AD120" s="24">
        <v>21</v>
      </c>
      <c r="AE120" s="24">
        <f>G120*0.174115674769489</f>
        <v>0</v>
      </c>
      <c r="AF120" s="24">
        <f>G120*(1-0.174115674769489)</f>
        <v>0</v>
      </c>
      <c r="AG120" s="1"/>
      <c r="AH120" s="1"/>
      <c r="AI120" s="1"/>
      <c r="AJ120" s="1"/>
      <c r="AK120" s="1"/>
      <c r="AL120" s="1"/>
      <c r="AM120" s="24">
        <f>F120*AE120</f>
        <v>0</v>
      </c>
      <c r="AN120" s="24">
        <f>F120*AF120</f>
        <v>0</v>
      </c>
      <c r="AO120" s="25" t="s">
        <v>219</v>
      </c>
      <c r="AP120" s="25" t="s">
        <v>192</v>
      </c>
      <c r="AQ120" s="18" t="s">
        <v>56</v>
      </c>
    </row>
    <row r="121" spans="1:43" customFormat="1" x14ac:dyDescent="0.2">
      <c r="A121" s="1"/>
      <c r="B121" s="1"/>
      <c r="C121" s="1"/>
      <c r="D121" s="26" t="s">
        <v>220</v>
      </c>
      <c r="E121" s="1"/>
      <c r="F121" s="27">
        <v>1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customFormat="1" x14ac:dyDescent="0.2">
      <c r="A122" s="1"/>
      <c r="B122" s="1"/>
      <c r="C122" s="1"/>
      <c r="D122" s="26" t="s">
        <v>221</v>
      </c>
      <c r="E122" s="1"/>
      <c r="F122" s="27">
        <v>1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customFormat="1" x14ac:dyDescent="0.2">
      <c r="A123" s="3" t="s">
        <v>222</v>
      </c>
      <c r="B123" s="3"/>
      <c r="C123" s="3" t="s">
        <v>223</v>
      </c>
      <c r="D123" s="3" t="s">
        <v>224</v>
      </c>
      <c r="E123" s="3" t="s">
        <v>218</v>
      </c>
      <c r="F123" s="24">
        <v>1</v>
      </c>
      <c r="G123" s="24">
        <v>0</v>
      </c>
      <c r="H123" s="24">
        <f>F123*AE123</f>
        <v>0</v>
      </c>
      <c r="I123" s="24">
        <f>J123-H123</f>
        <v>0</v>
      </c>
      <c r="J123" s="24">
        <f>F123*G123</f>
        <v>0</v>
      </c>
      <c r="K123" s="24">
        <v>0.05</v>
      </c>
      <c r="L123" s="24">
        <f>F123*K123</f>
        <v>0.05</v>
      </c>
      <c r="M123" s="25"/>
      <c r="N123" s="25" t="s">
        <v>225</v>
      </c>
      <c r="O123" s="24">
        <f>IF(N123="5",I123,0)</f>
        <v>0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4">
        <f>IF(AD123=0,J123,0)</f>
        <v>0</v>
      </c>
      <c r="AA123" s="24">
        <f>IF(AD123=15,J123,0)</f>
        <v>0</v>
      </c>
      <c r="AB123" s="24">
        <f>IF(AD123=21,J123,0)</f>
        <v>0</v>
      </c>
      <c r="AC123" s="1"/>
      <c r="AD123" s="24">
        <v>21</v>
      </c>
      <c r="AE123" s="24">
        <f>G123*1</f>
        <v>0</v>
      </c>
      <c r="AF123" s="24">
        <f>G123*(1-1)</f>
        <v>0</v>
      </c>
      <c r="AG123" s="1"/>
      <c r="AH123" s="1"/>
      <c r="AI123" s="1"/>
      <c r="AJ123" s="1"/>
      <c r="AK123" s="1"/>
      <c r="AL123" s="1"/>
      <c r="AM123" s="24">
        <f>F123*AE123</f>
        <v>0</v>
      </c>
      <c r="AN123" s="24">
        <f>F123*AF123</f>
        <v>0</v>
      </c>
      <c r="AO123" s="25" t="s">
        <v>219</v>
      </c>
      <c r="AP123" s="25" t="s">
        <v>192</v>
      </c>
      <c r="AQ123" s="18" t="s">
        <v>56</v>
      </c>
    </row>
    <row r="124" spans="1:43" customFormat="1" x14ac:dyDescent="0.2">
      <c r="A124" s="1"/>
      <c r="B124" s="1"/>
      <c r="C124" s="1"/>
      <c r="D124" s="26" t="s">
        <v>220</v>
      </c>
      <c r="E124" s="1"/>
      <c r="F124" s="27">
        <v>1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customFormat="1" x14ac:dyDescent="0.2">
      <c r="A125" s="3" t="s">
        <v>226</v>
      </c>
      <c r="B125" s="3"/>
      <c r="C125" s="3" t="s">
        <v>227</v>
      </c>
      <c r="D125" s="3" t="s">
        <v>228</v>
      </c>
      <c r="E125" s="3" t="s">
        <v>218</v>
      </c>
      <c r="F125" s="24">
        <v>1</v>
      </c>
      <c r="G125" s="24">
        <v>0</v>
      </c>
      <c r="H125" s="24">
        <f>F125*AE125</f>
        <v>0</v>
      </c>
      <c r="I125" s="24">
        <f>J125-H125</f>
        <v>0</v>
      </c>
      <c r="J125" s="24">
        <f>F125*G125</f>
        <v>0</v>
      </c>
      <c r="K125" s="24">
        <v>0.09</v>
      </c>
      <c r="L125" s="24">
        <f>F125*K125</f>
        <v>0.09</v>
      </c>
      <c r="M125" s="25"/>
      <c r="N125" s="25" t="s">
        <v>225</v>
      </c>
      <c r="O125" s="24">
        <f>IF(N125="5",I125,0)</f>
        <v>0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4">
        <f>IF(AD125=0,J125,0)</f>
        <v>0</v>
      </c>
      <c r="AA125" s="24">
        <f>IF(AD125=15,J125,0)</f>
        <v>0</v>
      </c>
      <c r="AB125" s="24">
        <f>IF(AD125=21,J125,0)</f>
        <v>0</v>
      </c>
      <c r="AC125" s="1"/>
      <c r="AD125" s="24">
        <v>21</v>
      </c>
      <c r="AE125" s="24">
        <f>G125*1</f>
        <v>0</v>
      </c>
      <c r="AF125" s="24">
        <f>G125*(1-1)</f>
        <v>0</v>
      </c>
      <c r="AG125" s="1"/>
      <c r="AH125" s="1"/>
      <c r="AI125" s="1"/>
      <c r="AJ125" s="1"/>
      <c r="AK125" s="1"/>
      <c r="AL125" s="1"/>
      <c r="AM125" s="24">
        <f>F125*AE125</f>
        <v>0</v>
      </c>
      <c r="AN125" s="24">
        <f>F125*AF125</f>
        <v>0</v>
      </c>
      <c r="AO125" s="25" t="s">
        <v>219</v>
      </c>
      <c r="AP125" s="25" t="s">
        <v>192</v>
      </c>
      <c r="AQ125" s="18" t="s">
        <v>56</v>
      </c>
    </row>
    <row r="126" spans="1:43" customFormat="1" x14ac:dyDescent="0.2">
      <c r="A126" s="1"/>
      <c r="B126" s="1"/>
      <c r="C126" s="1"/>
      <c r="D126" s="26" t="s">
        <v>221</v>
      </c>
      <c r="E126" s="1"/>
      <c r="F126" s="27">
        <v>1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customFormat="1" x14ac:dyDescent="0.2">
      <c r="A127" s="28"/>
      <c r="B127" s="29"/>
      <c r="C127" s="29" t="s">
        <v>229</v>
      </c>
      <c r="D127" s="88" t="s">
        <v>230</v>
      </c>
      <c r="E127" s="88"/>
      <c r="F127" s="88"/>
      <c r="G127" s="88"/>
      <c r="H127" s="23">
        <f>SUM(H128:H130)</f>
        <v>0</v>
      </c>
      <c r="I127" s="23">
        <f>SUM(I128:I130)</f>
        <v>0</v>
      </c>
      <c r="J127" s="23">
        <f>H127+I127</f>
        <v>0</v>
      </c>
      <c r="K127" s="18"/>
      <c r="L127" s="23">
        <f>SUM(L128:L130)</f>
        <v>0</v>
      </c>
      <c r="M127" s="18"/>
      <c r="N127" s="1"/>
      <c r="O127" s="1"/>
      <c r="P127" s="23">
        <f>IF(Q127="PR",J127,SUM(O128:O130))</f>
        <v>0</v>
      </c>
      <c r="Q127" s="18" t="s">
        <v>179</v>
      </c>
      <c r="R127" s="23">
        <f>IF(Q127="HS",H127,0)</f>
        <v>0</v>
      </c>
      <c r="S127" s="23">
        <f>IF(Q127="HS",I127-P127,0)</f>
        <v>0</v>
      </c>
      <c r="T127" s="23">
        <f>IF(Q127="PS",H127,0)</f>
        <v>0</v>
      </c>
      <c r="U127" s="23">
        <f>IF(Q127="PS",I127-P127,0)</f>
        <v>0</v>
      </c>
      <c r="V127" s="23">
        <f>IF(Q127="MP",H127,0)</f>
        <v>0</v>
      </c>
      <c r="W127" s="23">
        <f>IF(Q127="MP",I127-P127,0)</f>
        <v>0</v>
      </c>
      <c r="X127" s="23">
        <f>IF(Q127="OM",H127,0)</f>
        <v>0</v>
      </c>
      <c r="Y127" s="18"/>
      <c r="Z127" s="1"/>
      <c r="AA127" s="1"/>
      <c r="AB127" s="1"/>
      <c r="AC127" s="1"/>
      <c r="AD127" s="1"/>
      <c r="AE127" s="1"/>
      <c r="AF127" s="1"/>
      <c r="AG127" s="1"/>
      <c r="AH127" s="1"/>
      <c r="AI127" s="23">
        <f>SUM(Z128:Z130)</f>
        <v>0</v>
      </c>
      <c r="AJ127" s="23">
        <f>SUM(AA128:AA130)</f>
        <v>0</v>
      </c>
      <c r="AK127" s="23">
        <f>SUM(AB128:AB130)</f>
        <v>0</v>
      </c>
      <c r="AL127" s="1"/>
      <c r="AM127" s="1"/>
      <c r="AN127" s="1"/>
      <c r="AO127" s="1"/>
      <c r="AP127" s="1"/>
      <c r="AQ127" s="1"/>
    </row>
    <row r="128" spans="1:43" customFormat="1" x14ac:dyDescent="0.2">
      <c r="A128" s="3" t="s">
        <v>231</v>
      </c>
      <c r="B128" s="3"/>
      <c r="C128" s="3" t="s">
        <v>232</v>
      </c>
      <c r="D128" s="3" t="s">
        <v>233</v>
      </c>
      <c r="E128" s="3" t="s">
        <v>218</v>
      </c>
      <c r="F128" s="24">
        <v>1</v>
      </c>
      <c r="G128" s="24">
        <v>0</v>
      </c>
      <c r="H128" s="24">
        <f>F128*AE128</f>
        <v>0</v>
      </c>
      <c r="I128" s="24">
        <f>J128-H128</f>
        <v>0</v>
      </c>
      <c r="J128" s="24">
        <f>F128*G128</f>
        <v>0</v>
      </c>
      <c r="K128" s="24">
        <v>0</v>
      </c>
      <c r="L128" s="24">
        <f>F128*K128</f>
        <v>0</v>
      </c>
      <c r="M128" s="25"/>
      <c r="N128" s="25" t="s">
        <v>49</v>
      </c>
      <c r="O128" s="24">
        <f>IF(N128="5",I128,0)</f>
        <v>0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4">
        <f>IF(AD128=0,J128,0)</f>
        <v>0</v>
      </c>
      <c r="AA128" s="24">
        <f>IF(AD128=15,J128,0)</f>
        <v>0</v>
      </c>
      <c r="AB128" s="24">
        <f>IF(AD128=21,J128,0)</f>
        <v>0</v>
      </c>
      <c r="AC128" s="1"/>
      <c r="AD128" s="24">
        <v>21</v>
      </c>
      <c r="AE128" s="24">
        <f>G128*0</f>
        <v>0</v>
      </c>
      <c r="AF128" s="24">
        <f>G128*(1-0)</f>
        <v>0</v>
      </c>
      <c r="AG128" s="1"/>
      <c r="AH128" s="1"/>
      <c r="AI128" s="1"/>
      <c r="AJ128" s="1"/>
      <c r="AK128" s="1"/>
      <c r="AL128" s="1"/>
      <c r="AM128" s="24">
        <f>F128*AE128</f>
        <v>0</v>
      </c>
      <c r="AN128" s="24">
        <f>F128*AF128</f>
        <v>0</v>
      </c>
      <c r="AO128" s="25" t="s">
        <v>234</v>
      </c>
      <c r="AP128" s="25" t="s">
        <v>192</v>
      </c>
      <c r="AQ128" s="18" t="s">
        <v>56</v>
      </c>
    </row>
    <row r="129" spans="1:43" customFormat="1" x14ac:dyDescent="0.2">
      <c r="A129" s="1"/>
      <c r="B129" s="1"/>
      <c r="C129" s="1"/>
      <c r="D129" s="26" t="s">
        <v>235</v>
      </c>
      <c r="E129" s="1"/>
      <c r="F129" s="27">
        <v>1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customFormat="1" x14ac:dyDescent="0.2">
      <c r="A130" s="3" t="s">
        <v>236</v>
      </c>
      <c r="B130" s="3"/>
      <c r="C130" s="3" t="s">
        <v>237</v>
      </c>
      <c r="D130" s="3" t="s">
        <v>238</v>
      </c>
      <c r="E130" s="3" t="s">
        <v>218</v>
      </c>
      <c r="F130" s="24">
        <v>1</v>
      </c>
      <c r="G130" s="24">
        <v>0</v>
      </c>
      <c r="H130" s="24">
        <f>F130*AE130</f>
        <v>0</v>
      </c>
      <c r="I130" s="24">
        <f>J130-H130</f>
        <v>0</v>
      </c>
      <c r="J130" s="24">
        <f>F130*G130</f>
        <v>0</v>
      </c>
      <c r="K130" s="24">
        <v>0</v>
      </c>
      <c r="L130" s="24">
        <f>F130*K130</f>
        <v>0</v>
      </c>
      <c r="M130" s="25"/>
      <c r="N130" s="25" t="s">
        <v>49</v>
      </c>
      <c r="O130" s="24">
        <f>IF(N130="5",I130,0)</f>
        <v>0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4">
        <f>IF(AD130=0,J130,0)</f>
        <v>0</v>
      </c>
      <c r="AA130" s="24">
        <f>IF(AD130=15,J130,0)</f>
        <v>0</v>
      </c>
      <c r="AB130" s="24">
        <f>IF(AD130=21,J130,0)</f>
        <v>0</v>
      </c>
      <c r="AC130" s="1"/>
      <c r="AD130" s="24">
        <v>21</v>
      </c>
      <c r="AE130" s="24">
        <f>G130*0.625</f>
        <v>0</v>
      </c>
      <c r="AF130" s="24">
        <f>G130*(1-0.625)</f>
        <v>0</v>
      </c>
      <c r="AG130" s="1"/>
      <c r="AH130" s="1"/>
      <c r="AI130" s="1"/>
      <c r="AJ130" s="1"/>
      <c r="AK130" s="1"/>
      <c r="AL130" s="1"/>
      <c r="AM130" s="24">
        <f>F130*AE130</f>
        <v>0</v>
      </c>
      <c r="AN130" s="24">
        <f>F130*AF130</f>
        <v>0</v>
      </c>
      <c r="AO130" s="25" t="s">
        <v>234</v>
      </c>
      <c r="AP130" s="25" t="s">
        <v>192</v>
      </c>
      <c r="AQ130" s="18" t="s">
        <v>56</v>
      </c>
    </row>
    <row r="131" spans="1:43" customFormat="1" x14ac:dyDescent="0.2">
      <c r="A131" s="1"/>
      <c r="B131" s="1"/>
      <c r="C131" s="1"/>
      <c r="D131" s="26" t="s">
        <v>239</v>
      </c>
      <c r="E131" s="1"/>
      <c r="F131" s="27">
        <v>1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s="60" customFormat="1" x14ac:dyDescent="0.2">
      <c r="A132" s="68"/>
      <c r="B132" s="69"/>
      <c r="C132" s="69" t="s">
        <v>240</v>
      </c>
      <c r="D132" s="95" t="s">
        <v>241</v>
      </c>
      <c r="E132" s="95"/>
      <c r="F132" s="95"/>
      <c r="G132" s="95"/>
      <c r="H132" s="70">
        <f>SUM(H133:H133)</f>
        <v>0</v>
      </c>
      <c r="I132" s="70">
        <f>SUM(I133:I133)</f>
        <v>0</v>
      </c>
      <c r="J132" s="70">
        <f>H132+I132</f>
        <v>0</v>
      </c>
      <c r="K132" s="59"/>
      <c r="L132" s="70">
        <f>SUM(L133:L133)</f>
        <v>0</v>
      </c>
      <c r="M132" s="59"/>
      <c r="N132" s="58"/>
      <c r="O132" s="58"/>
      <c r="P132" s="70">
        <f>IF(Q132="PR",J132,SUM(O133:O133))</f>
        <v>0</v>
      </c>
      <c r="Q132" s="59" t="s">
        <v>179</v>
      </c>
      <c r="R132" s="70">
        <f>IF(Q132="HS",H132,0)</f>
        <v>0</v>
      </c>
      <c r="S132" s="70">
        <f>IF(Q132="HS",I132-P132,0)</f>
        <v>0</v>
      </c>
      <c r="T132" s="70">
        <f>IF(Q132="PS",H132,0)</f>
        <v>0</v>
      </c>
      <c r="U132" s="70">
        <f>IF(Q132="PS",I132-P132,0)</f>
        <v>0</v>
      </c>
      <c r="V132" s="70">
        <f>IF(Q132="MP",H132,0)</f>
        <v>0</v>
      </c>
      <c r="W132" s="70">
        <f>IF(Q132="MP",I132-P132,0)</f>
        <v>0</v>
      </c>
      <c r="X132" s="70">
        <f>IF(Q132="OM",H132,0)</f>
        <v>0</v>
      </c>
      <c r="Y132" s="59"/>
      <c r="Z132" s="58"/>
      <c r="AA132" s="58"/>
      <c r="AB132" s="58"/>
      <c r="AC132" s="58"/>
      <c r="AD132" s="58"/>
      <c r="AE132" s="58"/>
      <c r="AF132" s="58"/>
      <c r="AG132" s="58"/>
      <c r="AH132" s="58"/>
      <c r="AI132" s="70">
        <f>SUM(Z133:Z133)</f>
        <v>0</v>
      </c>
      <c r="AJ132" s="70">
        <f>SUM(AA133:AA133)</f>
        <v>0</v>
      </c>
      <c r="AK132" s="70">
        <f>SUM(AB133:AB133)</f>
        <v>0</v>
      </c>
      <c r="AL132" s="58"/>
      <c r="AM132" s="58"/>
      <c r="AN132" s="58"/>
      <c r="AO132" s="58"/>
      <c r="AP132" s="58"/>
      <c r="AQ132" s="58"/>
    </row>
    <row r="133" spans="1:43" s="60" customFormat="1" x14ac:dyDescent="0.2">
      <c r="A133" s="55" t="s">
        <v>242</v>
      </c>
      <c r="B133" s="55"/>
      <c r="C133" s="55" t="s">
        <v>243</v>
      </c>
      <c r="D133" s="55" t="s">
        <v>244</v>
      </c>
      <c r="E133" s="55" t="s">
        <v>245</v>
      </c>
      <c r="F133" s="56">
        <v>1</v>
      </c>
      <c r="G133" s="56">
        <v>0</v>
      </c>
      <c r="H133" s="56">
        <f>F133*AE133</f>
        <v>0</v>
      </c>
      <c r="I133" s="56">
        <f>J133-H133</f>
        <v>0</v>
      </c>
      <c r="J133" s="56">
        <f>F133*G133</f>
        <v>0</v>
      </c>
      <c r="K133" s="56">
        <v>0</v>
      </c>
      <c r="L133" s="56">
        <f>F133*K133</f>
        <v>0</v>
      </c>
      <c r="M133" s="57"/>
      <c r="N133" s="57" t="s">
        <v>49</v>
      </c>
      <c r="O133" s="56">
        <f>IF(N133="5",I133,0)</f>
        <v>0</v>
      </c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6">
        <f>IF(AD133=0,J133,0)</f>
        <v>0</v>
      </c>
      <c r="AA133" s="56">
        <f>IF(AD133=15,J133,0)</f>
        <v>0</v>
      </c>
      <c r="AB133" s="56">
        <f>IF(AD133=21,J133,0)</f>
        <v>0</v>
      </c>
      <c r="AC133" s="58"/>
      <c r="AD133" s="56">
        <v>21</v>
      </c>
      <c r="AE133" s="56">
        <f>G133*0.285714</f>
        <v>0</v>
      </c>
      <c r="AF133" s="56">
        <f>G133*(1-0.285714)</f>
        <v>0</v>
      </c>
      <c r="AG133" s="58"/>
      <c r="AH133" s="58"/>
      <c r="AI133" s="58"/>
      <c r="AJ133" s="58"/>
      <c r="AK133" s="58"/>
      <c r="AL133" s="58"/>
      <c r="AM133" s="56">
        <f>F133*AE133</f>
        <v>0</v>
      </c>
      <c r="AN133" s="56">
        <f>F133*AF133</f>
        <v>0</v>
      </c>
      <c r="AO133" s="57" t="s">
        <v>246</v>
      </c>
      <c r="AP133" s="57" t="s">
        <v>247</v>
      </c>
      <c r="AQ133" s="59" t="s">
        <v>56</v>
      </c>
    </row>
    <row r="134" spans="1:43" s="60" customFormat="1" x14ac:dyDescent="0.2">
      <c r="A134" s="58"/>
      <c r="B134" s="58"/>
      <c r="C134" s="58"/>
      <c r="D134" s="61" t="s">
        <v>248</v>
      </c>
      <c r="E134" s="58"/>
      <c r="F134" s="62">
        <v>1</v>
      </c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</row>
    <row r="135" spans="1:43" customFormat="1" x14ac:dyDescent="0.2">
      <c r="A135" s="28"/>
      <c r="B135" s="29"/>
      <c r="C135" s="29" t="s">
        <v>249</v>
      </c>
      <c r="D135" s="88" t="s">
        <v>250</v>
      </c>
      <c r="E135" s="88"/>
      <c r="F135" s="88"/>
      <c r="G135" s="88"/>
      <c r="H135" s="23">
        <f>SUM(H136:H136)</f>
        <v>0</v>
      </c>
      <c r="I135" s="23">
        <f>SUM(I136:I136)</f>
        <v>0</v>
      </c>
      <c r="J135" s="23">
        <f>H135+I135</f>
        <v>0</v>
      </c>
      <c r="K135" s="18"/>
      <c r="L135" s="23">
        <f>SUM(L136:L136)</f>
        <v>1.815E-3</v>
      </c>
      <c r="M135" s="18"/>
      <c r="N135" s="1"/>
      <c r="O135" s="1"/>
      <c r="P135" s="23">
        <f>IF(Q135="PR",J135,SUM(O136:O136))</f>
        <v>0</v>
      </c>
      <c r="Q135" s="18" t="s">
        <v>179</v>
      </c>
      <c r="R135" s="23">
        <f>IF(Q135="HS",H135,0)</f>
        <v>0</v>
      </c>
      <c r="S135" s="23">
        <f>IF(Q135="HS",I135-P135,0)</f>
        <v>0</v>
      </c>
      <c r="T135" s="23">
        <f>IF(Q135="PS",H135,0)</f>
        <v>0</v>
      </c>
      <c r="U135" s="23">
        <f>IF(Q135="PS",I135-P135,0)</f>
        <v>0</v>
      </c>
      <c r="V135" s="23">
        <f>IF(Q135="MP",H135,0)</f>
        <v>0</v>
      </c>
      <c r="W135" s="23">
        <f>IF(Q135="MP",I135-P135,0)</f>
        <v>0</v>
      </c>
      <c r="X135" s="23">
        <f>IF(Q135="OM",H135,0)</f>
        <v>0</v>
      </c>
      <c r="Y135" s="18"/>
      <c r="Z135" s="1"/>
      <c r="AA135" s="1"/>
      <c r="AB135" s="1"/>
      <c r="AC135" s="1"/>
      <c r="AD135" s="1"/>
      <c r="AE135" s="1"/>
      <c r="AF135" s="1"/>
      <c r="AG135" s="1"/>
      <c r="AH135" s="1"/>
      <c r="AI135" s="23">
        <f>SUM(Z136:Z136)</f>
        <v>0</v>
      </c>
      <c r="AJ135" s="23">
        <f>SUM(AA136:AA136)</f>
        <v>0</v>
      </c>
      <c r="AK135" s="23">
        <f>SUM(AB136:AB136)</f>
        <v>0</v>
      </c>
      <c r="AL135" s="1"/>
      <c r="AM135" s="1"/>
      <c r="AN135" s="1"/>
      <c r="AO135" s="1"/>
      <c r="AP135" s="1"/>
      <c r="AQ135" s="1"/>
    </row>
    <row r="136" spans="1:43" customFormat="1" x14ac:dyDescent="0.2">
      <c r="A136" s="3" t="s">
        <v>251</v>
      </c>
      <c r="B136" s="3"/>
      <c r="C136" s="3" t="s">
        <v>252</v>
      </c>
      <c r="D136" s="3" t="s">
        <v>253</v>
      </c>
      <c r="E136" s="3" t="s">
        <v>52</v>
      </c>
      <c r="F136" s="24">
        <v>7.26</v>
      </c>
      <c r="G136" s="24">
        <v>0</v>
      </c>
      <c r="H136" s="24">
        <f>F136*AE136</f>
        <v>0</v>
      </c>
      <c r="I136" s="24">
        <f>J136-H136</f>
        <v>0</v>
      </c>
      <c r="J136" s="24">
        <f>F136*G136</f>
        <v>0</v>
      </c>
      <c r="K136" s="24">
        <v>2.5000000000000001E-4</v>
      </c>
      <c r="L136" s="24">
        <f>F136*K136</f>
        <v>1.815E-3</v>
      </c>
      <c r="M136" s="25" t="s">
        <v>53</v>
      </c>
      <c r="N136" s="25" t="s">
        <v>49</v>
      </c>
      <c r="O136" s="24">
        <f>IF(N136="5",I136,0)</f>
        <v>0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4">
        <f>IF(AD136=0,J136,0)</f>
        <v>0</v>
      </c>
      <c r="AA136" s="24">
        <f>IF(AD136=15,J136,0)</f>
        <v>0</v>
      </c>
      <c r="AB136" s="24">
        <f>IF(AD136=21,J136,0)</f>
        <v>0</v>
      </c>
      <c r="AC136" s="1"/>
      <c r="AD136" s="24">
        <v>21</v>
      </c>
      <c r="AE136" s="24">
        <f>G136*0.225427872860636</f>
        <v>0</v>
      </c>
      <c r="AF136" s="24">
        <f>G136*(1-0.225427872860636)</f>
        <v>0</v>
      </c>
      <c r="AG136" s="1"/>
      <c r="AH136" s="1"/>
      <c r="AI136" s="1"/>
      <c r="AJ136" s="1"/>
      <c r="AK136" s="1"/>
      <c r="AL136" s="1"/>
      <c r="AM136" s="24">
        <f>F136*AE136</f>
        <v>0</v>
      </c>
      <c r="AN136" s="24">
        <f>F136*AF136</f>
        <v>0</v>
      </c>
      <c r="AO136" s="25" t="s">
        <v>254</v>
      </c>
      <c r="AP136" s="25" t="s">
        <v>247</v>
      </c>
      <c r="AQ136" s="18" t="s">
        <v>56</v>
      </c>
    </row>
    <row r="137" spans="1:43" customFormat="1" x14ac:dyDescent="0.2">
      <c r="A137" s="1"/>
      <c r="B137" s="1"/>
      <c r="C137" s="1"/>
      <c r="D137" s="26" t="s">
        <v>255</v>
      </c>
      <c r="E137" s="1"/>
      <c r="F137" s="27">
        <v>7.26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customFormat="1" x14ac:dyDescent="0.2">
      <c r="A138" s="28"/>
      <c r="B138" s="29"/>
      <c r="C138" s="29" t="s">
        <v>256</v>
      </c>
      <c r="D138" s="88" t="s">
        <v>257</v>
      </c>
      <c r="E138" s="88"/>
      <c r="F138" s="88"/>
      <c r="G138" s="88"/>
      <c r="H138" s="23">
        <f>SUM(H139:H154)</f>
        <v>0</v>
      </c>
      <c r="I138" s="23">
        <f>SUM(I139:I154)</f>
        <v>0</v>
      </c>
      <c r="J138" s="23">
        <f>H138+I138</f>
        <v>0</v>
      </c>
      <c r="K138" s="18"/>
      <c r="L138" s="23">
        <f>SUM(L139:L154)</f>
        <v>22.404740800000006</v>
      </c>
      <c r="M138" s="18"/>
      <c r="N138" s="1"/>
      <c r="O138" s="1"/>
      <c r="P138" s="23">
        <f>IF(Q138="PR",J138,SUM(O139:O154))</f>
        <v>0</v>
      </c>
      <c r="Q138" s="18" t="s">
        <v>48</v>
      </c>
      <c r="R138" s="23">
        <f>IF(Q138="HS",H138,0)</f>
        <v>0</v>
      </c>
      <c r="S138" s="23">
        <f>IF(Q138="HS",I138-P138,0)</f>
        <v>0</v>
      </c>
      <c r="T138" s="23">
        <f>IF(Q138="PS",H138,0)</f>
        <v>0</v>
      </c>
      <c r="U138" s="23">
        <f>IF(Q138="PS",I138-P138,0)</f>
        <v>0</v>
      </c>
      <c r="V138" s="23">
        <f>IF(Q138="MP",H138,0)</f>
        <v>0</v>
      </c>
      <c r="W138" s="23">
        <f>IF(Q138="MP",I138-P138,0)</f>
        <v>0</v>
      </c>
      <c r="X138" s="23">
        <f>IF(Q138="OM",H138,0)</f>
        <v>0</v>
      </c>
      <c r="Y138" s="18"/>
      <c r="Z138" s="1"/>
      <c r="AA138" s="1"/>
      <c r="AB138" s="1"/>
      <c r="AC138" s="1"/>
      <c r="AD138" s="1"/>
      <c r="AE138" s="1"/>
      <c r="AF138" s="1"/>
      <c r="AG138" s="1"/>
      <c r="AH138" s="1"/>
      <c r="AI138" s="23">
        <f>SUM(Z139:Z154)</f>
        <v>0</v>
      </c>
      <c r="AJ138" s="23">
        <f>SUM(AA139:AA154)</f>
        <v>0</v>
      </c>
      <c r="AK138" s="23">
        <f>SUM(AB139:AB154)</f>
        <v>0</v>
      </c>
      <c r="AL138" s="1"/>
      <c r="AM138" s="1"/>
      <c r="AN138" s="1"/>
      <c r="AO138" s="1"/>
      <c r="AP138" s="1"/>
      <c r="AQ138" s="1"/>
    </row>
    <row r="139" spans="1:43" customFormat="1" x14ac:dyDescent="0.2">
      <c r="A139" s="3" t="s">
        <v>258</v>
      </c>
      <c r="B139" s="3"/>
      <c r="C139" s="3" t="s">
        <v>259</v>
      </c>
      <c r="D139" s="3" t="s">
        <v>260</v>
      </c>
      <c r="E139" s="3" t="s">
        <v>52</v>
      </c>
      <c r="F139" s="24">
        <v>2</v>
      </c>
      <c r="G139" s="24">
        <v>0</v>
      </c>
      <c r="H139" s="24">
        <f>F139*AE139</f>
        <v>0</v>
      </c>
      <c r="I139" s="24">
        <f>J139-H139</f>
        <v>0</v>
      </c>
      <c r="J139" s="24">
        <f>F139*G139</f>
        <v>0</v>
      </c>
      <c r="K139" s="24">
        <v>1.58E-3</v>
      </c>
      <c r="L139" s="24">
        <f>F139*K139</f>
        <v>3.16E-3</v>
      </c>
      <c r="M139" s="25" t="s">
        <v>53</v>
      </c>
      <c r="N139" s="25" t="s">
        <v>49</v>
      </c>
      <c r="O139" s="24">
        <f>IF(N139="5",I139,0)</f>
        <v>0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4">
        <f>IF(AD139=0,J139,0)</f>
        <v>0</v>
      </c>
      <c r="AA139" s="24">
        <f>IF(AD139=15,J139,0)</f>
        <v>0</v>
      </c>
      <c r="AB139" s="24">
        <f>IF(AD139=21,J139,0)</f>
        <v>0</v>
      </c>
      <c r="AC139" s="1"/>
      <c r="AD139" s="24">
        <v>21</v>
      </c>
      <c r="AE139" s="24">
        <f>G139*0.455303820267324</f>
        <v>0</v>
      </c>
      <c r="AF139" s="24">
        <f>G139*(1-0.455303820267324)</f>
        <v>0</v>
      </c>
      <c r="AG139" s="1"/>
      <c r="AH139" s="1"/>
      <c r="AI139" s="1"/>
      <c r="AJ139" s="1"/>
      <c r="AK139" s="1"/>
      <c r="AL139" s="1"/>
      <c r="AM139" s="24">
        <f>F139*AE139</f>
        <v>0</v>
      </c>
      <c r="AN139" s="24">
        <f>F139*AF139</f>
        <v>0</v>
      </c>
      <c r="AO139" s="25" t="s">
        <v>261</v>
      </c>
      <c r="AP139" s="25" t="s">
        <v>262</v>
      </c>
      <c r="AQ139" s="18" t="s">
        <v>56</v>
      </c>
    </row>
    <row r="140" spans="1:43" customFormat="1" x14ac:dyDescent="0.2">
      <c r="A140" s="1"/>
      <c r="B140" s="1"/>
      <c r="C140" s="1"/>
      <c r="D140" s="26" t="s">
        <v>263</v>
      </c>
      <c r="E140" s="1"/>
      <c r="F140" s="27">
        <v>2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customFormat="1" x14ac:dyDescent="0.2">
      <c r="A141" s="3" t="s">
        <v>264</v>
      </c>
      <c r="B141" s="3"/>
      <c r="C141" s="3" t="s">
        <v>265</v>
      </c>
      <c r="D141" s="3" t="s">
        <v>266</v>
      </c>
      <c r="E141" s="3" t="s">
        <v>52</v>
      </c>
      <c r="F141" s="24">
        <v>1102.44</v>
      </c>
      <c r="G141" s="24">
        <v>0</v>
      </c>
      <c r="H141" s="24">
        <f>F141*AE141</f>
        <v>0</v>
      </c>
      <c r="I141" s="24">
        <f>J141-H141</f>
        <v>0</v>
      </c>
      <c r="J141" s="24">
        <f>F141*G141</f>
        <v>0</v>
      </c>
      <c r="K141" s="24">
        <v>1.8380000000000001E-2</v>
      </c>
      <c r="L141" s="24">
        <f>F141*K141</f>
        <v>20.262847200000003</v>
      </c>
      <c r="M141" s="25" t="s">
        <v>53</v>
      </c>
      <c r="N141" s="25" t="s">
        <v>49</v>
      </c>
      <c r="O141" s="24">
        <f>IF(N141="5",I141,0)</f>
        <v>0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4">
        <f>IF(AD141=0,J141,0)</f>
        <v>0</v>
      </c>
      <c r="AA141" s="24">
        <f>IF(AD141=15,J141,0)</f>
        <v>0</v>
      </c>
      <c r="AB141" s="24">
        <f>IF(AD141=21,J141,0)</f>
        <v>0</v>
      </c>
      <c r="AC141" s="1"/>
      <c r="AD141" s="24">
        <v>21</v>
      </c>
      <c r="AE141" s="24">
        <f>G141*0.000623700623700624</f>
        <v>0</v>
      </c>
      <c r="AF141" s="24">
        <f>G141*(1-0.000623700623700624)</f>
        <v>0</v>
      </c>
      <c r="AG141" s="1"/>
      <c r="AH141" s="1"/>
      <c r="AI141" s="1"/>
      <c r="AJ141" s="1"/>
      <c r="AK141" s="1"/>
      <c r="AL141" s="1"/>
      <c r="AM141" s="24">
        <f>F141*AE141</f>
        <v>0</v>
      </c>
      <c r="AN141" s="24">
        <f>F141*AF141</f>
        <v>0</v>
      </c>
      <c r="AO141" s="25" t="s">
        <v>261</v>
      </c>
      <c r="AP141" s="25" t="s">
        <v>262</v>
      </c>
      <c r="AQ141" s="18" t="s">
        <v>56</v>
      </c>
    </row>
    <row r="142" spans="1:43" customFormat="1" x14ac:dyDescent="0.2">
      <c r="A142" s="1"/>
      <c r="B142" s="1"/>
      <c r="C142" s="1"/>
      <c r="D142" s="26" t="s">
        <v>267</v>
      </c>
      <c r="E142" s="1"/>
      <c r="F142" s="27">
        <v>327.14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customFormat="1" x14ac:dyDescent="0.2">
      <c r="A143" s="1"/>
      <c r="B143" s="1"/>
      <c r="C143" s="1"/>
      <c r="D143" s="26" t="s">
        <v>268</v>
      </c>
      <c r="E143" s="1"/>
      <c r="F143" s="27">
        <v>76.400000000000006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customFormat="1" x14ac:dyDescent="0.2">
      <c r="A144" s="1"/>
      <c r="B144" s="1"/>
      <c r="C144" s="1"/>
      <c r="D144" s="26" t="s">
        <v>269</v>
      </c>
      <c r="E144" s="1"/>
      <c r="F144" s="27">
        <v>129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customFormat="1" x14ac:dyDescent="0.2">
      <c r="A145" s="1"/>
      <c r="B145" s="1"/>
      <c r="C145" s="1"/>
      <c r="D145" s="26" t="s">
        <v>270</v>
      </c>
      <c r="E145" s="1"/>
      <c r="F145" s="27">
        <v>45.58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customFormat="1" x14ac:dyDescent="0.2">
      <c r="A146" s="1"/>
      <c r="B146" s="1"/>
      <c r="C146" s="1"/>
      <c r="D146" s="26" t="s">
        <v>271</v>
      </c>
      <c r="E146" s="1"/>
      <c r="F146" s="27">
        <v>120.62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customFormat="1" x14ac:dyDescent="0.2">
      <c r="A147" s="1"/>
      <c r="B147" s="1"/>
      <c r="C147" s="1"/>
      <c r="D147" s="26" t="s">
        <v>272</v>
      </c>
      <c r="E147" s="1"/>
      <c r="F147" s="27">
        <v>76.5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customFormat="1" x14ac:dyDescent="0.2">
      <c r="A148" s="1"/>
      <c r="B148" s="1"/>
      <c r="C148" s="1"/>
      <c r="D148" s="26" t="s">
        <v>273</v>
      </c>
      <c r="E148" s="1"/>
      <c r="F148" s="27">
        <v>71.09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customFormat="1" x14ac:dyDescent="0.2">
      <c r="A149" s="1"/>
      <c r="B149" s="1"/>
      <c r="C149" s="1"/>
      <c r="D149" s="26" t="s">
        <v>274</v>
      </c>
      <c r="E149" s="1"/>
      <c r="F149" s="27">
        <v>256.11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customFormat="1" x14ac:dyDescent="0.2">
      <c r="A150" s="3" t="s">
        <v>275</v>
      </c>
      <c r="B150" s="3"/>
      <c r="C150" s="3" t="s">
        <v>276</v>
      </c>
      <c r="D150" s="3" t="s">
        <v>277</v>
      </c>
      <c r="E150" s="3" t="s">
        <v>52</v>
      </c>
      <c r="F150" s="24">
        <v>2204.88</v>
      </c>
      <c r="G150" s="24">
        <v>0</v>
      </c>
      <c r="H150" s="24">
        <f>F150*AE150</f>
        <v>0</v>
      </c>
      <c r="I150" s="24">
        <f>J150-H150</f>
        <v>0</v>
      </c>
      <c r="J150" s="24">
        <f>F150*G150</f>
        <v>0</v>
      </c>
      <c r="K150" s="24">
        <v>9.7000000000000005E-4</v>
      </c>
      <c r="L150" s="24">
        <f>F150*K150</f>
        <v>2.1387336000000001</v>
      </c>
      <c r="M150" s="25" t="s">
        <v>53</v>
      </c>
      <c r="N150" s="25" t="s">
        <v>49</v>
      </c>
      <c r="O150" s="24">
        <f>IF(N150="5",I150,0)</f>
        <v>0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4">
        <f>IF(AD150=0,J150,0)</f>
        <v>0</v>
      </c>
      <c r="AA150" s="24">
        <f>IF(AD150=15,J150,0)</f>
        <v>0</v>
      </c>
      <c r="AB150" s="24">
        <f>IF(AD150=21,J150,0)</f>
        <v>0</v>
      </c>
      <c r="AC150" s="1"/>
      <c r="AD150" s="24">
        <v>21</v>
      </c>
      <c r="AE150" s="24">
        <f>G150*0.954889324740824</f>
        <v>0</v>
      </c>
      <c r="AF150" s="24">
        <f>G150*(1-0.954889324740824)</f>
        <v>0</v>
      </c>
      <c r="AG150" s="1"/>
      <c r="AH150" s="1"/>
      <c r="AI150" s="1"/>
      <c r="AJ150" s="1"/>
      <c r="AK150" s="1"/>
      <c r="AL150" s="1"/>
      <c r="AM150" s="24">
        <f>F150*AE150</f>
        <v>0</v>
      </c>
      <c r="AN150" s="24">
        <f>F150*AF150</f>
        <v>0</v>
      </c>
      <c r="AO150" s="25" t="s">
        <v>261</v>
      </c>
      <c r="AP150" s="25" t="s">
        <v>262</v>
      </c>
      <c r="AQ150" s="18" t="s">
        <v>56</v>
      </c>
    </row>
    <row r="151" spans="1:43" customFormat="1" x14ac:dyDescent="0.2">
      <c r="A151" s="1"/>
      <c r="B151" s="1"/>
      <c r="C151" s="1"/>
      <c r="D151" s="26" t="s">
        <v>278</v>
      </c>
      <c r="E151" s="1"/>
      <c r="F151" s="27">
        <v>2204.88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customFormat="1" x14ac:dyDescent="0.2">
      <c r="A152" s="3" t="s">
        <v>279</v>
      </c>
      <c r="B152" s="3"/>
      <c r="C152" s="3" t="s">
        <v>280</v>
      </c>
      <c r="D152" s="3" t="s">
        <v>281</v>
      </c>
      <c r="E152" s="3" t="s">
        <v>52</v>
      </c>
      <c r="F152" s="24">
        <v>1102.44</v>
      </c>
      <c r="G152" s="24">
        <v>0</v>
      </c>
      <c r="H152" s="24">
        <f>F152*AE152</f>
        <v>0</v>
      </c>
      <c r="I152" s="24">
        <f>J152-H152</f>
        <v>0</v>
      </c>
      <c r="J152" s="24">
        <f>F152*G152</f>
        <v>0</v>
      </c>
      <c r="K152" s="24">
        <v>0</v>
      </c>
      <c r="L152" s="24">
        <f>F152*K152</f>
        <v>0</v>
      </c>
      <c r="M152" s="25" t="s">
        <v>53</v>
      </c>
      <c r="N152" s="25" t="s">
        <v>49</v>
      </c>
      <c r="O152" s="24">
        <f>IF(N152="5",I152,0)</f>
        <v>0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4">
        <f>IF(AD152=0,J152,0)</f>
        <v>0</v>
      </c>
      <c r="AA152" s="24">
        <f>IF(AD152=15,J152,0)</f>
        <v>0</v>
      </c>
      <c r="AB152" s="24">
        <f>IF(AD152=21,J152,0)</f>
        <v>0</v>
      </c>
      <c r="AC152" s="1"/>
      <c r="AD152" s="24">
        <v>21</v>
      </c>
      <c r="AE152" s="24">
        <f>G152*0</f>
        <v>0</v>
      </c>
      <c r="AF152" s="24">
        <f>G152*(1-0)</f>
        <v>0</v>
      </c>
      <c r="AG152" s="1"/>
      <c r="AH152" s="1"/>
      <c r="AI152" s="1"/>
      <c r="AJ152" s="1"/>
      <c r="AK152" s="1"/>
      <c r="AL152" s="1"/>
      <c r="AM152" s="24">
        <f>F152*AE152</f>
        <v>0</v>
      </c>
      <c r="AN152" s="24">
        <f>F152*AF152</f>
        <v>0</v>
      </c>
      <c r="AO152" s="25" t="s">
        <v>261</v>
      </c>
      <c r="AP152" s="25" t="s">
        <v>262</v>
      </c>
      <c r="AQ152" s="18" t="s">
        <v>56</v>
      </c>
    </row>
    <row r="153" spans="1:43" customFormat="1" x14ac:dyDescent="0.2">
      <c r="A153" s="1"/>
      <c r="B153" s="1"/>
      <c r="C153" s="1"/>
      <c r="D153" s="26" t="s">
        <v>282</v>
      </c>
      <c r="E153" s="1"/>
      <c r="F153" s="27">
        <v>1102.44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customFormat="1" x14ac:dyDescent="0.2">
      <c r="A154" s="3" t="s">
        <v>46</v>
      </c>
      <c r="B154" s="3"/>
      <c r="C154" s="3" t="s">
        <v>283</v>
      </c>
      <c r="D154" s="3" t="s">
        <v>284</v>
      </c>
      <c r="E154" s="3" t="s">
        <v>285</v>
      </c>
      <c r="F154" s="24">
        <v>22.40474</v>
      </c>
      <c r="G154" s="24">
        <v>0</v>
      </c>
      <c r="H154" s="24">
        <f>F154*AE154</f>
        <v>0</v>
      </c>
      <c r="I154" s="24">
        <f>J154-H154</f>
        <v>0</v>
      </c>
      <c r="J154" s="24">
        <f>F154*G154</f>
        <v>0</v>
      </c>
      <c r="K154" s="24">
        <v>0</v>
      </c>
      <c r="L154" s="24">
        <f>F154*K154</f>
        <v>0</v>
      </c>
      <c r="M154" s="25" t="s">
        <v>53</v>
      </c>
      <c r="N154" s="25" t="s">
        <v>75</v>
      </c>
      <c r="O154" s="24">
        <f>IF(N154="5",I154,0)</f>
        <v>0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4">
        <f>IF(AD154=0,J154,0)</f>
        <v>0</v>
      </c>
      <c r="AA154" s="24">
        <f>IF(AD154=15,J154,0)</f>
        <v>0</v>
      </c>
      <c r="AB154" s="24">
        <f>IF(AD154=21,J154,0)</f>
        <v>0</v>
      </c>
      <c r="AC154" s="1"/>
      <c r="AD154" s="24">
        <v>21</v>
      </c>
      <c r="AE154" s="24">
        <f>G154*0</f>
        <v>0</v>
      </c>
      <c r="AF154" s="24">
        <f>G154*(1-0)</f>
        <v>0</v>
      </c>
      <c r="AG154" s="1"/>
      <c r="AH154" s="1"/>
      <c r="AI154" s="1"/>
      <c r="AJ154" s="1"/>
      <c r="AK154" s="1"/>
      <c r="AL154" s="1"/>
      <c r="AM154" s="24">
        <f>F154*AE154</f>
        <v>0</v>
      </c>
      <c r="AN154" s="24">
        <f>F154*AF154</f>
        <v>0</v>
      </c>
      <c r="AO154" s="25" t="s">
        <v>261</v>
      </c>
      <c r="AP154" s="25" t="s">
        <v>262</v>
      </c>
      <c r="AQ154" s="18" t="s">
        <v>56</v>
      </c>
    </row>
    <row r="155" spans="1:43" customFormat="1" x14ac:dyDescent="0.2">
      <c r="A155" s="28"/>
      <c r="B155" s="29"/>
      <c r="C155" s="29" t="s">
        <v>286</v>
      </c>
      <c r="D155" s="88" t="s">
        <v>287</v>
      </c>
      <c r="E155" s="88"/>
      <c r="F155" s="88"/>
      <c r="G155" s="88"/>
      <c r="H155" s="23">
        <f>SUM(H156:H158)</f>
        <v>0</v>
      </c>
      <c r="I155" s="23">
        <f>SUM(I156:I158)</f>
        <v>0</v>
      </c>
      <c r="J155" s="23">
        <f>H155+I155</f>
        <v>0</v>
      </c>
      <c r="K155" s="18"/>
      <c r="L155" s="23">
        <f>SUM(L156:L158)</f>
        <v>2.7420999999999999E-3</v>
      </c>
      <c r="M155" s="18"/>
      <c r="N155" s="1"/>
      <c r="O155" s="1"/>
      <c r="P155" s="23">
        <f>IF(Q155="PR",J155,SUM(O156:O158))</f>
        <v>0</v>
      </c>
      <c r="Q155" s="18" t="s">
        <v>48</v>
      </c>
      <c r="R155" s="23">
        <f>IF(Q155="HS",H155,0)</f>
        <v>0</v>
      </c>
      <c r="S155" s="23">
        <f>IF(Q155="HS",I155-P155,0)</f>
        <v>0</v>
      </c>
      <c r="T155" s="23">
        <f>IF(Q155="PS",H155,0)</f>
        <v>0</v>
      </c>
      <c r="U155" s="23">
        <f>IF(Q155="PS",I155-P155,0)</f>
        <v>0</v>
      </c>
      <c r="V155" s="23">
        <f>IF(Q155="MP",H155,0)</f>
        <v>0</v>
      </c>
      <c r="W155" s="23">
        <f>IF(Q155="MP",I155-P155,0)</f>
        <v>0</v>
      </c>
      <c r="X155" s="23">
        <f>IF(Q155="OM",H155,0)</f>
        <v>0</v>
      </c>
      <c r="Y155" s="18"/>
      <c r="Z155" s="1"/>
      <c r="AA155" s="1"/>
      <c r="AB155" s="1"/>
      <c r="AC155" s="1"/>
      <c r="AD155" s="1"/>
      <c r="AE155" s="1"/>
      <c r="AF155" s="1"/>
      <c r="AG155" s="1"/>
      <c r="AH155" s="1"/>
      <c r="AI155" s="23">
        <f>SUM(Z156:Z158)</f>
        <v>0</v>
      </c>
      <c r="AJ155" s="23">
        <f>SUM(AA156:AA158)</f>
        <v>0</v>
      </c>
      <c r="AK155" s="23">
        <f>SUM(AB156:AB158)</f>
        <v>0</v>
      </c>
      <c r="AL155" s="1"/>
      <c r="AM155" s="1"/>
      <c r="AN155" s="1"/>
      <c r="AO155" s="1"/>
      <c r="AP155" s="1"/>
      <c r="AQ155" s="1"/>
    </row>
    <row r="156" spans="1:43" customFormat="1" x14ac:dyDescent="0.2">
      <c r="A156" s="3" t="s">
        <v>288</v>
      </c>
      <c r="B156" s="3"/>
      <c r="C156" s="3" t="s">
        <v>289</v>
      </c>
      <c r="D156" s="3" t="s">
        <v>290</v>
      </c>
      <c r="E156" s="3" t="s">
        <v>52</v>
      </c>
      <c r="F156" s="24">
        <v>274.20999999999998</v>
      </c>
      <c r="G156" s="24">
        <v>0</v>
      </c>
      <c r="H156" s="24">
        <f>F156*AE156</f>
        <v>0</v>
      </c>
      <c r="I156" s="24">
        <f>J156-H156</f>
        <v>0</v>
      </c>
      <c r="J156" s="24">
        <f>F156*G156</f>
        <v>0</v>
      </c>
      <c r="K156" s="24">
        <v>1.0000000000000001E-5</v>
      </c>
      <c r="L156" s="24">
        <f>F156*K156</f>
        <v>2.7420999999999999E-3</v>
      </c>
      <c r="M156" s="25" t="s">
        <v>53</v>
      </c>
      <c r="N156" s="25" t="s">
        <v>49</v>
      </c>
      <c r="O156" s="24">
        <f>IF(N156="5",I156,0)</f>
        <v>0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4">
        <f>IF(AD156=0,J156,0)</f>
        <v>0</v>
      </c>
      <c r="AA156" s="24">
        <f>IF(AD156=15,J156,0)</f>
        <v>0</v>
      </c>
      <c r="AB156" s="24">
        <f>IF(AD156=21,J156,0)</f>
        <v>0</v>
      </c>
      <c r="AC156" s="1"/>
      <c r="AD156" s="24">
        <v>21</v>
      </c>
      <c r="AE156" s="24">
        <f>G156*0.0288201741218853</f>
        <v>0</v>
      </c>
      <c r="AF156" s="24">
        <f>G156*(1-0.0288201741218853)</f>
        <v>0</v>
      </c>
      <c r="AG156" s="1"/>
      <c r="AH156" s="1"/>
      <c r="AI156" s="1"/>
      <c r="AJ156" s="1"/>
      <c r="AK156" s="1"/>
      <c r="AL156" s="1"/>
      <c r="AM156" s="24">
        <f>F156*AE156</f>
        <v>0</v>
      </c>
      <c r="AN156" s="24">
        <f>F156*AF156</f>
        <v>0</v>
      </c>
      <c r="AO156" s="25" t="s">
        <v>291</v>
      </c>
      <c r="AP156" s="25" t="s">
        <v>262</v>
      </c>
      <c r="AQ156" s="18" t="s">
        <v>56</v>
      </c>
    </row>
    <row r="157" spans="1:43" customFormat="1" x14ac:dyDescent="0.2">
      <c r="A157" s="1"/>
      <c r="B157" s="1"/>
      <c r="C157" s="1"/>
      <c r="D157" s="26" t="s">
        <v>292</v>
      </c>
      <c r="E157" s="1"/>
      <c r="F157" s="27">
        <v>274.20999999999998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customFormat="1" x14ac:dyDescent="0.2">
      <c r="A158" s="3" t="s">
        <v>293</v>
      </c>
      <c r="B158" s="3"/>
      <c r="C158" s="3" t="s">
        <v>294</v>
      </c>
      <c r="D158" s="3" t="s">
        <v>295</v>
      </c>
      <c r="E158" s="3" t="s">
        <v>285</v>
      </c>
      <c r="F158" s="24">
        <v>34.904859999999999</v>
      </c>
      <c r="G158" s="24">
        <v>0</v>
      </c>
      <c r="H158" s="24">
        <f>F158*AE158</f>
        <v>0</v>
      </c>
      <c r="I158" s="24">
        <f>J158-H158</f>
        <v>0</v>
      </c>
      <c r="J158" s="24">
        <f>F158*G158</f>
        <v>0</v>
      </c>
      <c r="K158" s="24">
        <v>0</v>
      </c>
      <c r="L158" s="24">
        <f>F158*K158</f>
        <v>0</v>
      </c>
      <c r="M158" s="25" t="s">
        <v>53</v>
      </c>
      <c r="N158" s="25" t="s">
        <v>75</v>
      </c>
      <c r="O158" s="24">
        <f>IF(N158="5",I158,0)</f>
        <v>0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4">
        <f>IF(AD158=0,J158,0)</f>
        <v>0</v>
      </c>
      <c r="AA158" s="24">
        <f>IF(AD158=15,J158,0)</f>
        <v>0</v>
      </c>
      <c r="AB158" s="24">
        <f>IF(AD158=21,J158,0)</f>
        <v>0</v>
      </c>
      <c r="AC158" s="1"/>
      <c r="AD158" s="24">
        <v>21</v>
      </c>
      <c r="AE158" s="24">
        <f>G158*0</f>
        <v>0</v>
      </c>
      <c r="AF158" s="24">
        <f>G158*(1-0)</f>
        <v>0</v>
      </c>
      <c r="AG158" s="1"/>
      <c r="AH158" s="1"/>
      <c r="AI158" s="1"/>
      <c r="AJ158" s="1"/>
      <c r="AK158" s="1"/>
      <c r="AL158" s="1"/>
      <c r="AM158" s="24">
        <f>F158*AE158</f>
        <v>0</v>
      </c>
      <c r="AN158" s="24">
        <f>F158*AF158</f>
        <v>0</v>
      </c>
      <c r="AO158" s="25" t="s">
        <v>291</v>
      </c>
      <c r="AP158" s="25" t="s">
        <v>262</v>
      </c>
      <c r="AQ158" s="18" t="s">
        <v>56</v>
      </c>
    </row>
    <row r="159" spans="1:43" customFormat="1" x14ac:dyDescent="0.2">
      <c r="A159" s="1"/>
      <c r="B159" s="1"/>
      <c r="C159" s="1"/>
      <c r="D159" s="26" t="s">
        <v>296</v>
      </c>
      <c r="E159" s="1"/>
      <c r="F159" s="27">
        <v>34.904859999999999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customFormat="1" x14ac:dyDescent="0.2">
      <c r="A160" s="28"/>
      <c r="B160" s="29"/>
      <c r="C160" s="29" t="s">
        <v>297</v>
      </c>
      <c r="D160" s="88" t="s">
        <v>298</v>
      </c>
      <c r="E160" s="88"/>
      <c r="F160" s="88"/>
      <c r="G160" s="88"/>
      <c r="H160" s="23">
        <f>SUM(H161:H166)</f>
        <v>0</v>
      </c>
      <c r="I160" s="23">
        <f>SUM(I161:I166)</f>
        <v>0</v>
      </c>
      <c r="J160" s="23">
        <f>H160+I160</f>
        <v>0</v>
      </c>
      <c r="K160" s="18"/>
      <c r="L160" s="23">
        <f>SUM(L161:L166)</f>
        <v>0.31963841000000004</v>
      </c>
      <c r="M160" s="18"/>
      <c r="N160" s="1"/>
      <c r="O160" s="1"/>
      <c r="P160" s="23">
        <f>IF(Q160="PR",J160,SUM(O161:O166))</f>
        <v>0</v>
      </c>
      <c r="Q160" s="18" t="s">
        <v>48</v>
      </c>
      <c r="R160" s="23">
        <f>IF(Q160="HS",H160,0)</f>
        <v>0</v>
      </c>
      <c r="S160" s="23">
        <f>IF(Q160="HS",I160-P160,0)</f>
        <v>0</v>
      </c>
      <c r="T160" s="23">
        <f>IF(Q160="PS",H160,0)</f>
        <v>0</v>
      </c>
      <c r="U160" s="23">
        <f>IF(Q160="PS",I160-P160,0)</f>
        <v>0</v>
      </c>
      <c r="V160" s="23">
        <f>IF(Q160="MP",H160,0)</f>
        <v>0</v>
      </c>
      <c r="W160" s="23">
        <f>IF(Q160="MP",I160-P160,0)</f>
        <v>0</v>
      </c>
      <c r="X160" s="23">
        <f>IF(Q160="OM",H160,0)</f>
        <v>0</v>
      </c>
      <c r="Y160" s="18"/>
      <c r="Z160" s="1"/>
      <c r="AA160" s="1"/>
      <c r="AB160" s="1"/>
      <c r="AC160" s="1"/>
      <c r="AD160" s="1"/>
      <c r="AE160" s="1"/>
      <c r="AF160" s="1"/>
      <c r="AG160" s="1"/>
      <c r="AH160" s="1"/>
      <c r="AI160" s="23">
        <f>SUM(Z161:Z166)</f>
        <v>0</v>
      </c>
      <c r="AJ160" s="23">
        <f>SUM(AA161:AA166)</f>
        <v>0</v>
      </c>
      <c r="AK160" s="23">
        <f>SUM(AB161:AB166)</f>
        <v>0</v>
      </c>
      <c r="AL160" s="1"/>
      <c r="AM160" s="1"/>
      <c r="AN160" s="1"/>
      <c r="AO160" s="1"/>
      <c r="AP160" s="1"/>
      <c r="AQ160" s="1"/>
    </row>
    <row r="161" spans="1:43" customFormat="1" x14ac:dyDescent="0.2">
      <c r="A161" s="3" t="s">
        <v>299</v>
      </c>
      <c r="B161" s="3"/>
      <c r="C161" s="3" t="s">
        <v>300</v>
      </c>
      <c r="D161" s="3" t="s">
        <v>301</v>
      </c>
      <c r="E161" s="3" t="s">
        <v>218</v>
      </c>
      <c r="F161" s="24">
        <v>3</v>
      </c>
      <c r="G161" s="24">
        <v>0</v>
      </c>
      <c r="H161" s="24">
        <f>F161*AE161</f>
        <v>0</v>
      </c>
      <c r="I161" s="24">
        <f>J161-H161</f>
        <v>0</v>
      </c>
      <c r="J161" s="24">
        <f>F161*G161</f>
        <v>0</v>
      </c>
      <c r="K161" s="24">
        <v>0</v>
      </c>
      <c r="L161" s="24">
        <f>F161*K161</f>
        <v>0</v>
      </c>
      <c r="M161" s="25" t="s">
        <v>53</v>
      </c>
      <c r="N161" s="25" t="s">
        <v>49</v>
      </c>
      <c r="O161" s="24">
        <f>IF(N161="5",I161,0)</f>
        <v>0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4">
        <f>IF(AD161=0,J161,0)</f>
        <v>0</v>
      </c>
      <c r="AA161" s="24">
        <f>IF(AD161=15,J161,0)</f>
        <v>0</v>
      </c>
      <c r="AB161" s="24">
        <f>IF(AD161=21,J161,0)</f>
        <v>0</v>
      </c>
      <c r="AC161" s="1"/>
      <c r="AD161" s="24">
        <v>21</v>
      </c>
      <c r="AE161" s="24">
        <f>G161*0</f>
        <v>0</v>
      </c>
      <c r="AF161" s="24">
        <f>G161*(1-0)</f>
        <v>0</v>
      </c>
      <c r="AG161" s="1"/>
      <c r="AH161" s="1"/>
      <c r="AI161" s="1"/>
      <c r="AJ161" s="1"/>
      <c r="AK161" s="1"/>
      <c r="AL161" s="1"/>
      <c r="AM161" s="24">
        <f>F161*AE161</f>
        <v>0</v>
      </c>
      <c r="AN161" s="24">
        <f>F161*AF161</f>
        <v>0</v>
      </c>
      <c r="AO161" s="25" t="s">
        <v>302</v>
      </c>
      <c r="AP161" s="25" t="s">
        <v>262</v>
      </c>
      <c r="AQ161" s="18" t="s">
        <v>56</v>
      </c>
    </row>
    <row r="162" spans="1:43" customFormat="1" x14ac:dyDescent="0.2">
      <c r="A162" s="1"/>
      <c r="B162" s="1"/>
      <c r="C162" s="1"/>
      <c r="D162" s="26" t="s">
        <v>303</v>
      </c>
      <c r="E162" s="1"/>
      <c r="F162" s="27">
        <v>1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customFormat="1" x14ac:dyDescent="0.2">
      <c r="A163" s="1"/>
      <c r="B163" s="1"/>
      <c r="C163" s="1"/>
      <c r="D163" s="26" t="s">
        <v>304</v>
      </c>
      <c r="E163" s="1"/>
      <c r="F163" s="27">
        <v>2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customFormat="1" x14ac:dyDescent="0.2">
      <c r="A164" s="3" t="s">
        <v>305</v>
      </c>
      <c r="B164" s="3"/>
      <c r="C164" s="3" t="s">
        <v>306</v>
      </c>
      <c r="D164" s="3" t="s">
        <v>307</v>
      </c>
      <c r="E164" s="3" t="s">
        <v>52</v>
      </c>
      <c r="F164" s="24">
        <v>1.7729999999999999</v>
      </c>
      <c r="G164" s="24">
        <v>0</v>
      </c>
      <c r="H164" s="24">
        <f>F164*AE164</f>
        <v>0</v>
      </c>
      <c r="I164" s="24">
        <f>J164-H164</f>
        <v>0</v>
      </c>
      <c r="J164" s="24">
        <f>F164*G164</f>
        <v>0</v>
      </c>
      <c r="K164" s="24">
        <v>7.7170000000000002E-2</v>
      </c>
      <c r="L164" s="24">
        <f>F164*K164</f>
        <v>0.13682241000000001</v>
      </c>
      <c r="M164" s="25" t="s">
        <v>53</v>
      </c>
      <c r="N164" s="25" t="s">
        <v>49</v>
      </c>
      <c r="O164" s="24">
        <f>IF(N164="5",I164,0)</f>
        <v>0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4">
        <f>IF(AD164=0,J164,0)</f>
        <v>0</v>
      </c>
      <c r="AA164" s="24">
        <f>IF(AD164=15,J164,0)</f>
        <v>0</v>
      </c>
      <c r="AB164" s="24">
        <f>IF(AD164=21,J164,0)</f>
        <v>0</v>
      </c>
      <c r="AC164" s="1"/>
      <c r="AD164" s="24">
        <v>21</v>
      </c>
      <c r="AE164" s="24">
        <f>G164*0.105094339622642</f>
        <v>0</v>
      </c>
      <c r="AF164" s="24">
        <f>G164*(1-0.105094339622642)</f>
        <v>0</v>
      </c>
      <c r="AG164" s="1"/>
      <c r="AH164" s="1"/>
      <c r="AI164" s="1"/>
      <c r="AJ164" s="1"/>
      <c r="AK164" s="1"/>
      <c r="AL164" s="1"/>
      <c r="AM164" s="24">
        <f>F164*AE164</f>
        <v>0</v>
      </c>
      <c r="AN164" s="24">
        <f>F164*AF164</f>
        <v>0</v>
      </c>
      <c r="AO164" s="25" t="s">
        <v>302</v>
      </c>
      <c r="AP164" s="25" t="s">
        <v>262</v>
      </c>
      <c r="AQ164" s="18" t="s">
        <v>56</v>
      </c>
    </row>
    <row r="165" spans="1:43" customFormat="1" x14ac:dyDescent="0.2">
      <c r="A165" s="1"/>
      <c r="B165" s="1"/>
      <c r="C165" s="1"/>
      <c r="D165" s="26" t="s">
        <v>308</v>
      </c>
      <c r="E165" s="1"/>
      <c r="F165" s="27">
        <v>1.7729999999999999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customFormat="1" x14ac:dyDescent="0.2">
      <c r="A166" s="3" t="s">
        <v>309</v>
      </c>
      <c r="B166" s="3"/>
      <c r="C166" s="3" t="s">
        <v>310</v>
      </c>
      <c r="D166" s="3" t="s">
        <v>311</v>
      </c>
      <c r="E166" s="3" t="s">
        <v>52</v>
      </c>
      <c r="F166" s="24">
        <v>2.8565</v>
      </c>
      <c r="G166" s="24">
        <v>0</v>
      </c>
      <c r="H166" s="24">
        <f>F166*AE166</f>
        <v>0</v>
      </c>
      <c r="I166" s="24">
        <f>J166-H166</f>
        <v>0</v>
      </c>
      <c r="J166" s="24">
        <f>F166*G166</f>
        <v>0</v>
      </c>
      <c r="K166" s="24">
        <v>6.4000000000000001E-2</v>
      </c>
      <c r="L166" s="24">
        <f>F166*K166</f>
        <v>0.18281600000000001</v>
      </c>
      <c r="M166" s="25" t="s">
        <v>53</v>
      </c>
      <c r="N166" s="25" t="s">
        <v>49</v>
      </c>
      <c r="O166" s="24">
        <f>IF(N166="5",I166,0)</f>
        <v>0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4">
        <f>IF(AD166=0,J166,0)</f>
        <v>0</v>
      </c>
      <c r="AA166" s="24">
        <f>IF(AD166=15,J166,0)</f>
        <v>0</v>
      </c>
      <c r="AB166" s="24">
        <f>IF(AD166=21,J166,0)</f>
        <v>0</v>
      </c>
      <c r="AC166" s="1"/>
      <c r="AD166" s="24">
        <v>21</v>
      </c>
      <c r="AE166" s="24">
        <f>G166*0.115863746958637</f>
        <v>0</v>
      </c>
      <c r="AF166" s="24">
        <f>G166*(1-0.115863746958637)</f>
        <v>0</v>
      </c>
      <c r="AG166" s="1"/>
      <c r="AH166" s="1"/>
      <c r="AI166" s="1"/>
      <c r="AJ166" s="1"/>
      <c r="AK166" s="1"/>
      <c r="AL166" s="1"/>
      <c r="AM166" s="24">
        <f>F166*AE166</f>
        <v>0</v>
      </c>
      <c r="AN166" s="24">
        <f>F166*AF166</f>
        <v>0</v>
      </c>
      <c r="AO166" s="25" t="s">
        <v>302</v>
      </c>
      <c r="AP166" s="25" t="s">
        <v>262</v>
      </c>
      <c r="AQ166" s="18" t="s">
        <v>56</v>
      </c>
    </row>
    <row r="167" spans="1:43" customFormat="1" x14ac:dyDescent="0.2">
      <c r="A167" s="1"/>
      <c r="B167" s="1"/>
      <c r="C167" s="1"/>
      <c r="D167" s="26" t="s">
        <v>312</v>
      </c>
      <c r="E167" s="1"/>
      <c r="F167" s="27">
        <v>2.8565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customFormat="1" x14ac:dyDescent="0.2">
      <c r="A168" s="28"/>
      <c r="B168" s="29"/>
      <c r="C168" s="29" t="s">
        <v>313</v>
      </c>
      <c r="D168" s="88" t="s">
        <v>314</v>
      </c>
      <c r="E168" s="88"/>
      <c r="F168" s="88"/>
      <c r="G168" s="88"/>
      <c r="H168" s="23">
        <f>SUM(H169:H173)</f>
        <v>0</v>
      </c>
      <c r="I168" s="23">
        <f>SUM(I169:I173)</f>
        <v>0</v>
      </c>
      <c r="J168" s="23">
        <f>H168+I168</f>
        <v>0</v>
      </c>
      <c r="K168" s="18"/>
      <c r="L168" s="23">
        <f>SUM(L169:L173)</f>
        <v>5.7413500000000006</v>
      </c>
      <c r="M168" s="18"/>
      <c r="N168" s="1"/>
      <c r="O168" s="1"/>
      <c r="P168" s="23">
        <f>IF(Q168="PR",J168,SUM(O169:O173))</f>
        <v>0</v>
      </c>
      <c r="Q168" s="18" t="s">
        <v>48</v>
      </c>
      <c r="R168" s="23">
        <f>IF(Q168="HS",H168,0)</f>
        <v>0</v>
      </c>
      <c r="S168" s="23">
        <f>IF(Q168="HS",I168-P168,0)</f>
        <v>0</v>
      </c>
      <c r="T168" s="23">
        <f>IF(Q168="PS",H168,0)</f>
        <v>0</v>
      </c>
      <c r="U168" s="23">
        <f>IF(Q168="PS",I168-P168,0)</f>
        <v>0</v>
      </c>
      <c r="V168" s="23">
        <f>IF(Q168="MP",H168,0)</f>
        <v>0</v>
      </c>
      <c r="W168" s="23">
        <f>IF(Q168="MP",I168-P168,0)</f>
        <v>0</v>
      </c>
      <c r="X168" s="23">
        <f>IF(Q168="OM",H168,0)</f>
        <v>0</v>
      </c>
      <c r="Y168" s="18"/>
      <c r="Z168" s="1"/>
      <c r="AA168" s="1"/>
      <c r="AB168" s="1"/>
      <c r="AC168" s="1"/>
      <c r="AD168" s="1"/>
      <c r="AE168" s="1"/>
      <c r="AF168" s="1"/>
      <c r="AG168" s="1"/>
      <c r="AH168" s="1"/>
      <c r="AI168" s="23">
        <f>SUM(Z169:Z173)</f>
        <v>0</v>
      </c>
      <c r="AJ168" s="23">
        <f>SUM(AA169:AA173)</f>
        <v>0</v>
      </c>
      <c r="AK168" s="23">
        <f>SUM(AB169:AB173)</f>
        <v>0</v>
      </c>
      <c r="AL168" s="1"/>
      <c r="AM168" s="1"/>
      <c r="AN168" s="1"/>
      <c r="AO168" s="1"/>
      <c r="AP168" s="1"/>
      <c r="AQ168" s="1"/>
    </row>
    <row r="169" spans="1:43" customFormat="1" x14ac:dyDescent="0.2">
      <c r="A169" s="3" t="s">
        <v>315</v>
      </c>
      <c r="B169" s="3"/>
      <c r="C169" s="3" t="s">
        <v>316</v>
      </c>
      <c r="D169" s="3" t="s">
        <v>317</v>
      </c>
      <c r="E169" s="3" t="s">
        <v>52</v>
      </c>
      <c r="F169" s="24">
        <v>13.5</v>
      </c>
      <c r="G169" s="24">
        <v>0</v>
      </c>
      <c r="H169" s="24">
        <f>F169*AE169</f>
        <v>0</v>
      </c>
      <c r="I169" s="24">
        <f>J169-H169</f>
        <v>0</v>
      </c>
      <c r="J169" s="24">
        <f>F169*G169</f>
        <v>0</v>
      </c>
      <c r="K169" s="24">
        <v>8.8999999999999996E-2</v>
      </c>
      <c r="L169" s="24">
        <f>F169*K169</f>
        <v>1.2015</v>
      </c>
      <c r="M169" s="25" t="s">
        <v>53</v>
      </c>
      <c r="N169" s="25" t="s">
        <v>49</v>
      </c>
      <c r="O169" s="24">
        <f>IF(N169="5",I169,0)</f>
        <v>0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4">
        <f>IF(AD169=0,J169,0)</f>
        <v>0</v>
      </c>
      <c r="AA169" s="24">
        <f>IF(AD169=15,J169,0)</f>
        <v>0</v>
      </c>
      <c r="AB169" s="24">
        <f>IF(AD169=21,J169,0)</f>
        <v>0</v>
      </c>
      <c r="AC169" s="1"/>
      <c r="AD169" s="24">
        <v>21</v>
      </c>
      <c r="AE169" s="24">
        <f>G169*0</f>
        <v>0</v>
      </c>
      <c r="AF169" s="24">
        <f>G169*(1-0)</f>
        <v>0</v>
      </c>
      <c r="AG169" s="1"/>
      <c r="AH169" s="1"/>
      <c r="AI169" s="1"/>
      <c r="AJ169" s="1"/>
      <c r="AK169" s="1"/>
      <c r="AL169" s="1"/>
      <c r="AM169" s="24">
        <f>F169*AE169</f>
        <v>0</v>
      </c>
      <c r="AN169" s="24">
        <f>F169*AF169</f>
        <v>0</v>
      </c>
      <c r="AO169" s="25" t="s">
        <v>318</v>
      </c>
      <c r="AP169" s="25" t="s">
        <v>262</v>
      </c>
      <c r="AQ169" s="18" t="s">
        <v>56</v>
      </c>
    </row>
    <row r="170" spans="1:43" customFormat="1" x14ac:dyDescent="0.2">
      <c r="A170" s="1"/>
      <c r="B170" s="1"/>
      <c r="C170" s="1"/>
      <c r="D170" s="26" t="s">
        <v>319</v>
      </c>
      <c r="E170" s="1"/>
      <c r="F170" s="27">
        <v>10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customFormat="1" x14ac:dyDescent="0.2">
      <c r="A171" s="1"/>
      <c r="B171" s="1"/>
      <c r="C171" s="1"/>
      <c r="D171" s="26" t="s">
        <v>320</v>
      </c>
      <c r="E171" s="1"/>
      <c r="F171" s="27">
        <v>3.5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customFormat="1" x14ac:dyDescent="0.2">
      <c r="A172" s="1"/>
      <c r="B172" s="1"/>
      <c r="C172" s="1"/>
      <c r="D172" s="26" t="s">
        <v>321</v>
      </c>
      <c r="E172" s="1"/>
      <c r="F172" s="27">
        <v>0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customFormat="1" x14ac:dyDescent="0.2">
      <c r="A173" s="3" t="s">
        <v>322</v>
      </c>
      <c r="B173" s="3"/>
      <c r="C173" s="3" t="s">
        <v>323</v>
      </c>
      <c r="D173" s="3" t="s">
        <v>324</v>
      </c>
      <c r="E173" s="3" t="s">
        <v>52</v>
      </c>
      <c r="F173" s="24">
        <v>907.97</v>
      </c>
      <c r="G173" s="24">
        <v>0</v>
      </c>
      <c r="H173" s="24">
        <f>F173*AE173</f>
        <v>0</v>
      </c>
      <c r="I173" s="24">
        <f>J173-H173</f>
        <v>0</v>
      </c>
      <c r="J173" s="24">
        <f>F173*G173</f>
        <v>0</v>
      </c>
      <c r="K173" s="24">
        <v>5.0000000000000001E-3</v>
      </c>
      <c r="L173" s="24">
        <f>F173*K173</f>
        <v>4.5398500000000004</v>
      </c>
      <c r="M173" s="25" t="s">
        <v>53</v>
      </c>
      <c r="N173" s="25" t="s">
        <v>49</v>
      </c>
      <c r="O173" s="24">
        <f>IF(N173="5",I173,0)</f>
        <v>0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4">
        <f>IF(AD173=0,J173,0)</f>
        <v>0</v>
      </c>
      <c r="AA173" s="24">
        <f>IF(AD173=15,J173,0)</f>
        <v>0</v>
      </c>
      <c r="AB173" s="24">
        <f>IF(AD173=21,J173,0)</f>
        <v>0</v>
      </c>
      <c r="AC173" s="1"/>
      <c r="AD173" s="24">
        <v>21</v>
      </c>
      <c r="AE173" s="24">
        <f>G173*0</f>
        <v>0</v>
      </c>
      <c r="AF173" s="24">
        <f>G173*(1-0)</f>
        <v>0</v>
      </c>
      <c r="AG173" s="1"/>
      <c r="AH173" s="1"/>
      <c r="AI173" s="1"/>
      <c r="AJ173" s="1"/>
      <c r="AK173" s="1"/>
      <c r="AL173" s="1"/>
      <c r="AM173" s="24">
        <f>F173*AE173</f>
        <v>0</v>
      </c>
      <c r="AN173" s="24">
        <f>F173*AF173</f>
        <v>0</v>
      </c>
      <c r="AO173" s="25" t="s">
        <v>318</v>
      </c>
      <c r="AP173" s="25" t="s">
        <v>262</v>
      </c>
      <c r="AQ173" s="18" t="s">
        <v>56</v>
      </c>
    </row>
    <row r="174" spans="1:43" customFormat="1" x14ac:dyDescent="0.2">
      <c r="A174" s="1"/>
      <c r="B174" s="1"/>
      <c r="C174" s="1"/>
      <c r="D174" s="26" t="s">
        <v>172</v>
      </c>
      <c r="E174" s="1"/>
      <c r="F174" s="27">
        <v>907.97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customFormat="1" x14ac:dyDescent="0.2">
      <c r="A175" s="28"/>
      <c r="B175" s="29"/>
      <c r="C175" s="29" t="s">
        <v>325</v>
      </c>
      <c r="D175" s="88" t="s">
        <v>326</v>
      </c>
      <c r="E175" s="88"/>
      <c r="F175" s="88"/>
      <c r="G175" s="88"/>
      <c r="H175" s="23">
        <f>SUM(H176:H176)</f>
        <v>0</v>
      </c>
      <c r="I175" s="23">
        <f>SUM(I176:I176)</f>
        <v>0</v>
      </c>
      <c r="J175" s="23">
        <f>H175+I175</f>
        <v>0</v>
      </c>
      <c r="K175" s="18"/>
      <c r="L175" s="23">
        <f>SUM(L176:L176)</f>
        <v>0.12292</v>
      </c>
      <c r="M175" s="18"/>
      <c r="N175" s="1"/>
      <c r="O175" s="1"/>
      <c r="P175" s="23">
        <f>IF(Q175="PR",J175,SUM(O176:O176))</f>
        <v>0</v>
      </c>
      <c r="Q175" s="18" t="s">
        <v>327</v>
      </c>
      <c r="R175" s="23">
        <f>IF(Q175="HS",H175,0)</f>
        <v>0</v>
      </c>
      <c r="S175" s="23">
        <f>IF(Q175="HS",I175-P175,0)</f>
        <v>0</v>
      </c>
      <c r="T175" s="23">
        <f>IF(Q175="PS",H175,0)</f>
        <v>0</v>
      </c>
      <c r="U175" s="23">
        <f>IF(Q175="PS",I175-P175,0)</f>
        <v>0</v>
      </c>
      <c r="V175" s="23">
        <f>IF(Q175="MP",H175,0)</f>
        <v>0</v>
      </c>
      <c r="W175" s="23">
        <f>IF(Q175="MP",I175-P175,0)</f>
        <v>0</v>
      </c>
      <c r="X175" s="23">
        <f>IF(Q175="OM",H175,0)</f>
        <v>0</v>
      </c>
      <c r="Y175" s="18"/>
      <c r="Z175" s="1"/>
      <c r="AA175" s="1"/>
      <c r="AB175" s="1"/>
      <c r="AC175" s="1"/>
      <c r="AD175" s="1"/>
      <c r="AE175" s="1"/>
      <c r="AF175" s="1"/>
      <c r="AG175" s="1"/>
      <c r="AH175" s="1"/>
      <c r="AI175" s="23">
        <f>SUM(Z176:Z176)</f>
        <v>0</v>
      </c>
      <c r="AJ175" s="23">
        <f>SUM(AA176:AA176)</f>
        <v>0</v>
      </c>
      <c r="AK175" s="23">
        <f>SUM(AB176:AB176)</f>
        <v>0</v>
      </c>
      <c r="AL175" s="1"/>
      <c r="AM175" s="1"/>
      <c r="AN175" s="1"/>
      <c r="AO175" s="1"/>
      <c r="AP175" s="1"/>
      <c r="AQ175" s="1"/>
    </row>
    <row r="176" spans="1:43" s="60" customFormat="1" x14ac:dyDescent="0.2">
      <c r="A176" s="55" t="s">
        <v>328</v>
      </c>
      <c r="B176" s="55"/>
      <c r="C176" s="55" t="s">
        <v>329</v>
      </c>
      <c r="D176" s="55" t="s">
        <v>397</v>
      </c>
      <c r="E176" s="55" t="s">
        <v>245</v>
      </c>
      <c r="F176" s="56">
        <v>1</v>
      </c>
      <c r="G176" s="56">
        <v>0</v>
      </c>
      <c r="H176" s="56">
        <f>F176*AE176</f>
        <v>0</v>
      </c>
      <c r="I176" s="56">
        <f>J176-H176</f>
        <v>0</v>
      </c>
      <c r="J176" s="56">
        <f>F176*G176</f>
        <v>0</v>
      </c>
      <c r="K176" s="56">
        <v>0.12292</v>
      </c>
      <c r="L176" s="56">
        <f>F176*K176</f>
        <v>0.12292</v>
      </c>
      <c r="M176" s="57"/>
      <c r="N176" s="57" t="s">
        <v>65</v>
      </c>
      <c r="O176" s="56">
        <f>IF(N176="5",I176,0)</f>
        <v>0</v>
      </c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6">
        <f>IF(AD176=0,J176,0)</f>
        <v>0</v>
      </c>
      <c r="AA176" s="56">
        <f>IF(AD176=15,J176,0)</f>
        <v>0</v>
      </c>
      <c r="AB176" s="56">
        <f>IF(AD176=21,J176,0)</f>
        <v>0</v>
      </c>
      <c r="AC176" s="58"/>
      <c r="AD176" s="56">
        <v>21</v>
      </c>
      <c r="AE176" s="56">
        <f>G176*0.188761</f>
        <v>0</v>
      </c>
      <c r="AF176" s="56">
        <f>G176*(1-0.188761)</f>
        <v>0</v>
      </c>
      <c r="AG176" s="58"/>
      <c r="AH176" s="58"/>
      <c r="AI176" s="58"/>
      <c r="AJ176" s="58"/>
      <c r="AK176" s="58"/>
      <c r="AL176" s="58"/>
      <c r="AM176" s="56">
        <f>F176*AE176</f>
        <v>0</v>
      </c>
      <c r="AN176" s="56">
        <f>F176*AF176</f>
        <v>0</v>
      </c>
      <c r="AO176" s="57" t="s">
        <v>330</v>
      </c>
      <c r="AP176" s="57" t="s">
        <v>262</v>
      </c>
      <c r="AQ176" s="59" t="s">
        <v>56</v>
      </c>
    </row>
    <row r="177" spans="1:43" s="60" customFormat="1" x14ac:dyDescent="0.2">
      <c r="A177" s="58"/>
      <c r="B177" s="58"/>
      <c r="C177" s="58"/>
      <c r="D177" s="61" t="s">
        <v>331</v>
      </c>
      <c r="E177" s="58"/>
      <c r="F177" s="62">
        <v>1</v>
      </c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</row>
    <row r="178" spans="1:43" customFormat="1" x14ac:dyDescent="0.2">
      <c r="A178" s="28"/>
      <c r="B178" s="29"/>
      <c r="C178" s="29" t="s">
        <v>332</v>
      </c>
      <c r="D178" s="88" t="s">
        <v>333</v>
      </c>
      <c r="E178" s="88"/>
      <c r="F178" s="88"/>
      <c r="G178" s="88"/>
      <c r="H178" s="23">
        <f>SUM(H179:H184)</f>
        <v>0</v>
      </c>
      <c r="I178" s="23">
        <f>SUM(I179:I184)</f>
        <v>0</v>
      </c>
      <c r="J178" s="23">
        <f>H178+I178</f>
        <v>0</v>
      </c>
      <c r="K178" s="18"/>
      <c r="L178" s="23">
        <f>SUM(L179:L184)</f>
        <v>0</v>
      </c>
      <c r="M178" s="18"/>
      <c r="N178" s="1"/>
      <c r="O178" s="1"/>
      <c r="P178" s="23">
        <f>IF(Q178="PR",J178,SUM(O179:O184))</f>
        <v>0</v>
      </c>
      <c r="Q178" s="18" t="s">
        <v>48</v>
      </c>
      <c r="R178" s="23">
        <f>IF(Q178="HS",H178,0)</f>
        <v>0</v>
      </c>
      <c r="S178" s="23">
        <f>IF(Q178="HS",I178-P178,0)</f>
        <v>0</v>
      </c>
      <c r="T178" s="23">
        <f>IF(Q178="PS",H178,0)</f>
        <v>0</v>
      </c>
      <c r="U178" s="23">
        <f>IF(Q178="PS",I178-P178,0)</f>
        <v>0</v>
      </c>
      <c r="V178" s="23">
        <f>IF(Q178="MP",H178,0)</f>
        <v>0</v>
      </c>
      <c r="W178" s="23">
        <f>IF(Q178="MP",I178-P178,0)</f>
        <v>0</v>
      </c>
      <c r="X178" s="23">
        <f>IF(Q178="OM",H178,0)</f>
        <v>0</v>
      </c>
      <c r="Y178" s="18"/>
      <c r="Z178" s="1"/>
      <c r="AA178" s="1"/>
      <c r="AB178" s="1"/>
      <c r="AC178" s="1"/>
      <c r="AD178" s="1"/>
      <c r="AE178" s="1"/>
      <c r="AF178" s="1"/>
      <c r="AG178" s="1"/>
      <c r="AH178" s="1"/>
      <c r="AI178" s="23">
        <f>SUM(Z179:Z184)</f>
        <v>0</v>
      </c>
      <c r="AJ178" s="23">
        <f>SUM(AA179:AA184)</f>
        <v>0</v>
      </c>
      <c r="AK178" s="23">
        <f>SUM(AB179:AB184)</f>
        <v>0</v>
      </c>
      <c r="AL178" s="1"/>
      <c r="AM178" s="1"/>
      <c r="AN178" s="1"/>
      <c r="AO178" s="1"/>
      <c r="AP178" s="1"/>
      <c r="AQ178" s="1"/>
    </row>
    <row r="179" spans="1:43" customFormat="1" x14ac:dyDescent="0.2">
      <c r="A179" s="3" t="s">
        <v>334</v>
      </c>
      <c r="B179" s="3"/>
      <c r="C179" s="3" t="s">
        <v>335</v>
      </c>
      <c r="D179" s="3" t="s">
        <v>336</v>
      </c>
      <c r="E179" s="3" t="s">
        <v>285</v>
      </c>
      <c r="F179" s="24">
        <v>6.2810800000000002</v>
      </c>
      <c r="G179" s="24">
        <v>0</v>
      </c>
      <c r="H179" s="24">
        <f>F179*AE179</f>
        <v>0</v>
      </c>
      <c r="I179" s="24">
        <f>J179-H179</f>
        <v>0</v>
      </c>
      <c r="J179" s="24">
        <f>F179*G179</f>
        <v>0</v>
      </c>
      <c r="K179" s="24">
        <v>0</v>
      </c>
      <c r="L179" s="24">
        <f>F179*K179</f>
        <v>0</v>
      </c>
      <c r="M179" s="25" t="s">
        <v>53</v>
      </c>
      <c r="N179" s="25" t="s">
        <v>75</v>
      </c>
      <c r="O179" s="24">
        <f>IF(N179="5",I179,0)</f>
        <v>0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4">
        <f>IF(AD179=0,J179,0)</f>
        <v>0</v>
      </c>
      <c r="AA179" s="24">
        <f>IF(AD179=15,J179,0)</f>
        <v>0</v>
      </c>
      <c r="AB179" s="24">
        <f>IF(AD179=21,J179,0)</f>
        <v>0</v>
      </c>
      <c r="AC179" s="1"/>
      <c r="AD179" s="24">
        <v>21</v>
      </c>
      <c r="AE179" s="24">
        <f>G179*0</f>
        <v>0</v>
      </c>
      <c r="AF179" s="24">
        <f>G179*(1-0)</f>
        <v>0</v>
      </c>
      <c r="AG179" s="1"/>
      <c r="AH179" s="1"/>
      <c r="AI179" s="1"/>
      <c r="AJ179" s="1"/>
      <c r="AK179" s="1"/>
      <c r="AL179" s="1"/>
      <c r="AM179" s="24">
        <f>F179*AE179</f>
        <v>0</v>
      </c>
      <c r="AN179" s="24">
        <f>F179*AF179</f>
        <v>0</v>
      </c>
      <c r="AO179" s="25" t="s">
        <v>337</v>
      </c>
      <c r="AP179" s="25" t="s">
        <v>262</v>
      </c>
      <c r="AQ179" s="18" t="s">
        <v>56</v>
      </c>
    </row>
    <row r="180" spans="1:43" customFormat="1" x14ac:dyDescent="0.2">
      <c r="A180" s="3" t="s">
        <v>338</v>
      </c>
      <c r="B180" s="3"/>
      <c r="C180" s="3" t="s">
        <v>339</v>
      </c>
      <c r="D180" s="3" t="s">
        <v>340</v>
      </c>
      <c r="E180" s="3" t="s">
        <v>285</v>
      </c>
      <c r="F180" s="24">
        <v>6.2810800000000002</v>
      </c>
      <c r="G180" s="24">
        <v>0</v>
      </c>
      <c r="H180" s="24">
        <f>F180*AE180</f>
        <v>0</v>
      </c>
      <c r="I180" s="24">
        <f>J180-H180</f>
        <v>0</v>
      </c>
      <c r="J180" s="24">
        <f>F180*G180</f>
        <v>0</v>
      </c>
      <c r="K180" s="24">
        <v>0</v>
      </c>
      <c r="L180" s="24">
        <f>F180*K180</f>
        <v>0</v>
      </c>
      <c r="M180" s="25" t="s">
        <v>53</v>
      </c>
      <c r="N180" s="25" t="s">
        <v>75</v>
      </c>
      <c r="O180" s="24">
        <f>IF(N180="5",I180,0)</f>
        <v>0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4">
        <f>IF(AD180=0,J180,0)</f>
        <v>0</v>
      </c>
      <c r="AA180" s="24">
        <f>IF(AD180=15,J180,0)</f>
        <v>0</v>
      </c>
      <c r="AB180" s="24">
        <f>IF(AD180=21,J180,0)</f>
        <v>0</v>
      </c>
      <c r="AC180" s="1"/>
      <c r="AD180" s="24">
        <v>21</v>
      </c>
      <c r="AE180" s="24">
        <f>G180*0</f>
        <v>0</v>
      </c>
      <c r="AF180" s="24">
        <f>G180*(1-0)</f>
        <v>0</v>
      </c>
      <c r="AG180" s="1"/>
      <c r="AH180" s="1"/>
      <c r="AI180" s="1"/>
      <c r="AJ180" s="1"/>
      <c r="AK180" s="1"/>
      <c r="AL180" s="1"/>
      <c r="AM180" s="24">
        <f>F180*AE180</f>
        <v>0</v>
      </c>
      <c r="AN180" s="24">
        <f>F180*AF180</f>
        <v>0</v>
      </c>
      <c r="AO180" s="25" t="s">
        <v>337</v>
      </c>
      <c r="AP180" s="25" t="s">
        <v>262</v>
      </c>
      <c r="AQ180" s="18" t="s">
        <v>56</v>
      </c>
    </row>
    <row r="181" spans="1:43" customFormat="1" x14ac:dyDescent="0.2">
      <c r="A181" s="3" t="s">
        <v>341</v>
      </c>
      <c r="B181" s="3"/>
      <c r="C181" s="3" t="s">
        <v>342</v>
      </c>
      <c r="D181" s="3" t="s">
        <v>343</v>
      </c>
      <c r="E181" s="3" t="s">
        <v>285</v>
      </c>
      <c r="F181" s="24">
        <v>6.2810800000000002</v>
      </c>
      <c r="G181" s="24">
        <v>0</v>
      </c>
      <c r="H181" s="24">
        <f>F181*AE181</f>
        <v>0</v>
      </c>
      <c r="I181" s="24">
        <f>J181-H181</f>
        <v>0</v>
      </c>
      <c r="J181" s="24">
        <f>F181*G181</f>
        <v>0</v>
      </c>
      <c r="K181" s="24">
        <v>0</v>
      </c>
      <c r="L181" s="24">
        <f>F181*K181</f>
        <v>0</v>
      </c>
      <c r="M181" s="25" t="s">
        <v>53</v>
      </c>
      <c r="N181" s="25" t="s">
        <v>75</v>
      </c>
      <c r="O181" s="24">
        <f>IF(N181="5",I181,0)</f>
        <v>0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4">
        <f>IF(AD181=0,J181,0)</f>
        <v>0</v>
      </c>
      <c r="AA181" s="24">
        <f>IF(AD181=15,J181,0)</f>
        <v>0</v>
      </c>
      <c r="AB181" s="24">
        <f>IF(AD181=21,J181,0)</f>
        <v>0</v>
      </c>
      <c r="AC181" s="1"/>
      <c r="AD181" s="24">
        <v>21</v>
      </c>
      <c r="AE181" s="24">
        <f>G181*0</f>
        <v>0</v>
      </c>
      <c r="AF181" s="24">
        <f>G181*(1-0)</f>
        <v>0</v>
      </c>
      <c r="AG181" s="1"/>
      <c r="AH181" s="1"/>
      <c r="AI181" s="1"/>
      <c r="AJ181" s="1"/>
      <c r="AK181" s="1"/>
      <c r="AL181" s="1"/>
      <c r="AM181" s="24">
        <f>F181*AE181</f>
        <v>0</v>
      </c>
      <c r="AN181" s="24">
        <f>F181*AF181</f>
        <v>0</v>
      </c>
      <c r="AO181" s="25" t="s">
        <v>337</v>
      </c>
      <c r="AP181" s="25" t="s">
        <v>262</v>
      </c>
      <c r="AQ181" s="18" t="s">
        <v>56</v>
      </c>
    </row>
    <row r="182" spans="1:43" customFormat="1" x14ac:dyDescent="0.2">
      <c r="A182" s="3" t="s">
        <v>344</v>
      </c>
      <c r="B182" s="3"/>
      <c r="C182" s="3" t="s">
        <v>345</v>
      </c>
      <c r="D182" s="3" t="s">
        <v>346</v>
      </c>
      <c r="E182" s="3" t="s">
        <v>285</v>
      </c>
      <c r="F182" s="24">
        <v>119.34052</v>
      </c>
      <c r="G182" s="24">
        <v>0</v>
      </c>
      <c r="H182" s="24">
        <f>F182*AE182</f>
        <v>0</v>
      </c>
      <c r="I182" s="24">
        <f>J182-H182</f>
        <v>0</v>
      </c>
      <c r="J182" s="24">
        <f>F182*G182</f>
        <v>0</v>
      </c>
      <c r="K182" s="24">
        <v>0</v>
      </c>
      <c r="L182" s="24">
        <f>F182*K182</f>
        <v>0</v>
      </c>
      <c r="M182" s="25" t="s">
        <v>53</v>
      </c>
      <c r="N182" s="25" t="s">
        <v>75</v>
      </c>
      <c r="O182" s="24">
        <f>IF(N182="5",I182,0)</f>
        <v>0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4">
        <f>IF(AD182=0,J182,0)</f>
        <v>0</v>
      </c>
      <c r="AA182" s="24">
        <f>IF(AD182=15,J182,0)</f>
        <v>0</v>
      </c>
      <c r="AB182" s="24">
        <f>IF(AD182=21,J182,0)</f>
        <v>0</v>
      </c>
      <c r="AC182" s="1"/>
      <c r="AD182" s="24">
        <v>21</v>
      </c>
      <c r="AE182" s="24">
        <f>G182*0</f>
        <v>0</v>
      </c>
      <c r="AF182" s="24">
        <f>G182*(1-0)</f>
        <v>0</v>
      </c>
      <c r="AG182" s="1"/>
      <c r="AH182" s="1"/>
      <c r="AI182" s="1"/>
      <c r="AJ182" s="1"/>
      <c r="AK182" s="1"/>
      <c r="AL182" s="1"/>
      <c r="AM182" s="24">
        <f>F182*AE182</f>
        <v>0</v>
      </c>
      <c r="AN182" s="24">
        <f>F182*AF182</f>
        <v>0</v>
      </c>
      <c r="AO182" s="25" t="s">
        <v>337</v>
      </c>
      <c r="AP182" s="25" t="s">
        <v>262</v>
      </c>
      <c r="AQ182" s="18" t="s">
        <v>56</v>
      </c>
    </row>
    <row r="183" spans="1:43" customFormat="1" x14ac:dyDescent="0.2">
      <c r="A183" s="1"/>
      <c r="B183" s="1"/>
      <c r="C183" s="1"/>
      <c r="D183" s="26" t="s">
        <v>347</v>
      </c>
      <c r="E183" s="1"/>
      <c r="F183" s="27">
        <v>119.34052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customFormat="1" x14ac:dyDescent="0.2">
      <c r="A184" s="30" t="s">
        <v>348</v>
      </c>
      <c r="B184" s="30"/>
      <c r="C184" s="30" t="s">
        <v>349</v>
      </c>
      <c r="D184" s="30" t="s">
        <v>350</v>
      </c>
      <c r="E184" s="30" t="s">
        <v>285</v>
      </c>
      <c r="F184" s="31">
        <v>6.2810800000000002</v>
      </c>
      <c r="G184" s="31">
        <v>0</v>
      </c>
      <c r="H184" s="31">
        <f>F184*AE184</f>
        <v>0</v>
      </c>
      <c r="I184" s="31">
        <f>J184-H184</f>
        <v>0</v>
      </c>
      <c r="J184" s="31">
        <f>F184*G184</f>
        <v>0</v>
      </c>
      <c r="K184" s="31">
        <v>0</v>
      </c>
      <c r="L184" s="31">
        <f>F184*K184</f>
        <v>0</v>
      </c>
      <c r="M184" s="32" t="s">
        <v>53</v>
      </c>
      <c r="N184" s="25" t="s">
        <v>75</v>
      </c>
      <c r="O184" s="24">
        <f>IF(N184="5",I184,0)</f>
        <v>0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4">
        <f>IF(AD184=0,J184,0)</f>
        <v>0</v>
      </c>
      <c r="AA184" s="24">
        <f>IF(AD184=15,J184,0)</f>
        <v>0</v>
      </c>
      <c r="AB184" s="24">
        <f>IF(AD184=21,J184,0)</f>
        <v>0</v>
      </c>
      <c r="AC184" s="1"/>
      <c r="AD184" s="24">
        <v>21</v>
      </c>
      <c r="AE184" s="24">
        <f>G184*0</f>
        <v>0</v>
      </c>
      <c r="AF184" s="24">
        <f>G184*(1-0)</f>
        <v>0</v>
      </c>
      <c r="AG184" s="1"/>
      <c r="AH184" s="1"/>
      <c r="AI184" s="1"/>
      <c r="AJ184" s="1"/>
      <c r="AK184" s="1"/>
      <c r="AL184" s="1"/>
      <c r="AM184" s="24">
        <f>F184*AE184</f>
        <v>0</v>
      </c>
      <c r="AN184" s="24">
        <f>F184*AF184</f>
        <v>0</v>
      </c>
      <c r="AO184" s="25" t="s">
        <v>337</v>
      </c>
      <c r="AP184" s="25" t="s">
        <v>262</v>
      </c>
      <c r="AQ184" s="18" t="s">
        <v>56</v>
      </c>
    </row>
    <row r="185" spans="1:43" customFormat="1" x14ac:dyDescent="0.2">
      <c r="A185" s="33"/>
      <c r="B185" s="33"/>
      <c r="C185" s="33"/>
      <c r="D185" s="33"/>
      <c r="E185" s="33"/>
      <c r="F185" s="33"/>
      <c r="G185" s="33"/>
      <c r="H185" s="96" t="s">
        <v>351</v>
      </c>
      <c r="I185" s="96"/>
      <c r="J185" s="34">
        <f>J12+J18+J98+J101+J119+J127+J132+J135+J138+J155+J160+J168+J175+J178</f>
        <v>0</v>
      </c>
      <c r="K185" s="33"/>
      <c r="L185" s="33"/>
      <c r="M185" s="3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35">
        <f>SUM(Z13:Z184)</f>
        <v>0</v>
      </c>
      <c r="AA185" s="35">
        <f>SUM(AA13:AA184)</f>
        <v>0</v>
      </c>
      <c r="AB185" s="35">
        <f>SUM(AB13:AB184)</f>
        <v>0</v>
      </c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customFormat="1" ht="11.25" customHeight="1" x14ac:dyDescent="0.2">
      <c r="A186" s="36" t="s">
        <v>352</v>
      </c>
      <c r="B186" s="1"/>
      <c r="C186" s="55" t="s">
        <v>398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customFormat="1" ht="409.6" hidden="1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9" spans="1:43" x14ac:dyDescent="0.2">
      <c r="C189" s="63" t="s">
        <v>399</v>
      </c>
    </row>
  </sheetData>
  <mergeCells count="43">
    <mergeCell ref="K10:L10"/>
    <mergeCell ref="D12:G12"/>
    <mergeCell ref="D18:G18"/>
    <mergeCell ref="D98:G98"/>
    <mergeCell ref="A187:M187"/>
    <mergeCell ref="D119:G119"/>
    <mergeCell ref="D127:G127"/>
    <mergeCell ref="D132:G132"/>
    <mergeCell ref="D135:G135"/>
    <mergeCell ref="D138:G138"/>
    <mergeCell ref="D155:G155"/>
    <mergeCell ref="D160:G160"/>
    <mergeCell ref="D168:G168"/>
    <mergeCell ref="D175:G175"/>
    <mergeCell ref="D178:G178"/>
    <mergeCell ref="H185:I185"/>
    <mergeCell ref="D101:G101"/>
    <mergeCell ref="A8:C9"/>
    <mergeCell ref="D8:D9"/>
    <mergeCell ref="E8:F9"/>
    <mergeCell ref="G8:H9"/>
    <mergeCell ref="H10:J10"/>
    <mergeCell ref="I8:I9"/>
    <mergeCell ref="J8:M9"/>
    <mergeCell ref="A6:C7"/>
    <mergeCell ref="D6:D7"/>
    <mergeCell ref="E6:F7"/>
    <mergeCell ref="G6:H7"/>
    <mergeCell ref="I6:I7"/>
    <mergeCell ref="J6:M7"/>
    <mergeCell ref="J4:M5"/>
    <mergeCell ref="A1:M1"/>
    <mergeCell ref="A2:C3"/>
    <mergeCell ref="D2:D3"/>
    <mergeCell ref="E2:F3"/>
    <mergeCell ref="G2:H3"/>
    <mergeCell ref="I2:I3"/>
    <mergeCell ref="J2:M3"/>
    <mergeCell ref="A4:C5"/>
    <mergeCell ref="D4:D5"/>
    <mergeCell ref="E4:F5"/>
    <mergeCell ref="G4:H5"/>
    <mergeCell ref="I4:I5"/>
  </mergeCells>
  <pageMargins left="0.39400000000000007" right="0.39400000000000007" top="0.59099999999999997" bottom="0.59099999999999997" header="0.5" footer="0.5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defaultColWidth="11.5703125" defaultRowHeight="12.75" x14ac:dyDescent="0.2"/>
  <cols>
    <col min="1" max="1" width="9.140625" style="1" customWidth="1"/>
    <col min="2" max="2" width="12.85546875" style="1" customWidth="1"/>
    <col min="3" max="3" width="22.85546875" style="1" customWidth="1"/>
    <col min="4" max="4" width="10" style="1" customWidth="1"/>
    <col min="5" max="5" width="14" style="1" customWidth="1"/>
    <col min="6" max="6" width="22.85546875" style="1" customWidth="1"/>
    <col min="7" max="7" width="9.140625" style="1" customWidth="1"/>
    <col min="8" max="8" width="12.85546875" style="1" customWidth="1"/>
    <col min="9" max="9" width="22.85546875" style="1" customWidth="1"/>
    <col min="10" max="10" width="11.5703125" style="1" customWidth="1"/>
    <col min="11" max="16384" width="11.5703125" style="1"/>
  </cols>
  <sheetData>
    <row r="1" spans="1:10" ht="30" x14ac:dyDescent="0.2">
      <c r="A1" s="37"/>
      <c r="B1" s="38"/>
      <c r="C1" s="97" t="s">
        <v>353</v>
      </c>
      <c r="D1" s="97"/>
      <c r="E1" s="97"/>
      <c r="F1" s="97"/>
      <c r="G1" s="97"/>
      <c r="H1" s="97"/>
      <c r="I1" s="97"/>
    </row>
    <row r="2" spans="1:10" x14ac:dyDescent="0.2">
      <c r="A2" s="76" t="s">
        <v>1</v>
      </c>
      <c r="B2" s="76"/>
      <c r="C2" s="77" t="s">
        <v>2</v>
      </c>
      <c r="D2" s="77"/>
      <c r="E2" s="80" t="s">
        <v>4</v>
      </c>
      <c r="F2" s="80" t="s">
        <v>5</v>
      </c>
      <c r="G2" s="80"/>
      <c r="H2" s="80" t="s">
        <v>354</v>
      </c>
      <c r="I2" s="98"/>
      <c r="J2" s="2"/>
    </row>
    <row r="3" spans="1:10" ht="25.7" customHeight="1" x14ac:dyDescent="0.2">
      <c r="A3" s="76"/>
      <c r="B3" s="76"/>
      <c r="C3" s="77"/>
      <c r="D3" s="77"/>
      <c r="E3" s="80"/>
      <c r="F3" s="80"/>
      <c r="G3" s="80"/>
      <c r="H3" s="80"/>
      <c r="I3" s="98"/>
      <c r="J3" s="2"/>
    </row>
    <row r="4" spans="1:10" x14ac:dyDescent="0.2">
      <c r="A4" s="82" t="s">
        <v>6</v>
      </c>
      <c r="B4" s="82"/>
      <c r="C4" s="83" t="s">
        <v>7</v>
      </c>
      <c r="D4" s="83"/>
      <c r="E4" s="83" t="s">
        <v>10</v>
      </c>
      <c r="F4" s="83" t="s">
        <v>11</v>
      </c>
      <c r="G4" s="83"/>
      <c r="H4" s="83" t="s">
        <v>354</v>
      </c>
      <c r="I4" s="99"/>
      <c r="J4" s="2"/>
    </row>
    <row r="5" spans="1:10" x14ac:dyDescent="0.2">
      <c r="A5" s="82"/>
      <c r="B5" s="82"/>
      <c r="C5" s="83"/>
      <c r="D5" s="83"/>
      <c r="E5" s="83"/>
      <c r="F5" s="83"/>
      <c r="G5" s="83"/>
      <c r="H5" s="83"/>
      <c r="I5" s="99"/>
      <c r="J5" s="2"/>
    </row>
    <row r="6" spans="1:10" x14ac:dyDescent="0.2">
      <c r="A6" s="82" t="s">
        <v>12</v>
      </c>
      <c r="B6" s="82"/>
      <c r="C6" s="83" t="s">
        <v>13</v>
      </c>
      <c r="D6" s="83"/>
      <c r="E6" s="83" t="s">
        <v>15</v>
      </c>
      <c r="F6" s="83" t="s">
        <v>16</v>
      </c>
      <c r="G6" s="83"/>
      <c r="H6" s="83" t="s">
        <v>354</v>
      </c>
      <c r="I6" s="99"/>
      <c r="J6" s="2"/>
    </row>
    <row r="7" spans="1:10" x14ac:dyDescent="0.2">
      <c r="A7" s="82"/>
      <c r="B7" s="82"/>
      <c r="C7" s="83"/>
      <c r="D7" s="83"/>
      <c r="E7" s="83"/>
      <c r="F7" s="83"/>
      <c r="G7" s="83"/>
      <c r="H7" s="83"/>
      <c r="I7" s="99"/>
      <c r="J7" s="2"/>
    </row>
    <row r="8" spans="1:10" x14ac:dyDescent="0.2">
      <c r="A8" s="82" t="s">
        <v>8</v>
      </c>
      <c r="B8" s="82"/>
      <c r="C8" s="84" t="s">
        <v>9</v>
      </c>
      <c r="D8" s="84"/>
      <c r="E8" s="83" t="s">
        <v>14</v>
      </c>
      <c r="F8" s="87"/>
      <c r="G8" s="87"/>
      <c r="H8" s="84" t="s">
        <v>355</v>
      </c>
      <c r="I8" s="101" t="s">
        <v>348</v>
      </c>
      <c r="J8" s="2"/>
    </row>
    <row r="9" spans="1:10" x14ac:dyDescent="0.2">
      <c r="A9" s="82"/>
      <c r="B9" s="82"/>
      <c r="C9" s="84"/>
      <c r="D9" s="84"/>
      <c r="E9" s="83"/>
      <c r="F9" s="87"/>
      <c r="G9" s="87"/>
      <c r="H9" s="84"/>
      <c r="I9" s="101"/>
      <c r="J9" s="2"/>
    </row>
    <row r="10" spans="1:10" x14ac:dyDescent="0.2">
      <c r="A10" s="102" t="s">
        <v>17</v>
      </c>
      <c r="B10" s="102"/>
      <c r="C10" s="103"/>
      <c r="D10" s="103"/>
      <c r="E10" s="104" t="s">
        <v>19</v>
      </c>
      <c r="F10" s="104" t="s">
        <v>20</v>
      </c>
      <c r="G10" s="104"/>
      <c r="H10" s="105" t="s">
        <v>356</v>
      </c>
      <c r="I10" s="100">
        <v>42636</v>
      </c>
      <c r="J10" s="2"/>
    </row>
    <row r="11" spans="1:10" x14ac:dyDescent="0.2">
      <c r="A11" s="102"/>
      <c r="B11" s="102"/>
      <c r="C11" s="103"/>
      <c r="D11" s="103"/>
      <c r="E11" s="104"/>
      <c r="F11" s="104"/>
      <c r="G11" s="104"/>
      <c r="H11" s="105"/>
      <c r="I11" s="100"/>
      <c r="J11" s="2"/>
    </row>
    <row r="12" spans="1:10" ht="23.45" customHeight="1" x14ac:dyDescent="0.2">
      <c r="A12" s="106" t="s">
        <v>357</v>
      </c>
      <c r="B12" s="106"/>
      <c r="C12" s="106"/>
      <c r="D12" s="106"/>
      <c r="E12" s="106"/>
      <c r="F12" s="106"/>
      <c r="G12" s="106"/>
      <c r="H12" s="106"/>
      <c r="I12" s="106"/>
    </row>
    <row r="13" spans="1:10" ht="26.45" customHeight="1" x14ac:dyDescent="0.2">
      <c r="A13" s="39" t="s">
        <v>358</v>
      </c>
      <c r="B13" s="107" t="s">
        <v>359</v>
      </c>
      <c r="C13" s="107"/>
      <c r="D13" s="39" t="s">
        <v>360</v>
      </c>
      <c r="E13" s="107" t="s">
        <v>361</v>
      </c>
      <c r="F13" s="107"/>
      <c r="G13" s="39" t="s">
        <v>362</v>
      </c>
      <c r="H13" s="107" t="s">
        <v>363</v>
      </c>
      <c r="I13" s="107"/>
      <c r="J13" s="2"/>
    </row>
    <row r="14" spans="1:10" ht="15.2" customHeight="1" x14ac:dyDescent="0.2">
      <c r="A14" s="40" t="s">
        <v>364</v>
      </c>
      <c r="B14" s="41" t="s">
        <v>365</v>
      </c>
      <c r="C14" s="42">
        <f>SUM(Stavební_rozpočet!R12:R184)</f>
        <v>0</v>
      </c>
      <c r="D14" s="108" t="s">
        <v>366</v>
      </c>
      <c r="E14" s="108"/>
      <c r="F14" s="42">
        <v>0</v>
      </c>
      <c r="G14" s="108" t="s">
        <v>367</v>
      </c>
      <c r="H14" s="108"/>
      <c r="I14" s="42">
        <v>0</v>
      </c>
      <c r="J14" s="2"/>
    </row>
    <row r="15" spans="1:10" ht="15.2" customHeight="1" x14ac:dyDescent="0.2">
      <c r="A15" s="43"/>
      <c r="B15" s="41" t="s">
        <v>34</v>
      </c>
      <c r="C15" s="42">
        <f>SUM(Stavební_rozpočet!S12:S184)</f>
        <v>0</v>
      </c>
      <c r="D15" s="108" t="s">
        <v>368</v>
      </c>
      <c r="E15" s="108"/>
      <c r="F15" s="42">
        <v>0</v>
      </c>
      <c r="G15" s="108" t="s">
        <v>369</v>
      </c>
      <c r="H15" s="108"/>
      <c r="I15" s="42">
        <v>0</v>
      </c>
      <c r="J15" s="2"/>
    </row>
    <row r="16" spans="1:10" ht="15.2" customHeight="1" x14ac:dyDescent="0.2">
      <c r="A16" s="40" t="s">
        <v>370</v>
      </c>
      <c r="B16" s="41" t="s">
        <v>365</v>
      </c>
      <c r="C16" s="42">
        <f>SUM(Stavební_rozpočet!T12:T184)</f>
        <v>0</v>
      </c>
      <c r="D16" s="108" t="s">
        <v>371</v>
      </c>
      <c r="E16" s="108"/>
      <c r="F16" s="42">
        <v>0</v>
      </c>
      <c r="G16" s="108" t="s">
        <v>372</v>
      </c>
      <c r="H16" s="108"/>
      <c r="I16" s="42">
        <v>0</v>
      </c>
      <c r="J16" s="2"/>
    </row>
    <row r="17" spans="1:10" ht="15.2" customHeight="1" x14ac:dyDescent="0.2">
      <c r="A17" s="43"/>
      <c r="B17" s="41" t="s">
        <v>34</v>
      </c>
      <c r="C17" s="42">
        <f>SUM(Stavební_rozpočet!U12:U184)</f>
        <v>0</v>
      </c>
      <c r="D17" s="109"/>
      <c r="E17" s="109"/>
      <c r="F17" s="44"/>
      <c r="G17" s="108" t="s">
        <v>373</v>
      </c>
      <c r="H17" s="108"/>
      <c r="I17" s="42">
        <v>0</v>
      </c>
      <c r="J17" s="2"/>
    </row>
    <row r="18" spans="1:10" ht="15.2" customHeight="1" x14ac:dyDescent="0.2">
      <c r="A18" s="40" t="s">
        <v>374</v>
      </c>
      <c r="B18" s="41" t="s">
        <v>365</v>
      </c>
      <c r="C18" s="42">
        <f>SUM(Stavební_rozpočet!V12:V184)</f>
        <v>0</v>
      </c>
      <c r="D18" s="109"/>
      <c r="E18" s="109"/>
      <c r="F18" s="44"/>
      <c r="G18" s="108" t="s">
        <v>375</v>
      </c>
      <c r="H18" s="108"/>
      <c r="I18" s="42">
        <v>0</v>
      </c>
      <c r="J18" s="2"/>
    </row>
    <row r="19" spans="1:10" ht="15.2" customHeight="1" x14ac:dyDescent="0.2">
      <c r="A19" s="43"/>
      <c r="B19" s="41" t="s">
        <v>34</v>
      </c>
      <c r="C19" s="42">
        <f>SUM(Stavební_rozpočet!W12:W184)</f>
        <v>0</v>
      </c>
      <c r="D19" s="109"/>
      <c r="E19" s="109"/>
      <c r="F19" s="44"/>
      <c r="G19" s="108" t="s">
        <v>376</v>
      </c>
      <c r="H19" s="108"/>
      <c r="I19" s="42">
        <v>0</v>
      </c>
      <c r="J19" s="2"/>
    </row>
    <row r="20" spans="1:10" ht="15.2" customHeight="1" x14ac:dyDescent="0.2">
      <c r="A20" s="110" t="s">
        <v>377</v>
      </c>
      <c r="B20" s="110"/>
      <c r="C20" s="42">
        <f>SUM(Stavební_rozpočet!X12:X184)</f>
        <v>0</v>
      </c>
      <c r="D20" s="109"/>
      <c r="E20" s="109"/>
      <c r="F20" s="44"/>
      <c r="G20" s="109"/>
      <c r="H20" s="109"/>
      <c r="I20" s="44"/>
      <c r="J20" s="2"/>
    </row>
    <row r="21" spans="1:10" ht="15.2" customHeight="1" x14ac:dyDescent="0.2">
      <c r="A21" s="110" t="s">
        <v>378</v>
      </c>
      <c r="B21" s="110"/>
      <c r="C21" s="42">
        <f>SUM(Stavební_rozpočet!P12:P184)</f>
        <v>0</v>
      </c>
      <c r="D21" s="109"/>
      <c r="E21" s="109"/>
      <c r="F21" s="44"/>
      <c r="G21" s="109"/>
      <c r="H21" s="109"/>
      <c r="I21" s="44"/>
      <c r="J21" s="2"/>
    </row>
    <row r="22" spans="1:10" ht="16.7" customHeight="1" x14ac:dyDescent="0.2">
      <c r="A22" s="110" t="s">
        <v>379</v>
      </c>
      <c r="B22" s="110"/>
      <c r="C22" s="42">
        <f>SUM(C14:C21)</f>
        <v>0</v>
      </c>
      <c r="D22" s="110" t="s">
        <v>380</v>
      </c>
      <c r="E22" s="110"/>
      <c r="F22" s="42">
        <f>SUM(F14:F21)</f>
        <v>0</v>
      </c>
      <c r="G22" s="110" t="s">
        <v>381</v>
      </c>
      <c r="H22" s="110"/>
      <c r="I22" s="42">
        <f>SUM(I14:I21)</f>
        <v>0</v>
      </c>
      <c r="J22" s="2"/>
    </row>
    <row r="23" spans="1:10" ht="15.2" customHeight="1" thickBot="1" x14ac:dyDescent="0.25">
      <c r="A23" s="33"/>
      <c r="B23" s="33"/>
      <c r="C23" s="45"/>
      <c r="D23" s="110" t="s">
        <v>382</v>
      </c>
      <c r="E23" s="110"/>
      <c r="F23" s="46">
        <v>0</v>
      </c>
      <c r="G23" s="110" t="s">
        <v>383</v>
      </c>
      <c r="H23" s="110"/>
      <c r="I23" s="42">
        <v>0</v>
      </c>
      <c r="J23" s="2"/>
    </row>
    <row r="24" spans="1:10" ht="15.2" customHeight="1" x14ac:dyDescent="0.2">
      <c r="D24" s="33"/>
      <c r="E24" s="33"/>
      <c r="F24" s="47"/>
      <c r="G24" s="110" t="s">
        <v>384</v>
      </c>
      <c r="H24" s="110"/>
      <c r="I24" s="48"/>
    </row>
    <row r="25" spans="1:10" ht="15.2" customHeight="1" x14ac:dyDescent="0.2">
      <c r="F25" s="49"/>
      <c r="G25" s="110" t="s">
        <v>385</v>
      </c>
      <c r="H25" s="110"/>
      <c r="I25" s="42">
        <v>0</v>
      </c>
      <c r="J25" s="2"/>
    </row>
    <row r="26" spans="1:10" x14ac:dyDescent="0.2">
      <c r="A26" s="38"/>
      <c r="B26" s="38"/>
      <c r="C26" s="38"/>
      <c r="G26" s="33"/>
      <c r="H26" s="33"/>
      <c r="I26" s="33"/>
    </row>
    <row r="27" spans="1:10" ht="15.2" customHeight="1" x14ac:dyDescent="0.2">
      <c r="A27" s="111" t="s">
        <v>386</v>
      </c>
      <c r="B27" s="111"/>
      <c r="C27" s="50">
        <f>SUM(Stavební_rozpočet!Z12:Z184)</f>
        <v>0</v>
      </c>
      <c r="D27" s="51"/>
      <c r="E27" s="38"/>
      <c r="F27" s="38"/>
      <c r="G27" s="38"/>
      <c r="H27" s="38"/>
      <c r="I27" s="38"/>
    </row>
    <row r="28" spans="1:10" ht="15.2" customHeight="1" x14ac:dyDescent="0.2">
      <c r="A28" s="111" t="s">
        <v>387</v>
      </c>
      <c r="B28" s="111"/>
      <c r="C28" s="50">
        <f>SUM(Stavební_rozpočet!AA12:AA184)</f>
        <v>0</v>
      </c>
      <c r="D28" s="111" t="s">
        <v>388</v>
      </c>
      <c r="E28" s="111"/>
      <c r="F28" s="50">
        <f>ROUND(C28*(15/100),2)</f>
        <v>0</v>
      </c>
      <c r="G28" s="111" t="s">
        <v>389</v>
      </c>
      <c r="H28" s="111"/>
      <c r="I28" s="50">
        <f>SUM(C27:C29)</f>
        <v>0</v>
      </c>
      <c r="J28" s="2"/>
    </row>
    <row r="29" spans="1:10" ht="15.2" customHeight="1" x14ac:dyDescent="0.2">
      <c r="A29" s="111" t="s">
        <v>390</v>
      </c>
      <c r="B29" s="111"/>
      <c r="C29" s="50">
        <f>SUM(Stavební_rozpočet!AB12:AB184)+(F22+I22+F23+I23+I24+I25)</f>
        <v>0</v>
      </c>
      <c r="D29" s="111" t="s">
        <v>391</v>
      </c>
      <c r="E29" s="111"/>
      <c r="F29" s="50">
        <f>ROUND(C29*(21/100),2)</f>
        <v>0</v>
      </c>
      <c r="G29" s="111" t="s">
        <v>392</v>
      </c>
      <c r="H29" s="111"/>
      <c r="I29" s="50">
        <f>SUM(F28:F29)+I28</f>
        <v>0</v>
      </c>
      <c r="J29" s="2"/>
    </row>
    <row r="30" spans="1:10" ht="13.5" thickBot="1" x14ac:dyDescent="0.25">
      <c r="A30" s="52"/>
      <c r="B30" s="52"/>
      <c r="C30" s="52"/>
      <c r="D30" s="52"/>
      <c r="E30" s="52"/>
      <c r="F30" s="52"/>
      <c r="G30" s="52"/>
      <c r="H30" s="52"/>
      <c r="I30" s="52"/>
    </row>
    <row r="31" spans="1:10" ht="14.45" customHeight="1" x14ac:dyDescent="0.2">
      <c r="A31" s="112" t="s">
        <v>393</v>
      </c>
      <c r="B31" s="112"/>
      <c r="C31" s="112"/>
      <c r="D31" s="112" t="s">
        <v>394</v>
      </c>
      <c r="E31" s="112"/>
      <c r="F31" s="112"/>
      <c r="G31" s="112" t="s">
        <v>395</v>
      </c>
      <c r="H31" s="112"/>
      <c r="I31" s="112"/>
      <c r="J31" s="9"/>
    </row>
    <row r="32" spans="1:10" ht="14.45" customHeight="1" x14ac:dyDescent="0.2">
      <c r="A32" s="113"/>
      <c r="B32" s="113"/>
      <c r="C32" s="113"/>
      <c r="D32" s="113"/>
      <c r="E32" s="113"/>
      <c r="F32" s="113"/>
      <c r="G32" s="113"/>
      <c r="H32" s="113"/>
      <c r="I32" s="113"/>
      <c r="J32" s="9"/>
    </row>
    <row r="33" spans="1:10" ht="14.45" customHeight="1" x14ac:dyDescent="0.2">
      <c r="A33" s="113"/>
      <c r="B33" s="113"/>
      <c r="C33" s="113"/>
      <c r="D33" s="113"/>
      <c r="E33" s="113"/>
      <c r="F33" s="113"/>
      <c r="G33" s="113"/>
      <c r="H33" s="113"/>
      <c r="I33" s="113"/>
      <c r="J33" s="9"/>
    </row>
    <row r="34" spans="1:10" ht="14.45" customHeight="1" x14ac:dyDescent="0.2">
      <c r="A34" s="113"/>
      <c r="B34" s="113"/>
      <c r="C34" s="113"/>
      <c r="D34" s="113"/>
      <c r="E34" s="113"/>
      <c r="F34" s="113"/>
      <c r="G34" s="113"/>
      <c r="H34" s="113"/>
      <c r="I34" s="113"/>
      <c r="J34" s="9"/>
    </row>
    <row r="35" spans="1:10" ht="14.45" customHeight="1" thickBot="1" x14ac:dyDescent="0.25">
      <c r="A35" s="114" t="s">
        <v>396</v>
      </c>
      <c r="B35" s="114"/>
      <c r="C35" s="114"/>
      <c r="D35" s="114" t="s">
        <v>396</v>
      </c>
      <c r="E35" s="114"/>
      <c r="F35" s="114"/>
      <c r="G35" s="114" t="s">
        <v>396</v>
      </c>
      <c r="H35" s="114"/>
      <c r="I35" s="114"/>
      <c r="J35" s="9"/>
    </row>
    <row r="36" spans="1:10" ht="11.25" customHeight="1" x14ac:dyDescent="0.2">
      <c r="A36" s="53" t="s">
        <v>352</v>
      </c>
      <c r="B36" s="54"/>
      <c r="C36" s="54"/>
      <c r="D36" s="54"/>
      <c r="E36" s="54"/>
      <c r="F36" s="54"/>
      <c r="G36" s="54"/>
      <c r="H36" s="54"/>
      <c r="I36" s="54"/>
    </row>
    <row r="37" spans="1:10" ht="409.6" hidden="1" customHeight="1" x14ac:dyDescent="0.2">
      <c r="A37" s="87"/>
      <c r="B37" s="87"/>
      <c r="C37" s="87"/>
      <c r="D37" s="87"/>
      <c r="E37" s="87"/>
      <c r="F37" s="87"/>
      <c r="G37" s="87"/>
      <c r="H37" s="87"/>
      <c r="I37" s="87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7" right="0.39400000000000007" top="0.59099999999999997" bottom="0.59099999999999997" header="0.5" footer="0.5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Stavební_rozpočet</vt:lpstr>
      <vt:lpstr>Krycí_list_rozpočtu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Janoskova Olga</cp:lastModifiedBy>
  <dcterms:created xsi:type="dcterms:W3CDTF">2016-09-23T07:48:32Z</dcterms:created>
  <dcterms:modified xsi:type="dcterms:W3CDTF">2016-09-26T10:11:38Z</dcterms:modified>
</cp:coreProperties>
</file>