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Stavební rozpočet" sheetId="1" r:id="rId1"/>
    <sheet name="Stavební rozpočet - součet" sheetId="2" r:id="rId2"/>
    <sheet name="Harmonogram" sheetId="3" r:id="rId3"/>
    <sheet name="Krycí list rozpočtu" sheetId="4" r:id="rId4"/>
  </sheets>
  <definedNames>
    <definedName name="_xlnm.Print_Area" localSheetId="3">'Krycí list rozpočtu'!$A$1:$I$32</definedName>
    <definedName name="_xlnm.Print_Area" localSheetId="0">'Stavební rozpočet'!$A$1:$K$101</definedName>
  </definedNames>
  <calcPr fullCalcOnLoad="1"/>
</workbook>
</file>

<file path=xl/sharedStrings.xml><?xml version="1.0" encoding="utf-8"?>
<sst xmlns="http://schemas.openxmlformats.org/spreadsheetml/2006/main" count="524" uniqueCount="327">
  <si>
    <t>Stavební rozpočet</t>
  </si>
  <si>
    <t>Název stavby:</t>
  </si>
  <si>
    <t xml:space="preserve">Vodní nádrž N5 na Dobřínském potoce  - SO2 – Sedimentační nádrž  </t>
  </si>
  <si>
    <t xml:space="preserve"> </t>
  </si>
  <si>
    <t>Jednot.</t>
  </si>
  <si>
    <t>Náklady (Kč)</t>
  </si>
  <si>
    <t>Hmotnost (t)</t>
  </si>
  <si>
    <t>Č</t>
  </si>
  <si>
    <t>Kód</t>
  </si>
  <si>
    <t>Zkrácený popis</t>
  </si>
  <si>
    <t>M.j.</t>
  </si>
  <si>
    <t>Množství</t>
  </si>
  <si>
    <t>cena (Kč)</t>
  </si>
  <si>
    <t>Dodávka</t>
  </si>
  <si>
    <t>Montáž</t>
  </si>
  <si>
    <t>Celkem</t>
  </si>
  <si>
    <t>11</t>
  </si>
  <si>
    <t>Přípravné a přidružené práce</t>
  </si>
  <si>
    <t>1</t>
  </si>
  <si>
    <t>111201101R00</t>
  </si>
  <si>
    <t>Odstranění křovin i s kořeny na ploše do 1000 m2</t>
  </si>
  <si>
    <t>m2</t>
  </si>
  <si>
    <t>2</t>
  </si>
  <si>
    <t>111201401R00</t>
  </si>
  <si>
    <t>Spálení křovin a stromů o průměru do 100 mm</t>
  </si>
  <si>
    <t>3</t>
  </si>
  <si>
    <t>111201501R00</t>
  </si>
  <si>
    <t>Spálení větví stromů o průměru nad 100 mm</t>
  </si>
  <si>
    <t>kus</t>
  </si>
  <si>
    <t>4</t>
  </si>
  <si>
    <t>112101104R00</t>
  </si>
  <si>
    <t>Kácení stromů listnatých o průměru kmene 70-90 cm</t>
  </si>
  <si>
    <t>5</t>
  </si>
  <si>
    <t>112101102R00</t>
  </si>
  <si>
    <t>Kácení stromů listnatých o průměru kmene 30-50 cm</t>
  </si>
  <si>
    <t>6</t>
  </si>
  <si>
    <t>112101101R00</t>
  </si>
  <si>
    <t>Kácení stromů listnatých o průměru kmene 10-30 cm</t>
  </si>
  <si>
    <t>7</t>
  </si>
  <si>
    <t>112201101R00</t>
  </si>
  <si>
    <t>Odstranění pařezů pod úrovní, o průměru 10 - 30 cm</t>
  </si>
  <si>
    <t>8</t>
  </si>
  <si>
    <t>112201102R00</t>
  </si>
  <si>
    <t>Odstranění pařezů pod úrovní, o průměru 30 - 50 cm</t>
  </si>
  <si>
    <t>9</t>
  </si>
  <si>
    <t>112201104R00</t>
  </si>
  <si>
    <t>Odstranění pařezů pod úrovní, o průměru 70 - 90 cm</t>
  </si>
  <si>
    <t>12</t>
  </si>
  <si>
    <t>Odkopávky a prokopávky</t>
  </si>
  <si>
    <t>10</t>
  </si>
  <si>
    <t>121101101R00</t>
  </si>
  <si>
    <t>Sejmutí ornice s přemístěním do 50 m</t>
  </si>
  <si>
    <t>m3</t>
  </si>
  <si>
    <t>125203101R00</t>
  </si>
  <si>
    <t>Vykopávky kanálů pro zemědělské meliorace v hor. 3</t>
  </si>
  <si>
    <t>13</t>
  </si>
  <si>
    <t>Hloubené vykopávky</t>
  </si>
  <si>
    <t>14</t>
  </si>
  <si>
    <t>131201102R00</t>
  </si>
  <si>
    <t>Hloubení nezapažených jam v hor.3 do 1000 m3</t>
  </si>
  <si>
    <t>15</t>
  </si>
  <si>
    <t>131201101R00</t>
  </si>
  <si>
    <t>Hloubení nezapažených jam v hor.3 do 100 m3</t>
  </si>
  <si>
    <t>16</t>
  </si>
  <si>
    <t>131201109R00</t>
  </si>
  <si>
    <t>Příplatek za lepivost - hloubení nezap.jam v hor.3</t>
  </si>
  <si>
    <t>17</t>
  </si>
  <si>
    <t>18</t>
  </si>
  <si>
    <t>132201101R00</t>
  </si>
  <si>
    <t>Hloubení rýh šířky do 60 cm v hor.3 do 100 m3</t>
  </si>
  <si>
    <t>19</t>
  </si>
  <si>
    <t>132201201R00</t>
  </si>
  <si>
    <t>Hloubení rýh šířky do 200 cm v hor.3 do 100 m3</t>
  </si>
  <si>
    <t>20</t>
  </si>
  <si>
    <t>132201209R00</t>
  </si>
  <si>
    <t>Příplatek za lepivost - hloubení rýh 200cm v hor.3</t>
  </si>
  <si>
    <t>21</t>
  </si>
  <si>
    <t>Přemístění výkopku</t>
  </si>
  <si>
    <t>22</t>
  </si>
  <si>
    <t>162301101R00</t>
  </si>
  <si>
    <t>Vodorovné přemístění výkopku z hor.1-4 do 500 m</t>
  </si>
  <si>
    <t>23</t>
  </si>
  <si>
    <t>162601101R00</t>
  </si>
  <si>
    <t>Vodorovné přemístění výkopku z hor.1-4 do 4000 m</t>
  </si>
  <si>
    <t>24</t>
  </si>
  <si>
    <t>162201451R00</t>
  </si>
  <si>
    <t>Vodorovné přemístění pařezů  D 30 cm do 2000 m</t>
  </si>
  <si>
    <t>25</t>
  </si>
  <si>
    <t>162201452R00</t>
  </si>
  <si>
    <t>Vodorovné přemístění pařezů  D 50 cm do 2000 m</t>
  </si>
  <si>
    <t>26</t>
  </si>
  <si>
    <t>162201454R00</t>
  </si>
  <si>
    <t>Vodorovné přemístění pařezů  D 90 cm do 2000 m</t>
  </si>
  <si>
    <t>27</t>
  </si>
  <si>
    <t>162201441R00</t>
  </si>
  <si>
    <t>Vod.přemístění kmenů listnatých, D 30 cm do 2000 m</t>
  </si>
  <si>
    <t>28</t>
  </si>
  <si>
    <t>162201442R00</t>
  </si>
  <si>
    <t>Vod.přemístění kmenů listnatých, D 50 cm do 2000 m</t>
  </si>
  <si>
    <t>29</t>
  </si>
  <si>
    <t>162201444R00</t>
  </si>
  <si>
    <t>Vod.přemístění kmenů listnatých, D 90 cm do 2000 m</t>
  </si>
  <si>
    <t>30</t>
  </si>
  <si>
    <t>Konstrukce ze zemin</t>
  </si>
  <si>
    <t>31</t>
  </si>
  <si>
    <t>171103201R00</t>
  </si>
  <si>
    <t>Ulož. sypaniny do hrází,100%PS, objem jílu do 20%</t>
  </si>
  <si>
    <t>32</t>
  </si>
  <si>
    <t>171201101R00</t>
  </si>
  <si>
    <t>Uložení sypaniny do násypů nezhutněných</t>
  </si>
  <si>
    <t>Povrchové úpravy terénu</t>
  </si>
  <si>
    <t>33</t>
  </si>
  <si>
    <t>182101101R00</t>
  </si>
  <si>
    <t>Svahování v zářezech v hor. 1 - 4</t>
  </si>
  <si>
    <t>34</t>
  </si>
  <si>
    <t>182201101R00</t>
  </si>
  <si>
    <t>Svahování násypů</t>
  </si>
  <si>
    <t>35</t>
  </si>
  <si>
    <t>182301133R00</t>
  </si>
  <si>
    <t>Rozprostření ornice, svah, tl. 15-20 cm, nad 500m2</t>
  </si>
  <si>
    <t>36</t>
  </si>
  <si>
    <t>181301113R00</t>
  </si>
  <si>
    <t>Rozprostření ornice, rovina, tl.15-20 cm,nad 500m2</t>
  </si>
  <si>
    <t>37</t>
  </si>
  <si>
    <t>38</t>
  </si>
  <si>
    <t>39</t>
  </si>
  <si>
    <t>181301114R00</t>
  </si>
  <si>
    <t>Rozprostření ornice, rovina, tl.20-25 cm,nad 500m2</t>
  </si>
  <si>
    <t>Zdi přehradní a opěrné</t>
  </si>
  <si>
    <t>40</t>
  </si>
  <si>
    <t>321365111R00</t>
  </si>
  <si>
    <t>Výztuž ŽB konstrukcí přehrad ocelí 10425, D 12 mm</t>
  </si>
  <si>
    <t>t</t>
  </si>
  <si>
    <t>41</t>
  </si>
  <si>
    <t>321368211R00</t>
  </si>
  <si>
    <t>Výztuž ŽB konstrukcí přehrad ze svařovaných sítí</t>
  </si>
  <si>
    <t>42</t>
  </si>
  <si>
    <t>321351010R00</t>
  </si>
  <si>
    <t>Obednění konstrukcí přehrad ploch rovinných</t>
  </si>
  <si>
    <t>43</t>
  </si>
  <si>
    <t>321352010R00</t>
  </si>
  <si>
    <t>Odbednění konstrukcí přehrad ploch rovinných</t>
  </si>
  <si>
    <t>44</t>
  </si>
  <si>
    <t>321311115R00</t>
  </si>
  <si>
    <t>Konstrukce přehrad z prostého betonu V12 T100 B 30</t>
  </si>
  <si>
    <t>45</t>
  </si>
  <si>
    <t>46</t>
  </si>
  <si>
    <t>47</t>
  </si>
  <si>
    <t>48</t>
  </si>
  <si>
    <t>49</t>
  </si>
  <si>
    <t>50</t>
  </si>
  <si>
    <t>321213235R00</t>
  </si>
  <si>
    <t>Zdivo nadzákl. přehrad z lom.kam.,obkladní zatřené</t>
  </si>
  <si>
    <t>Podkladní a vedlejší konstrukce (inženýr. stavby kromě vozovek a železnič. svršku)</t>
  </si>
  <si>
    <t>51</t>
  </si>
  <si>
    <t>457971112R00</t>
  </si>
  <si>
    <t>Zřízení vrstvy z geotextilie skl.do 1:5,š.do 7,5 m</t>
  </si>
  <si>
    <t>52</t>
  </si>
  <si>
    <t>457541111R00</t>
  </si>
  <si>
    <t>Filtrační vrstvy z nezhutněné štěrkodrti 0-63 mm</t>
  </si>
  <si>
    <t>53</t>
  </si>
  <si>
    <t>451311531R00</t>
  </si>
  <si>
    <t>Podklad pod dlažbu z betonu V4 T0 B 12,5, do 20 cm</t>
  </si>
  <si>
    <t>54</t>
  </si>
  <si>
    <t>452311131R00</t>
  </si>
  <si>
    <t>Desky podkladní pod potrubí z betonu B 12,5</t>
  </si>
  <si>
    <t>55</t>
  </si>
  <si>
    <t>452351101R00</t>
  </si>
  <si>
    <t>Bednění desek nebo sedlových loží pod potrubí</t>
  </si>
  <si>
    <t>56</t>
  </si>
  <si>
    <t>451311521R00</t>
  </si>
  <si>
    <t>Podklad pod dlažbu z betonu V4 T0 B 12,5, do 15 cm</t>
  </si>
  <si>
    <t>Zpevněné plochy (kromě vozovek a železnič. svršku)</t>
  </si>
  <si>
    <t>57</t>
  </si>
  <si>
    <t>462511270R00</t>
  </si>
  <si>
    <t>Zához z kamene bez proštěrk. z terénu do 200 kg</t>
  </si>
  <si>
    <t>58</t>
  </si>
  <si>
    <t>462519002R00</t>
  </si>
  <si>
    <t>Příplatek-urovnání ploch záhozu, kameny do 200 kg</t>
  </si>
  <si>
    <t>59</t>
  </si>
  <si>
    <t>464531112R00</t>
  </si>
  <si>
    <t>Pohoz z hrub. drceného kameniva 63-125 mm,z terénu</t>
  </si>
  <si>
    <t>60</t>
  </si>
  <si>
    <t>61</t>
  </si>
  <si>
    <t>62</t>
  </si>
  <si>
    <t>462451112R00</t>
  </si>
  <si>
    <t>Prolití záhozu cementovou maltou MC 10</t>
  </si>
  <si>
    <t>63</t>
  </si>
  <si>
    <t>465513227R00</t>
  </si>
  <si>
    <t>Dlažba z kamene na MC, s vyspárov. MCs, tl. 25 cm</t>
  </si>
  <si>
    <t>64</t>
  </si>
  <si>
    <t>81</t>
  </si>
  <si>
    <t>Potrubí z trub betonových</t>
  </si>
  <si>
    <t>65</t>
  </si>
  <si>
    <t>812392121R00</t>
  </si>
  <si>
    <t>Montáž trub vibrolis. hrdlových pryž. kr. DN 400</t>
  </si>
  <si>
    <t>m</t>
  </si>
  <si>
    <t>87</t>
  </si>
  <si>
    <t>Potrubí z trub z plastických hmot, skleněných a čedičových</t>
  </si>
  <si>
    <t>66</t>
  </si>
  <si>
    <t>871228111R00</t>
  </si>
  <si>
    <t>Kladení dren. potrubí do rýhy, tvr. PVC, do 150 mm</t>
  </si>
  <si>
    <t>89</t>
  </si>
  <si>
    <t>Ostatní konstrukce</t>
  </si>
  <si>
    <t>67</t>
  </si>
  <si>
    <t>899501111R00</t>
  </si>
  <si>
    <t>Stupadla vidlicová osazovaná při zdění a betonáži</t>
  </si>
  <si>
    <t>68</t>
  </si>
  <si>
    <t>899623141R00</t>
  </si>
  <si>
    <t>Obetonování potrubí nebo zdiva stok betonem B 12,5</t>
  </si>
  <si>
    <t>69</t>
  </si>
  <si>
    <t>899643111R00</t>
  </si>
  <si>
    <t>Bednění pro obetonování potrubí v otevřeném výkopu</t>
  </si>
  <si>
    <t>93</t>
  </si>
  <si>
    <t>Různé dokončovací konstrukce a práce inženýrských staveb</t>
  </si>
  <si>
    <t>70</t>
  </si>
  <si>
    <t>934956115R00</t>
  </si>
  <si>
    <t>Hradítka z měkkého dřeva tloušťky 6 cm</t>
  </si>
  <si>
    <t>94</t>
  </si>
  <si>
    <t>Lešení a stavební výtahy</t>
  </si>
  <si>
    <t>71</t>
  </si>
  <si>
    <t>941941041R00</t>
  </si>
  <si>
    <t>Montáž lešení leh.řad.s podlahami,š.1,2 m, H 10 m</t>
  </si>
  <si>
    <t>72</t>
  </si>
  <si>
    <t>941941841R00</t>
  </si>
  <si>
    <t>Demontáž lešení leh.řad.s podlahami,š.1,2 m,H 10 m</t>
  </si>
  <si>
    <t>95</t>
  </si>
  <si>
    <t>Různé dokončovací konstrukce a práce pozemních staveb</t>
  </si>
  <si>
    <t>73</t>
  </si>
  <si>
    <t>953943125R00</t>
  </si>
  <si>
    <t>Osazení kovových předmětů do betonu, 120 kg / kus</t>
  </si>
  <si>
    <t>H32</t>
  </si>
  <si>
    <t>Hráze a objekty na tocích</t>
  </si>
  <si>
    <t>74</t>
  </si>
  <si>
    <t>998321011R00</t>
  </si>
  <si>
    <t>Přesun hmot pro hráze přehradní zemní a kamenité</t>
  </si>
  <si>
    <t>Ostatní materiál</t>
  </si>
  <si>
    <t>75</t>
  </si>
  <si>
    <t>69366058R</t>
  </si>
  <si>
    <t>GEOFILTEX 63 100% PP 63/50 500 g/m2 šíře do 8,8m</t>
  </si>
  <si>
    <t>76</t>
  </si>
  <si>
    <t>200140VD</t>
  </si>
  <si>
    <t>Drážky pro dluže</t>
  </si>
  <si>
    <t>ks</t>
  </si>
  <si>
    <t>77</t>
  </si>
  <si>
    <t>200136VD</t>
  </si>
  <si>
    <t>Rám požeráku - kovový L profil</t>
  </si>
  <si>
    <t>78</t>
  </si>
  <si>
    <t>200135VD</t>
  </si>
  <si>
    <t>Poklop požeráku , dřevěný</t>
  </si>
  <si>
    <t>79</t>
  </si>
  <si>
    <t>200134VD</t>
  </si>
  <si>
    <t>Trouba betonová TBH Q 40/250</t>
  </si>
  <si>
    <t>Celkem před slevou:</t>
  </si>
  <si>
    <t>Celková sleva (%):</t>
  </si>
  <si>
    <t>Celkem po slevě:</t>
  </si>
  <si>
    <t>Stavební rozpočet - rekapitulace</t>
  </si>
  <si>
    <t>Vodní nádrž N5 na Dobřínském potoce</t>
  </si>
  <si>
    <t>Objednatel:</t>
  </si>
  <si>
    <t>Druh stavby a účel:</t>
  </si>
  <si>
    <t>SO2 Sedimentační nádrž</t>
  </si>
  <si>
    <t>Projektant:</t>
  </si>
  <si>
    <t>Lokalita:</t>
  </si>
  <si>
    <t>Nivy , k.ú. Prakšice</t>
  </si>
  <si>
    <t>Zhotovitel:</t>
  </si>
  <si>
    <t>Zpracoval:</t>
  </si>
  <si>
    <t>ing.Horký Tomáš</t>
  </si>
  <si>
    <t>Zpracováno dne:</t>
  </si>
  <si>
    <t>Náklady (Kč) - dodávka</t>
  </si>
  <si>
    <t>Náklady (Kč) - Montáž</t>
  </si>
  <si>
    <t>Náklady (Kč) - celkem</t>
  </si>
  <si>
    <t>Celková hmotnost (t)</t>
  </si>
  <si>
    <t>Harmonogram</t>
  </si>
  <si>
    <t>Doba výstavby:</t>
  </si>
  <si>
    <t>Začátek výstavby:</t>
  </si>
  <si>
    <t>Konec výstavby:</t>
  </si>
  <si>
    <t>JKSO:</t>
  </si>
  <si>
    <t>Nh</t>
  </si>
  <si>
    <t>Zdroje</t>
  </si>
  <si>
    <t>Trvání</t>
  </si>
  <si>
    <t>Začátek</t>
  </si>
  <si>
    <t>Konec</t>
  </si>
  <si>
    <t>Rozpočet (Kč)</t>
  </si>
  <si>
    <t>Krycí list rozpočtu</t>
  </si>
  <si>
    <t xml:space="preserve">ČR Ministerstvo zemědělství , pozemkový úřad Uherské Hradiště </t>
  </si>
  <si>
    <t>IČ/DIČ:</t>
  </si>
  <si>
    <t xml:space="preserve">ing. Tomáš Horký </t>
  </si>
  <si>
    <t>13700987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</si>
  <si>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</si>
  <si>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</si>
  <si>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</si>
  <si>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</si>
  <si>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</si>
  <si>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</si>
  <si>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</si>
  <si>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</si>
  <si>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</si>
  <si>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</si>
  <si>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</si>
  <si>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</si>
  <si>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</si>
  <si>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</si>
  <si>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</si>
  <si>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</si>
  <si>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</si>
  <si>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</si>
  <si>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</si>
  <si>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</si>
  <si>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</si>
  <si>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</si>
  <si>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Přesun hmot a sutí</t>
  </si>
  <si>
    <t>ZRN celkem</t>
  </si>
  <si>
    <t>DN celkem</t>
  </si>
  <si>
    <t>NUS celkem</t>
  </si>
  <si>
    <t>Základ 0%</t>
  </si>
  <si>
    <t>Základ 5%</t>
  </si>
  <si>
    <t>DPH 5%</t>
  </si>
  <si>
    <t>Celkem bez DPH</t>
  </si>
  <si>
    <t>Celkem včetně DPH</t>
  </si>
  <si>
    <t>Projektant</t>
  </si>
  <si>
    <t>Objednatel</t>
  </si>
  <si>
    <t>Zhotovitel</t>
  </si>
  <si>
    <t xml:space="preserve">ČR Ministerstvo zemědělství </t>
  </si>
  <si>
    <t xml:space="preserve">Pozemkový úřad Uherské Hradiště </t>
  </si>
  <si>
    <t>Datum, razítko a podpis</t>
  </si>
  <si>
    <t>DPH 20%</t>
  </si>
  <si>
    <t>Základ 20%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</si>
</sst>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2" fillId="33" borderId="21" xfId="0" applyNumberFormat="1" applyFont="1" applyFill="1" applyBorder="1" applyAlignment="1" applyProtection="1">
      <alignment horizontal="left" vertical="center"/>
      <protection/>
    </xf>
    <xf numFmtId="49" fontId="3" fillId="33" borderId="21" xfId="0" applyNumberFormat="1" applyFont="1" applyFill="1" applyBorder="1" applyAlignment="1" applyProtection="1">
      <alignment horizontal="left" vertical="center"/>
      <protection/>
    </xf>
    <xf numFmtId="4" fontId="3" fillId="33" borderId="21" xfId="0" applyNumberFormat="1" applyFont="1" applyFill="1" applyBorder="1" applyAlignment="1" applyProtection="1">
      <alignment horizontal="right" vertical="center"/>
      <protection/>
    </xf>
    <xf numFmtId="49" fontId="3" fillId="33" borderId="21" xfId="0" applyNumberFormat="1" applyFont="1" applyFill="1" applyBorder="1" applyAlignment="1" applyProtection="1">
      <alignment horizontal="right" vertical="center"/>
      <protection/>
    </xf>
    <xf numFmtId="49" fontId="2" fillId="0" borderId="22" xfId="0" applyNumberFormat="1" applyFont="1" applyFill="1" applyBorder="1" applyAlignment="1" applyProtection="1">
      <alignment horizontal="left" vertical="center"/>
      <protection/>
    </xf>
    <xf numFmtId="49" fontId="2" fillId="0" borderId="22" xfId="0" applyNumberFormat="1" applyFont="1" applyFill="1" applyBorder="1" applyAlignment="1" applyProtection="1">
      <alignment horizontal="left" vertical="center" wrapText="1"/>
      <protection/>
    </xf>
    <xf numFmtId="4" fontId="2" fillId="0" borderId="22" xfId="0" applyNumberFormat="1" applyFont="1" applyFill="1" applyBorder="1" applyAlignment="1" applyProtection="1">
      <alignment horizontal="right" vertical="center"/>
      <protection/>
    </xf>
    <xf numFmtId="49" fontId="2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23" xfId="0" applyNumberFormat="1" applyFont="1" applyFill="1" applyBorder="1" applyAlignment="1" applyProtection="1">
      <alignment vertical="center"/>
      <protection/>
    </xf>
    <xf numFmtId="4" fontId="3" fillId="0" borderId="23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/>
    </xf>
    <xf numFmtId="4" fontId="2" fillId="0" borderId="21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right" vertical="center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49" fontId="6" fillId="33" borderId="27" xfId="0" applyNumberFormat="1" applyFont="1" applyFill="1" applyBorder="1" applyAlignment="1" applyProtection="1">
      <alignment horizontal="center" vertical="center"/>
      <protection/>
    </xf>
    <xf numFmtId="49" fontId="8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27" xfId="0" applyNumberFormat="1" applyFont="1" applyFill="1" applyBorder="1" applyAlignment="1" applyProtection="1">
      <alignment horizontal="left" vertical="center"/>
      <protection/>
    </xf>
    <xf numFmtId="4" fontId="9" fillId="0" borderId="27" xfId="0" applyNumberFormat="1" applyFont="1" applyFill="1" applyBorder="1" applyAlignment="1" applyProtection="1">
      <alignment horizontal="right" vertical="center"/>
      <protection/>
    </xf>
    <xf numFmtId="49" fontId="8" fillId="0" borderId="29" xfId="0" applyNumberFormat="1" applyFont="1" applyFill="1" applyBorder="1" applyAlignment="1" applyProtection="1">
      <alignment horizontal="left" vertical="center"/>
      <protection/>
    </xf>
    <xf numFmtId="49" fontId="9" fillId="0" borderId="27" xfId="0" applyNumberFormat="1" applyFont="1" applyFill="1" applyBorder="1" applyAlignment="1" applyProtection="1">
      <alignment horizontal="right" vertical="center"/>
      <protection/>
    </xf>
    <xf numFmtId="0" fontId="2" fillId="0" borderId="30" xfId="0" applyNumberFormat="1" applyFont="1" applyFill="1" applyBorder="1" applyAlignment="1" applyProtection="1">
      <alignment vertical="center"/>
      <protection/>
    </xf>
    <xf numFmtId="4" fontId="7" fillId="33" borderId="31" xfId="0" applyNumberFormat="1" applyFont="1" applyFill="1" applyBorder="1" applyAlignment="1" applyProtection="1">
      <alignment horizontal="right" vertical="center"/>
      <protection/>
    </xf>
    <xf numFmtId="0" fontId="10" fillId="0" borderId="32" xfId="0" applyNumberFormat="1" applyFont="1" applyFill="1" applyBorder="1" applyAlignment="1" applyProtection="1">
      <alignment vertical="center"/>
      <protection/>
    </xf>
    <xf numFmtId="0" fontId="10" fillId="0" borderId="33" xfId="0" applyNumberFormat="1" applyFont="1" applyFill="1" applyBorder="1" applyAlignment="1" applyProtection="1">
      <alignment vertical="center"/>
      <protection/>
    </xf>
    <xf numFmtId="0" fontId="10" fillId="0" borderId="34" xfId="0" applyNumberFormat="1" applyFont="1" applyFill="1" applyBorder="1" applyAlignment="1" applyProtection="1">
      <alignment vertical="center"/>
      <protection/>
    </xf>
    <xf numFmtId="0" fontId="10" fillId="0" borderId="21" xfId="0" applyNumberFormat="1" applyFont="1" applyFill="1" applyBorder="1" applyAlignment="1" applyProtection="1">
      <alignment vertical="center"/>
      <protection/>
    </xf>
    <xf numFmtId="49" fontId="1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35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23" xfId="0" applyNumberFormat="1" applyFont="1" applyFill="1" applyBorder="1" applyAlignment="1" applyProtection="1">
      <alignment horizontal="left" vertical="center"/>
      <protection/>
    </xf>
    <xf numFmtId="49" fontId="2" fillId="0" borderId="37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38" xfId="0" applyNumberFormat="1" applyFont="1" applyFill="1" applyBorder="1" applyAlignment="1" applyProtection="1">
      <alignment horizontal="left" vertical="center"/>
      <protection/>
    </xf>
    <xf numFmtId="49" fontId="2" fillId="0" borderId="39" xfId="0" applyNumberFormat="1" applyFont="1" applyFill="1" applyBorder="1" applyAlignment="1" applyProtection="1">
      <alignment horizontal="left" vertical="center"/>
      <protection/>
    </xf>
    <xf numFmtId="49" fontId="2" fillId="0" borderId="40" xfId="0" applyNumberFormat="1" applyFont="1" applyFill="1" applyBorder="1" applyAlignment="1" applyProtection="1">
      <alignment horizontal="left" vertical="center"/>
      <protection/>
    </xf>
    <xf numFmtId="14" fontId="2" fillId="0" borderId="41" xfId="0" applyNumberFormat="1" applyFont="1" applyFill="1" applyBorder="1" applyAlignment="1" applyProtection="1">
      <alignment horizontal="left" vertical="center"/>
      <protection/>
    </xf>
    <xf numFmtId="14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4" fontId="2" fillId="0" borderId="40" xfId="0" applyNumberFormat="1" applyFont="1" applyFill="1" applyBorder="1" applyAlignment="1" applyProtection="1">
      <alignment horizontal="left" vertical="center"/>
      <protection/>
    </xf>
    <xf numFmtId="49" fontId="2" fillId="0" borderId="41" xfId="0" applyNumberFormat="1" applyFont="1" applyFill="1" applyBorder="1" applyAlignment="1" applyProtection="1">
      <alignment horizontal="left" vertical="center"/>
      <protection/>
    </xf>
    <xf numFmtId="49" fontId="4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left" vertical="center"/>
      <protection/>
    </xf>
    <xf numFmtId="49" fontId="3" fillId="0" borderId="22" xfId="0" applyNumberFormat="1" applyFont="1" applyFill="1" applyBorder="1" applyAlignment="1" applyProtection="1">
      <alignment horizontal="left" vertical="center" wrapText="1"/>
      <protection/>
    </xf>
    <xf numFmtId="49" fontId="2" fillId="0" borderId="22" xfId="0" applyNumberFormat="1" applyFont="1" applyFill="1" applyBorder="1" applyAlignment="1" applyProtection="1">
      <alignment horizontal="left" vertical="center" wrapText="1"/>
      <protection/>
    </xf>
    <xf numFmtId="49" fontId="3" fillId="0" borderId="22" xfId="0" applyNumberFormat="1" applyFont="1" applyFill="1" applyBorder="1" applyAlignment="1" applyProtection="1">
      <alignment horizontal="left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14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49" fontId="7" fillId="0" borderId="27" xfId="0" applyNumberFormat="1" applyFont="1" applyFill="1" applyBorder="1" applyAlignment="1" applyProtection="1">
      <alignment horizontal="left" vertical="center"/>
      <protection/>
    </xf>
    <xf numFmtId="49" fontId="9" fillId="0" borderId="27" xfId="0" applyNumberFormat="1" applyFont="1" applyFill="1" applyBorder="1" applyAlignment="1" applyProtection="1">
      <alignment horizontal="left" vertical="center"/>
      <protection/>
    </xf>
    <xf numFmtId="49" fontId="8" fillId="0" borderId="27" xfId="0" applyNumberFormat="1" applyFont="1" applyFill="1" applyBorder="1" applyAlignment="1" applyProtection="1">
      <alignment horizontal="left" vertical="center"/>
      <protection/>
    </xf>
    <xf numFmtId="49" fontId="7" fillId="33" borderId="42" xfId="0" applyNumberFormat="1" applyFont="1" applyFill="1" applyBorder="1" applyAlignment="1" applyProtection="1">
      <alignment horizontal="left" vertical="center"/>
      <protection/>
    </xf>
    <xf numFmtId="49" fontId="10" fillId="0" borderId="43" xfId="0" applyNumberFormat="1" applyFont="1" applyFill="1" applyBorder="1" applyAlignment="1" applyProtection="1">
      <alignment horizontal="left" vertical="center"/>
      <protection/>
    </xf>
    <xf numFmtId="49" fontId="10" fillId="0" borderId="44" xfId="0" applyNumberFormat="1" applyFont="1" applyFill="1" applyBorder="1" applyAlignment="1" applyProtection="1">
      <alignment horizontal="left" vertical="center"/>
      <protection/>
    </xf>
    <xf numFmtId="49" fontId="10" fillId="0" borderId="45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SheetLayoutView="100" zoomScalePageLayoutView="0" workbookViewId="0" topLeftCell="A1">
      <selection activeCell="F102" sqref="F102"/>
    </sheetView>
  </sheetViews>
  <sheetFormatPr defaultColWidth="11.421875" defaultRowHeight="12.75"/>
  <cols>
    <col min="1" max="1" width="3.7109375" style="0" customWidth="1"/>
    <col min="2" max="2" width="13.28125" style="0" customWidth="1"/>
    <col min="3" max="3" width="34.140625" style="0" customWidth="1"/>
    <col min="4" max="4" width="4.28125" style="0" customWidth="1"/>
    <col min="5" max="5" width="10.8515625" style="0" customWidth="1"/>
    <col min="6" max="6" width="12.00390625" style="0" customWidth="1"/>
    <col min="7" max="8" width="13.140625" style="0" customWidth="1"/>
    <col min="9" max="9" width="13.28125" style="0" customWidth="1"/>
    <col min="10" max="11" width="11.7109375" style="0" customWidth="1"/>
  </cols>
  <sheetData>
    <row r="1" spans="1:11" ht="21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2" ht="12.75">
      <c r="A2" s="52" t="s">
        <v>1</v>
      </c>
      <c r="B2" s="52"/>
      <c r="C2" s="53" t="s">
        <v>2</v>
      </c>
      <c r="D2" s="53"/>
      <c r="E2" s="53"/>
      <c r="F2" s="53"/>
      <c r="G2" s="53"/>
      <c r="H2" s="53"/>
      <c r="I2" s="53"/>
      <c r="J2" s="53"/>
      <c r="K2" s="53"/>
      <c r="L2" s="1"/>
    </row>
    <row r="3" spans="1:12" ht="12.75">
      <c r="A3" s="52"/>
      <c r="B3" s="52"/>
      <c r="C3" s="53"/>
      <c r="D3" s="53"/>
      <c r="E3" s="53"/>
      <c r="F3" s="53"/>
      <c r="G3" s="53"/>
      <c r="H3" s="53"/>
      <c r="I3" s="53"/>
      <c r="J3" s="53"/>
      <c r="K3" s="53"/>
      <c r="L3" s="1"/>
    </row>
    <row r="4" spans="1:12" ht="12.75">
      <c r="A4" s="2" t="s">
        <v>3</v>
      </c>
      <c r="B4" s="3" t="s">
        <v>3</v>
      </c>
      <c r="C4" s="3" t="s">
        <v>3</v>
      </c>
      <c r="D4" s="3" t="s">
        <v>3</v>
      </c>
      <c r="E4" s="3" t="s">
        <v>3</v>
      </c>
      <c r="F4" s="4" t="s">
        <v>4</v>
      </c>
      <c r="G4" s="54" t="s">
        <v>5</v>
      </c>
      <c r="H4" s="54"/>
      <c r="I4" s="54"/>
      <c r="J4" s="54" t="s">
        <v>6</v>
      </c>
      <c r="K4" s="54"/>
      <c r="L4" s="5"/>
    </row>
    <row r="5" spans="1:12" ht="12.75">
      <c r="A5" s="6" t="s">
        <v>7</v>
      </c>
      <c r="B5" s="7" t="s">
        <v>8</v>
      </c>
      <c r="C5" s="7" t="s">
        <v>9</v>
      </c>
      <c r="D5" s="7" t="s">
        <v>10</v>
      </c>
      <c r="E5" s="8" t="s">
        <v>11</v>
      </c>
      <c r="F5" s="9" t="s">
        <v>12</v>
      </c>
      <c r="G5" s="10" t="s">
        <v>13</v>
      </c>
      <c r="H5" s="11" t="s">
        <v>14</v>
      </c>
      <c r="I5" s="12" t="s">
        <v>15</v>
      </c>
      <c r="J5" s="10" t="s">
        <v>4</v>
      </c>
      <c r="K5" s="12" t="s">
        <v>15</v>
      </c>
      <c r="L5" s="5"/>
    </row>
    <row r="6" spans="1:11" ht="12.75">
      <c r="A6" s="13"/>
      <c r="B6" s="14" t="s">
        <v>16</v>
      </c>
      <c r="C6" s="55" t="s">
        <v>17</v>
      </c>
      <c r="D6" s="55"/>
      <c r="E6" s="55"/>
      <c r="F6" s="55"/>
      <c r="G6" s="15">
        <f>SUM(G7:G15)</f>
        <v>0</v>
      </c>
      <c r="H6" s="15">
        <f>SUM(H7:H15)</f>
        <v>0</v>
      </c>
      <c r="I6" s="15">
        <f aca="true" t="shared" si="0" ref="I6:I37">G6+H6</f>
        <v>0</v>
      </c>
      <c r="J6" s="16"/>
      <c r="K6" s="15">
        <f>SUM(K7:K15)</f>
        <v>0.34800000000000003</v>
      </c>
    </row>
    <row r="7" spans="1:11" ht="25.5">
      <c r="A7" s="17" t="s">
        <v>18</v>
      </c>
      <c r="B7" s="17" t="s">
        <v>19</v>
      </c>
      <c r="C7" s="18" t="s">
        <v>20</v>
      </c>
      <c r="D7" s="17" t="s">
        <v>21</v>
      </c>
      <c r="E7" s="19">
        <v>930</v>
      </c>
      <c r="F7" s="19">
        <v>0</v>
      </c>
      <c r="G7" s="19">
        <f>E7*F7*0</f>
        <v>0</v>
      </c>
      <c r="H7" s="19">
        <f>E7*F7*(1-0)</f>
        <v>0</v>
      </c>
      <c r="I7" s="19">
        <f t="shared" si="0"/>
        <v>0</v>
      </c>
      <c r="J7" s="19">
        <v>0</v>
      </c>
      <c r="K7" s="19">
        <f aca="true" t="shared" si="1" ref="K7:K15">E7*J7</f>
        <v>0</v>
      </c>
    </row>
    <row r="8" spans="1:11" ht="25.5">
      <c r="A8" s="17" t="s">
        <v>22</v>
      </c>
      <c r="B8" s="17" t="s">
        <v>23</v>
      </c>
      <c r="C8" s="18" t="s">
        <v>24</v>
      </c>
      <c r="D8" s="17" t="s">
        <v>21</v>
      </c>
      <c r="E8" s="19">
        <v>970</v>
      </c>
      <c r="F8" s="19">
        <v>0</v>
      </c>
      <c r="G8" s="19">
        <f>E8*F8*0.198060941828255</f>
        <v>0</v>
      </c>
      <c r="H8" s="19">
        <f>E8*F8*(1-0.198060941828255)</f>
        <v>0</v>
      </c>
      <c r="I8" s="19">
        <f t="shared" si="0"/>
        <v>0</v>
      </c>
      <c r="J8" s="19">
        <v>0</v>
      </c>
      <c r="K8" s="19">
        <f t="shared" si="1"/>
        <v>0</v>
      </c>
    </row>
    <row r="9" spans="1:11" ht="25.5">
      <c r="A9" s="17" t="s">
        <v>25</v>
      </c>
      <c r="B9" s="17" t="s">
        <v>26</v>
      </c>
      <c r="C9" s="18" t="s">
        <v>27</v>
      </c>
      <c r="D9" s="17" t="s">
        <v>28</v>
      </c>
      <c r="E9" s="19">
        <v>116</v>
      </c>
      <c r="F9" s="19">
        <v>0</v>
      </c>
      <c r="G9" s="19">
        <f>E9*F9*0.207030777785837</f>
        <v>0</v>
      </c>
      <c r="H9" s="19">
        <f>E9*F9*(1-0.207030777785837)</f>
        <v>0</v>
      </c>
      <c r="I9" s="19">
        <f t="shared" si="0"/>
        <v>0</v>
      </c>
      <c r="J9" s="19">
        <v>0.003</v>
      </c>
      <c r="K9" s="19">
        <f t="shared" si="1"/>
        <v>0.34800000000000003</v>
      </c>
    </row>
    <row r="10" spans="1:11" ht="25.5">
      <c r="A10" s="17" t="s">
        <v>29</v>
      </c>
      <c r="B10" s="17" t="s">
        <v>30</v>
      </c>
      <c r="C10" s="18" t="s">
        <v>31</v>
      </c>
      <c r="D10" s="17" t="s">
        <v>28</v>
      </c>
      <c r="E10" s="19">
        <v>1</v>
      </c>
      <c r="F10" s="19">
        <v>0</v>
      </c>
      <c r="G10" s="19">
        <f>E10*F10*0</f>
        <v>0</v>
      </c>
      <c r="H10" s="19">
        <f>E10*F10*(1-0)</f>
        <v>0</v>
      </c>
      <c r="I10" s="19">
        <f t="shared" si="0"/>
        <v>0</v>
      </c>
      <c r="J10" s="19">
        <v>0</v>
      </c>
      <c r="K10" s="19">
        <f t="shared" si="1"/>
        <v>0</v>
      </c>
    </row>
    <row r="11" spans="1:11" ht="25.5">
      <c r="A11" s="17" t="s">
        <v>32</v>
      </c>
      <c r="B11" s="17" t="s">
        <v>33</v>
      </c>
      <c r="C11" s="18" t="s">
        <v>34</v>
      </c>
      <c r="D11" s="17" t="s">
        <v>28</v>
      </c>
      <c r="E11" s="19">
        <v>50</v>
      </c>
      <c r="F11" s="19">
        <v>0</v>
      </c>
      <c r="G11" s="19">
        <f>E11*F11*0</f>
        <v>0</v>
      </c>
      <c r="H11" s="19">
        <f>E11*F11*(1-0)</f>
        <v>0</v>
      </c>
      <c r="I11" s="19">
        <f t="shared" si="0"/>
        <v>0</v>
      </c>
      <c r="J11" s="19">
        <v>0</v>
      </c>
      <c r="K11" s="19">
        <f t="shared" si="1"/>
        <v>0</v>
      </c>
    </row>
    <row r="12" spans="1:11" ht="25.5">
      <c r="A12" s="17" t="s">
        <v>35</v>
      </c>
      <c r="B12" s="17" t="s">
        <v>36</v>
      </c>
      <c r="C12" s="18" t="s">
        <v>37</v>
      </c>
      <c r="D12" s="17" t="s">
        <v>28</v>
      </c>
      <c r="E12" s="19">
        <v>65</v>
      </c>
      <c r="F12" s="19">
        <v>0</v>
      </c>
      <c r="G12" s="19">
        <f>E12*F12*0</f>
        <v>0</v>
      </c>
      <c r="H12" s="19">
        <f>E12*F12*(1-0)</f>
        <v>0</v>
      </c>
      <c r="I12" s="19">
        <f t="shared" si="0"/>
        <v>0</v>
      </c>
      <c r="J12" s="19">
        <v>0</v>
      </c>
      <c r="K12" s="19">
        <f t="shared" si="1"/>
        <v>0</v>
      </c>
    </row>
    <row r="13" spans="1:11" ht="25.5">
      <c r="A13" s="17" t="s">
        <v>38</v>
      </c>
      <c r="B13" s="17" t="s">
        <v>39</v>
      </c>
      <c r="C13" s="18" t="s">
        <v>40</v>
      </c>
      <c r="D13" s="17" t="s">
        <v>28</v>
      </c>
      <c r="E13" s="19">
        <v>65</v>
      </c>
      <c r="F13" s="19">
        <v>0</v>
      </c>
      <c r="G13" s="19">
        <f>E13*F13*0.0102336781043069</f>
        <v>0</v>
      </c>
      <c r="H13" s="19">
        <f>E13*F13*(1-0.0102336781043069)</f>
        <v>0</v>
      </c>
      <c r="I13" s="19">
        <f t="shared" si="0"/>
        <v>0</v>
      </c>
      <c r="J13" s="19">
        <v>0</v>
      </c>
      <c r="K13" s="19">
        <f t="shared" si="1"/>
        <v>0</v>
      </c>
    </row>
    <row r="14" spans="1:11" ht="25.5">
      <c r="A14" s="17" t="s">
        <v>41</v>
      </c>
      <c r="B14" s="17" t="s">
        <v>42</v>
      </c>
      <c r="C14" s="18" t="s">
        <v>43</v>
      </c>
      <c r="D14" s="17" t="s">
        <v>28</v>
      </c>
      <c r="E14" s="19">
        <v>50</v>
      </c>
      <c r="F14" s="19">
        <v>0</v>
      </c>
      <c r="G14" s="19">
        <f>E14*F14*0.00440331543750589</f>
        <v>0</v>
      </c>
      <c r="H14" s="19">
        <f>E14*F14*(1-0.00440331543750589)</f>
        <v>0</v>
      </c>
      <c r="I14" s="19">
        <f t="shared" si="0"/>
        <v>0</v>
      </c>
      <c r="J14" s="19">
        <v>0</v>
      </c>
      <c r="K14" s="19">
        <f t="shared" si="1"/>
        <v>0</v>
      </c>
    </row>
    <row r="15" spans="1:11" ht="25.5">
      <c r="A15" s="17" t="s">
        <v>44</v>
      </c>
      <c r="B15" s="17" t="s">
        <v>45</v>
      </c>
      <c r="C15" s="18" t="s">
        <v>46</v>
      </c>
      <c r="D15" s="17" t="s">
        <v>28</v>
      </c>
      <c r="E15" s="19">
        <v>1</v>
      </c>
      <c r="F15" s="19">
        <v>0</v>
      </c>
      <c r="G15" s="19">
        <f>E15*F15*0.00338165989135518</f>
        <v>0</v>
      </c>
      <c r="H15" s="19">
        <f>E15*F15*(1-0.00338165989135518)</f>
        <v>0</v>
      </c>
      <c r="I15" s="19">
        <f t="shared" si="0"/>
        <v>0</v>
      </c>
      <c r="J15" s="19">
        <v>0</v>
      </c>
      <c r="K15" s="19">
        <f t="shared" si="1"/>
        <v>0</v>
      </c>
    </row>
    <row r="16" spans="1:11" ht="12.75" customHeight="1">
      <c r="A16" s="20"/>
      <c r="B16" s="21" t="s">
        <v>47</v>
      </c>
      <c r="C16" s="56" t="s">
        <v>48</v>
      </c>
      <c r="D16" s="56"/>
      <c r="E16" s="56"/>
      <c r="F16" s="56"/>
      <c r="G16" s="22">
        <f>SUM(G17:G20)</f>
        <v>0</v>
      </c>
      <c r="H16" s="22">
        <f>SUM(H17:H20)</f>
        <v>0</v>
      </c>
      <c r="I16" s="22">
        <f t="shared" si="0"/>
        <v>0</v>
      </c>
      <c r="J16" s="23"/>
      <c r="K16" s="22">
        <f>SUM(K17:K20)</f>
        <v>0</v>
      </c>
    </row>
    <row r="17" spans="1:11" ht="12.75">
      <c r="A17" s="17" t="s">
        <v>49</v>
      </c>
      <c r="B17" s="17" t="s">
        <v>50</v>
      </c>
      <c r="C17" s="18" t="s">
        <v>51</v>
      </c>
      <c r="D17" s="17" t="s">
        <v>52</v>
      </c>
      <c r="E17" s="19">
        <v>698.25</v>
      </c>
      <c r="F17" s="19">
        <v>0</v>
      </c>
      <c r="G17" s="19">
        <f>E17*F17*0</f>
        <v>0</v>
      </c>
      <c r="H17" s="19">
        <f>E17*F17*(1-0)</f>
        <v>0</v>
      </c>
      <c r="I17" s="19">
        <f t="shared" si="0"/>
        <v>0</v>
      </c>
      <c r="J17" s="19">
        <v>0</v>
      </c>
      <c r="K17" s="19">
        <f>E17*J17</f>
        <v>0</v>
      </c>
    </row>
    <row r="18" spans="1:11" ht="12.75">
      <c r="A18" s="17" t="s">
        <v>16</v>
      </c>
      <c r="B18" s="17" t="s">
        <v>50</v>
      </c>
      <c r="C18" s="18" t="s">
        <v>51</v>
      </c>
      <c r="D18" s="17" t="s">
        <v>52</v>
      </c>
      <c r="E18" s="19">
        <v>55</v>
      </c>
      <c r="F18" s="19">
        <v>0</v>
      </c>
      <c r="G18" s="19">
        <f>E18*F18*0</f>
        <v>0</v>
      </c>
      <c r="H18" s="19">
        <f>E18*F18*(1-0)</f>
        <v>0</v>
      </c>
      <c r="I18" s="19">
        <f t="shared" si="0"/>
        <v>0</v>
      </c>
      <c r="J18" s="19">
        <v>0</v>
      </c>
      <c r="K18" s="19">
        <f>E18*J18</f>
        <v>0</v>
      </c>
    </row>
    <row r="19" spans="1:11" ht="25.5">
      <c r="A19" s="17" t="s">
        <v>47</v>
      </c>
      <c r="B19" s="17" t="s">
        <v>53</v>
      </c>
      <c r="C19" s="18" t="s">
        <v>54</v>
      </c>
      <c r="D19" s="17" t="s">
        <v>52</v>
      </c>
      <c r="E19" s="19">
        <v>21.6</v>
      </c>
      <c r="F19" s="19">
        <v>0</v>
      </c>
      <c r="G19" s="19">
        <f>E19*F19*0</f>
        <v>0</v>
      </c>
      <c r="H19" s="19">
        <f>E19*F19*(1-0)</f>
        <v>0</v>
      </c>
      <c r="I19" s="19">
        <f t="shared" si="0"/>
        <v>0</v>
      </c>
      <c r="J19" s="19">
        <v>0</v>
      </c>
      <c r="K19" s="19">
        <f>E19*J19</f>
        <v>0</v>
      </c>
    </row>
    <row r="20" spans="1:11" ht="12.75">
      <c r="A20" s="17" t="s">
        <v>55</v>
      </c>
      <c r="B20" s="17" t="s">
        <v>50</v>
      </c>
      <c r="C20" s="18" t="s">
        <v>51</v>
      </c>
      <c r="D20" s="17" t="s">
        <v>52</v>
      </c>
      <c r="E20" s="19">
        <v>554</v>
      </c>
      <c r="F20" s="19">
        <v>0</v>
      </c>
      <c r="G20" s="19">
        <f>E20*F20*0</f>
        <v>0</v>
      </c>
      <c r="H20" s="19">
        <f>E20*F20*(1-0)</f>
        <v>0</v>
      </c>
      <c r="I20" s="19">
        <f t="shared" si="0"/>
        <v>0</v>
      </c>
      <c r="J20" s="19">
        <v>0</v>
      </c>
      <c r="K20" s="19">
        <f>E20*J20</f>
        <v>0</v>
      </c>
    </row>
    <row r="21" spans="1:11" ht="12.75" customHeight="1">
      <c r="A21" s="20"/>
      <c r="B21" s="21" t="s">
        <v>55</v>
      </c>
      <c r="C21" s="56" t="s">
        <v>56</v>
      </c>
      <c r="D21" s="56"/>
      <c r="E21" s="56"/>
      <c r="F21" s="56"/>
      <c r="G21" s="22">
        <f>SUM(G22:G29)</f>
        <v>0</v>
      </c>
      <c r="H21" s="22">
        <f>SUM(H22:H29)</f>
        <v>0</v>
      </c>
      <c r="I21" s="22">
        <f t="shared" si="0"/>
        <v>0</v>
      </c>
      <c r="J21" s="23"/>
      <c r="K21" s="22">
        <f>SUM(K22:K29)</f>
        <v>0</v>
      </c>
    </row>
    <row r="22" spans="1:11" ht="25.5">
      <c r="A22" s="17" t="s">
        <v>57</v>
      </c>
      <c r="B22" s="17" t="s">
        <v>58</v>
      </c>
      <c r="C22" s="18" t="s">
        <v>59</v>
      </c>
      <c r="D22" s="17" t="s">
        <v>52</v>
      </c>
      <c r="E22" s="19">
        <v>722</v>
      </c>
      <c r="F22" s="19">
        <v>0</v>
      </c>
      <c r="G22" s="19">
        <f aca="true" t="shared" si="2" ref="G22:G29">E22*F22*0</f>
        <v>0</v>
      </c>
      <c r="H22" s="19">
        <f aca="true" t="shared" si="3" ref="H22:H29">E22*F22*(1-0)</f>
        <v>0</v>
      </c>
      <c r="I22" s="19">
        <f t="shared" si="0"/>
        <v>0</v>
      </c>
      <c r="J22" s="19">
        <v>0</v>
      </c>
      <c r="K22" s="19">
        <f aca="true" t="shared" si="4" ref="K22:K29">E22*J22</f>
        <v>0</v>
      </c>
    </row>
    <row r="23" spans="1:11" ht="25.5">
      <c r="A23" s="17" t="s">
        <v>60</v>
      </c>
      <c r="B23" s="17" t="s">
        <v>61</v>
      </c>
      <c r="C23" s="18" t="s">
        <v>62</v>
      </c>
      <c r="D23" s="17" t="s">
        <v>52</v>
      </c>
      <c r="E23" s="19">
        <v>2.96</v>
      </c>
      <c r="F23" s="19">
        <v>0</v>
      </c>
      <c r="G23" s="19">
        <f t="shared" si="2"/>
        <v>0</v>
      </c>
      <c r="H23" s="19">
        <f t="shared" si="3"/>
        <v>0</v>
      </c>
      <c r="I23" s="19">
        <f t="shared" si="0"/>
        <v>0</v>
      </c>
      <c r="J23" s="19">
        <v>0</v>
      </c>
      <c r="K23" s="19">
        <f t="shared" si="4"/>
        <v>0</v>
      </c>
    </row>
    <row r="24" spans="1:11" ht="25.5">
      <c r="A24" s="17" t="s">
        <v>63</v>
      </c>
      <c r="B24" s="17" t="s">
        <v>64</v>
      </c>
      <c r="C24" s="18" t="s">
        <v>65</v>
      </c>
      <c r="D24" s="17" t="s">
        <v>52</v>
      </c>
      <c r="E24" s="19">
        <v>0.89</v>
      </c>
      <c r="F24" s="19">
        <v>0</v>
      </c>
      <c r="G24" s="19">
        <f t="shared" si="2"/>
        <v>0</v>
      </c>
      <c r="H24" s="19">
        <f t="shared" si="3"/>
        <v>0</v>
      </c>
      <c r="I24" s="19">
        <f t="shared" si="0"/>
        <v>0</v>
      </c>
      <c r="J24" s="19">
        <v>0</v>
      </c>
      <c r="K24" s="19">
        <f t="shared" si="4"/>
        <v>0</v>
      </c>
    </row>
    <row r="25" spans="1:11" ht="25.5">
      <c r="A25" s="17" t="s">
        <v>66</v>
      </c>
      <c r="B25" s="17" t="s">
        <v>58</v>
      </c>
      <c r="C25" s="18" t="s">
        <v>59</v>
      </c>
      <c r="D25" s="17" t="s">
        <v>52</v>
      </c>
      <c r="E25" s="19">
        <v>352.28</v>
      </c>
      <c r="F25" s="19">
        <v>0</v>
      </c>
      <c r="G25" s="19">
        <f t="shared" si="2"/>
        <v>0</v>
      </c>
      <c r="H25" s="19">
        <f t="shared" si="3"/>
        <v>0</v>
      </c>
      <c r="I25" s="19">
        <f t="shared" si="0"/>
        <v>0</v>
      </c>
      <c r="J25" s="19">
        <v>0</v>
      </c>
      <c r="K25" s="19">
        <f t="shared" si="4"/>
        <v>0</v>
      </c>
    </row>
    <row r="26" spans="1:11" ht="25.5">
      <c r="A26" s="17" t="s">
        <v>67</v>
      </c>
      <c r="B26" s="17" t="s">
        <v>68</v>
      </c>
      <c r="C26" s="18" t="s">
        <v>69</v>
      </c>
      <c r="D26" s="17" t="s">
        <v>52</v>
      </c>
      <c r="E26" s="19">
        <v>24.07</v>
      </c>
      <c r="F26" s="19">
        <v>0</v>
      </c>
      <c r="G26" s="19">
        <f t="shared" si="2"/>
        <v>0</v>
      </c>
      <c r="H26" s="19">
        <f t="shared" si="3"/>
        <v>0</v>
      </c>
      <c r="I26" s="19">
        <f t="shared" si="0"/>
        <v>0</v>
      </c>
      <c r="J26" s="19">
        <v>0</v>
      </c>
      <c r="K26" s="19">
        <f t="shared" si="4"/>
        <v>0</v>
      </c>
    </row>
    <row r="27" spans="1:11" ht="25.5">
      <c r="A27" s="17" t="s">
        <v>70</v>
      </c>
      <c r="B27" s="17" t="s">
        <v>71</v>
      </c>
      <c r="C27" s="18" t="s">
        <v>72</v>
      </c>
      <c r="D27" s="17" t="s">
        <v>52</v>
      </c>
      <c r="E27" s="19">
        <v>27.75</v>
      </c>
      <c r="F27" s="19">
        <v>0</v>
      </c>
      <c r="G27" s="19">
        <f t="shared" si="2"/>
        <v>0</v>
      </c>
      <c r="H27" s="19">
        <f t="shared" si="3"/>
        <v>0</v>
      </c>
      <c r="I27" s="19">
        <f t="shared" si="0"/>
        <v>0</v>
      </c>
      <c r="J27" s="19">
        <v>0</v>
      </c>
      <c r="K27" s="19">
        <f t="shared" si="4"/>
        <v>0</v>
      </c>
    </row>
    <row r="28" spans="1:11" ht="25.5">
      <c r="A28" s="17" t="s">
        <v>73</v>
      </c>
      <c r="B28" s="17" t="s">
        <v>74</v>
      </c>
      <c r="C28" s="18" t="s">
        <v>75</v>
      </c>
      <c r="D28" s="17" t="s">
        <v>52</v>
      </c>
      <c r="E28" s="19">
        <v>8.32</v>
      </c>
      <c r="F28" s="19">
        <v>0</v>
      </c>
      <c r="G28" s="19">
        <f t="shared" si="2"/>
        <v>0</v>
      </c>
      <c r="H28" s="19">
        <f t="shared" si="3"/>
        <v>0</v>
      </c>
      <c r="I28" s="19">
        <f t="shared" si="0"/>
        <v>0</v>
      </c>
      <c r="J28" s="19">
        <v>0</v>
      </c>
      <c r="K28" s="19">
        <f t="shared" si="4"/>
        <v>0</v>
      </c>
    </row>
    <row r="29" spans="1:11" ht="25.5">
      <c r="A29" s="17" t="s">
        <v>76</v>
      </c>
      <c r="B29" s="17" t="s">
        <v>68</v>
      </c>
      <c r="C29" s="18" t="s">
        <v>69</v>
      </c>
      <c r="D29" s="17" t="s">
        <v>52</v>
      </c>
      <c r="E29" s="19">
        <v>1.68</v>
      </c>
      <c r="F29" s="19">
        <v>0</v>
      </c>
      <c r="G29" s="19">
        <f t="shared" si="2"/>
        <v>0</v>
      </c>
      <c r="H29" s="19">
        <f t="shared" si="3"/>
        <v>0</v>
      </c>
      <c r="I29" s="19">
        <f t="shared" si="0"/>
        <v>0</v>
      </c>
      <c r="J29" s="19">
        <v>0</v>
      </c>
      <c r="K29" s="19">
        <f t="shared" si="4"/>
        <v>0</v>
      </c>
    </row>
    <row r="30" spans="1:11" ht="12.75" customHeight="1">
      <c r="A30" s="20"/>
      <c r="B30" s="21" t="s">
        <v>63</v>
      </c>
      <c r="C30" s="56" t="s">
        <v>77</v>
      </c>
      <c r="D30" s="56"/>
      <c r="E30" s="56"/>
      <c r="F30" s="56"/>
      <c r="G30" s="22">
        <f>SUM(G31:G39)</f>
        <v>0</v>
      </c>
      <c r="H30" s="22">
        <f>SUM(H31:H39)</f>
        <v>0</v>
      </c>
      <c r="I30" s="22">
        <f t="shared" si="0"/>
        <v>0</v>
      </c>
      <c r="J30" s="23"/>
      <c r="K30" s="22">
        <f>SUM(K31:K39)</f>
        <v>0</v>
      </c>
    </row>
    <row r="31" spans="1:11" ht="25.5">
      <c r="A31" s="17" t="s">
        <v>78</v>
      </c>
      <c r="B31" s="17" t="s">
        <v>79</v>
      </c>
      <c r="C31" s="18" t="s">
        <v>80</v>
      </c>
      <c r="D31" s="17" t="s">
        <v>52</v>
      </c>
      <c r="E31" s="19">
        <v>1103.74</v>
      </c>
      <c r="F31" s="19">
        <v>0</v>
      </c>
      <c r="G31" s="19">
        <f aca="true" t="shared" si="5" ref="G31:G39">E31*F31*0</f>
        <v>0</v>
      </c>
      <c r="H31" s="19">
        <f aca="true" t="shared" si="6" ref="H31:H39">E31*F31*(1-0)</f>
        <v>0</v>
      </c>
      <c r="I31" s="19">
        <f t="shared" si="0"/>
        <v>0</v>
      </c>
      <c r="J31" s="19">
        <v>0</v>
      </c>
      <c r="K31" s="19">
        <f aca="true" t="shared" si="7" ref="K31:K39">E31*J31</f>
        <v>0</v>
      </c>
    </row>
    <row r="32" spans="1:11" ht="25.5">
      <c r="A32" s="17" t="s">
        <v>81</v>
      </c>
      <c r="B32" s="17" t="s">
        <v>82</v>
      </c>
      <c r="C32" s="18" t="s">
        <v>83</v>
      </c>
      <c r="D32" s="17" t="s">
        <v>52</v>
      </c>
      <c r="E32" s="19">
        <v>1000</v>
      </c>
      <c r="F32" s="19">
        <v>0</v>
      </c>
      <c r="G32" s="19">
        <f t="shared" si="5"/>
        <v>0</v>
      </c>
      <c r="H32" s="19">
        <f t="shared" si="6"/>
        <v>0</v>
      </c>
      <c r="I32" s="19">
        <f t="shared" si="0"/>
        <v>0</v>
      </c>
      <c r="J32" s="19">
        <v>0</v>
      </c>
      <c r="K32" s="19">
        <f t="shared" si="7"/>
        <v>0</v>
      </c>
    </row>
    <row r="33" spans="1:11" ht="25.5">
      <c r="A33" s="17" t="s">
        <v>84</v>
      </c>
      <c r="B33" s="17" t="s">
        <v>85</v>
      </c>
      <c r="C33" s="18" t="s">
        <v>86</v>
      </c>
      <c r="D33" s="17" t="s">
        <v>28</v>
      </c>
      <c r="E33" s="19">
        <v>65</v>
      </c>
      <c r="F33" s="19">
        <v>0</v>
      </c>
      <c r="G33" s="19">
        <f t="shared" si="5"/>
        <v>0</v>
      </c>
      <c r="H33" s="19">
        <f t="shared" si="6"/>
        <v>0</v>
      </c>
      <c r="I33" s="19">
        <f t="shared" si="0"/>
        <v>0</v>
      </c>
      <c r="J33" s="19">
        <v>0</v>
      </c>
      <c r="K33" s="19">
        <f t="shared" si="7"/>
        <v>0</v>
      </c>
    </row>
    <row r="34" spans="1:11" ht="25.5">
      <c r="A34" s="17" t="s">
        <v>87</v>
      </c>
      <c r="B34" s="17" t="s">
        <v>88</v>
      </c>
      <c r="C34" s="18" t="s">
        <v>89</v>
      </c>
      <c r="D34" s="17" t="s">
        <v>28</v>
      </c>
      <c r="E34" s="19">
        <v>50</v>
      </c>
      <c r="F34" s="19">
        <v>0</v>
      </c>
      <c r="G34" s="19">
        <f t="shared" si="5"/>
        <v>0</v>
      </c>
      <c r="H34" s="19">
        <f t="shared" si="6"/>
        <v>0</v>
      </c>
      <c r="I34" s="19">
        <f t="shared" si="0"/>
        <v>0</v>
      </c>
      <c r="J34" s="19">
        <v>0</v>
      </c>
      <c r="K34" s="19">
        <f t="shared" si="7"/>
        <v>0</v>
      </c>
    </row>
    <row r="35" spans="1:11" ht="25.5">
      <c r="A35" s="17" t="s">
        <v>90</v>
      </c>
      <c r="B35" s="17" t="s">
        <v>91</v>
      </c>
      <c r="C35" s="18" t="s">
        <v>92</v>
      </c>
      <c r="D35" s="17" t="s">
        <v>28</v>
      </c>
      <c r="E35" s="19">
        <v>1</v>
      </c>
      <c r="F35" s="19">
        <v>0</v>
      </c>
      <c r="G35" s="19">
        <f t="shared" si="5"/>
        <v>0</v>
      </c>
      <c r="H35" s="19">
        <f t="shared" si="6"/>
        <v>0</v>
      </c>
      <c r="I35" s="19">
        <f t="shared" si="0"/>
        <v>0</v>
      </c>
      <c r="J35" s="19">
        <v>0</v>
      </c>
      <c r="K35" s="19">
        <f t="shared" si="7"/>
        <v>0</v>
      </c>
    </row>
    <row r="36" spans="1:11" ht="25.5">
      <c r="A36" s="17" t="s">
        <v>93</v>
      </c>
      <c r="B36" s="17" t="s">
        <v>94</v>
      </c>
      <c r="C36" s="18" t="s">
        <v>95</v>
      </c>
      <c r="D36" s="17" t="s">
        <v>28</v>
      </c>
      <c r="E36" s="19">
        <v>65</v>
      </c>
      <c r="F36" s="19">
        <v>0</v>
      </c>
      <c r="G36" s="19">
        <f t="shared" si="5"/>
        <v>0</v>
      </c>
      <c r="H36" s="19">
        <f t="shared" si="6"/>
        <v>0</v>
      </c>
      <c r="I36" s="19">
        <f t="shared" si="0"/>
        <v>0</v>
      </c>
      <c r="J36" s="19">
        <v>0</v>
      </c>
      <c r="K36" s="19">
        <f t="shared" si="7"/>
        <v>0</v>
      </c>
    </row>
    <row r="37" spans="1:11" ht="25.5">
      <c r="A37" s="17" t="s">
        <v>96</v>
      </c>
      <c r="B37" s="17" t="s">
        <v>97</v>
      </c>
      <c r="C37" s="18" t="s">
        <v>98</v>
      </c>
      <c r="D37" s="17" t="s">
        <v>28</v>
      </c>
      <c r="E37" s="19">
        <v>50</v>
      </c>
      <c r="F37" s="19">
        <v>0</v>
      </c>
      <c r="G37" s="19">
        <f t="shared" si="5"/>
        <v>0</v>
      </c>
      <c r="H37" s="19">
        <f t="shared" si="6"/>
        <v>0</v>
      </c>
      <c r="I37" s="19">
        <f t="shared" si="0"/>
        <v>0</v>
      </c>
      <c r="J37" s="19">
        <v>0</v>
      </c>
      <c r="K37" s="19">
        <f t="shared" si="7"/>
        <v>0</v>
      </c>
    </row>
    <row r="38" spans="1:11" ht="25.5">
      <c r="A38" s="17" t="s">
        <v>99</v>
      </c>
      <c r="B38" s="17" t="s">
        <v>100</v>
      </c>
      <c r="C38" s="18" t="s">
        <v>101</v>
      </c>
      <c r="D38" s="17" t="s">
        <v>28</v>
      </c>
      <c r="E38" s="19">
        <v>1</v>
      </c>
      <c r="F38" s="19">
        <v>0</v>
      </c>
      <c r="G38" s="19">
        <f t="shared" si="5"/>
        <v>0</v>
      </c>
      <c r="H38" s="19">
        <f t="shared" si="6"/>
        <v>0</v>
      </c>
      <c r="I38" s="19">
        <f aca="true" t="shared" si="8" ref="I38:I69">G38+H38</f>
        <v>0</v>
      </c>
      <c r="J38" s="19">
        <v>0</v>
      </c>
      <c r="K38" s="19">
        <f t="shared" si="7"/>
        <v>0</v>
      </c>
    </row>
    <row r="39" spans="1:11" ht="25.5">
      <c r="A39" s="17" t="s">
        <v>102</v>
      </c>
      <c r="B39" s="17" t="s">
        <v>79</v>
      </c>
      <c r="C39" s="18" t="s">
        <v>80</v>
      </c>
      <c r="D39" s="17" t="s">
        <v>52</v>
      </c>
      <c r="E39" s="19">
        <v>1130.7</v>
      </c>
      <c r="F39" s="19">
        <v>0</v>
      </c>
      <c r="G39" s="19">
        <f t="shared" si="5"/>
        <v>0</v>
      </c>
      <c r="H39" s="19">
        <f t="shared" si="6"/>
        <v>0</v>
      </c>
      <c r="I39" s="19">
        <f t="shared" si="8"/>
        <v>0</v>
      </c>
      <c r="J39" s="19">
        <v>0</v>
      </c>
      <c r="K39" s="19">
        <f t="shared" si="7"/>
        <v>0</v>
      </c>
    </row>
    <row r="40" spans="1:11" ht="12.75" customHeight="1">
      <c r="A40" s="20"/>
      <c r="B40" s="21" t="s">
        <v>66</v>
      </c>
      <c r="C40" s="56" t="s">
        <v>103</v>
      </c>
      <c r="D40" s="56"/>
      <c r="E40" s="56"/>
      <c r="F40" s="56"/>
      <c r="G40" s="22">
        <f>SUM(G41:G42)</f>
        <v>0</v>
      </c>
      <c r="H40" s="22">
        <f>SUM(H41:H42)</f>
        <v>0</v>
      </c>
      <c r="I40" s="22">
        <f t="shared" si="8"/>
        <v>0</v>
      </c>
      <c r="J40" s="23"/>
      <c r="K40" s="22">
        <f>SUM(K41:K42)</f>
        <v>0</v>
      </c>
    </row>
    <row r="41" spans="1:11" ht="25.5">
      <c r="A41" s="17" t="s">
        <v>104</v>
      </c>
      <c r="B41" s="17" t="s">
        <v>105</v>
      </c>
      <c r="C41" s="18" t="s">
        <v>106</v>
      </c>
      <c r="D41" s="17" t="s">
        <v>52</v>
      </c>
      <c r="E41" s="19">
        <v>4459</v>
      </c>
      <c r="F41" s="19">
        <v>0</v>
      </c>
      <c r="G41" s="19">
        <f>E41*F41*0</f>
        <v>0</v>
      </c>
      <c r="H41" s="19">
        <f>E41*F41*(1-0)</f>
        <v>0</v>
      </c>
      <c r="I41" s="19">
        <f t="shared" si="8"/>
        <v>0</v>
      </c>
      <c r="J41" s="19">
        <v>0</v>
      </c>
      <c r="K41" s="19">
        <f>E41*J41</f>
        <v>0</v>
      </c>
    </row>
    <row r="42" spans="1:11" ht="25.5">
      <c r="A42" s="17" t="s">
        <v>107</v>
      </c>
      <c r="B42" s="17" t="s">
        <v>108</v>
      </c>
      <c r="C42" s="18" t="s">
        <v>109</v>
      </c>
      <c r="D42" s="17" t="s">
        <v>52</v>
      </c>
      <c r="E42" s="19">
        <v>1130.7</v>
      </c>
      <c r="F42" s="19">
        <v>0</v>
      </c>
      <c r="G42" s="19">
        <f>E42*F42*0</f>
        <v>0</v>
      </c>
      <c r="H42" s="19">
        <f>E42*F42*(1-0)</f>
        <v>0</v>
      </c>
      <c r="I42" s="19">
        <f t="shared" si="8"/>
        <v>0</v>
      </c>
      <c r="J42" s="19">
        <v>0</v>
      </c>
      <c r="K42" s="19">
        <f>E42*J42</f>
        <v>0</v>
      </c>
    </row>
    <row r="43" spans="1:11" ht="12.75" customHeight="1">
      <c r="A43" s="20"/>
      <c r="B43" s="21" t="s">
        <v>67</v>
      </c>
      <c r="C43" s="56" t="s">
        <v>110</v>
      </c>
      <c r="D43" s="56"/>
      <c r="E43" s="56"/>
      <c r="F43" s="56"/>
      <c r="G43" s="22">
        <f>SUM(G44:G50)</f>
        <v>0</v>
      </c>
      <c r="H43" s="22">
        <f>SUM(H44:H50)</f>
        <v>0</v>
      </c>
      <c r="I43" s="22">
        <f t="shared" si="8"/>
        <v>0</v>
      </c>
      <c r="J43" s="23"/>
      <c r="K43" s="22">
        <f>SUM(K44:K50)</f>
        <v>0</v>
      </c>
    </row>
    <row r="44" spans="1:11" ht="12.75">
      <c r="A44" s="17" t="s">
        <v>111</v>
      </c>
      <c r="B44" s="17" t="s">
        <v>112</v>
      </c>
      <c r="C44" s="18" t="s">
        <v>113</v>
      </c>
      <c r="D44" s="17" t="s">
        <v>21</v>
      </c>
      <c r="E44" s="19">
        <v>484.4</v>
      </c>
      <c r="F44" s="19">
        <v>0</v>
      </c>
      <c r="G44" s="19">
        <f aca="true" t="shared" si="9" ref="G44:G50">E44*F44*0</f>
        <v>0</v>
      </c>
      <c r="H44" s="19">
        <f aca="true" t="shared" si="10" ref="H44:H50">E44*F44*(1-0)</f>
        <v>0</v>
      </c>
      <c r="I44" s="19">
        <f t="shared" si="8"/>
        <v>0</v>
      </c>
      <c r="J44" s="19">
        <v>0</v>
      </c>
      <c r="K44" s="19">
        <f aca="true" t="shared" si="11" ref="K44:K50">E44*J44</f>
        <v>0</v>
      </c>
    </row>
    <row r="45" spans="1:11" ht="12.75">
      <c r="A45" s="17" t="s">
        <v>114</v>
      </c>
      <c r="B45" s="17" t="s">
        <v>115</v>
      </c>
      <c r="C45" s="18" t="s">
        <v>116</v>
      </c>
      <c r="D45" s="17" t="s">
        <v>21</v>
      </c>
      <c r="E45" s="19">
        <v>2013</v>
      </c>
      <c r="F45" s="19">
        <v>0</v>
      </c>
      <c r="G45" s="19">
        <f t="shared" si="9"/>
        <v>0</v>
      </c>
      <c r="H45" s="19">
        <f t="shared" si="10"/>
        <v>0</v>
      </c>
      <c r="I45" s="19">
        <f t="shared" si="8"/>
        <v>0</v>
      </c>
      <c r="J45" s="19">
        <v>0</v>
      </c>
      <c r="K45" s="19">
        <f t="shared" si="11"/>
        <v>0</v>
      </c>
    </row>
    <row r="46" spans="1:11" ht="25.5">
      <c r="A46" s="17" t="s">
        <v>117</v>
      </c>
      <c r="B46" s="17" t="s">
        <v>118</v>
      </c>
      <c r="C46" s="18" t="s">
        <v>119</v>
      </c>
      <c r="D46" s="17" t="s">
        <v>21</v>
      </c>
      <c r="E46" s="19">
        <v>1129</v>
      </c>
      <c r="F46" s="19">
        <v>0</v>
      </c>
      <c r="G46" s="19">
        <f t="shared" si="9"/>
        <v>0</v>
      </c>
      <c r="H46" s="19">
        <f t="shared" si="10"/>
        <v>0</v>
      </c>
      <c r="I46" s="19">
        <f t="shared" si="8"/>
        <v>0</v>
      </c>
      <c r="J46" s="19">
        <v>0</v>
      </c>
      <c r="K46" s="19">
        <f t="shared" si="11"/>
        <v>0</v>
      </c>
    </row>
    <row r="47" spans="1:11" ht="25.5">
      <c r="A47" s="17" t="s">
        <v>120</v>
      </c>
      <c r="B47" s="17" t="s">
        <v>121</v>
      </c>
      <c r="C47" s="18" t="s">
        <v>122</v>
      </c>
      <c r="D47" s="17" t="s">
        <v>21</v>
      </c>
      <c r="E47" s="19">
        <v>692</v>
      </c>
      <c r="F47" s="19">
        <v>0</v>
      </c>
      <c r="G47" s="19">
        <f t="shared" si="9"/>
        <v>0</v>
      </c>
      <c r="H47" s="19">
        <f t="shared" si="10"/>
        <v>0</v>
      </c>
      <c r="I47" s="19">
        <f t="shared" si="8"/>
        <v>0</v>
      </c>
      <c r="J47" s="19">
        <v>0</v>
      </c>
      <c r="K47" s="19">
        <f t="shared" si="11"/>
        <v>0</v>
      </c>
    </row>
    <row r="48" spans="1:11" ht="12.75">
      <c r="A48" s="17" t="s">
        <v>123</v>
      </c>
      <c r="B48" s="17" t="s">
        <v>112</v>
      </c>
      <c r="C48" s="18" t="s">
        <v>113</v>
      </c>
      <c r="D48" s="17" t="s">
        <v>21</v>
      </c>
      <c r="E48" s="19">
        <v>172</v>
      </c>
      <c r="F48" s="19">
        <v>0</v>
      </c>
      <c r="G48" s="19">
        <f t="shared" si="9"/>
        <v>0</v>
      </c>
      <c r="H48" s="19">
        <f t="shared" si="10"/>
        <v>0</v>
      </c>
      <c r="I48" s="19">
        <f t="shared" si="8"/>
        <v>0</v>
      </c>
      <c r="J48" s="19">
        <v>0</v>
      </c>
      <c r="K48" s="19">
        <f t="shared" si="11"/>
        <v>0</v>
      </c>
    </row>
    <row r="49" spans="1:11" ht="12.75">
      <c r="A49" s="17" t="s">
        <v>124</v>
      </c>
      <c r="B49" s="17" t="s">
        <v>112</v>
      </c>
      <c r="C49" s="18" t="s">
        <v>113</v>
      </c>
      <c r="D49" s="17" t="s">
        <v>21</v>
      </c>
      <c r="E49" s="19">
        <v>40</v>
      </c>
      <c r="F49" s="19">
        <v>0</v>
      </c>
      <c r="G49" s="19">
        <f t="shared" si="9"/>
        <v>0</v>
      </c>
      <c r="H49" s="19">
        <f t="shared" si="10"/>
        <v>0</v>
      </c>
      <c r="I49" s="19">
        <f t="shared" si="8"/>
        <v>0</v>
      </c>
      <c r="J49" s="19">
        <v>0</v>
      </c>
      <c r="K49" s="19">
        <f t="shared" si="11"/>
        <v>0</v>
      </c>
    </row>
    <row r="50" spans="1:11" ht="25.5">
      <c r="A50" s="17" t="s">
        <v>125</v>
      </c>
      <c r="B50" s="17" t="s">
        <v>126</v>
      </c>
      <c r="C50" s="18" t="s">
        <v>127</v>
      </c>
      <c r="D50" s="17" t="s">
        <v>21</v>
      </c>
      <c r="E50" s="19">
        <v>2216</v>
      </c>
      <c r="F50" s="19">
        <v>0</v>
      </c>
      <c r="G50" s="19">
        <f t="shared" si="9"/>
        <v>0</v>
      </c>
      <c r="H50" s="19">
        <f t="shared" si="10"/>
        <v>0</v>
      </c>
      <c r="I50" s="19">
        <f t="shared" si="8"/>
        <v>0</v>
      </c>
      <c r="J50" s="19">
        <v>0</v>
      </c>
      <c r="K50" s="19">
        <f t="shared" si="11"/>
        <v>0</v>
      </c>
    </row>
    <row r="51" spans="1:11" ht="12.75" customHeight="1">
      <c r="A51" s="20"/>
      <c r="B51" s="21" t="s">
        <v>107</v>
      </c>
      <c r="C51" s="56" t="s">
        <v>128</v>
      </c>
      <c r="D51" s="56"/>
      <c r="E51" s="56"/>
      <c r="F51" s="56"/>
      <c r="G51" s="22">
        <f>SUM(G52:G62)</f>
        <v>0</v>
      </c>
      <c r="H51" s="22">
        <f>SUM(H52:H62)</f>
        <v>0</v>
      </c>
      <c r="I51" s="22">
        <f t="shared" si="8"/>
        <v>0</v>
      </c>
      <c r="J51" s="23"/>
      <c r="K51" s="22">
        <f>SUM(K52:K62)</f>
        <v>91.24584999999999</v>
      </c>
    </row>
    <row r="52" spans="1:11" ht="25.5">
      <c r="A52" s="17" t="s">
        <v>129</v>
      </c>
      <c r="B52" s="17" t="s">
        <v>130</v>
      </c>
      <c r="C52" s="18" t="s">
        <v>131</v>
      </c>
      <c r="D52" s="17" t="s">
        <v>132</v>
      </c>
      <c r="E52" s="19">
        <v>0.03</v>
      </c>
      <c r="F52" s="19">
        <v>0</v>
      </c>
      <c r="G52" s="19">
        <f>E52*F52*0.8158748701973</f>
        <v>0</v>
      </c>
      <c r="H52" s="19">
        <f>E52*F52*(1-0.8158748701973)</f>
        <v>0</v>
      </c>
      <c r="I52" s="19">
        <f t="shared" si="8"/>
        <v>0</v>
      </c>
      <c r="J52" s="19">
        <v>1.126</v>
      </c>
      <c r="K52" s="19">
        <f aca="true" t="shared" si="12" ref="K52:K62">E52*J52</f>
        <v>0.03378</v>
      </c>
    </row>
    <row r="53" spans="1:11" ht="25.5">
      <c r="A53" s="17" t="s">
        <v>133</v>
      </c>
      <c r="B53" s="17" t="s">
        <v>134</v>
      </c>
      <c r="C53" s="18" t="s">
        <v>135</v>
      </c>
      <c r="D53" s="17" t="s">
        <v>132</v>
      </c>
      <c r="E53" s="19">
        <v>0.25</v>
      </c>
      <c r="F53" s="19">
        <v>0</v>
      </c>
      <c r="G53" s="19">
        <f>E53*F53*0.723615832914969</f>
        <v>0</v>
      </c>
      <c r="H53" s="19">
        <f>E53*F53*(1-0.723615832914969)</f>
        <v>0</v>
      </c>
      <c r="I53" s="19">
        <f t="shared" si="8"/>
        <v>0</v>
      </c>
      <c r="J53" s="19">
        <v>1.03</v>
      </c>
      <c r="K53" s="19">
        <f t="shared" si="12"/>
        <v>0.2575</v>
      </c>
    </row>
    <row r="54" spans="1:11" ht="25.5">
      <c r="A54" s="17" t="s">
        <v>136</v>
      </c>
      <c r="B54" s="17" t="s">
        <v>137</v>
      </c>
      <c r="C54" s="18" t="s">
        <v>138</v>
      </c>
      <c r="D54" s="17" t="s">
        <v>21</v>
      </c>
      <c r="E54" s="19">
        <v>45.99</v>
      </c>
      <c r="F54" s="19">
        <v>0</v>
      </c>
      <c r="G54" s="19">
        <f>E54*F54*0.229782726154207</f>
        <v>0</v>
      </c>
      <c r="H54" s="19">
        <f>E54*F54*(1-0.229782726154207)</f>
        <v>0</v>
      </c>
      <c r="I54" s="19">
        <f t="shared" si="8"/>
        <v>0</v>
      </c>
      <c r="J54" s="19">
        <v>0.01445</v>
      </c>
      <c r="K54" s="19">
        <f t="shared" si="12"/>
        <v>0.6645555</v>
      </c>
    </row>
    <row r="55" spans="1:11" ht="25.5">
      <c r="A55" s="17" t="s">
        <v>139</v>
      </c>
      <c r="B55" s="17" t="s">
        <v>140</v>
      </c>
      <c r="C55" s="18" t="s">
        <v>141</v>
      </c>
      <c r="D55" s="17" t="s">
        <v>21</v>
      </c>
      <c r="E55" s="19">
        <v>45.99</v>
      </c>
      <c r="F55" s="19">
        <v>0</v>
      </c>
      <c r="G55" s="19">
        <f>E55*F55*0.2043706126401</f>
        <v>0</v>
      </c>
      <c r="H55" s="19">
        <f>E55*F55*(1-0.2043706126401)</f>
        <v>0</v>
      </c>
      <c r="I55" s="19">
        <f t="shared" si="8"/>
        <v>0</v>
      </c>
      <c r="J55" s="19">
        <v>0.001</v>
      </c>
      <c r="K55" s="19">
        <f t="shared" si="12"/>
        <v>0.04599</v>
      </c>
    </row>
    <row r="56" spans="1:11" ht="25.5">
      <c r="A56" s="17" t="s">
        <v>142</v>
      </c>
      <c r="B56" s="17" t="s">
        <v>143</v>
      </c>
      <c r="C56" s="18" t="s">
        <v>144</v>
      </c>
      <c r="D56" s="17" t="s">
        <v>52</v>
      </c>
      <c r="E56" s="19">
        <v>8.15</v>
      </c>
      <c r="F56" s="19">
        <v>0</v>
      </c>
      <c r="G56" s="19">
        <f>E56*F56*0.792671894860799</f>
        <v>0</v>
      </c>
      <c r="H56" s="19">
        <f>E56*F56*(1-0.792671894860799)</f>
        <v>0</v>
      </c>
      <c r="I56" s="19">
        <f t="shared" si="8"/>
        <v>0</v>
      </c>
      <c r="J56" s="19">
        <v>2.894</v>
      </c>
      <c r="K56" s="19">
        <f t="shared" si="12"/>
        <v>23.586100000000002</v>
      </c>
    </row>
    <row r="57" spans="1:11" ht="25.5">
      <c r="A57" s="17" t="s">
        <v>145</v>
      </c>
      <c r="B57" s="17" t="s">
        <v>143</v>
      </c>
      <c r="C57" s="18" t="s">
        <v>144</v>
      </c>
      <c r="D57" s="17" t="s">
        <v>52</v>
      </c>
      <c r="E57" s="19">
        <v>20.07</v>
      </c>
      <c r="F57" s="19">
        <v>0</v>
      </c>
      <c r="G57" s="19">
        <f>E57*F57*0.792671989987025</f>
        <v>0</v>
      </c>
      <c r="H57" s="19">
        <f>E57*F57*(1-0.792671989987025)</f>
        <v>0</v>
      </c>
      <c r="I57" s="19">
        <f t="shared" si="8"/>
        <v>0</v>
      </c>
      <c r="J57" s="19">
        <v>2.894</v>
      </c>
      <c r="K57" s="19">
        <f t="shared" si="12"/>
        <v>58.08258</v>
      </c>
    </row>
    <row r="58" spans="1:11" ht="25.5">
      <c r="A58" s="17" t="s">
        <v>146</v>
      </c>
      <c r="B58" s="17" t="s">
        <v>134</v>
      </c>
      <c r="C58" s="18" t="s">
        <v>135</v>
      </c>
      <c r="D58" s="17" t="s">
        <v>132</v>
      </c>
      <c r="E58" s="19">
        <v>0.26</v>
      </c>
      <c r="F58" s="19">
        <v>0</v>
      </c>
      <c r="G58" s="19">
        <f>E58*F58*0.723616288764001</f>
        <v>0</v>
      </c>
      <c r="H58" s="19">
        <f>E58*F58*(1-0.723616288764001)</f>
        <v>0</v>
      </c>
      <c r="I58" s="19">
        <f t="shared" si="8"/>
        <v>0</v>
      </c>
      <c r="J58" s="19">
        <v>1.03</v>
      </c>
      <c r="K58" s="19">
        <f t="shared" si="12"/>
        <v>0.26780000000000004</v>
      </c>
    </row>
    <row r="59" spans="1:11" ht="25.5">
      <c r="A59" s="17" t="s">
        <v>147</v>
      </c>
      <c r="B59" s="17" t="s">
        <v>143</v>
      </c>
      <c r="C59" s="18" t="s">
        <v>144</v>
      </c>
      <c r="D59" s="17" t="s">
        <v>52</v>
      </c>
      <c r="E59" s="19">
        <v>1.14</v>
      </c>
      <c r="F59" s="19">
        <v>0</v>
      </c>
      <c r="G59" s="19">
        <f>E59*F59*0.792671472447433</f>
        <v>0</v>
      </c>
      <c r="H59" s="19">
        <f>E59*F59*(1-0.792671472447433)</f>
        <v>0</v>
      </c>
      <c r="I59" s="19">
        <f t="shared" si="8"/>
        <v>0</v>
      </c>
      <c r="J59" s="19">
        <v>2.894</v>
      </c>
      <c r="K59" s="19">
        <f t="shared" si="12"/>
        <v>3.2991599999999996</v>
      </c>
    </row>
    <row r="60" spans="1:11" ht="25.5">
      <c r="A60" s="17" t="s">
        <v>148</v>
      </c>
      <c r="B60" s="17" t="s">
        <v>137</v>
      </c>
      <c r="C60" s="18" t="s">
        <v>138</v>
      </c>
      <c r="D60" s="17" t="s">
        <v>21</v>
      </c>
      <c r="E60" s="19">
        <v>8.81</v>
      </c>
      <c r="F60" s="19">
        <v>0</v>
      </c>
      <c r="G60" s="19">
        <f>E60*F60*0.229782190973379</f>
        <v>0</v>
      </c>
      <c r="H60" s="19">
        <f>E60*F60*(1-0.229782190973379)</f>
        <v>0</v>
      </c>
      <c r="I60" s="19">
        <f t="shared" si="8"/>
        <v>0</v>
      </c>
      <c r="J60" s="19">
        <v>0.01445</v>
      </c>
      <c r="K60" s="19">
        <f t="shared" si="12"/>
        <v>0.12730450000000001</v>
      </c>
    </row>
    <row r="61" spans="1:11" ht="25.5">
      <c r="A61" s="17" t="s">
        <v>149</v>
      </c>
      <c r="B61" s="17" t="s">
        <v>140</v>
      </c>
      <c r="C61" s="18" t="s">
        <v>141</v>
      </c>
      <c r="D61" s="17" t="s">
        <v>21</v>
      </c>
      <c r="E61" s="19">
        <v>8.81</v>
      </c>
      <c r="F61" s="19">
        <v>0</v>
      </c>
      <c r="G61" s="19">
        <f>E61*F61*0.204369137456802</f>
        <v>0</v>
      </c>
      <c r="H61" s="19">
        <f>E61*F61*(1-0.204369137456802)</f>
        <v>0</v>
      </c>
      <c r="I61" s="19">
        <f t="shared" si="8"/>
        <v>0</v>
      </c>
      <c r="J61" s="19">
        <v>0.001</v>
      </c>
      <c r="K61" s="19">
        <f t="shared" si="12"/>
        <v>0.00881</v>
      </c>
    </row>
    <row r="62" spans="1:11" ht="25.5">
      <c r="A62" s="17" t="s">
        <v>150</v>
      </c>
      <c r="B62" s="17" t="s">
        <v>151</v>
      </c>
      <c r="C62" s="18" t="s">
        <v>152</v>
      </c>
      <c r="D62" s="17" t="s">
        <v>52</v>
      </c>
      <c r="E62" s="19">
        <v>1.69</v>
      </c>
      <c r="F62" s="19">
        <v>0</v>
      </c>
      <c r="G62" s="19">
        <f>E62*F62*0.530112732873275</f>
        <v>0</v>
      </c>
      <c r="H62" s="19">
        <f>E62*F62*(1-0.530112732873275)</f>
        <v>0</v>
      </c>
      <c r="I62" s="19">
        <f t="shared" si="8"/>
        <v>0</v>
      </c>
      <c r="J62" s="19">
        <v>2.883</v>
      </c>
      <c r="K62" s="19">
        <f t="shared" si="12"/>
        <v>4.872269999999999</v>
      </c>
    </row>
    <row r="63" spans="1:11" ht="24.75" customHeight="1">
      <c r="A63" s="20"/>
      <c r="B63" s="21" t="s">
        <v>145</v>
      </c>
      <c r="C63" s="56" t="s">
        <v>153</v>
      </c>
      <c r="D63" s="56"/>
      <c r="E63" s="56"/>
      <c r="F63" s="56"/>
      <c r="G63" s="22">
        <f>SUM(G64:G69)</f>
        <v>0</v>
      </c>
      <c r="H63" s="22">
        <f>SUM(H64:H69)</f>
        <v>0</v>
      </c>
      <c r="I63" s="22">
        <f t="shared" si="8"/>
        <v>0</v>
      </c>
      <c r="J63" s="23"/>
      <c r="K63" s="22">
        <f>SUM(K64:K69)</f>
        <v>343.32063000000005</v>
      </c>
    </row>
    <row r="64" spans="1:11" ht="25.5">
      <c r="A64" s="17" t="s">
        <v>154</v>
      </c>
      <c r="B64" s="17" t="s">
        <v>155</v>
      </c>
      <c r="C64" s="18" t="s">
        <v>156</v>
      </c>
      <c r="D64" s="17" t="s">
        <v>21</v>
      </c>
      <c r="E64" s="19">
        <v>687</v>
      </c>
      <c r="F64" s="19">
        <v>0</v>
      </c>
      <c r="G64" s="19">
        <f>E64*F64*0.0806045340050378</f>
        <v>0</v>
      </c>
      <c r="H64" s="19">
        <f>E64*F64*(1-0.0806045340050378)</f>
        <v>0</v>
      </c>
      <c r="I64" s="19">
        <f t="shared" si="8"/>
        <v>0</v>
      </c>
      <c r="J64" s="19">
        <v>0</v>
      </c>
      <c r="K64" s="19">
        <f aca="true" t="shared" si="13" ref="K64:K69">E64*J64</f>
        <v>0</v>
      </c>
    </row>
    <row r="65" spans="1:11" ht="25.5">
      <c r="A65" s="17" t="s">
        <v>157</v>
      </c>
      <c r="B65" s="17" t="s">
        <v>158</v>
      </c>
      <c r="C65" s="18" t="s">
        <v>159</v>
      </c>
      <c r="D65" s="17" t="s">
        <v>52</v>
      </c>
      <c r="E65" s="19">
        <v>154</v>
      </c>
      <c r="F65" s="19">
        <v>0</v>
      </c>
      <c r="G65" s="19">
        <f>E65*F65*0.928516791987184</f>
        <v>0</v>
      </c>
      <c r="H65" s="19">
        <f>E65*F65*(1-0.928516791987184)</f>
        <v>0</v>
      </c>
      <c r="I65" s="19">
        <f t="shared" si="8"/>
        <v>0</v>
      </c>
      <c r="J65" s="19">
        <v>1.89</v>
      </c>
      <c r="K65" s="19">
        <f t="shared" si="13"/>
        <v>291.06</v>
      </c>
    </row>
    <row r="66" spans="1:11" ht="25.5">
      <c r="A66" s="17" t="s">
        <v>160</v>
      </c>
      <c r="B66" s="17" t="s">
        <v>161</v>
      </c>
      <c r="C66" s="18" t="s">
        <v>162</v>
      </c>
      <c r="D66" s="17" t="s">
        <v>21</v>
      </c>
      <c r="E66" s="19">
        <v>85</v>
      </c>
      <c r="F66" s="19">
        <v>0</v>
      </c>
      <c r="G66" s="19">
        <f>E66*F66*0.840990424605861</f>
        <v>0</v>
      </c>
      <c r="H66" s="19">
        <f>E66*F66*(1-0.840990424605861)</f>
        <v>0</v>
      </c>
      <c r="I66" s="19">
        <f t="shared" si="8"/>
        <v>0</v>
      </c>
      <c r="J66" s="19">
        <v>0.496</v>
      </c>
      <c r="K66" s="19">
        <f t="shared" si="13"/>
        <v>42.16</v>
      </c>
    </row>
    <row r="67" spans="1:11" ht="25.5">
      <c r="A67" s="17" t="s">
        <v>163</v>
      </c>
      <c r="B67" s="17" t="s">
        <v>164</v>
      </c>
      <c r="C67" s="18" t="s">
        <v>165</v>
      </c>
      <c r="D67" s="17" t="s">
        <v>52</v>
      </c>
      <c r="E67" s="19">
        <v>3.33</v>
      </c>
      <c r="F67" s="19">
        <v>0</v>
      </c>
      <c r="G67" s="19">
        <f>E67*F67*0.871961839331925</f>
        <v>0</v>
      </c>
      <c r="H67" s="19">
        <f>E67*F67*(1-0.871961839331925)</f>
        <v>0</v>
      </c>
      <c r="I67" s="19">
        <f t="shared" si="8"/>
        <v>0</v>
      </c>
      <c r="J67" s="19">
        <v>2.355</v>
      </c>
      <c r="K67" s="19">
        <f t="shared" si="13"/>
        <v>7.84215</v>
      </c>
    </row>
    <row r="68" spans="1:11" ht="25.5">
      <c r="A68" s="17" t="s">
        <v>166</v>
      </c>
      <c r="B68" s="17" t="s">
        <v>167</v>
      </c>
      <c r="C68" s="18" t="s">
        <v>168</v>
      </c>
      <c r="D68" s="17" t="s">
        <v>21</v>
      </c>
      <c r="E68" s="19">
        <v>6.62</v>
      </c>
      <c r="F68" s="19">
        <v>0</v>
      </c>
      <c r="G68" s="19">
        <f>E68*F68*0.235802578399268</f>
        <v>0</v>
      </c>
      <c r="H68" s="19">
        <f>E68*F68*(1-0.235802578399268)</f>
        <v>0</v>
      </c>
      <c r="I68" s="19">
        <f t="shared" si="8"/>
        <v>0</v>
      </c>
      <c r="J68" s="19">
        <v>0.004</v>
      </c>
      <c r="K68" s="19">
        <f t="shared" si="13"/>
        <v>0.02648</v>
      </c>
    </row>
    <row r="69" spans="1:11" ht="25.5">
      <c r="A69" s="17" t="s">
        <v>169</v>
      </c>
      <c r="B69" s="17" t="s">
        <v>170</v>
      </c>
      <c r="C69" s="18" t="s">
        <v>171</v>
      </c>
      <c r="D69" s="17" t="s">
        <v>21</v>
      </c>
      <c r="E69" s="19">
        <v>6</v>
      </c>
      <c r="F69" s="19">
        <v>0</v>
      </c>
      <c r="G69" s="19">
        <f>E69*F69*0.841230597239541</f>
        <v>0</v>
      </c>
      <c r="H69" s="19">
        <f>E69*F69*(1-0.841230597239541)</f>
        <v>0</v>
      </c>
      <c r="I69" s="19">
        <f t="shared" si="8"/>
        <v>0</v>
      </c>
      <c r="J69" s="19">
        <v>0.372</v>
      </c>
      <c r="K69" s="19">
        <f t="shared" si="13"/>
        <v>2.232</v>
      </c>
    </row>
    <row r="70" spans="1:11" ht="12.75" customHeight="1">
      <c r="A70" s="20"/>
      <c r="B70" s="21" t="s">
        <v>146</v>
      </c>
      <c r="C70" s="56" t="s">
        <v>172</v>
      </c>
      <c r="D70" s="56"/>
      <c r="E70" s="56"/>
      <c r="F70" s="56"/>
      <c r="G70" s="22">
        <f>SUM(G71:G78)</f>
        <v>0</v>
      </c>
      <c r="H70" s="22">
        <f>SUM(H71:H78)</f>
        <v>0</v>
      </c>
      <c r="I70" s="22">
        <f aca="true" t="shared" si="14" ref="I70:I101">G70+H70</f>
        <v>0</v>
      </c>
      <c r="J70" s="23"/>
      <c r="K70" s="22">
        <f>SUM(K71:K78)</f>
        <v>1363.2336</v>
      </c>
    </row>
    <row r="71" spans="1:11" ht="25.5">
      <c r="A71" s="17" t="s">
        <v>173</v>
      </c>
      <c r="B71" s="17" t="s">
        <v>174</v>
      </c>
      <c r="C71" s="18" t="s">
        <v>175</v>
      </c>
      <c r="D71" s="17" t="s">
        <v>52</v>
      </c>
      <c r="E71" s="19">
        <v>352.8</v>
      </c>
      <c r="F71" s="19">
        <v>0</v>
      </c>
      <c r="G71" s="19">
        <f>E71*F71*0.833268633825092</f>
        <v>0</v>
      </c>
      <c r="H71" s="19">
        <f>E71*F71*(1-0.833268633825092)</f>
        <v>0</v>
      </c>
      <c r="I71" s="19">
        <f t="shared" si="14"/>
        <v>0</v>
      </c>
      <c r="J71" s="19">
        <v>2.122</v>
      </c>
      <c r="K71" s="19">
        <f aca="true" t="shared" si="15" ref="K71:K78">E71*J71</f>
        <v>748.6416</v>
      </c>
    </row>
    <row r="72" spans="1:11" ht="25.5">
      <c r="A72" s="17" t="s">
        <v>176</v>
      </c>
      <c r="B72" s="17" t="s">
        <v>177</v>
      </c>
      <c r="C72" s="18" t="s">
        <v>178</v>
      </c>
      <c r="D72" s="17" t="s">
        <v>21</v>
      </c>
      <c r="E72" s="19">
        <v>301</v>
      </c>
      <c r="F72" s="19">
        <v>0</v>
      </c>
      <c r="G72" s="19">
        <f>E72*F72*0</f>
        <v>0</v>
      </c>
      <c r="H72" s="19">
        <f>E72*F72*(1-0)</f>
        <v>0</v>
      </c>
      <c r="I72" s="19">
        <f t="shared" si="14"/>
        <v>0</v>
      </c>
      <c r="J72" s="19">
        <v>0</v>
      </c>
      <c r="K72" s="19">
        <f t="shared" si="15"/>
        <v>0</v>
      </c>
    </row>
    <row r="73" spans="1:11" ht="25.5">
      <c r="A73" s="17" t="s">
        <v>179</v>
      </c>
      <c r="B73" s="17" t="s">
        <v>180</v>
      </c>
      <c r="C73" s="18" t="s">
        <v>181</v>
      </c>
      <c r="D73" s="17" t="s">
        <v>52</v>
      </c>
      <c r="E73" s="19">
        <v>126</v>
      </c>
      <c r="F73" s="19">
        <v>0</v>
      </c>
      <c r="G73" s="19">
        <f>E73*F73*0.87864406779661</f>
        <v>0</v>
      </c>
      <c r="H73" s="19">
        <f>E73*F73*(1-0.87864406779661)</f>
        <v>0</v>
      </c>
      <c r="I73" s="19">
        <f t="shared" si="14"/>
        <v>0</v>
      </c>
      <c r="J73" s="19">
        <v>2.16</v>
      </c>
      <c r="K73" s="19">
        <f t="shared" si="15"/>
        <v>272.16</v>
      </c>
    </row>
    <row r="74" spans="1:11" ht="25.5">
      <c r="A74" s="17" t="s">
        <v>182</v>
      </c>
      <c r="B74" s="17" t="s">
        <v>174</v>
      </c>
      <c r="C74" s="18" t="s">
        <v>175</v>
      </c>
      <c r="D74" s="17" t="s">
        <v>52</v>
      </c>
      <c r="E74" s="19">
        <v>112</v>
      </c>
      <c r="F74" s="19">
        <v>0</v>
      </c>
      <c r="G74" s="19">
        <f>E74*F74*0.833268644302745</f>
        <v>0</v>
      </c>
      <c r="H74" s="19">
        <f>E74*F74*(1-0.833268644302745)</f>
        <v>0</v>
      </c>
      <c r="I74" s="19">
        <f t="shared" si="14"/>
        <v>0</v>
      </c>
      <c r="J74" s="19">
        <v>2.122</v>
      </c>
      <c r="K74" s="19">
        <f t="shared" si="15"/>
        <v>237.664</v>
      </c>
    </row>
    <row r="75" spans="1:11" ht="25.5">
      <c r="A75" s="17" t="s">
        <v>183</v>
      </c>
      <c r="B75" s="17" t="s">
        <v>177</v>
      </c>
      <c r="C75" s="18" t="s">
        <v>178</v>
      </c>
      <c r="D75" s="17" t="s">
        <v>21</v>
      </c>
      <c r="E75" s="19">
        <v>280</v>
      </c>
      <c r="F75" s="19">
        <v>0</v>
      </c>
      <c r="G75" s="19">
        <f>E75*F75*0</f>
        <v>0</v>
      </c>
      <c r="H75" s="19">
        <f>E75*F75*(1-0)</f>
        <v>0</v>
      </c>
      <c r="I75" s="19">
        <f t="shared" si="14"/>
        <v>0</v>
      </c>
      <c r="J75" s="19">
        <v>0</v>
      </c>
      <c r="K75" s="19">
        <f t="shared" si="15"/>
        <v>0</v>
      </c>
    </row>
    <row r="76" spans="1:11" ht="25.5">
      <c r="A76" s="17" t="s">
        <v>184</v>
      </c>
      <c r="B76" s="17" t="s">
        <v>185</v>
      </c>
      <c r="C76" s="18" t="s">
        <v>186</v>
      </c>
      <c r="D76" s="17" t="s">
        <v>52</v>
      </c>
      <c r="E76" s="19">
        <v>12</v>
      </c>
      <c r="F76" s="19">
        <v>0</v>
      </c>
      <c r="G76" s="19">
        <f>E76*F76*0.861629546773471</f>
        <v>0</v>
      </c>
      <c r="H76" s="19">
        <f>E76*F76*(1-0.861629546773471)</f>
        <v>0</v>
      </c>
      <c r="I76" s="19">
        <f t="shared" si="14"/>
        <v>0</v>
      </c>
      <c r="J76" s="19">
        <v>2.482</v>
      </c>
      <c r="K76" s="19">
        <f t="shared" si="15"/>
        <v>29.784000000000002</v>
      </c>
    </row>
    <row r="77" spans="1:11" ht="25.5">
      <c r="A77" s="17" t="s">
        <v>187</v>
      </c>
      <c r="B77" s="17" t="s">
        <v>188</v>
      </c>
      <c r="C77" s="18" t="s">
        <v>189</v>
      </c>
      <c r="D77" s="17" t="s">
        <v>21</v>
      </c>
      <c r="E77" s="19">
        <v>85</v>
      </c>
      <c r="F77" s="19">
        <v>0</v>
      </c>
      <c r="G77" s="19">
        <f>E77*F77*0.742688468218741</f>
        <v>0</v>
      </c>
      <c r="H77" s="19">
        <f>E77*F77*(1-0.742688468218741)</f>
        <v>0</v>
      </c>
      <c r="I77" s="19">
        <f t="shared" si="14"/>
        <v>0</v>
      </c>
      <c r="J77" s="19">
        <v>0.824</v>
      </c>
      <c r="K77" s="19">
        <f t="shared" si="15"/>
        <v>70.03999999999999</v>
      </c>
    </row>
    <row r="78" spans="1:11" ht="25.5">
      <c r="A78" s="17" t="s">
        <v>190</v>
      </c>
      <c r="B78" s="17" t="s">
        <v>188</v>
      </c>
      <c r="C78" s="18" t="s">
        <v>189</v>
      </c>
      <c r="D78" s="17" t="s">
        <v>21</v>
      </c>
      <c r="E78" s="19">
        <v>6</v>
      </c>
      <c r="F78" s="19">
        <v>0</v>
      </c>
      <c r="G78" s="19">
        <f>E78*F78*0.742688468218741</f>
        <v>0</v>
      </c>
      <c r="H78" s="19">
        <f>E78*F78*(1-0.742688468218741)</f>
        <v>0</v>
      </c>
      <c r="I78" s="19">
        <f t="shared" si="14"/>
        <v>0</v>
      </c>
      <c r="J78" s="19">
        <v>0.824</v>
      </c>
      <c r="K78" s="19">
        <f t="shared" si="15"/>
        <v>4.944</v>
      </c>
    </row>
    <row r="79" spans="1:11" ht="12.75" customHeight="1">
      <c r="A79" s="20"/>
      <c r="B79" s="21" t="s">
        <v>191</v>
      </c>
      <c r="C79" s="56" t="s">
        <v>192</v>
      </c>
      <c r="D79" s="56"/>
      <c r="E79" s="56"/>
      <c r="F79" s="56"/>
      <c r="G79" s="22">
        <f>SUM(G80:G80)</f>
        <v>0</v>
      </c>
      <c r="H79" s="22">
        <f>SUM(H80:H80)</f>
        <v>0</v>
      </c>
      <c r="I79" s="22">
        <f t="shared" si="14"/>
        <v>0</v>
      </c>
      <c r="J79" s="23"/>
      <c r="K79" s="22">
        <f>SUM(K80:K80)</f>
        <v>0</v>
      </c>
    </row>
    <row r="80" spans="1:11" ht="25.5">
      <c r="A80" s="17" t="s">
        <v>193</v>
      </c>
      <c r="B80" s="17" t="s">
        <v>194</v>
      </c>
      <c r="C80" s="18" t="s">
        <v>195</v>
      </c>
      <c r="D80" s="17" t="s">
        <v>196</v>
      </c>
      <c r="E80" s="19">
        <v>17.5</v>
      </c>
      <c r="F80" s="19">
        <v>0</v>
      </c>
      <c r="G80" s="19">
        <f>E80*F80*0.000458318543842279</f>
        <v>0</v>
      </c>
      <c r="H80" s="19">
        <f>E80*F80*(1-0.000458318543842279)</f>
        <v>0</v>
      </c>
      <c r="I80" s="19">
        <f t="shared" si="14"/>
        <v>0</v>
      </c>
      <c r="J80" s="19">
        <v>0</v>
      </c>
      <c r="K80" s="19">
        <f>E80*J80</f>
        <v>0</v>
      </c>
    </row>
    <row r="81" spans="1:11" ht="12.75" customHeight="1">
      <c r="A81" s="20"/>
      <c r="B81" s="21" t="s">
        <v>197</v>
      </c>
      <c r="C81" s="56" t="s">
        <v>198</v>
      </c>
      <c r="D81" s="56"/>
      <c r="E81" s="56"/>
      <c r="F81" s="56"/>
      <c r="G81" s="22">
        <f>SUM(G82:G82)</f>
        <v>0</v>
      </c>
      <c r="H81" s="22">
        <f>SUM(H82:H82)</f>
        <v>0</v>
      </c>
      <c r="I81" s="22">
        <f t="shared" si="14"/>
        <v>0</v>
      </c>
      <c r="J81" s="23"/>
      <c r="K81" s="22">
        <f>SUM(K82:K82)</f>
        <v>0</v>
      </c>
    </row>
    <row r="82" spans="1:11" ht="25.5">
      <c r="A82" s="17" t="s">
        <v>199</v>
      </c>
      <c r="B82" s="17" t="s">
        <v>200</v>
      </c>
      <c r="C82" s="18" t="s">
        <v>201</v>
      </c>
      <c r="D82" s="17" t="s">
        <v>196</v>
      </c>
      <c r="E82" s="19">
        <v>140</v>
      </c>
      <c r="F82" s="19">
        <v>0</v>
      </c>
      <c r="G82" s="19">
        <f>E82*F82*0</f>
        <v>0</v>
      </c>
      <c r="H82" s="19">
        <f>E82*F82*(1-0)</f>
        <v>0</v>
      </c>
      <c r="I82" s="19">
        <f t="shared" si="14"/>
        <v>0</v>
      </c>
      <c r="J82" s="19">
        <v>0</v>
      </c>
      <c r="K82" s="19">
        <f>E82*J82</f>
        <v>0</v>
      </c>
    </row>
    <row r="83" spans="1:11" ht="12.75" customHeight="1">
      <c r="A83" s="20"/>
      <c r="B83" s="21" t="s">
        <v>202</v>
      </c>
      <c r="C83" s="56" t="s">
        <v>203</v>
      </c>
      <c r="D83" s="56"/>
      <c r="E83" s="56"/>
      <c r="F83" s="56"/>
      <c r="G83" s="22">
        <f>SUM(G84:G86)</f>
        <v>0</v>
      </c>
      <c r="H83" s="22">
        <f>SUM(H84:H86)</f>
        <v>0</v>
      </c>
      <c r="I83" s="22">
        <f t="shared" si="14"/>
        <v>0</v>
      </c>
      <c r="J83" s="23"/>
      <c r="K83" s="22">
        <f>SUM(K84:K86)</f>
        <v>15.63256</v>
      </c>
    </row>
    <row r="84" spans="1:11" ht="25.5">
      <c r="A84" s="17" t="s">
        <v>204</v>
      </c>
      <c r="B84" s="17" t="s">
        <v>205</v>
      </c>
      <c r="C84" s="18" t="s">
        <v>206</v>
      </c>
      <c r="D84" s="17" t="s">
        <v>28</v>
      </c>
      <c r="E84" s="19">
        <v>9</v>
      </c>
      <c r="F84" s="19">
        <v>0</v>
      </c>
      <c r="G84" s="19">
        <f>E84*F84*0.593456186536292</f>
        <v>0</v>
      </c>
      <c r="H84" s="19">
        <f>E84*F84*(1-0.593456186536292)</f>
        <v>0</v>
      </c>
      <c r="I84" s="19">
        <f t="shared" si="14"/>
        <v>0</v>
      </c>
      <c r="J84" s="19">
        <v>0.002</v>
      </c>
      <c r="K84" s="19">
        <f>E84*J84</f>
        <v>0.018000000000000002</v>
      </c>
    </row>
    <row r="85" spans="1:11" ht="25.5">
      <c r="A85" s="17" t="s">
        <v>207</v>
      </c>
      <c r="B85" s="17" t="s">
        <v>208</v>
      </c>
      <c r="C85" s="18" t="s">
        <v>209</v>
      </c>
      <c r="D85" s="17" t="s">
        <v>52</v>
      </c>
      <c r="E85" s="19">
        <v>6.38</v>
      </c>
      <c r="F85" s="19">
        <v>0</v>
      </c>
      <c r="G85" s="19">
        <f>E85*F85*0.898859714324251</f>
        <v>0</v>
      </c>
      <c r="H85" s="19">
        <f>E85*F85*(1-0.898859714324251)</f>
        <v>0</v>
      </c>
      <c r="I85" s="19">
        <f t="shared" si="14"/>
        <v>0</v>
      </c>
      <c r="J85" s="19">
        <v>2.436</v>
      </c>
      <c r="K85" s="19">
        <f>E85*J85</f>
        <v>15.54168</v>
      </c>
    </row>
    <row r="86" spans="1:11" ht="25.5">
      <c r="A86" s="17" t="s">
        <v>210</v>
      </c>
      <c r="B86" s="17" t="s">
        <v>211</v>
      </c>
      <c r="C86" s="18" t="s">
        <v>212</v>
      </c>
      <c r="D86" s="17" t="s">
        <v>21</v>
      </c>
      <c r="E86" s="19">
        <v>18.22</v>
      </c>
      <c r="F86" s="19">
        <v>0</v>
      </c>
      <c r="G86" s="19">
        <f>E86*F86*0.198212956068503</f>
        <v>0</v>
      </c>
      <c r="H86" s="19">
        <f>E86*F86*(1-0.198212956068503)</f>
        <v>0</v>
      </c>
      <c r="I86" s="19">
        <f t="shared" si="14"/>
        <v>0</v>
      </c>
      <c r="J86" s="19">
        <v>0.004</v>
      </c>
      <c r="K86" s="19">
        <f>E86*J86</f>
        <v>0.07288</v>
      </c>
    </row>
    <row r="87" spans="1:11" ht="12.75" customHeight="1">
      <c r="A87" s="20"/>
      <c r="B87" s="21" t="s">
        <v>213</v>
      </c>
      <c r="C87" s="56" t="s">
        <v>214</v>
      </c>
      <c r="D87" s="56"/>
      <c r="E87" s="56"/>
      <c r="F87" s="56"/>
      <c r="G87" s="22">
        <f>SUM(G88:G88)</f>
        <v>0</v>
      </c>
      <c r="H87" s="22">
        <f>SUM(H88:H88)</f>
        <v>0</v>
      </c>
      <c r="I87" s="22">
        <f t="shared" si="14"/>
        <v>0</v>
      </c>
      <c r="J87" s="23"/>
      <c r="K87" s="22">
        <f>SUM(K88:K88)</f>
        <v>0.0819</v>
      </c>
    </row>
    <row r="88" spans="1:11" ht="25.5">
      <c r="A88" s="17" t="s">
        <v>215</v>
      </c>
      <c r="B88" s="17" t="s">
        <v>216</v>
      </c>
      <c r="C88" s="18" t="s">
        <v>217</v>
      </c>
      <c r="D88" s="17" t="s">
        <v>21</v>
      </c>
      <c r="E88" s="19">
        <v>1.95</v>
      </c>
      <c r="F88" s="19">
        <v>0</v>
      </c>
      <c r="G88" s="19">
        <f>E88*F88*0.589946277567004</f>
        <v>0</v>
      </c>
      <c r="H88" s="19">
        <f>E88*F88*(1-0.589946277567004)</f>
        <v>0</v>
      </c>
      <c r="I88" s="19">
        <f t="shared" si="14"/>
        <v>0</v>
      </c>
      <c r="J88" s="19">
        <v>0.042</v>
      </c>
      <c r="K88" s="19">
        <f>E88*J88</f>
        <v>0.0819</v>
      </c>
    </row>
    <row r="89" spans="1:11" ht="12.75" customHeight="1">
      <c r="A89" s="20"/>
      <c r="B89" s="21" t="s">
        <v>218</v>
      </c>
      <c r="C89" s="56" t="s">
        <v>219</v>
      </c>
      <c r="D89" s="56"/>
      <c r="E89" s="56"/>
      <c r="F89" s="56"/>
      <c r="G89" s="22">
        <f>SUM(G90:G91)</f>
        <v>0</v>
      </c>
      <c r="H89" s="22">
        <f>SUM(H90:H91)</f>
        <v>0</v>
      </c>
      <c r="I89" s="22">
        <f t="shared" si="14"/>
        <v>0</v>
      </c>
      <c r="J89" s="23"/>
      <c r="K89" s="22">
        <f>SUM(K90:K91)</f>
        <v>0.7053193999999999</v>
      </c>
    </row>
    <row r="90" spans="1:11" ht="25.5">
      <c r="A90" s="17" t="s">
        <v>220</v>
      </c>
      <c r="B90" s="17" t="s">
        <v>221</v>
      </c>
      <c r="C90" s="18" t="s">
        <v>222</v>
      </c>
      <c r="D90" s="17" t="s">
        <v>21</v>
      </c>
      <c r="E90" s="19">
        <v>21.13</v>
      </c>
      <c r="F90" s="19">
        <v>0</v>
      </c>
      <c r="G90" s="19">
        <f>E90*F90*0.000405073057819357</f>
        <v>0</v>
      </c>
      <c r="H90" s="19">
        <f>E90*F90*(1-0.000405073057819357)</f>
        <v>0</v>
      </c>
      <c r="I90" s="19">
        <f t="shared" si="14"/>
        <v>0</v>
      </c>
      <c r="J90" s="19">
        <v>0.03338</v>
      </c>
      <c r="K90" s="19">
        <f>E90*J90</f>
        <v>0.7053193999999999</v>
      </c>
    </row>
    <row r="91" spans="1:11" ht="25.5">
      <c r="A91" s="17" t="s">
        <v>223</v>
      </c>
      <c r="B91" s="17" t="s">
        <v>224</v>
      </c>
      <c r="C91" s="18" t="s">
        <v>225</v>
      </c>
      <c r="D91" s="17" t="s">
        <v>21</v>
      </c>
      <c r="E91" s="19">
        <v>21.13</v>
      </c>
      <c r="F91" s="19">
        <v>0</v>
      </c>
      <c r="G91" s="19">
        <f>E91*F91*0</f>
        <v>0</v>
      </c>
      <c r="H91" s="19">
        <f>E91*F91*(1-0)</f>
        <v>0</v>
      </c>
      <c r="I91" s="19">
        <f t="shared" si="14"/>
        <v>0</v>
      </c>
      <c r="J91" s="19">
        <v>0</v>
      </c>
      <c r="K91" s="19">
        <f>E91*J91</f>
        <v>0</v>
      </c>
    </row>
    <row r="92" spans="1:11" ht="12.75" customHeight="1">
      <c r="A92" s="20"/>
      <c r="B92" s="21" t="s">
        <v>226</v>
      </c>
      <c r="C92" s="56" t="s">
        <v>227</v>
      </c>
      <c r="D92" s="56"/>
      <c r="E92" s="56"/>
      <c r="F92" s="56"/>
      <c r="G92" s="22">
        <f>SUM(G93:G93)</f>
        <v>0</v>
      </c>
      <c r="H92" s="22">
        <f>SUM(H93:H93)</f>
        <v>0</v>
      </c>
      <c r="I92" s="22">
        <f t="shared" si="14"/>
        <v>0</v>
      </c>
      <c r="J92" s="23"/>
      <c r="K92" s="22">
        <f>SUM(K93:K93)</f>
        <v>0.002</v>
      </c>
    </row>
    <row r="93" spans="1:11" ht="25.5">
      <c r="A93" s="17" t="s">
        <v>228</v>
      </c>
      <c r="B93" s="17" t="s">
        <v>229</v>
      </c>
      <c r="C93" s="18" t="s">
        <v>230</v>
      </c>
      <c r="D93" s="17" t="s">
        <v>28</v>
      </c>
      <c r="E93" s="19">
        <v>2</v>
      </c>
      <c r="F93" s="19">
        <v>0</v>
      </c>
      <c r="G93" s="19">
        <f>E93*F93*0.0729763135988699</f>
        <v>0</v>
      </c>
      <c r="H93" s="19">
        <f>E93*F93*(1-0.0729763135988699)</f>
        <v>0</v>
      </c>
      <c r="I93" s="19">
        <f t="shared" si="14"/>
        <v>0</v>
      </c>
      <c r="J93" s="19">
        <v>0.001</v>
      </c>
      <c r="K93" s="19">
        <f>E93*J93</f>
        <v>0.002</v>
      </c>
    </row>
    <row r="94" spans="1:11" ht="12.75" customHeight="1">
      <c r="A94" s="20"/>
      <c r="B94" s="21" t="s">
        <v>231</v>
      </c>
      <c r="C94" s="56" t="s">
        <v>232</v>
      </c>
      <c r="D94" s="56"/>
      <c r="E94" s="56"/>
      <c r="F94" s="56"/>
      <c r="G94" s="22">
        <f>SUM(G95:G95)</f>
        <v>0</v>
      </c>
      <c r="H94" s="22">
        <f>SUM(H95:H95)</f>
        <v>0</v>
      </c>
      <c r="I94" s="22">
        <f t="shared" si="14"/>
        <v>0</v>
      </c>
      <c r="J94" s="23"/>
      <c r="K94" s="22">
        <f>SUM(K95:K95)</f>
        <v>0</v>
      </c>
    </row>
    <row r="95" spans="1:11" ht="25.5">
      <c r="A95" s="17" t="s">
        <v>233</v>
      </c>
      <c r="B95" s="17" t="s">
        <v>234</v>
      </c>
      <c r="C95" s="18" t="s">
        <v>235</v>
      </c>
      <c r="D95" s="17" t="s">
        <v>132</v>
      </c>
      <c r="E95" s="19">
        <v>1820.43784</v>
      </c>
      <c r="F95" s="19">
        <v>0</v>
      </c>
      <c r="G95" s="19">
        <f>E95*F95*0</f>
        <v>0</v>
      </c>
      <c r="H95" s="19">
        <f>E95*F95*(1-0)</f>
        <v>0</v>
      </c>
      <c r="I95" s="19">
        <f t="shared" si="14"/>
        <v>0</v>
      </c>
      <c r="J95" s="19">
        <v>0</v>
      </c>
      <c r="K95" s="19">
        <f>E95*J95</f>
        <v>0</v>
      </c>
    </row>
    <row r="96" spans="1:11" ht="12.75" customHeight="1">
      <c r="A96" s="20"/>
      <c r="B96" s="21"/>
      <c r="C96" s="56" t="s">
        <v>236</v>
      </c>
      <c r="D96" s="56"/>
      <c r="E96" s="56"/>
      <c r="F96" s="56"/>
      <c r="G96" s="22">
        <f>SUM(G97:G101)</f>
        <v>0</v>
      </c>
      <c r="H96" s="22">
        <f>SUM(H97:H101)</f>
        <v>0</v>
      </c>
      <c r="I96" s="22">
        <f t="shared" si="14"/>
        <v>0</v>
      </c>
      <c r="J96" s="23"/>
      <c r="K96" s="22">
        <f>SUM(K97:K101)</f>
        <v>5.930980000000001</v>
      </c>
    </row>
    <row r="97" spans="1:11" ht="25.5">
      <c r="A97" s="17" t="s">
        <v>237</v>
      </c>
      <c r="B97" s="17" t="s">
        <v>238</v>
      </c>
      <c r="C97" s="18" t="s">
        <v>239</v>
      </c>
      <c r="D97" s="17" t="s">
        <v>21</v>
      </c>
      <c r="E97" s="19">
        <v>741.96</v>
      </c>
      <c r="F97" s="19">
        <v>0</v>
      </c>
      <c r="G97" s="19">
        <f>E97*F97*1</f>
        <v>0</v>
      </c>
      <c r="H97" s="19">
        <f>E97*F97*(1-1)</f>
        <v>0</v>
      </c>
      <c r="I97" s="19">
        <f t="shared" si="14"/>
        <v>0</v>
      </c>
      <c r="J97" s="19">
        <v>0.0005</v>
      </c>
      <c r="K97" s="19">
        <f>E97*J97</f>
        <v>0.37098000000000003</v>
      </c>
    </row>
    <row r="98" spans="1:11" ht="12.75">
      <c r="A98" s="17" t="s">
        <v>240</v>
      </c>
      <c r="B98" s="17" t="s">
        <v>241</v>
      </c>
      <c r="C98" s="18" t="s">
        <v>242</v>
      </c>
      <c r="D98" s="17" t="s">
        <v>243</v>
      </c>
      <c r="E98" s="19">
        <v>2</v>
      </c>
      <c r="F98" s="19">
        <v>0</v>
      </c>
      <c r="G98" s="19">
        <f>E98*F98*1</f>
        <v>0</v>
      </c>
      <c r="H98" s="19">
        <f>E98*F98*(1-1)</f>
        <v>0</v>
      </c>
      <c r="I98" s="19">
        <f t="shared" si="14"/>
        <v>0</v>
      </c>
      <c r="J98" s="19">
        <v>0.05</v>
      </c>
      <c r="K98" s="19">
        <f>E98*J98</f>
        <v>0.1</v>
      </c>
    </row>
    <row r="99" spans="1:11" ht="12.75">
      <c r="A99" s="17" t="s">
        <v>244</v>
      </c>
      <c r="B99" s="17" t="s">
        <v>245</v>
      </c>
      <c r="C99" s="18" t="s">
        <v>246</v>
      </c>
      <c r="D99" s="17" t="s">
        <v>243</v>
      </c>
      <c r="E99" s="19">
        <v>1</v>
      </c>
      <c r="F99" s="19">
        <v>0</v>
      </c>
      <c r="G99" s="19">
        <f>E99*F99*1</f>
        <v>0</v>
      </c>
      <c r="H99" s="19">
        <f>E99*F99*(1-1)</f>
        <v>0</v>
      </c>
      <c r="I99" s="19">
        <f t="shared" si="14"/>
        <v>0</v>
      </c>
      <c r="J99" s="19">
        <v>0.02</v>
      </c>
      <c r="K99" s="19">
        <f>E99*J99</f>
        <v>0.02</v>
      </c>
    </row>
    <row r="100" spans="1:11" ht="12.75">
      <c r="A100" s="17" t="s">
        <v>247</v>
      </c>
      <c r="B100" s="17" t="s">
        <v>248</v>
      </c>
      <c r="C100" s="18" t="s">
        <v>249</v>
      </c>
      <c r="D100" s="17" t="s">
        <v>243</v>
      </c>
      <c r="E100" s="19">
        <v>1</v>
      </c>
      <c r="F100" s="19">
        <v>0</v>
      </c>
      <c r="G100" s="19">
        <f>E100*F100*1</f>
        <v>0</v>
      </c>
      <c r="H100" s="19">
        <f>E100*F100*(1-1)</f>
        <v>0</v>
      </c>
      <c r="I100" s="19">
        <f t="shared" si="14"/>
        <v>0</v>
      </c>
      <c r="J100" s="19">
        <v>0.05</v>
      </c>
      <c r="K100" s="19">
        <f>E100*J100</f>
        <v>0.05</v>
      </c>
    </row>
    <row r="101" spans="1:11" ht="12.75">
      <c r="A101" s="17" t="s">
        <v>250</v>
      </c>
      <c r="B101" s="17" t="s">
        <v>251</v>
      </c>
      <c r="C101" s="18" t="s">
        <v>252</v>
      </c>
      <c r="D101" s="17" t="s">
        <v>243</v>
      </c>
      <c r="E101" s="19">
        <v>7</v>
      </c>
      <c r="F101" s="19">
        <v>0</v>
      </c>
      <c r="G101" s="19">
        <f>E101*F101*1</f>
        <v>0</v>
      </c>
      <c r="H101" s="19">
        <f>E101*F101*(1-1)</f>
        <v>0</v>
      </c>
      <c r="I101" s="19">
        <f t="shared" si="14"/>
        <v>0</v>
      </c>
      <c r="J101" s="19">
        <v>0.77</v>
      </c>
      <c r="K101" s="19">
        <f>E101*J101</f>
        <v>5.390000000000001</v>
      </c>
    </row>
    <row r="102" spans="1:11" ht="12.75">
      <c r="A102" s="24"/>
      <c r="B102" s="24"/>
      <c r="C102" s="24"/>
      <c r="D102" s="24"/>
      <c r="E102" s="24"/>
      <c r="F102" s="24"/>
      <c r="G102" s="53" t="s">
        <v>253</v>
      </c>
      <c r="H102" s="53"/>
      <c r="I102" s="25">
        <f>I6+I16+I21+I30+I40+I43+I51+I63+I70+I79+I81+I83+I87+I89+I92+I94+I96</f>
        <v>0</v>
      </c>
      <c r="J102" s="24"/>
      <c r="K102" s="24"/>
    </row>
    <row r="103" spans="7:9" ht="12.75">
      <c r="G103" s="57" t="s">
        <v>254</v>
      </c>
      <c r="H103" s="57"/>
      <c r="I103" s="27">
        <v>0</v>
      </c>
    </row>
    <row r="104" spans="7:9" ht="12.75">
      <c r="G104" s="57" t="s">
        <v>255</v>
      </c>
      <c r="H104" s="57"/>
      <c r="I104" s="27">
        <f>I102*(1-I103/100)</f>
        <v>0</v>
      </c>
    </row>
  </sheetData>
  <sheetProtection/>
  <mergeCells count="25">
    <mergeCell ref="G104:H104"/>
    <mergeCell ref="C89:F89"/>
    <mergeCell ref="C92:F92"/>
    <mergeCell ref="C94:F94"/>
    <mergeCell ref="C96:F96"/>
    <mergeCell ref="G102:H102"/>
    <mergeCell ref="G103:H103"/>
    <mergeCell ref="C63:F63"/>
    <mergeCell ref="C70:F70"/>
    <mergeCell ref="C79:F79"/>
    <mergeCell ref="C81:F81"/>
    <mergeCell ref="C83:F83"/>
    <mergeCell ref="C87:F87"/>
    <mergeCell ref="C16:F16"/>
    <mergeCell ref="C21:F21"/>
    <mergeCell ref="C30:F30"/>
    <mergeCell ref="C40:F40"/>
    <mergeCell ref="C43:F43"/>
    <mergeCell ref="C51:F51"/>
    <mergeCell ref="A1:K1"/>
    <mergeCell ref="A2:B3"/>
    <mergeCell ref="C2:K3"/>
    <mergeCell ref="G4:I4"/>
    <mergeCell ref="J4:K4"/>
    <mergeCell ref="C6:F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E10" sqref="E10"/>
    </sheetView>
  </sheetViews>
  <sheetFormatPr defaultColWidth="11.421875" defaultRowHeight="12.75"/>
  <cols>
    <col min="1" max="1" width="16.57421875" style="0" customWidth="1"/>
    <col min="2" max="2" width="41.7109375" style="0" customWidth="1"/>
    <col min="3" max="3" width="22.140625" style="0" customWidth="1"/>
    <col min="4" max="4" width="21.00390625" style="0" customWidth="1"/>
    <col min="5" max="5" width="20.8515625" style="0" customWidth="1"/>
    <col min="6" max="6" width="19.7109375" style="0" customWidth="1"/>
  </cols>
  <sheetData>
    <row r="1" spans="1:6" ht="21.75" customHeight="1">
      <c r="A1" s="51" t="s">
        <v>256</v>
      </c>
      <c r="B1" s="51"/>
      <c r="C1" s="51"/>
      <c r="D1" s="51"/>
      <c r="E1" s="51"/>
      <c r="F1" s="51"/>
    </row>
    <row r="2" spans="1:7" ht="12.75">
      <c r="A2" s="52" t="s">
        <v>1</v>
      </c>
      <c r="B2" s="53" t="s">
        <v>257</v>
      </c>
      <c r="C2" s="53"/>
      <c r="D2" s="58" t="s">
        <v>258</v>
      </c>
      <c r="E2" s="59"/>
      <c r="F2" s="59"/>
      <c r="G2" s="1"/>
    </row>
    <row r="3" spans="1:7" ht="12.75">
      <c r="A3" s="52"/>
      <c r="B3" s="53"/>
      <c r="C3" s="53"/>
      <c r="D3" s="58"/>
      <c r="E3" s="58"/>
      <c r="F3" s="59"/>
      <c r="G3" s="1"/>
    </row>
    <row r="4" spans="1:7" ht="12.75">
      <c r="A4" s="60" t="s">
        <v>259</v>
      </c>
      <c r="B4" s="61" t="s">
        <v>260</v>
      </c>
      <c r="C4" s="61"/>
      <c r="D4" s="61" t="s">
        <v>261</v>
      </c>
      <c r="E4" s="62"/>
      <c r="F4" s="62"/>
      <c r="G4" s="1"/>
    </row>
    <row r="5" spans="1:7" ht="12.75">
      <c r="A5" s="60"/>
      <c r="B5" s="61"/>
      <c r="C5" s="61"/>
      <c r="D5" s="61"/>
      <c r="E5" s="61"/>
      <c r="F5" s="62"/>
      <c r="G5" s="1"/>
    </row>
    <row r="6" spans="1:7" ht="12.75">
      <c r="A6" s="60" t="s">
        <v>262</v>
      </c>
      <c r="B6" s="61" t="s">
        <v>263</v>
      </c>
      <c r="C6" s="61"/>
      <c r="D6" s="61" t="s">
        <v>264</v>
      </c>
      <c r="E6" s="62"/>
      <c r="F6" s="62"/>
      <c r="G6" s="1"/>
    </row>
    <row r="7" spans="1:7" ht="12.75">
      <c r="A7" s="60"/>
      <c r="B7" s="61"/>
      <c r="C7" s="61"/>
      <c r="D7" s="61"/>
      <c r="E7" s="61"/>
      <c r="F7" s="62"/>
      <c r="G7" s="1"/>
    </row>
    <row r="8" spans="1:7" ht="12.75">
      <c r="A8" s="63" t="s">
        <v>265</v>
      </c>
      <c r="B8" s="64" t="s">
        <v>266</v>
      </c>
      <c r="C8" s="64"/>
      <c r="D8" s="64" t="s">
        <v>267</v>
      </c>
      <c r="E8" s="65"/>
      <c r="F8" s="65"/>
      <c r="G8" s="1"/>
    </row>
    <row r="9" spans="1:7" ht="12.75">
      <c r="A9" s="63"/>
      <c r="B9" s="64"/>
      <c r="C9" s="64"/>
      <c r="D9" s="64"/>
      <c r="E9" s="64"/>
      <c r="F9" s="65"/>
      <c r="G9" s="1"/>
    </row>
    <row r="10" spans="1:7" ht="12.75">
      <c r="A10" s="29" t="s">
        <v>8</v>
      </c>
      <c r="B10" s="30" t="s">
        <v>9</v>
      </c>
      <c r="C10" s="31" t="s">
        <v>268</v>
      </c>
      <c r="D10" s="31" t="s">
        <v>269</v>
      </c>
      <c r="E10" s="31" t="s">
        <v>270</v>
      </c>
      <c r="F10" s="32" t="s">
        <v>271</v>
      </c>
      <c r="G10" s="5"/>
    </row>
    <row r="11" spans="1:6" ht="13.5" thickBot="1">
      <c r="A11" s="33" t="s">
        <v>16</v>
      </c>
      <c r="B11" s="33" t="s">
        <v>17</v>
      </c>
      <c r="C11" s="34">
        <v>0</v>
      </c>
      <c r="D11" s="34">
        <v>0</v>
      </c>
      <c r="E11" s="34">
        <f aca="true" t="shared" si="0" ref="E11:E27">C11+D11</f>
        <v>0</v>
      </c>
      <c r="F11" s="34">
        <v>0.348</v>
      </c>
    </row>
    <row r="12" spans="1:6" ht="13.5" thickBot="1">
      <c r="A12" s="28" t="s">
        <v>47</v>
      </c>
      <c r="B12" s="28" t="s">
        <v>48</v>
      </c>
      <c r="C12" s="35">
        <v>0</v>
      </c>
      <c r="D12" s="34">
        <v>0</v>
      </c>
      <c r="E12" s="35">
        <f t="shared" si="0"/>
        <v>0</v>
      </c>
      <c r="F12" s="35">
        <v>0</v>
      </c>
    </row>
    <row r="13" spans="1:6" ht="13.5" thickBot="1">
      <c r="A13" s="28" t="s">
        <v>55</v>
      </c>
      <c r="B13" s="28" t="s">
        <v>56</v>
      </c>
      <c r="C13" s="35">
        <v>0</v>
      </c>
      <c r="D13" s="34">
        <v>0</v>
      </c>
      <c r="E13" s="35">
        <f t="shared" si="0"/>
        <v>0</v>
      </c>
      <c r="F13" s="35">
        <v>0</v>
      </c>
    </row>
    <row r="14" spans="1:6" ht="13.5" thickBot="1">
      <c r="A14" s="28" t="s">
        <v>63</v>
      </c>
      <c r="B14" s="28" t="s">
        <v>77</v>
      </c>
      <c r="C14" s="35">
        <v>0</v>
      </c>
      <c r="D14" s="34">
        <v>0</v>
      </c>
      <c r="E14" s="35">
        <f t="shared" si="0"/>
        <v>0</v>
      </c>
      <c r="F14" s="35">
        <v>0</v>
      </c>
    </row>
    <row r="15" spans="1:6" ht="13.5" thickBot="1">
      <c r="A15" s="28" t="s">
        <v>66</v>
      </c>
      <c r="B15" s="28" t="s">
        <v>103</v>
      </c>
      <c r="C15" s="35">
        <v>0</v>
      </c>
      <c r="D15" s="34">
        <v>0</v>
      </c>
      <c r="E15" s="35">
        <f t="shared" si="0"/>
        <v>0</v>
      </c>
      <c r="F15" s="35">
        <v>0</v>
      </c>
    </row>
    <row r="16" spans="1:6" ht="13.5" thickBot="1">
      <c r="A16" s="28" t="s">
        <v>67</v>
      </c>
      <c r="B16" s="28" t="s">
        <v>110</v>
      </c>
      <c r="C16" s="35">
        <v>0</v>
      </c>
      <c r="D16" s="34">
        <v>0</v>
      </c>
      <c r="E16" s="35">
        <f t="shared" si="0"/>
        <v>0</v>
      </c>
      <c r="F16" s="35">
        <v>0</v>
      </c>
    </row>
    <row r="17" spans="1:6" ht="13.5" thickBot="1">
      <c r="A17" s="28" t="s">
        <v>107</v>
      </c>
      <c r="B17" s="28" t="s">
        <v>128</v>
      </c>
      <c r="C17" s="35">
        <v>0</v>
      </c>
      <c r="D17" s="34">
        <v>0</v>
      </c>
      <c r="E17" s="35">
        <f t="shared" si="0"/>
        <v>0</v>
      </c>
      <c r="F17" s="35">
        <v>91.24585</v>
      </c>
    </row>
    <row r="18" spans="1:6" ht="13.5" thickBot="1">
      <c r="A18" s="28" t="s">
        <v>145</v>
      </c>
      <c r="B18" s="28" t="s">
        <v>153</v>
      </c>
      <c r="C18" s="35">
        <v>0</v>
      </c>
      <c r="D18" s="34">
        <v>0</v>
      </c>
      <c r="E18" s="35">
        <f t="shared" si="0"/>
        <v>0</v>
      </c>
      <c r="F18" s="35">
        <v>343.32063</v>
      </c>
    </row>
    <row r="19" spans="1:6" ht="13.5" thickBot="1">
      <c r="A19" s="28" t="s">
        <v>146</v>
      </c>
      <c r="B19" s="28" t="s">
        <v>172</v>
      </c>
      <c r="C19" s="35">
        <v>0</v>
      </c>
      <c r="D19" s="34">
        <v>0</v>
      </c>
      <c r="E19" s="35">
        <f t="shared" si="0"/>
        <v>0</v>
      </c>
      <c r="F19" s="35">
        <v>1363.2336</v>
      </c>
    </row>
    <row r="20" spans="1:6" ht="13.5" thickBot="1">
      <c r="A20" s="28" t="s">
        <v>191</v>
      </c>
      <c r="B20" s="28" t="s">
        <v>192</v>
      </c>
      <c r="C20" s="35">
        <v>0</v>
      </c>
      <c r="D20" s="34">
        <v>0</v>
      </c>
      <c r="E20" s="35">
        <f t="shared" si="0"/>
        <v>0</v>
      </c>
      <c r="F20" s="35">
        <v>0</v>
      </c>
    </row>
    <row r="21" spans="1:6" ht="13.5" thickBot="1">
      <c r="A21" s="28" t="s">
        <v>197</v>
      </c>
      <c r="B21" s="28" t="s">
        <v>198</v>
      </c>
      <c r="C21" s="35">
        <v>0</v>
      </c>
      <c r="D21" s="34">
        <v>0</v>
      </c>
      <c r="E21" s="35">
        <f t="shared" si="0"/>
        <v>0</v>
      </c>
      <c r="F21" s="35">
        <v>0</v>
      </c>
    </row>
    <row r="22" spans="1:6" ht="13.5" thickBot="1">
      <c r="A22" s="28" t="s">
        <v>202</v>
      </c>
      <c r="B22" s="28" t="s">
        <v>203</v>
      </c>
      <c r="C22" s="35">
        <v>0</v>
      </c>
      <c r="D22" s="34">
        <v>0</v>
      </c>
      <c r="E22" s="35">
        <f t="shared" si="0"/>
        <v>0</v>
      </c>
      <c r="F22" s="35">
        <v>15.63256</v>
      </c>
    </row>
    <row r="23" spans="1:6" ht="13.5" thickBot="1">
      <c r="A23" s="28" t="s">
        <v>213</v>
      </c>
      <c r="B23" s="28" t="s">
        <v>214</v>
      </c>
      <c r="C23" s="35">
        <v>0</v>
      </c>
      <c r="D23" s="34">
        <v>0</v>
      </c>
      <c r="E23" s="35">
        <f t="shared" si="0"/>
        <v>0</v>
      </c>
      <c r="F23" s="35">
        <v>0.0819</v>
      </c>
    </row>
    <row r="24" spans="1:6" ht="13.5" thickBot="1">
      <c r="A24" s="28" t="s">
        <v>218</v>
      </c>
      <c r="B24" s="28" t="s">
        <v>219</v>
      </c>
      <c r="C24" s="35">
        <v>0</v>
      </c>
      <c r="D24" s="34">
        <v>0</v>
      </c>
      <c r="E24" s="35">
        <f t="shared" si="0"/>
        <v>0</v>
      </c>
      <c r="F24" s="35">
        <v>0.70532</v>
      </c>
    </row>
    <row r="25" spans="1:6" ht="13.5" thickBot="1">
      <c r="A25" s="28" t="s">
        <v>226</v>
      </c>
      <c r="B25" s="28" t="s">
        <v>227</v>
      </c>
      <c r="C25" s="35">
        <v>0</v>
      </c>
      <c r="D25" s="34">
        <v>0</v>
      </c>
      <c r="E25" s="35">
        <f t="shared" si="0"/>
        <v>0</v>
      </c>
      <c r="F25" s="35">
        <v>0.002</v>
      </c>
    </row>
    <row r="26" spans="1:6" ht="13.5" thickBot="1">
      <c r="A26" s="28" t="s">
        <v>231</v>
      </c>
      <c r="B26" s="28" t="s">
        <v>232</v>
      </c>
      <c r="C26" s="35">
        <v>0</v>
      </c>
      <c r="D26" s="34">
        <v>0</v>
      </c>
      <c r="E26" s="35">
        <f t="shared" si="0"/>
        <v>0</v>
      </c>
      <c r="F26" s="35">
        <v>0</v>
      </c>
    </row>
    <row r="27" spans="1:6" ht="12.75">
      <c r="A27" s="28"/>
      <c r="B27" s="28" t="s">
        <v>236</v>
      </c>
      <c r="C27" s="35">
        <v>0</v>
      </c>
      <c r="D27" s="34">
        <v>0</v>
      </c>
      <c r="E27" s="35">
        <f t="shared" si="0"/>
        <v>0</v>
      </c>
      <c r="F27" s="35">
        <v>5.93098</v>
      </c>
    </row>
    <row r="29" spans="4:5" ht="12.75">
      <c r="D29" s="26" t="s">
        <v>253</v>
      </c>
      <c r="E29" s="27">
        <f>SUM(E11:E27)</f>
        <v>0</v>
      </c>
    </row>
    <row r="30" spans="4:5" ht="12.75">
      <c r="D30" s="26" t="s">
        <v>254</v>
      </c>
      <c r="E30" s="27">
        <v>0</v>
      </c>
    </row>
    <row r="31" spans="4:5" ht="12.75">
      <c r="D31" s="26" t="s">
        <v>255</v>
      </c>
      <c r="E31" s="27">
        <f>E29*(1-E30/100)</f>
        <v>0</v>
      </c>
    </row>
  </sheetData>
  <sheetProtection/>
  <mergeCells count="17">
    <mergeCell ref="A6:A7"/>
    <mergeCell ref="B6:C7"/>
    <mergeCell ref="D6:D7"/>
    <mergeCell ref="E6:F7"/>
    <mergeCell ref="A8:A9"/>
    <mergeCell ref="B8:C9"/>
    <mergeCell ref="D8:D9"/>
    <mergeCell ref="E8:F9"/>
    <mergeCell ref="A1:F1"/>
    <mergeCell ref="A2:A3"/>
    <mergeCell ref="B2:C3"/>
    <mergeCell ref="D2:D3"/>
    <mergeCell ref="E2:F3"/>
    <mergeCell ref="A4:A5"/>
    <mergeCell ref="B4:C5"/>
    <mergeCell ref="D4:D5"/>
    <mergeCell ref="E4:F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SheetLayoutView="100" zoomScalePageLayoutView="0" workbookViewId="0" topLeftCell="A1">
      <selection activeCell="D8" sqref="D8:E9"/>
    </sheetView>
  </sheetViews>
  <sheetFormatPr defaultColWidth="11.421875" defaultRowHeight="12.75"/>
  <cols>
    <col min="1" max="1" width="16.421875" style="0" customWidth="1"/>
    <col min="2" max="2" width="48.7109375" style="0" customWidth="1"/>
    <col min="3" max="3" width="15.28125" style="0" customWidth="1"/>
    <col min="4" max="4" width="10.28125" style="0" customWidth="1"/>
    <col min="5" max="5" width="8.421875" style="0" customWidth="1"/>
    <col min="6" max="7" width="11.8515625" style="0" customWidth="1"/>
    <col min="8" max="8" width="19.8515625" style="0" customWidth="1"/>
  </cols>
  <sheetData>
    <row r="1" spans="1:8" ht="21.75" customHeight="1">
      <c r="A1" s="51" t="s">
        <v>272</v>
      </c>
      <c r="B1" s="51"/>
      <c r="C1" s="51"/>
      <c r="D1" s="51"/>
      <c r="E1" s="51"/>
      <c r="F1" s="51"/>
      <c r="G1" s="51"/>
      <c r="H1" s="51"/>
    </row>
    <row r="2" spans="1:9" ht="12.75">
      <c r="A2" s="52" t="s">
        <v>1</v>
      </c>
      <c r="B2" s="53" t="s">
        <v>257</v>
      </c>
      <c r="C2" s="58" t="s">
        <v>273</v>
      </c>
      <c r="D2" s="58"/>
      <c r="E2" s="58"/>
      <c r="F2" s="58" t="s">
        <v>258</v>
      </c>
      <c r="G2" s="59"/>
      <c r="H2" s="59"/>
      <c r="I2" s="1"/>
    </row>
    <row r="3" spans="1:9" ht="12.75">
      <c r="A3" s="52"/>
      <c r="B3" s="53"/>
      <c r="C3" s="58"/>
      <c r="D3" s="58"/>
      <c r="E3" s="58"/>
      <c r="F3" s="58"/>
      <c r="G3" s="58"/>
      <c r="H3" s="59"/>
      <c r="I3" s="1"/>
    </row>
    <row r="4" spans="1:9" ht="12.75">
      <c r="A4" s="60" t="s">
        <v>259</v>
      </c>
      <c r="B4" s="61" t="s">
        <v>260</v>
      </c>
      <c r="C4" s="61" t="s">
        <v>274</v>
      </c>
      <c r="D4" s="66"/>
      <c r="E4" s="66"/>
      <c r="F4" s="61" t="s">
        <v>261</v>
      </c>
      <c r="G4" s="62"/>
      <c r="H4" s="62"/>
      <c r="I4" s="1"/>
    </row>
    <row r="5" spans="1:9" ht="12.75">
      <c r="A5" s="60"/>
      <c r="B5" s="61"/>
      <c r="C5" s="61"/>
      <c r="D5" s="61"/>
      <c r="E5" s="66"/>
      <c r="F5" s="61"/>
      <c r="G5" s="61"/>
      <c r="H5" s="62"/>
      <c r="I5" s="1"/>
    </row>
    <row r="6" spans="1:9" ht="12.75">
      <c r="A6" s="60" t="s">
        <v>262</v>
      </c>
      <c r="B6" s="61" t="s">
        <v>263</v>
      </c>
      <c r="C6" s="61" t="s">
        <v>275</v>
      </c>
      <c r="D6" s="67"/>
      <c r="E6" s="67"/>
      <c r="F6" s="61" t="s">
        <v>264</v>
      </c>
      <c r="G6" s="62"/>
      <c r="H6" s="62"/>
      <c r="I6" s="1"/>
    </row>
    <row r="7" spans="1:9" ht="12.75">
      <c r="A7" s="60"/>
      <c r="B7" s="61"/>
      <c r="C7" s="61"/>
      <c r="D7" s="61"/>
      <c r="E7" s="67"/>
      <c r="F7" s="61"/>
      <c r="G7" s="61"/>
      <c r="H7" s="62"/>
      <c r="I7" s="1"/>
    </row>
    <row r="8" spans="1:9" ht="12.75">
      <c r="A8" s="63" t="s">
        <v>276</v>
      </c>
      <c r="B8" s="64"/>
      <c r="C8" s="64" t="s">
        <v>267</v>
      </c>
      <c r="D8" s="68"/>
      <c r="E8" s="68"/>
      <c r="F8" s="64" t="s">
        <v>265</v>
      </c>
      <c r="G8" s="69" t="s">
        <v>266</v>
      </c>
      <c r="H8" s="69"/>
      <c r="I8" s="1"/>
    </row>
    <row r="9" spans="1:9" ht="12.75">
      <c r="A9" s="63"/>
      <c r="B9" s="64"/>
      <c r="C9" s="64"/>
      <c r="D9" s="64"/>
      <c r="E9" s="68"/>
      <c r="F9" s="64"/>
      <c r="G9" s="64"/>
      <c r="H9" s="69"/>
      <c r="I9" s="1"/>
    </row>
    <row r="10" spans="1:9" ht="12.75">
      <c r="A10" s="29" t="s">
        <v>8</v>
      </c>
      <c r="B10" s="30" t="s">
        <v>9</v>
      </c>
      <c r="C10" s="37" t="s">
        <v>277</v>
      </c>
      <c r="D10" s="37" t="s">
        <v>278</v>
      </c>
      <c r="E10" s="37" t="s">
        <v>279</v>
      </c>
      <c r="F10" s="37" t="s">
        <v>280</v>
      </c>
      <c r="G10" s="37" t="s">
        <v>281</v>
      </c>
      <c r="H10" s="36" t="s">
        <v>282</v>
      </c>
      <c r="I10" s="5"/>
    </row>
    <row r="11" spans="1:8" ht="12.75">
      <c r="A11" s="38"/>
      <c r="B11" s="38"/>
      <c r="C11" s="38"/>
      <c r="D11" s="38"/>
      <c r="E11" s="38"/>
      <c r="F11" s="38"/>
      <c r="G11" s="38"/>
      <c r="H11" s="38"/>
    </row>
  </sheetData>
  <sheetProtection/>
  <mergeCells count="25">
    <mergeCell ref="A8:A9"/>
    <mergeCell ref="B8:B9"/>
    <mergeCell ref="C8:C9"/>
    <mergeCell ref="D8:E9"/>
    <mergeCell ref="F8:F9"/>
    <mergeCell ref="G8:H9"/>
    <mergeCell ref="A6:A7"/>
    <mergeCell ref="B6:B7"/>
    <mergeCell ref="C6:C7"/>
    <mergeCell ref="D6:E7"/>
    <mergeCell ref="F6:F7"/>
    <mergeCell ref="G6:H7"/>
    <mergeCell ref="A4:A5"/>
    <mergeCell ref="B4:B5"/>
    <mergeCell ref="C4:C5"/>
    <mergeCell ref="D4:E5"/>
    <mergeCell ref="F4:F5"/>
    <mergeCell ref="G4:H5"/>
    <mergeCell ref="A1:H1"/>
    <mergeCell ref="A2:A3"/>
    <mergeCell ref="B2:B3"/>
    <mergeCell ref="C2:C3"/>
    <mergeCell ref="D2:E3"/>
    <mergeCell ref="F2:F3"/>
    <mergeCell ref="G2:H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zoomScalePageLayoutView="0" workbookViewId="0" topLeftCell="A1">
      <selection activeCell="F27" sqref="F27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70" t="s">
        <v>283</v>
      </c>
      <c r="B1" s="70"/>
      <c r="C1" s="70"/>
      <c r="D1" s="70"/>
      <c r="E1" s="70"/>
      <c r="F1" s="70"/>
      <c r="G1" s="70"/>
      <c r="H1" s="70"/>
      <c r="I1" s="70"/>
    </row>
    <row r="2" spans="1:10" ht="12.75" customHeight="1">
      <c r="A2" s="71" t="s">
        <v>1</v>
      </c>
      <c r="B2" s="71"/>
      <c r="C2" s="72" t="s">
        <v>257</v>
      </c>
      <c r="D2" s="72"/>
      <c r="E2" s="71" t="s">
        <v>258</v>
      </c>
      <c r="F2" s="73" t="s">
        <v>284</v>
      </c>
      <c r="G2" s="73"/>
      <c r="H2" s="71" t="s">
        <v>285</v>
      </c>
      <c r="I2" s="71"/>
      <c r="J2" s="1"/>
    </row>
    <row r="3" spans="1:10" ht="12.75">
      <c r="A3" s="71"/>
      <c r="B3" s="71"/>
      <c r="C3" s="72"/>
      <c r="D3" s="72"/>
      <c r="E3" s="71"/>
      <c r="F3" s="71"/>
      <c r="G3" s="73"/>
      <c r="H3" s="71"/>
      <c r="I3" s="71"/>
      <c r="J3" s="1"/>
    </row>
    <row r="4" spans="1:10" ht="9.75" customHeight="1">
      <c r="A4" s="71" t="s">
        <v>259</v>
      </c>
      <c r="B4" s="71"/>
      <c r="C4" s="74" t="s">
        <v>260</v>
      </c>
      <c r="D4" s="74"/>
      <c r="E4" s="71" t="s">
        <v>261</v>
      </c>
      <c r="F4" s="71" t="s">
        <v>286</v>
      </c>
      <c r="G4" s="71"/>
      <c r="H4" s="71" t="s">
        <v>285</v>
      </c>
      <c r="I4" s="75" t="s">
        <v>287</v>
      </c>
      <c r="J4" s="1"/>
    </row>
    <row r="5" spans="1:10" ht="9.75" customHeight="1">
      <c r="A5" s="71"/>
      <c r="B5" s="71"/>
      <c r="C5" s="74"/>
      <c r="D5" s="74"/>
      <c r="E5" s="71"/>
      <c r="F5" s="71"/>
      <c r="G5" s="71"/>
      <c r="H5" s="71"/>
      <c r="I5" s="75"/>
      <c r="J5" s="1"/>
    </row>
    <row r="6" spans="1:10" ht="9.75" customHeight="1">
      <c r="A6" s="71" t="s">
        <v>262</v>
      </c>
      <c r="B6" s="71"/>
      <c r="C6" s="71" t="s">
        <v>263</v>
      </c>
      <c r="D6" s="71"/>
      <c r="E6" s="71" t="s">
        <v>264</v>
      </c>
      <c r="F6" s="71"/>
      <c r="G6" s="71"/>
      <c r="H6" s="71" t="s">
        <v>285</v>
      </c>
      <c r="I6" s="75"/>
      <c r="J6" s="1"/>
    </row>
    <row r="7" spans="1:10" ht="9.75" customHeight="1">
      <c r="A7" s="71"/>
      <c r="B7" s="71"/>
      <c r="C7" s="71"/>
      <c r="D7" s="71"/>
      <c r="E7" s="71"/>
      <c r="F7" s="71"/>
      <c r="G7" s="71"/>
      <c r="H7" s="71"/>
      <c r="I7" s="75"/>
      <c r="J7" s="1"/>
    </row>
    <row r="8" spans="1:10" ht="9.75" customHeight="1">
      <c r="A8" s="71" t="s">
        <v>274</v>
      </c>
      <c r="B8" s="71"/>
      <c r="C8" s="76"/>
      <c r="D8" s="76"/>
      <c r="E8" s="71" t="s">
        <v>275</v>
      </c>
      <c r="F8" s="77"/>
      <c r="G8" s="77"/>
      <c r="H8" s="71" t="s">
        <v>288</v>
      </c>
      <c r="I8" s="75" t="s">
        <v>250</v>
      </c>
      <c r="J8" s="1"/>
    </row>
    <row r="9" spans="1:10" ht="9.75" customHeight="1">
      <c r="A9" s="71"/>
      <c r="B9" s="71"/>
      <c r="C9" s="76"/>
      <c r="D9" s="76"/>
      <c r="E9" s="71"/>
      <c r="F9" s="71"/>
      <c r="G9" s="77"/>
      <c r="H9" s="71"/>
      <c r="I9" s="75"/>
      <c r="J9" s="1"/>
    </row>
    <row r="10" spans="1:10" ht="9.75" customHeight="1">
      <c r="A10" s="71" t="s">
        <v>276</v>
      </c>
      <c r="B10" s="71"/>
      <c r="C10" s="71"/>
      <c r="D10" s="71"/>
      <c r="E10" s="71" t="s">
        <v>265</v>
      </c>
      <c r="F10" s="71" t="s">
        <v>266</v>
      </c>
      <c r="G10" s="71"/>
      <c r="H10" s="71" t="s">
        <v>289</v>
      </c>
      <c r="I10" s="76"/>
      <c r="J10" s="1"/>
    </row>
    <row r="11" spans="1:10" ht="9.75" customHeight="1">
      <c r="A11" s="71"/>
      <c r="B11" s="71"/>
      <c r="C11" s="71"/>
      <c r="D11" s="71"/>
      <c r="E11" s="71"/>
      <c r="F11" s="71"/>
      <c r="G11" s="71"/>
      <c r="H11" s="71"/>
      <c r="I11" s="71"/>
      <c r="J11" s="1"/>
    </row>
    <row r="12" spans="1:9" ht="23.25" customHeight="1">
      <c r="A12" s="78" t="s">
        <v>290</v>
      </c>
      <c r="B12" s="78"/>
      <c r="C12" s="78"/>
      <c r="D12" s="78"/>
      <c r="E12" s="78"/>
      <c r="F12" s="78"/>
      <c r="G12" s="78"/>
      <c r="H12" s="78"/>
      <c r="I12" s="78"/>
    </row>
    <row r="13" spans="1:10" ht="26.25" customHeight="1">
      <c r="A13" s="39" t="s">
        <v>291</v>
      </c>
      <c r="B13" s="79" t="s">
        <v>292</v>
      </c>
      <c r="C13" s="79"/>
      <c r="D13" s="39" t="s">
        <v>293</v>
      </c>
      <c r="E13" s="79" t="s">
        <v>294</v>
      </c>
      <c r="F13" s="79"/>
      <c r="G13" s="39" t="s">
        <v>295</v>
      </c>
      <c r="H13" s="79" t="s">
        <v>296</v>
      </c>
      <c r="I13" s="79"/>
      <c r="J13" s="1"/>
    </row>
    <row r="14" spans="1:10" ht="15" customHeight="1">
      <c r="A14" s="40" t="s">
        <v>297</v>
      </c>
      <c r="B14" s="41" t="s">
        <v>298</v>
      </c>
      <c r="C14" s="42">
        <v>0</v>
      </c>
      <c r="D14" s="80" t="s">
        <v>299</v>
      </c>
      <c r="E14" s="80"/>
      <c r="F14" s="42">
        <v>0</v>
      </c>
      <c r="G14" s="80" t="s">
        <v>300</v>
      </c>
      <c r="H14" s="80"/>
      <c r="I14" s="42">
        <v>0</v>
      </c>
      <c r="J14" s="1"/>
    </row>
    <row r="15" spans="1:10" ht="15" customHeight="1">
      <c r="A15" s="43"/>
      <c r="B15" s="41" t="s">
        <v>14</v>
      </c>
      <c r="C15" s="42">
        <v>0</v>
      </c>
      <c r="D15" s="80" t="s">
        <v>301</v>
      </c>
      <c r="E15" s="80"/>
      <c r="F15" s="42">
        <v>0</v>
      </c>
      <c r="G15" s="80" t="s">
        <v>302</v>
      </c>
      <c r="H15" s="80"/>
      <c r="I15" s="42">
        <v>0</v>
      </c>
      <c r="J15" s="1"/>
    </row>
    <row r="16" spans="1:10" ht="15" customHeight="1">
      <c r="A16" s="40" t="s">
        <v>303</v>
      </c>
      <c r="B16" s="41" t="s">
        <v>298</v>
      </c>
      <c r="C16" s="42">
        <v>0</v>
      </c>
      <c r="D16" s="80" t="s">
        <v>304</v>
      </c>
      <c r="E16" s="80"/>
      <c r="F16" s="42">
        <v>0</v>
      </c>
      <c r="G16" s="80" t="s">
        <v>305</v>
      </c>
      <c r="H16" s="80"/>
      <c r="I16" s="42">
        <v>0</v>
      </c>
      <c r="J16" s="1"/>
    </row>
    <row r="17" spans="1:10" ht="15" customHeight="1">
      <c r="A17" s="43"/>
      <c r="B17" s="41" t="s">
        <v>14</v>
      </c>
      <c r="C17" s="42">
        <v>0</v>
      </c>
      <c r="D17" s="80"/>
      <c r="E17" s="80"/>
      <c r="F17" s="44"/>
      <c r="G17" s="80" t="s">
        <v>306</v>
      </c>
      <c r="H17" s="80"/>
      <c r="I17" s="42">
        <v>0</v>
      </c>
      <c r="J17" s="1"/>
    </row>
    <row r="18" spans="1:10" ht="15" customHeight="1">
      <c r="A18" s="40" t="s">
        <v>307</v>
      </c>
      <c r="B18" s="41" t="s">
        <v>298</v>
      </c>
      <c r="C18" s="42">
        <v>0</v>
      </c>
      <c r="D18" s="80"/>
      <c r="E18" s="80"/>
      <c r="F18" s="44"/>
      <c r="G18" s="80" t="s">
        <v>308</v>
      </c>
      <c r="H18" s="80"/>
      <c r="I18" s="42">
        <v>0</v>
      </c>
      <c r="J18" s="1"/>
    </row>
    <row r="19" spans="1:10" ht="15" customHeight="1">
      <c r="A19" s="43"/>
      <c r="B19" s="41" t="s">
        <v>14</v>
      </c>
      <c r="C19" s="42">
        <v>0</v>
      </c>
      <c r="D19" s="80"/>
      <c r="E19" s="80"/>
      <c r="F19" s="44"/>
      <c r="G19" s="80" t="s">
        <v>309</v>
      </c>
      <c r="H19" s="80"/>
      <c r="I19" s="42">
        <v>0</v>
      </c>
      <c r="J19" s="1"/>
    </row>
    <row r="20" spans="1:10" ht="15" customHeight="1">
      <c r="A20" s="81" t="s">
        <v>236</v>
      </c>
      <c r="B20" s="81"/>
      <c r="C20" s="42">
        <v>0</v>
      </c>
      <c r="D20" s="80"/>
      <c r="E20" s="80"/>
      <c r="F20" s="44"/>
      <c r="G20" s="80"/>
      <c r="H20" s="80"/>
      <c r="I20" s="44"/>
      <c r="J20" s="1"/>
    </row>
    <row r="21" spans="1:10" ht="15" customHeight="1">
      <c r="A21" s="81" t="s">
        <v>310</v>
      </c>
      <c r="B21" s="81"/>
      <c r="C21" s="42">
        <v>0</v>
      </c>
      <c r="D21" s="80"/>
      <c r="E21" s="80"/>
      <c r="F21" s="44"/>
      <c r="G21" s="80"/>
      <c r="H21" s="80"/>
      <c r="I21" s="44"/>
      <c r="J21" s="1"/>
    </row>
    <row r="22" spans="1:10" ht="39.75" customHeight="1">
      <c r="A22" s="81" t="s">
        <v>311</v>
      </c>
      <c r="B22" s="81"/>
      <c r="C22" s="42">
        <v>0</v>
      </c>
      <c r="D22" s="81" t="s">
        <v>312</v>
      </c>
      <c r="E22" s="81"/>
      <c r="F22" s="42">
        <v>0</v>
      </c>
      <c r="G22" s="81" t="s">
        <v>313</v>
      </c>
      <c r="H22" s="81"/>
      <c r="I22" s="42">
        <v>0</v>
      </c>
      <c r="J22" s="1"/>
    </row>
    <row r="23" spans="1:9" ht="12.75">
      <c r="A23" s="45"/>
      <c r="B23" s="45"/>
      <c r="C23" s="45"/>
      <c r="D23" s="24"/>
      <c r="E23" s="24"/>
      <c r="F23" s="24"/>
      <c r="G23" s="24"/>
      <c r="H23" s="24"/>
      <c r="I23" s="24"/>
    </row>
    <row r="24" spans="1:9" ht="15" customHeight="1">
      <c r="A24" s="82" t="s">
        <v>314</v>
      </c>
      <c r="B24" s="82"/>
      <c r="C24" s="46">
        <v>0</v>
      </c>
      <c r="D24" s="47"/>
      <c r="E24" s="48"/>
      <c r="F24" s="48"/>
      <c r="G24" s="48"/>
      <c r="H24" s="48"/>
      <c r="I24" s="48"/>
    </row>
    <row r="25" spans="1:10" ht="15" customHeight="1">
      <c r="A25" s="82" t="s">
        <v>315</v>
      </c>
      <c r="B25" s="82"/>
      <c r="C25" s="46">
        <v>0</v>
      </c>
      <c r="D25" s="82" t="s">
        <v>316</v>
      </c>
      <c r="E25" s="82"/>
      <c r="F25" s="46">
        <v>0</v>
      </c>
      <c r="G25" s="82" t="s">
        <v>317</v>
      </c>
      <c r="H25" s="82"/>
      <c r="I25" s="46">
        <v>0</v>
      </c>
      <c r="J25" s="1"/>
    </row>
    <row r="26" spans="1:10" ht="15" customHeight="1">
      <c r="A26" s="82" t="s">
        <v>326</v>
      </c>
      <c r="B26" s="82"/>
      <c r="C26" s="46">
        <v>0</v>
      </c>
      <c r="D26" s="82" t="s">
        <v>325</v>
      </c>
      <c r="E26" s="82"/>
      <c r="F26" s="46">
        <v>0</v>
      </c>
      <c r="G26" s="82" t="s">
        <v>318</v>
      </c>
      <c r="H26" s="82"/>
      <c r="I26" s="46">
        <v>0</v>
      </c>
      <c r="J26" s="1"/>
    </row>
    <row r="27" spans="1:9" ht="14.25">
      <c r="A27" s="49"/>
      <c r="B27" s="49"/>
      <c r="C27" s="49"/>
      <c r="D27" s="49"/>
      <c r="E27" s="49"/>
      <c r="F27" s="49"/>
      <c r="G27" s="49"/>
      <c r="H27" s="49"/>
      <c r="I27" s="49"/>
    </row>
    <row r="28" spans="1:10" ht="14.25" customHeight="1">
      <c r="A28" s="83" t="s">
        <v>319</v>
      </c>
      <c r="B28" s="83"/>
      <c r="C28" s="83"/>
      <c r="D28" s="83" t="s">
        <v>320</v>
      </c>
      <c r="E28" s="83"/>
      <c r="F28" s="83"/>
      <c r="G28" s="83" t="s">
        <v>321</v>
      </c>
      <c r="H28" s="83"/>
      <c r="I28" s="83"/>
      <c r="J28" s="5"/>
    </row>
    <row r="29" spans="1:10" ht="14.25" customHeight="1">
      <c r="A29" s="84" t="s">
        <v>286</v>
      </c>
      <c r="B29" s="84"/>
      <c r="C29" s="84"/>
      <c r="D29" s="84" t="s">
        <v>322</v>
      </c>
      <c r="E29" s="84"/>
      <c r="F29" s="84"/>
      <c r="G29" s="84"/>
      <c r="H29" s="84"/>
      <c r="I29" s="84"/>
      <c r="J29" s="5"/>
    </row>
    <row r="30" spans="1:10" ht="14.25" customHeight="1">
      <c r="A30" s="84"/>
      <c r="B30" s="84"/>
      <c r="C30" s="84"/>
      <c r="D30" s="84" t="s">
        <v>323</v>
      </c>
      <c r="E30" s="84"/>
      <c r="F30" s="84"/>
      <c r="G30" s="84"/>
      <c r="H30" s="84"/>
      <c r="I30" s="84"/>
      <c r="J30" s="5"/>
    </row>
    <row r="31" spans="1:10" ht="14.25" customHeight="1">
      <c r="A31" s="84"/>
      <c r="B31" s="84"/>
      <c r="C31" s="84"/>
      <c r="D31" s="84"/>
      <c r="E31" s="84"/>
      <c r="F31" s="84"/>
      <c r="G31" s="84"/>
      <c r="H31" s="84"/>
      <c r="I31" s="84"/>
      <c r="J31" s="5"/>
    </row>
    <row r="32" spans="1:10" ht="14.25" customHeight="1">
      <c r="A32" s="85" t="s">
        <v>324</v>
      </c>
      <c r="B32" s="85"/>
      <c r="C32" s="85"/>
      <c r="D32" s="85" t="s">
        <v>324</v>
      </c>
      <c r="E32" s="85"/>
      <c r="F32" s="85"/>
      <c r="G32" s="85" t="s">
        <v>324</v>
      </c>
      <c r="H32" s="85"/>
      <c r="I32" s="85"/>
      <c r="J32" s="5"/>
    </row>
    <row r="33" spans="1:9" ht="14.25">
      <c r="A33" s="50"/>
      <c r="B33" s="50"/>
      <c r="C33" s="50"/>
      <c r="D33" s="50"/>
      <c r="E33" s="50"/>
      <c r="F33" s="50"/>
      <c r="G33" s="50"/>
      <c r="H33" s="50"/>
      <c r="I33" s="50"/>
    </row>
  </sheetData>
  <sheetProtection/>
  <mergeCells count="78"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kodlozilikova</cp:lastModifiedBy>
  <cp:lastPrinted>2011-05-09T08:26:30Z</cp:lastPrinted>
  <dcterms:created xsi:type="dcterms:W3CDTF">2011-04-11T05:18:50Z</dcterms:created>
  <dcterms:modified xsi:type="dcterms:W3CDTF">2011-05-09T08:26:46Z</dcterms:modified>
  <cp:category/>
  <cp:version/>
  <cp:contentType/>
  <cp:contentStatus/>
</cp:coreProperties>
</file>