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Stavební rozpočet" sheetId="1" r:id="rId1"/>
    <sheet name="Stavební rozpočet - součet" sheetId="2" r:id="rId2"/>
    <sheet name="Harmonogram" sheetId="3" r:id="rId3"/>
    <sheet name="Krycí list rozpočtu" sheetId="4" r:id="rId4"/>
  </sheets>
  <definedNames>
    <definedName name="_xlnm.Print_Area" localSheetId="3">'Krycí list rozpočtu'!$A$1:$I$32</definedName>
    <definedName name="_xlnm.Print_Area" localSheetId="0">'Stavební rozpočet'!$A$1:$L$152</definedName>
  </definedNames>
  <calcPr fullCalcOnLoad="1"/>
</workbook>
</file>

<file path=xl/sharedStrings.xml><?xml version="1.0" encoding="utf-8"?>
<sst xmlns="http://schemas.openxmlformats.org/spreadsheetml/2006/main" count="729" uniqueCount="408">
  <si>
    <t>Stavební rozpočet</t>
  </si>
  <si>
    <t>Název stavby:</t>
  </si>
  <si>
    <t xml:space="preserve">Vodní nádrž N5 na Dobřínském potoce – SO1 Retenční nádrž </t>
  </si>
  <si>
    <t xml:space="preserve"> </t>
  </si>
  <si>
    <t>Jednot.</t>
  </si>
  <si>
    <t>Náklady (Kč)</t>
  </si>
  <si>
    <t>Hmotnost (t)</t>
  </si>
  <si>
    <t>Č</t>
  </si>
  <si>
    <t>Objekt</t>
  </si>
  <si>
    <t>Kód</t>
  </si>
  <si>
    <t>Zkrácený popis</t>
  </si>
  <si>
    <t>M.j.</t>
  </si>
  <si>
    <t>Množství</t>
  </si>
  <si>
    <t>cena (Kč)</t>
  </si>
  <si>
    <t>Dodávka</t>
  </si>
  <si>
    <t>Montáž</t>
  </si>
  <si>
    <t>Celkem</t>
  </si>
  <si>
    <t>11</t>
  </si>
  <si>
    <t>Přípravné a přidružené práce</t>
  </si>
  <si>
    <t>1</t>
  </si>
  <si>
    <t>111201101R00</t>
  </si>
  <si>
    <t>Odstranění křovin i s kořeny na ploše do 1000 m2</t>
  </si>
  <si>
    <t>m2</t>
  </si>
  <si>
    <t>2</t>
  </si>
  <si>
    <t>111201401R00</t>
  </si>
  <si>
    <t>Spálení křovin a stromů o průměru do 100 mm</t>
  </si>
  <si>
    <t>3</t>
  </si>
  <si>
    <t>112101104R00</t>
  </si>
  <si>
    <t>Kácení stromů listnatých o průměru kmene 70-90 cm</t>
  </si>
  <si>
    <t>kus</t>
  </si>
  <si>
    <t>4</t>
  </si>
  <si>
    <t>112101102R00</t>
  </si>
  <si>
    <t>Kácení stromů listnatých o průměru kmene 30-50 cm</t>
  </si>
  <si>
    <t>5</t>
  </si>
  <si>
    <t>112101101R00</t>
  </si>
  <si>
    <t>Kácení stromů listnatých o průměru kmene 10-30 cm</t>
  </si>
  <si>
    <t>6</t>
  </si>
  <si>
    <t>112201101R00</t>
  </si>
  <si>
    <t>Odstranění pařezů pod úrovní, o průměru 10 - 30 cm</t>
  </si>
  <si>
    <t>7</t>
  </si>
  <si>
    <t>112201102R00</t>
  </si>
  <si>
    <t>Odstranění pařezů pod úrovní, o průměru 30 - 50 cm</t>
  </si>
  <si>
    <t>8</t>
  </si>
  <si>
    <t>112201104R00</t>
  </si>
  <si>
    <t>Odstranění pařezů pod úrovní, o průměru 70 - 90 cm</t>
  </si>
  <si>
    <t>9</t>
  </si>
  <si>
    <t>111201501R00</t>
  </si>
  <si>
    <t>Spálení větví stromů o průměru nad 100 mm</t>
  </si>
  <si>
    <t>12</t>
  </si>
  <si>
    <t>Odkopávky a prokopávky</t>
  </si>
  <si>
    <t>10</t>
  </si>
  <si>
    <t>121101101R00</t>
  </si>
  <si>
    <t>Sejmutí ornice s přemístěním do 50 m</t>
  </si>
  <si>
    <t>m3</t>
  </si>
  <si>
    <t>13</t>
  </si>
  <si>
    <t>122201403R00</t>
  </si>
  <si>
    <t>Vykopávky v zemníku v hor. 3 do 10000 m3</t>
  </si>
  <si>
    <t>14</t>
  </si>
  <si>
    <t>122201409R00</t>
  </si>
  <si>
    <t>Příplatek za lepivost - výkop v zemníku v hor. 3</t>
  </si>
  <si>
    <t>15</t>
  </si>
  <si>
    <t>125203101R00</t>
  </si>
  <si>
    <t>Vykopávky kanálů pro zemědělské meliorace v hor. 3</t>
  </si>
  <si>
    <t>Hloubené vykopávky</t>
  </si>
  <si>
    <t>16</t>
  </si>
  <si>
    <t>131201101R00</t>
  </si>
  <si>
    <t>Hloubení nezapažených jam v hor.3 do 100 m3</t>
  </si>
  <si>
    <t>17</t>
  </si>
  <si>
    <t>131201109R00</t>
  </si>
  <si>
    <t>Příplatek za lepivost - hloubení nezap.jam v hor.3</t>
  </si>
  <si>
    <t>18</t>
  </si>
  <si>
    <t>19</t>
  </si>
  <si>
    <t>132201201R00</t>
  </si>
  <si>
    <t>Hloubení rýh šířky do 200 cm v hor.3 do 100 m3</t>
  </si>
  <si>
    <t>20</t>
  </si>
  <si>
    <t>132201209R00</t>
  </si>
  <si>
    <t>Příplatek za lepivost - hloubení rýh 200cm v hor.3</t>
  </si>
  <si>
    <t>21</t>
  </si>
  <si>
    <t>131201102R00</t>
  </si>
  <si>
    <t>Hloubení nezapažených jam v hor.3 do 1000 m3</t>
  </si>
  <si>
    <t>22</t>
  </si>
  <si>
    <t>23</t>
  </si>
  <si>
    <t>24</t>
  </si>
  <si>
    <t>132201101R00</t>
  </si>
  <si>
    <t>Hloubení rýh šířky do 60 cm v hor.3 do 100 m3</t>
  </si>
  <si>
    <t>25</t>
  </si>
  <si>
    <t>26</t>
  </si>
  <si>
    <t>27</t>
  </si>
  <si>
    <t>28</t>
  </si>
  <si>
    <t>29</t>
  </si>
  <si>
    <t>30</t>
  </si>
  <si>
    <t>132201109R00</t>
  </si>
  <si>
    <t>Příplatek za lepivost - hloubení rýh 60 cm v hor.3</t>
  </si>
  <si>
    <t>31</t>
  </si>
  <si>
    <t>Přemístění výkopku</t>
  </si>
  <si>
    <t>32</t>
  </si>
  <si>
    <t>162301101R00</t>
  </si>
  <si>
    <t>Vodorovné přemístění výkopku z hor.1-4 do 500 m</t>
  </si>
  <si>
    <t>33</t>
  </si>
  <si>
    <t>162601101R00</t>
  </si>
  <si>
    <t>Vodorovné přemístění výkopku z hor.1-4 do 4000 m</t>
  </si>
  <si>
    <t>34</t>
  </si>
  <si>
    <t>35</t>
  </si>
  <si>
    <t>162201451R00</t>
  </si>
  <si>
    <t>Vodorovné přemístění pařezů  D 30 cm do 2000 m</t>
  </si>
  <si>
    <t>36</t>
  </si>
  <si>
    <t>162201452R00</t>
  </si>
  <si>
    <t>Vodorovné přemístění pařezů  D 50 cm do 2000 m</t>
  </si>
  <si>
    <t>37</t>
  </si>
  <si>
    <t>162201454R00</t>
  </si>
  <si>
    <t>Vodorovné přemístění pařezů  D 90 cm do 2000 m</t>
  </si>
  <si>
    <t>38</t>
  </si>
  <si>
    <t>162201441R00</t>
  </si>
  <si>
    <t>Vod.přemístění kmenů listnatých, D 30 cm do 2000 m</t>
  </si>
  <si>
    <t>39</t>
  </si>
  <si>
    <t>162201442R00</t>
  </si>
  <si>
    <t>Vod.přemístění kmenů listnatých, D 50 cm do 2000 m</t>
  </si>
  <si>
    <t>40</t>
  </si>
  <si>
    <t>162201444R00</t>
  </si>
  <si>
    <t>Vod.přemístění kmenů listnatých, D 90 cm do 2000 m</t>
  </si>
  <si>
    <t>Konstrukce ze zemin</t>
  </si>
  <si>
    <t>41</t>
  </si>
  <si>
    <t>171103201R00</t>
  </si>
  <si>
    <t>Ulož. sypaniny do hrází,100%PS, objem jílu do 20%</t>
  </si>
  <si>
    <t>Povrchové úpravy terénu</t>
  </si>
  <si>
    <t>42</t>
  </si>
  <si>
    <t>182101101R00</t>
  </si>
  <si>
    <t>Svahování v zářezech v hor. 1 - 4</t>
  </si>
  <si>
    <t>43</t>
  </si>
  <si>
    <t>182201101R00</t>
  </si>
  <si>
    <t>Svahování násypů</t>
  </si>
  <si>
    <t>44</t>
  </si>
  <si>
    <t>45</t>
  </si>
  <si>
    <t>182301133R00</t>
  </si>
  <si>
    <t>Rozprostření ornice, svah, tl. 15-20 cm, nad 500m2</t>
  </si>
  <si>
    <t>46</t>
  </si>
  <si>
    <t>181301113R00</t>
  </si>
  <si>
    <t>Rozprostření ornice, rovina, tl.15-20 cm,nad 500m2</t>
  </si>
  <si>
    <t>47</t>
  </si>
  <si>
    <t>48</t>
  </si>
  <si>
    <t>181301114R00</t>
  </si>
  <si>
    <t>Rozprostření ornice, rovina, tl.20-25 cm,nad 500m2</t>
  </si>
  <si>
    <t>49</t>
  </si>
  <si>
    <t>182301134R00</t>
  </si>
  <si>
    <t>Rozprostření ornice, svah, tl. 20-25 cm, nad 500m2</t>
  </si>
  <si>
    <t>50</t>
  </si>
  <si>
    <t>51</t>
  </si>
  <si>
    <t>181101101R00</t>
  </si>
  <si>
    <t>Úprava pláně v zářezech v hor. 1-4, bez zhutnění</t>
  </si>
  <si>
    <t>Zdi přehradní a opěrné</t>
  </si>
  <si>
    <t>52</t>
  </si>
  <si>
    <t>321365112R00</t>
  </si>
  <si>
    <t>Výztuž ŽB konstrukcí přehrad ocelí 10425, D 32 mm</t>
  </si>
  <si>
    <t>t</t>
  </si>
  <si>
    <t>53</t>
  </si>
  <si>
    <t>321368211R00</t>
  </si>
  <si>
    <t>Výztuž ŽB konstrukcí přehrad ze svařovaných sítí</t>
  </si>
  <si>
    <t>54</t>
  </si>
  <si>
    <t>321351010R00</t>
  </si>
  <si>
    <t>Obednění konstrukcí přehrad ploch rovinných</t>
  </si>
  <si>
    <t>55</t>
  </si>
  <si>
    <t>321352010R00</t>
  </si>
  <si>
    <t>Odbednění konstrukcí přehrad ploch rovinných</t>
  </si>
  <si>
    <t>56</t>
  </si>
  <si>
    <t>321351020R00</t>
  </si>
  <si>
    <t>Obednění konstr. přehrad ploch válcově zakřivených</t>
  </si>
  <si>
    <t>57</t>
  </si>
  <si>
    <t>321352020R00</t>
  </si>
  <si>
    <t>Odbednění konstr.přehrad ploch válcově zakřivených</t>
  </si>
  <si>
    <t>58</t>
  </si>
  <si>
    <t>321213345R00</t>
  </si>
  <si>
    <t>Zdivo nadzákl. přehrad z lom.kam.,obkladní vyspár.</t>
  </si>
  <si>
    <t>59</t>
  </si>
  <si>
    <t>321311115R00</t>
  </si>
  <si>
    <t>Konstrukce přehrad z prostého betonu V12 T100 B 30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</si>
  <si>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</si>
  <si>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</si>
  <si>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</si>
  <si>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</si>
  <si>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</si>
  <si>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</si>
  <si>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</si>
  <si>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</si>
  <si>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</si>
  <si>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321365111R00</t>
  </si>
  <si>
    <t>Výztuž ŽB konstrukcí přehrad ocelí 10425, D 12 mm</t>
  </si>
  <si>
    <t>69</t>
  </si>
  <si>
    <t>70</t>
  </si>
  <si>
    <t>71</t>
  </si>
  <si>
    <t>72</t>
  </si>
  <si>
    <t>73</t>
  </si>
  <si>
    <t>74</t>
  </si>
  <si>
    <t>321213235R00</t>
  </si>
  <si>
    <t>Zdivo nadzákl. přehrad z lom.kam.,obkladní zatřené</t>
  </si>
  <si>
    <t>75</t>
  </si>
  <si>
    <t>76</t>
  </si>
  <si>
    <t>Podkladní a vedlejší konstrukce (inženýr. stavby kromě vozovek a železnič. svršku)</t>
  </si>
  <si>
    <t>77</t>
  </si>
  <si>
    <t>452311131R00</t>
  </si>
  <si>
    <t>Desky podkladní pod potrubí z betonu B 12,5</t>
  </si>
  <si>
    <t>78</t>
  </si>
  <si>
    <t>452351101R00</t>
  </si>
  <si>
    <t>Bednění desek nebo sedlových loží pod potrubí</t>
  </si>
  <si>
    <t>79</t>
  </si>
  <si>
    <t>451311531R00</t>
  </si>
  <si>
    <t>Podklad pod dlažbu z betonu V4 T0 B 12,5, do 20 cm</t>
  </si>
  <si>
    <t>80</t>
  </si>
  <si>
    <t>457971112R00</t>
  </si>
  <si>
    <t>Zřízení vrstvy z geotextilie skl.do 1:5,š.do 7,5 m</t>
  </si>
  <si>
    <t>81</t>
  </si>
  <si>
    <t>457541111R00</t>
  </si>
  <si>
    <t>Filtrační vrstvy z nezhutněné štěrkodrti 0-63 mm</t>
  </si>
  <si>
    <t>82</t>
  </si>
  <si>
    <t>83</t>
  </si>
  <si>
    <t>Zpevněné plochy (kromě vozovek a železnič. svršku)</t>
  </si>
  <si>
    <t>84</t>
  </si>
  <si>
    <t>465210122R00</t>
  </si>
  <si>
    <t>Schody z lom. kam. tl.25 cm na MC, zalití spár MC</t>
  </si>
  <si>
    <t>85</t>
  </si>
  <si>
    <t>462511270R00</t>
  </si>
  <si>
    <t>Zához z kamene bez proštěrk. z terénu do 200 kg</t>
  </si>
  <si>
    <t>86</t>
  </si>
  <si>
    <t>462519002R00</t>
  </si>
  <si>
    <t>Příplatek-urovnání ploch záhozu, kameny do 200 kg</t>
  </si>
  <si>
    <t>87</t>
  </si>
  <si>
    <t>464531112R00</t>
  </si>
  <si>
    <t>Pohoz z hrub. drceného kameniva 63-125 mm,z terénu</t>
  </si>
  <si>
    <t>88</t>
  </si>
  <si>
    <t>89</t>
  </si>
  <si>
    <t>90</t>
  </si>
  <si>
    <t>462451112R00</t>
  </si>
  <si>
    <t>Prolití záhozu cementovou maltou MC 10</t>
  </si>
  <si>
    <t>91</t>
  </si>
  <si>
    <t>92</t>
  </si>
  <si>
    <t>465513227R00</t>
  </si>
  <si>
    <t>Dlažba z kamene na MC, s vyspárov. MCs, tl. 25 cm</t>
  </si>
  <si>
    <t>93</t>
  </si>
  <si>
    <t>94</t>
  </si>
  <si>
    <t>95</t>
  </si>
  <si>
    <t>783</t>
  </si>
  <si>
    <t>Nátěry</t>
  </si>
  <si>
    <t>96</t>
  </si>
  <si>
    <t>783271001R00</t>
  </si>
  <si>
    <t>Nátěr polyuretanový kovových konstr. 1+ 2x email</t>
  </si>
  <si>
    <t>97</t>
  </si>
  <si>
    <t>783251017R00</t>
  </si>
  <si>
    <t>Nátěr epoxidový kovových konstrukcí základní</t>
  </si>
  <si>
    <t>Potrubí z trub betonových</t>
  </si>
  <si>
    <t>98</t>
  </si>
  <si>
    <t>812472121R00</t>
  </si>
  <si>
    <t>Montáž trub vibrolis. hrdlových pryž. kr. DN 800</t>
  </si>
  <si>
    <t>m</t>
  </si>
  <si>
    <t>Potrubí z trub železobetonových a předpjatých</t>
  </si>
  <si>
    <t>99</t>
  </si>
  <si>
    <t>820471113R00</t>
  </si>
  <si>
    <t>Přeseknutí železobetonové trouby DN 800 mm</t>
  </si>
  <si>
    <t>Potrubí z trub z plastických hmot, skleněných a čedičových</t>
  </si>
  <si>
    <t>100</t>
  </si>
  <si>
    <t>871228111R00</t>
  </si>
  <si>
    <t>Kladení dren. potrubí do rýhy, tvr. PVC, do 150 mm</t>
  </si>
  <si>
    <t>Ostatní konstrukce</t>
  </si>
  <si>
    <t>101</t>
  </si>
  <si>
    <t>899501111R00</t>
  </si>
  <si>
    <t>Stupadla vidlicová osazovaná při zdění a betonáži</t>
  </si>
  <si>
    <t>102</t>
  </si>
  <si>
    <t>899623141R00</t>
  </si>
  <si>
    <t>Obetonování potrubí nebo zdiva stok betonem B 12,5</t>
  </si>
  <si>
    <t>103</t>
  </si>
  <si>
    <t>899643111R00</t>
  </si>
  <si>
    <t>Bednění pro obetonování potrubí v otevřeném výkopu</t>
  </si>
  <si>
    <t>104</t>
  </si>
  <si>
    <t>Různé dokončovací konstrukce a práce inženýrských staveb</t>
  </si>
  <si>
    <t>105</t>
  </si>
  <si>
    <t>934956115R00</t>
  </si>
  <si>
    <t>Hradítka z měkkého dřeva tloušťky 6 cm</t>
  </si>
  <si>
    <t>106</t>
  </si>
  <si>
    <t>Lešení a stavební výtahy</t>
  </si>
  <si>
    <t>107</t>
  </si>
  <si>
    <t>941941041R00</t>
  </si>
  <si>
    <t>Montáž lešení leh.řad.s podlahami,š.1,2 m, H 10 m</t>
  </si>
  <si>
    <t>108</t>
  </si>
  <si>
    <t>941941841R00</t>
  </si>
  <si>
    <t>Demontáž lešení leh.řad.s podlahami,š.1,2 m,H 10 m</t>
  </si>
  <si>
    <t>109</t>
  </si>
  <si>
    <t>110</t>
  </si>
  <si>
    <t>Různé dokončovací konstrukce a práce pozemních staveb</t>
  </si>
  <si>
    <t>111</t>
  </si>
  <si>
    <t>953943124R00</t>
  </si>
  <si>
    <t>Osazení kovových předmětů do betonu, 30 kg / kus</t>
  </si>
  <si>
    <t>112</t>
  </si>
  <si>
    <t>113</t>
  </si>
  <si>
    <t>114</t>
  </si>
  <si>
    <t>H32</t>
  </si>
  <si>
    <t>Hráze a objekty na tocích</t>
  </si>
  <si>
    <t>115</t>
  </si>
  <si>
    <t>998321011R00</t>
  </si>
  <si>
    <t>Přesun hmot pro hráze přehradní zemní a kamenité</t>
  </si>
  <si>
    <t>Ostatní materiál</t>
  </si>
  <si>
    <t>116</t>
  </si>
  <si>
    <t>200140VD</t>
  </si>
  <si>
    <t>Drážky pro dluže</t>
  </si>
  <si>
    <t>ks</t>
  </si>
  <si>
    <t>117</t>
  </si>
  <si>
    <t>200141VD</t>
  </si>
  <si>
    <t>Stavítko DN400</t>
  </si>
  <si>
    <t>118</t>
  </si>
  <si>
    <t>200309VD</t>
  </si>
  <si>
    <t>Kotvící souprava pro hradítko HADE Pra DN 400</t>
  </si>
  <si>
    <t>119</t>
  </si>
  <si>
    <t>200135VD</t>
  </si>
  <si>
    <t>Poklop požeráku , dřevěný</t>
  </si>
  <si>
    <t>120</t>
  </si>
  <si>
    <t>200136VD</t>
  </si>
  <si>
    <t>Rám požeráku - kovový L profil</t>
  </si>
  <si>
    <t>121</t>
  </si>
  <si>
    <t>200313VD</t>
  </si>
  <si>
    <t>TBH Q 80/250</t>
  </si>
  <si>
    <t>122</t>
  </si>
  <si>
    <t>69366058R</t>
  </si>
  <si>
    <t>GEOFILTEX 63 100% PP 63/50 500 g/m2 šíře do 8,8m</t>
  </si>
  <si>
    <t>123</t>
  </si>
  <si>
    <t>124</t>
  </si>
  <si>
    <t>200139VD</t>
  </si>
  <si>
    <t>Česle</t>
  </si>
  <si>
    <t>125</t>
  </si>
  <si>
    <t>126</t>
  </si>
  <si>
    <t>200314VD</t>
  </si>
  <si>
    <t>Podkladní pražec-TBX-Q80/112/20/20</t>
  </si>
  <si>
    <t>127</t>
  </si>
  <si>
    <t>200297VD</t>
  </si>
  <si>
    <t>Těsnící bobtnavý pásek</t>
  </si>
  <si>
    <t>128</t>
  </si>
  <si>
    <t>200315VD</t>
  </si>
  <si>
    <t>Tuhé drenážní potrubí Agrosil 2500 LP</t>
  </si>
  <si>
    <t>Celkem před slevou:</t>
  </si>
  <si>
    <t>Celková sleva (%):</t>
  </si>
  <si>
    <t>Celkem po slevě:</t>
  </si>
  <si>
    <t>Stavební rozpočet - rekapitulace</t>
  </si>
  <si>
    <t>Voní nádrž N5 na Dobřínském potoce</t>
  </si>
  <si>
    <t>Objednatel:</t>
  </si>
  <si>
    <t>Druh stavby a účel:</t>
  </si>
  <si>
    <t>Projektant:</t>
  </si>
  <si>
    <t>Lokalita:</t>
  </si>
  <si>
    <t>Prakšice</t>
  </si>
  <si>
    <t>Zhotovitel:</t>
  </si>
  <si>
    <t>Zpracoval:</t>
  </si>
  <si>
    <t>ing. Tomáš Horký</t>
  </si>
  <si>
    <t>Zpracováno dne:</t>
  </si>
  <si>
    <t>Náklady (Kč) - dodávka</t>
  </si>
  <si>
    <t>Náklady (Kč) - Montáž</t>
  </si>
  <si>
    <t>Náklady (Kč) - celkem</t>
  </si>
  <si>
    <t>Celková hmotnost (t)</t>
  </si>
  <si>
    <t>Harmonogram</t>
  </si>
  <si>
    <t>Doba výstavby:</t>
  </si>
  <si>
    <t>Začátek výstavby:</t>
  </si>
  <si>
    <t>Konec výstavby:</t>
  </si>
  <si>
    <t>JKSO:</t>
  </si>
  <si>
    <t>Nh</t>
  </si>
  <si>
    <t>Zdroje</t>
  </si>
  <si>
    <t>Trvání</t>
  </si>
  <si>
    <t>Začátek</t>
  </si>
  <si>
    <t>Konec</t>
  </si>
  <si>
    <t>Rozpočet (Kč)</t>
  </si>
  <si>
    <t>Krycí list rozpočtu</t>
  </si>
  <si>
    <t xml:space="preserve">ČR Ministerstvo zemědělství , pozemkový úřad Uherské Hradiště </t>
  </si>
  <si>
    <t>IČ/DIČ:</t>
  </si>
  <si>
    <t xml:space="preserve">SO1 Retenční nádrž </t>
  </si>
  <si>
    <t xml:space="preserve">ing. Tomáš Horký </t>
  </si>
  <si>
    <t>13700987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</si>
  <si>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</si>
  <si>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</si>
  <si>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</si>
  <si>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</si>
  <si>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</si>
  <si>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</si>
  <si>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</si>
  <si>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</si>
  <si>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</si>
  <si>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</si>
  <si>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</si>
  <si>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</si>
  <si>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</si>
  <si>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</si>
  <si>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</si>
  <si>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</si>
  <si>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</si>
  <si>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</si>
  <si>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</si>
  <si>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</si>
  <si>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</si>
  <si>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</si>
  <si>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Přesun hmot a sutí</t>
  </si>
  <si>
    <t>ZRN celkem</t>
  </si>
  <si>
    <t>DN celkem</t>
  </si>
  <si>
    <t>NUS celkem</t>
  </si>
  <si>
    <t>Základ 0%</t>
  </si>
  <si>
    <t>Základ 5%</t>
  </si>
  <si>
    <t>DPH 5%</t>
  </si>
  <si>
    <t>Celkem bez DPH</t>
  </si>
  <si>
    <t>Celkem včetně DPH</t>
  </si>
  <si>
    <t>Projektant</t>
  </si>
  <si>
    <t>Objednatel</t>
  </si>
  <si>
    <t>Zhotovitel</t>
  </si>
  <si>
    <t>ČR Ministerstvo zemědělství</t>
  </si>
  <si>
    <t xml:space="preserve">Pozemkový úřad Uherské Hradiště </t>
  </si>
  <si>
    <t>Datum, razítko a podpis</t>
  </si>
  <si>
    <t>Základ 20%</t>
  </si>
  <si>
    <t>DPH 20%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</si>
</sst>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49" fontId="2" fillId="0" borderId="15" xfId="0" applyNumberFormat="1" applyFont="1" applyFill="1" applyBorder="1" applyAlignment="1" applyProtection="1">
      <alignment horizontal="left" vertical="center"/>
      <protection/>
    </xf>
    <xf numFmtId="49" fontId="2" fillId="0" borderId="16" xfId="0" applyNumberFormat="1" applyFont="1" applyFill="1" applyBorder="1" applyAlignment="1" applyProtection="1">
      <alignment horizontal="left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right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left" vertical="center"/>
      <protection/>
    </xf>
    <xf numFmtId="49" fontId="2" fillId="33" borderId="21" xfId="0" applyNumberFormat="1" applyFont="1" applyFill="1" applyBorder="1" applyAlignment="1" applyProtection="1">
      <alignment horizontal="left" vertical="center"/>
      <protection/>
    </xf>
    <xf numFmtId="4" fontId="2" fillId="33" borderId="21" xfId="0" applyNumberFormat="1" applyFont="1" applyFill="1" applyBorder="1" applyAlignment="1" applyProtection="1">
      <alignment horizontal="right" vertical="center"/>
      <protection/>
    </xf>
    <xf numFmtId="49" fontId="2" fillId="33" borderId="21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left" vertical="center"/>
      <protection/>
    </xf>
    <xf numFmtId="49" fontId="3" fillId="0" borderId="22" xfId="0" applyNumberFormat="1" applyFont="1" applyFill="1" applyBorder="1" applyAlignment="1" applyProtection="1">
      <alignment horizontal="left" vertical="center" wrapText="1"/>
      <protection/>
    </xf>
    <xf numFmtId="4" fontId="3" fillId="0" borderId="22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2" fillId="33" borderId="0" xfId="0" applyNumberFormat="1" applyFont="1" applyFill="1" applyBorder="1" applyAlignment="1" applyProtection="1">
      <alignment horizontal="left" vertical="center"/>
      <protection/>
    </xf>
    <xf numFmtId="4" fontId="2" fillId="33" borderId="0" xfId="0" applyNumberFormat="1" applyFont="1" applyFill="1" applyBorder="1" applyAlignment="1" applyProtection="1">
      <alignment horizontal="right" vertical="center"/>
      <protection/>
    </xf>
    <xf numFmtId="49" fontId="2" fillId="33" borderId="0" xfId="0" applyNumberFormat="1" applyFont="1" applyFill="1" applyBorder="1" applyAlignment="1" applyProtection="1">
      <alignment horizontal="right" vertical="center"/>
      <protection/>
    </xf>
    <xf numFmtId="0" fontId="3" fillId="0" borderId="23" xfId="0" applyNumberFormat="1" applyFont="1" applyFill="1" applyBorder="1" applyAlignment="1" applyProtection="1">
      <alignment vertical="center"/>
      <protection/>
    </xf>
    <xf numFmtId="4" fontId="2" fillId="0" borderId="23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24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25" xfId="0" applyNumberFormat="1" applyFont="1" applyFill="1" applyBorder="1" applyAlignment="1" applyProtection="1">
      <alignment horizontal="left" vertical="center"/>
      <protection/>
    </xf>
    <xf numFmtId="49" fontId="2" fillId="0" borderId="26" xfId="0" applyNumberFormat="1" applyFont="1" applyFill="1" applyBorder="1" applyAlignment="1" applyProtection="1">
      <alignment horizontal="left" vertical="center"/>
      <protection/>
    </xf>
    <xf numFmtId="49" fontId="2" fillId="0" borderId="27" xfId="0" applyNumberFormat="1" applyFont="1" applyFill="1" applyBorder="1" applyAlignment="1" applyProtection="1">
      <alignment horizontal="left" vertical="center"/>
      <protection/>
    </xf>
    <xf numFmtId="49" fontId="2" fillId="0" borderId="27" xfId="0" applyNumberFormat="1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left" vertical="center"/>
      <protection/>
    </xf>
    <xf numFmtId="4" fontId="3" fillId="0" borderId="21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25" xfId="0" applyNumberFormat="1" applyFont="1" applyFill="1" applyBorder="1" applyAlignment="1" applyProtection="1">
      <alignment horizontal="right" vertical="center"/>
      <protection/>
    </xf>
    <xf numFmtId="49" fontId="2" fillId="0" borderId="27" xfId="0" applyNumberFormat="1" applyFont="1" applyFill="1" applyBorder="1" applyAlignment="1" applyProtection="1">
      <alignment horizontal="right" vertical="center"/>
      <protection/>
    </xf>
    <xf numFmtId="0" fontId="3" fillId="0" borderId="21" xfId="0" applyNumberFormat="1" applyFont="1" applyFill="1" applyBorder="1" applyAlignment="1" applyProtection="1">
      <alignment vertical="center"/>
      <protection/>
    </xf>
    <xf numFmtId="49" fontId="6" fillId="33" borderId="28" xfId="0" applyNumberFormat="1" applyFont="1" applyFill="1" applyBorder="1" applyAlignment="1" applyProtection="1">
      <alignment horizontal="center" vertical="center"/>
      <protection/>
    </xf>
    <xf numFmtId="49" fontId="8" fillId="0" borderId="29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left" vertical="center"/>
      <protection/>
    </xf>
    <xf numFmtId="4" fontId="9" fillId="0" borderId="28" xfId="0" applyNumberFormat="1" applyFont="1" applyFill="1" applyBorder="1" applyAlignment="1" applyProtection="1">
      <alignment horizontal="right" vertical="center"/>
      <protection/>
    </xf>
    <xf numFmtId="49" fontId="8" fillId="0" borderId="30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right" vertical="center"/>
      <protection/>
    </xf>
    <xf numFmtId="0" fontId="3" fillId="0" borderId="31" xfId="0" applyNumberFormat="1" applyFont="1" applyFill="1" applyBorder="1" applyAlignment="1" applyProtection="1">
      <alignment vertical="center"/>
      <protection/>
    </xf>
    <xf numFmtId="4" fontId="7" fillId="33" borderId="32" xfId="0" applyNumberFormat="1" applyFont="1" applyFill="1" applyBorder="1" applyAlignment="1" applyProtection="1">
      <alignment horizontal="right" vertical="center"/>
      <protection/>
    </xf>
    <xf numFmtId="0" fontId="10" fillId="0" borderId="33" xfId="0" applyNumberFormat="1" applyFont="1" applyFill="1" applyBorder="1" applyAlignment="1" applyProtection="1">
      <alignment vertical="center"/>
      <protection/>
    </xf>
    <xf numFmtId="0" fontId="10" fillId="0" borderId="24" xfId="0" applyNumberFormat="1" applyFont="1" applyFill="1" applyBorder="1" applyAlignment="1" applyProtection="1">
      <alignment vertical="center"/>
      <protection/>
    </xf>
    <xf numFmtId="0" fontId="3" fillId="0" borderId="34" xfId="0" applyNumberFormat="1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33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35" xfId="0" applyNumberFormat="1" applyFont="1" applyFill="1" applyBorder="1" applyAlignment="1" applyProtection="1">
      <alignment horizontal="left" vertical="center"/>
      <protection/>
    </xf>
    <xf numFmtId="49" fontId="2" fillId="0" borderId="36" xfId="0" applyNumberFormat="1" applyFont="1" applyFill="1" applyBorder="1" applyAlignment="1" applyProtection="1">
      <alignment horizontal="center" vertical="center"/>
      <protection/>
    </xf>
    <xf numFmtId="49" fontId="2" fillId="33" borderId="21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37" xfId="0" applyNumberFormat="1" applyFont="1" applyFill="1" applyBorder="1" applyAlignment="1" applyProtection="1">
      <alignment horizontal="left" vertical="center"/>
      <protection/>
    </xf>
    <xf numFmtId="49" fontId="3" fillId="0" borderId="38" xfId="0" applyNumberFormat="1" applyFont="1" applyFill="1" applyBorder="1" applyAlignment="1" applyProtection="1">
      <alignment horizontal="left" vertical="center"/>
      <protection/>
    </xf>
    <xf numFmtId="49" fontId="3" fillId="0" borderId="39" xfId="0" applyNumberFormat="1" applyFont="1" applyFill="1" applyBorder="1" applyAlignment="1" applyProtection="1">
      <alignment horizontal="left" vertical="center"/>
      <protection/>
    </xf>
    <xf numFmtId="14" fontId="3" fillId="0" borderId="40" xfId="0" applyNumberFormat="1" applyFont="1" applyFill="1" applyBorder="1" applyAlignment="1" applyProtection="1">
      <alignment horizontal="left" vertical="center"/>
      <protection/>
    </xf>
    <xf numFmtId="49" fontId="3" fillId="0" borderId="35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left" vertical="center"/>
      <protection/>
    </xf>
    <xf numFmtId="49" fontId="3" fillId="0" borderId="41" xfId="0" applyNumberFormat="1" applyFont="1" applyFill="1" applyBorder="1" applyAlignment="1" applyProtection="1">
      <alignment horizontal="left" vertical="center"/>
      <protection/>
    </xf>
    <xf numFmtId="14" fontId="3" fillId="0" borderId="39" xfId="0" applyNumberFormat="1" applyFont="1" applyFill="1" applyBorder="1" applyAlignment="1" applyProtection="1">
      <alignment horizontal="left" vertical="center"/>
      <protection/>
    </xf>
    <xf numFmtId="49" fontId="3" fillId="0" borderId="4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4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42" xfId="0" applyNumberFormat="1" applyFont="1" applyFill="1" applyBorder="1" applyAlignment="1" applyProtection="1">
      <alignment horizontal="left" vertical="center"/>
      <protection/>
    </xf>
    <xf numFmtId="49" fontId="3" fillId="0" borderId="43" xfId="0" applyNumberFormat="1" applyFont="1" applyFill="1" applyBorder="1" applyAlignment="1" applyProtection="1">
      <alignment horizontal="left" vertical="center"/>
      <protection/>
    </xf>
    <xf numFmtId="49" fontId="2" fillId="0" borderId="44" xfId="0" applyNumberFormat="1" applyFont="1" applyFill="1" applyBorder="1" applyAlignment="1" applyProtection="1">
      <alignment horizontal="left" vertical="center"/>
      <protection/>
    </xf>
    <xf numFmtId="49" fontId="7" fillId="33" borderId="45" xfId="0" applyNumberFormat="1" applyFont="1" applyFill="1" applyBorder="1" applyAlignment="1" applyProtection="1">
      <alignment horizontal="left" vertical="center"/>
      <protection/>
    </xf>
    <xf numFmtId="49" fontId="8" fillId="0" borderId="28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left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49" fontId="7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2" xfId="0" applyNumberFormat="1" applyFont="1" applyFill="1" applyBorder="1" applyAlignment="1" applyProtection="1">
      <alignment horizontal="left" vertical="center"/>
      <protection/>
    </xf>
    <xf numFmtId="14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left"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left" vertical="center" wrapText="1"/>
      <protection/>
    </xf>
    <xf numFmtId="49" fontId="3" fillId="0" borderId="22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5"/>
  <sheetViews>
    <sheetView view="pageBreakPreview" zoomScaleSheetLayoutView="100" zoomScalePageLayoutView="0" workbookViewId="0" topLeftCell="A121">
      <selection activeCell="H130" sqref="H130"/>
    </sheetView>
  </sheetViews>
  <sheetFormatPr defaultColWidth="11.421875" defaultRowHeight="12.75"/>
  <cols>
    <col min="1" max="1" width="3.7109375" style="0" customWidth="1"/>
    <col min="2" max="2" width="7.421875" style="0" customWidth="1"/>
    <col min="3" max="3" width="13.28125" style="0" customWidth="1"/>
    <col min="4" max="4" width="37.140625" style="0" customWidth="1"/>
    <col min="5" max="5" width="4.28125" style="0" customWidth="1"/>
    <col min="6" max="6" width="10.8515625" style="0" customWidth="1"/>
    <col min="7" max="7" width="12.00390625" style="0" customWidth="1"/>
    <col min="8" max="9" width="13.140625" style="0" customWidth="1"/>
    <col min="10" max="10" width="13.28125" style="0" customWidth="1"/>
    <col min="11" max="12" width="11.7109375" style="0" customWidth="1"/>
  </cols>
  <sheetData>
    <row r="1" spans="1:12" ht="21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3" ht="12.75">
      <c r="A2" s="56" t="s">
        <v>1</v>
      </c>
      <c r="B2" s="56"/>
      <c r="C2" s="56"/>
      <c r="D2" s="52" t="s">
        <v>2</v>
      </c>
      <c r="E2" s="52"/>
      <c r="F2" s="52"/>
      <c r="G2" s="52"/>
      <c r="H2" s="52"/>
      <c r="I2" s="52"/>
      <c r="J2" s="52"/>
      <c r="K2" s="52"/>
      <c r="L2" s="52"/>
      <c r="M2" s="1"/>
    </row>
    <row r="3" spans="1:13" ht="12.75">
      <c r="A3" s="56"/>
      <c r="B3" s="56"/>
      <c r="C3" s="56"/>
      <c r="D3" s="52"/>
      <c r="E3" s="52"/>
      <c r="F3" s="52"/>
      <c r="G3" s="52"/>
      <c r="H3" s="52"/>
      <c r="I3" s="52"/>
      <c r="J3" s="52"/>
      <c r="K3" s="52"/>
      <c r="L3" s="52"/>
      <c r="M3" s="1"/>
    </row>
    <row r="4" spans="1:13" ht="12.75">
      <c r="A4" s="2" t="s">
        <v>3</v>
      </c>
      <c r="B4" s="3" t="s">
        <v>3</v>
      </c>
      <c r="C4" s="3" t="s">
        <v>3</v>
      </c>
      <c r="D4" s="3" t="s">
        <v>3</v>
      </c>
      <c r="E4" s="3" t="s">
        <v>3</v>
      </c>
      <c r="F4" s="3" t="s">
        <v>3</v>
      </c>
      <c r="G4" s="4" t="s">
        <v>4</v>
      </c>
      <c r="H4" s="57" t="s">
        <v>5</v>
      </c>
      <c r="I4" s="57"/>
      <c r="J4" s="57"/>
      <c r="K4" s="57" t="s">
        <v>6</v>
      </c>
      <c r="L4" s="57"/>
      <c r="M4" s="5"/>
    </row>
    <row r="5" spans="1:13" ht="12.75">
      <c r="A5" s="6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8" t="s">
        <v>12</v>
      </c>
      <c r="G5" s="9" t="s">
        <v>13</v>
      </c>
      <c r="H5" s="10" t="s">
        <v>14</v>
      </c>
      <c r="I5" s="11" t="s">
        <v>15</v>
      </c>
      <c r="J5" s="12" t="s">
        <v>16</v>
      </c>
      <c r="K5" s="10" t="s">
        <v>4</v>
      </c>
      <c r="L5" s="12" t="s">
        <v>16</v>
      </c>
      <c r="M5" s="5"/>
    </row>
    <row r="6" spans="1:12" ht="12.75">
      <c r="A6" s="13"/>
      <c r="B6" s="13"/>
      <c r="C6" s="14" t="s">
        <v>17</v>
      </c>
      <c r="D6" s="58" t="s">
        <v>18</v>
      </c>
      <c r="E6" s="58"/>
      <c r="F6" s="58"/>
      <c r="G6" s="58"/>
      <c r="H6" s="15">
        <f>SUM(H7:H15)</f>
        <v>0</v>
      </c>
      <c r="I6" s="15">
        <f>SUM(I7:I15)</f>
        <v>0</v>
      </c>
      <c r="J6" s="15">
        <f aca="true" t="shared" si="0" ref="J6:J37">H6+I6</f>
        <v>0</v>
      </c>
      <c r="K6" s="16"/>
      <c r="L6" s="15">
        <f>SUM(L7:L15)</f>
        <v>0.582</v>
      </c>
    </row>
    <row r="7" spans="1:12" ht="25.5">
      <c r="A7" s="17" t="s">
        <v>19</v>
      </c>
      <c r="B7" s="17"/>
      <c r="C7" s="17" t="s">
        <v>20</v>
      </c>
      <c r="D7" s="18" t="s">
        <v>21</v>
      </c>
      <c r="E7" s="17" t="s">
        <v>22</v>
      </c>
      <c r="F7" s="19">
        <v>3300</v>
      </c>
      <c r="G7" s="19">
        <v>0</v>
      </c>
      <c r="H7" s="19">
        <f>F7*G7*0</f>
        <v>0</v>
      </c>
      <c r="I7" s="19">
        <f>F7*G7*(1-0)</f>
        <v>0</v>
      </c>
      <c r="J7" s="19">
        <f t="shared" si="0"/>
        <v>0</v>
      </c>
      <c r="K7" s="19">
        <v>0</v>
      </c>
      <c r="L7" s="19">
        <f aca="true" t="shared" si="1" ref="L7:L15">F7*K7</f>
        <v>0</v>
      </c>
    </row>
    <row r="8" spans="1:12" ht="25.5">
      <c r="A8" s="17" t="s">
        <v>23</v>
      </c>
      <c r="B8" s="17"/>
      <c r="C8" s="17" t="s">
        <v>24</v>
      </c>
      <c r="D8" s="18" t="s">
        <v>25</v>
      </c>
      <c r="E8" s="17" t="s">
        <v>22</v>
      </c>
      <c r="F8" s="19">
        <v>3300</v>
      </c>
      <c r="G8" s="19">
        <v>0</v>
      </c>
      <c r="H8" s="19">
        <f>F8*G8*0.198060941828255</f>
        <v>0</v>
      </c>
      <c r="I8" s="19">
        <f>F8*G8*(1-0.198060941828255)</f>
        <v>0</v>
      </c>
      <c r="J8" s="19">
        <f t="shared" si="0"/>
        <v>0</v>
      </c>
      <c r="K8" s="19">
        <v>0</v>
      </c>
      <c r="L8" s="19">
        <f t="shared" si="1"/>
        <v>0</v>
      </c>
    </row>
    <row r="9" spans="1:12" ht="25.5">
      <c r="A9" s="17" t="s">
        <v>26</v>
      </c>
      <c r="B9" s="17"/>
      <c r="C9" s="17" t="s">
        <v>27</v>
      </c>
      <c r="D9" s="18" t="s">
        <v>28</v>
      </c>
      <c r="E9" s="17" t="s">
        <v>29</v>
      </c>
      <c r="F9" s="19">
        <v>29</v>
      </c>
      <c r="G9" s="19">
        <v>0</v>
      </c>
      <c r="H9" s="19">
        <f>F9*G9*0</f>
        <v>0</v>
      </c>
      <c r="I9" s="19">
        <f>F9*G9*(1-0)</f>
        <v>0</v>
      </c>
      <c r="J9" s="19">
        <f t="shared" si="0"/>
        <v>0</v>
      </c>
      <c r="K9" s="19">
        <v>0</v>
      </c>
      <c r="L9" s="19">
        <f t="shared" si="1"/>
        <v>0</v>
      </c>
    </row>
    <row r="10" spans="1:12" ht="25.5">
      <c r="A10" s="17" t="s">
        <v>30</v>
      </c>
      <c r="B10" s="17"/>
      <c r="C10" s="17" t="s">
        <v>31</v>
      </c>
      <c r="D10" s="18" t="s">
        <v>32</v>
      </c>
      <c r="E10" s="17" t="s">
        <v>29</v>
      </c>
      <c r="F10" s="19">
        <v>66</v>
      </c>
      <c r="G10" s="19">
        <v>0</v>
      </c>
      <c r="H10" s="19">
        <f>F10*G10*0</f>
        <v>0</v>
      </c>
      <c r="I10" s="19">
        <f>F10*G10*(1-0)</f>
        <v>0</v>
      </c>
      <c r="J10" s="19">
        <f t="shared" si="0"/>
        <v>0</v>
      </c>
      <c r="K10" s="19">
        <v>0</v>
      </c>
      <c r="L10" s="19">
        <f t="shared" si="1"/>
        <v>0</v>
      </c>
    </row>
    <row r="11" spans="1:12" ht="25.5">
      <c r="A11" s="17" t="s">
        <v>33</v>
      </c>
      <c r="B11" s="17"/>
      <c r="C11" s="17" t="s">
        <v>34</v>
      </c>
      <c r="D11" s="18" t="s">
        <v>35</v>
      </c>
      <c r="E11" s="17" t="s">
        <v>29</v>
      </c>
      <c r="F11" s="19">
        <v>99</v>
      </c>
      <c r="G11" s="19">
        <v>0</v>
      </c>
      <c r="H11" s="19">
        <f>F11*G11*0</f>
        <v>0</v>
      </c>
      <c r="I11" s="19">
        <f>F11*G11*(1-0)</f>
        <v>0</v>
      </c>
      <c r="J11" s="19">
        <f t="shared" si="0"/>
        <v>0</v>
      </c>
      <c r="K11" s="19">
        <v>0</v>
      </c>
      <c r="L11" s="19">
        <f t="shared" si="1"/>
        <v>0</v>
      </c>
    </row>
    <row r="12" spans="1:12" ht="25.5">
      <c r="A12" s="17" t="s">
        <v>36</v>
      </c>
      <c r="B12" s="17"/>
      <c r="C12" s="17" t="s">
        <v>37</v>
      </c>
      <c r="D12" s="18" t="s">
        <v>38</v>
      </c>
      <c r="E12" s="17" t="s">
        <v>29</v>
      </c>
      <c r="F12" s="19">
        <v>99</v>
      </c>
      <c r="G12" s="19">
        <v>0</v>
      </c>
      <c r="H12" s="19">
        <f>F12*G12*0.0102336781043069</f>
        <v>0</v>
      </c>
      <c r="I12" s="19">
        <f>F12*G12*(1-0.0102336781043069)</f>
        <v>0</v>
      </c>
      <c r="J12" s="19">
        <f t="shared" si="0"/>
        <v>0</v>
      </c>
      <c r="K12" s="19">
        <v>0</v>
      </c>
      <c r="L12" s="19">
        <f t="shared" si="1"/>
        <v>0</v>
      </c>
    </row>
    <row r="13" spans="1:12" ht="25.5">
      <c r="A13" s="17" t="s">
        <v>39</v>
      </c>
      <c r="B13" s="17"/>
      <c r="C13" s="17" t="s">
        <v>40</v>
      </c>
      <c r="D13" s="18" t="s">
        <v>41</v>
      </c>
      <c r="E13" s="17" t="s">
        <v>29</v>
      </c>
      <c r="F13" s="19">
        <v>66</v>
      </c>
      <c r="G13" s="19">
        <v>0</v>
      </c>
      <c r="H13" s="19">
        <f>F13*G13*0.00440331543750589</f>
        <v>0</v>
      </c>
      <c r="I13" s="19">
        <f>F13*G13*(1-0.00440331543750589)</f>
        <v>0</v>
      </c>
      <c r="J13" s="19">
        <f t="shared" si="0"/>
        <v>0</v>
      </c>
      <c r="K13" s="19">
        <v>0</v>
      </c>
      <c r="L13" s="19">
        <f t="shared" si="1"/>
        <v>0</v>
      </c>
    </row>
    <row r="14" spans="1:12" ht="25.5">
      <c r="A14" s="17" t="s">
        <v>42</v>
      </c>
      <c r="B14" s="17"/>
      <c r="C14" s="17" t="s">
        <v>43</v>
      </c>
      <c r="D14" s="18" t="s">
        <v>44</v>
      </c>
      <c r="E14" s="17" t="s">
        <v>29</v>
      </c>
      <c r="F14" s="19">
        <v>29</v>
      </c>
      <c r="G14" s="19">
        <v>0</v>
      </c>
      <c r="H14" s="19">
        <f>F14*G14*0.00338165989135518</f>
        <v>0</v>
      </c>
      <c r="I14" s="19">
        <f>F14*G14*(1-0.00338165989135518)</f>
        <v>0</v>
      </c>
      <c r="J14" s="19">
        <f t="shared" si="0"/>
        <v>0</v>
      </c>
      <c r="K14" s="19">
        <v>0</v>
      </c>
      <c r="L14" s="19">
        <f t="shared" si="1"/>
        <v>0</v>
      </c>
    </row>
    <row r="15" spans="1:12" ht="25.5">
      <c r="A15" s="17" t="s">
        <v>45</v>
      </c>
      <c r="B15" s="17"/>
      <c r="C15" s="17" t="s">
        <v>46</v>
      </c>
      <c r="D15" s="18" t="s">
        <v>47</v>
      </c>
      <c r="E15" s="17" t="s">
        <v>29</v>
      </c>
      <c r="F15" s="19">
        <v>194</v>
      </c>
      <c r="G15" s="19">
        <v>0</v>
      </c>
      <c r="H15" s="19">
        <f>F15*G15*0.207030777785837</f>
        <v>0</v>
      </c>
      <c r="I15" s="19">
        <f>F15*G15*(1-0.207030777785837)</f>
        <v>0</v>
      </c>
      <c r="J15" s="19">
        <f t="shared" si="0"/>
        <v>0</v>
      </c>
      <c r="K15" s="19">
        <v>0.003</v>
      </c>
      <c r="L15" s="19">
        <f t="shared" si="1"/>
        <v>0.582</v>
      </c>
    </row>
    <row r="16" spans="1:12" ht="12.75" customHeight="1">
      <c r="A16" s="20"/>
      <c r="B16" s="20"/>
      <c r="C16" s="21" t="s">
        <v>48</v>
      </c>
      <c r="D16" s="54" t="s">
        <v>49</v>
      </c>
      <c r="E16" s="54"/>
      <c r="F16" s="54"/>
      <c r="G16" s="54"/>
      <c r="H16" s="22">
        <f>SUM(H17:H22)</f>
        <v>0</v>
      </c>
      <c r="I16" s="22">
        <f>SUM(I17:I22)</f>
        <v>0</v>
      </c>
      <c r="J16" s="22">
        <f t="shared" si="0"/>
        <v>0</v>
      </c>
      <c r="K16" s="23"/>
      <c r="L16" s="22">
        <f>SUM(L17:L22)</f>
        <v>0</v>
      </c>
    </row>
    <row r="17" spans="1:12" ht="12.75">
      <c r="A17" s="17" t="s">
        <v>50</v>
      </c>
      <c r="B17" s="17"/>
      <c r="C17" s="17" t="s">
        <v>51</v>
      </c>
      <c r="D17" s="18" t="s">
        <v>52</v>
      </c>
      <c r="E17" s="17" t="s">
        <v>53</v>
      </c>
      <c r="F17" s="19">
        <v>1192.2</v>
      </c>
      <c r="G17" s="19">
        <v>0</v>
      </c>
      <c r="H17" s="19">
        <f aca="true" t="shared" si="2" ref="H17:H22">F17*G17*0</f>
        <v>0</v>
      </c>
      <c r="I17" s="19">
        <f aca="true" t="shared" si="3" ref="I17:I22">F17*G17*(1-0)</f>
        <v>0</v>
      </c>
      <c r="J17" s="19">
        <f t="shared" si="0"/>
        <v>0</v>
      </c>
      <c r="K17" s="19">
        <v>0</v>
      </c>
      <c r="L17" s="19">
        <f aca="true" t="shared" si="4" ref="L17:L22">F17*K17</f>
        <v>0</v>
      </c>
    </row>
    <row r="18" spans="1:12" ht="12.75">
      <c r="A18" s="17" t="s">
        <v>17</v>
      </c>
      <c r="B18" s="17"/>
      <c r="C18" s="17" t="s">
        <v>51</v>
      </c>
      <c r="D18" s="18" t="s">
        <v>52</v>
      </c>
      <c r="E18" s="17" t="s">
        <v>53</v>
      </c>
      <c r="F18" s="19">
        <v>107</v>
      </c>
      <c r="G18" s="19">
        <v>0</v>
      </c>
      <c r="H18" s="19">
        <f t="shared" si="2"/>
        <v>0</v>
      </c>
      <c r="I18" s="19">
        <f t="shared" si="3"/>
        <v>0</v>
      </c>
      <c r="J18" s="19">
        <f t="shared" si="0"/>
        <v>0</v>
      </c>
      <c r="K18" s="19">
        <v>0</v>
      </c>
      <c r="L18" s="19">
        <f t="shared" si="4"/>
        <v>0</v>
      </c>
    </row>
    <row r="19" spans="1:12" ht="12.75">
      <c r="A19" s="17" t="s">
        <v>48</v>
      </c>
      <c r="B19" s="17"/>
      <c r="C19" s="17" t="s">
        <v>51</v>
      </c>
      <c r="D19" s="18" t="s">
        <v>52</v>
      </c>
      <c r="E19" s="17" t="s">
        <v>53</v>
      </c>
      <c r="F19" s="19">
        <v>3507</v>
      </c>
      <c r="G19" s="19">
        <v>0</v>
      </c>
      <c r="H19" s="19">
        <f t="shared" si="2"/>
        <v>0</v>
      </c>
      <c r="I19" s="19">
        <f t="shared" si="3"/>
        <v>0</v>
      </c>
      <c r="J19" s="19">
        <f t="shared" si="0"/>
        <v>0</v>
      </c>
      <c r="K19" s="19">
        <v>0</v>
      </c>
      <c r="L19" s="19">
        <f t="shared" si="4"/>
        <v>0</v>
      </c>
    </row>
    <row r="20" spans="1:12" ht="25.5">
      <c r="A20" s="17" t="s">
        <v>54</v>
      </c>
      <c r="B20" s="17"/>
      <c r="C20" s="17" t="s">
        <v>55</v>
      </c>
      <c r="D20" s="18" t="s">
        <v>56</v>
      </c>
      <c r="E20" s="17" t="s">
        <v>53</v>
      </c>
      <c r="F20" s="19">
        <v>15235</v>
      </c>
      <c r="G20" s="19">
        <v>0</v>
      </c>
      <c r="H20" s="19">
        <f t="shared" si="2"/>
        <v>0</v>
      </c>
      <c r="I20" s="19">
        <f t="shared" si="3"/>
        <v>0</v>
      </c>
      <c r="J20" s="19">
        <f t="shared" si="0"/>
        <v>0</v>
      </c>
      <c r="K20" s="19">
        <v>0</v>
      </c>
      <c r="L20" s="19">
        <f t="shared" si="4"/>
        <v>0</v>
      </c>
    </row>
    <row r="21" spans="1:12" ht="25.5">
      <c r="A21" s="17" t="s">
        <v>57</v>
      </c>
      <c r="B21" s="17"/>
      <c r="C21" s="17" t="s">
        <v>58</v>
      </c>
      <c r="D21" s="18" t="s">
        <v>59</v>
      </c>
      <c r="E21" s="17" t="s">
        <v>53</v>
      </c>
      <c r="F21" s="19">
        <v>4570.5</v>
      </c>
      <c r="G21" s="19">
        <v>0</v>
      </c>
      <c r="H21" s="19">
        <f t="shared" si="2"/>
        <v>0</v>
      </c>
      <c r="I21" s="19">
        <f t="shared" si="3"/>
        <v>0</v>
      </c>
      <c r="J21" s="19">
        <f t="shared" si="0"/>
        <v>0</v>
      </c>
      <c r="K21" s="19">
        <v>0</v>
      </c>
      <c r="L21" s="19">
        <f t="shared" si="4"/>
        <v>0</v>
      </c>
    </row>
    <row r="22" spans="1:12" ht="25.5">
      <c r="A22" s="17" t="s">
        <v>60</v>
      </c>
      <c r="B22" s="17"/>
      <c r="C22" s="17" t="s">
        <v>61</v>
      </c>
      <c r="D22" s="18" t="s">
        <v>62</v>
      </c>
      <c r="E22" s="17" t="s">
        <v>53</v>
      </c>
      <c r="F22" s="19">
        <v>67.6</v>
      </c>
      <c r="G22" s="19">
        <v>0</v>
      </c>
      <c r="H22" s="19">
        <f t="shared" si="2"/>
        <v>0</v>
      </c>
      <c r="I22" s="19">
        <f t="shared" si="3"/>
        <v>0</v>
      </c>
      <c r="J22" s="19">
        <f t="shared" si="0"/>
        <v>0</v>
      </c>
      <c r="K22" s="19">
        <v>0</v>
      </c>
      <c r="L22" s="19">
        <f t="shared" si="4"/>
        <v>0</v>
      </c>
    </row>
    <row r="23" spans="1:12" ht="12.75" customHeight="1">
      <c r="A23" s="20"/>
      <c r="B23" s="20"/>
      <c r="C23" s="21" t="s">
        <v>54</v>
      </c>
      <c r="D23" s="54" t="s">
        <v>63</v>
      </c>
      <c r="E23" s="54"/>
      <c r="F23" s="54"/>
      <c r="G23" s="54"/>
      <c r="H23" s="22">
        <f>SUM(H24:H39)</f>
        <v>0</v>
      </c>
      <c r="I23" s="22">
        <f>SUM(I24:I39)</f>
        <v>0</v>
      </c>
      <c r="J23" s="22">
        <f t="shared" si="0"/>
        <v>0</v>
      </c>
      <c r="K23" s="23"/>
      <c r="L23" s="22">
        <f>SUM(L24:L39)</f>
        <v>0</v>
      </c>
    </row>
    <row r="24" spans="1:12" ht="25.5">
      <c r="A24" s="17" t="s">
        <v>64</v>
      </c>
      <c r="B24" s="17"/>
      <c r="C24" s="17" t="s">
        <v>65</v>
      </c>
      <c r="D24" s="18" t="s">
        <v>66</v>
      </c>
      <c r="E24" s="17" t="s">
        <v>53</v>
      </c>
      <c r="F24" s="19">
        <v>6.61</v>
      </c>
      <c r="G24" s="19">
        <v>0</v>
      </c>
      <c r="H24" s="19">
        <f aca="true" t="shared" si="5" ref="H24:H39">F24*G24*0</f>
        <v>0</v>
      </c>
      <c r="I24" s="19">
        <f aca="true" t="shared" si="6" ref="I24:I39">F24*G24*(1-0)</f>
        <v>0</v>
      </c>
      <c r="J24" s="19">
        <f t="shared" si="0"/>
        <v>0</v>
      </c>
      <c r="K24" s="19">
        <v>0</v>
      </c>
      <c r="L24" s="19">
        <f aca="true" t="shared" si="7" ref="L24:L39">F24*K24</f>
        <v>0</v>
      </c>
    </row>
    <row r="25" spans="1:12" ht="25.5">
      <c r="A25" s="17" t="s">
        <v>67</v>
      </c>
      <c r="B25" s="17"/>
      <c r="C25" s="17" t="s">
        <v>68</v>
      </c>
      <c r="D25" s="18" t="s">
        <v>69</v>
      </c>
      <c r="E25" s="17" t="s">
        <v>53</v>
      </c>
      <c r="F25" s="19">
        <v>5.98</v>
      </c>
      <c r="G25" s="19">
        <v>0</v>
      </c>
      <c r="H25" s="19">
        <f t="shared" si="5"/>
        <v>0</v>
      </c>
      <c r="I25" s="19">
        <f t="shared" si="6"/>
        <v>0</v>
      </c>
      <c r="J25" s="19">
        <f t="shared" si="0"/>
        <v>0</v>
      </c>
      <c r="K25" s="19">
        <v>0</v>
      </c>
      <c r="L25" s="19">
        <f t="shared" si="7"/>
        <v>0</v>
      </c>
    </row>
    <row r="26" spans="1:12" ht="25.5">
      <c r="A26" s="17" t="s">
        <v>70</v>
      </c>
      <c r="B26" s="17"/>
      <c r="C26" s="17" t="s">
        <v>68</v>
      </c>
      <c r="D26" s="18" t="s">
        <v>69</v>
      </c>
      <c r="E26" s="17" t="s">
        <v>53</v>
      </c>
      <c r="F26" s="19">
        <v>1.98</v>
      </c>
      <c r="G26" s="19">
        <v>0</v>
      </c>
      <c r="H26" s="19">
        <f t="shared" si="5"/>
        <v>0</v>
      </c>
      <c r="I26" s="19">
        <f t="shared" si="6"/>
        <v>0</v>
      </c>
      <c r="J26" s="19">
        <f t="shared" si="0"/>
        <v>0</v>
      </c>
      <c r="K26" s="19">
        <v>0</v>
      </c>
      <c r="L26" s="19">
        <f t="shared" si="7"/>
        <v>0</v>
      </c>
    </row>
    <row r="27" spans="1:12" ht="25.5">
      <c r="A27" s="17" t="s">
        <v>71</v>
      </c>
      <c r="B27" s="17"/>
      <c r="C27" s="17" t="s">
        <v>72</v>
      </c>
      <c r="D27" s="18" t="s">
        <v>73</v>
      </c>
      <c r="E27" s="17" t="s">
        <v>53</v>
      </c>
      <c r="F27" s="19">
        <v>43.52</v>
      </c>
      <c r="G27" s="19">
        <v>0</v>
      </c>
      <c r="H27" s="19">
        <f t="shared" si="5"/>
        <v>0</v>
      </c>
      <c r="I27" s="19">
        <f t="shared" si="6"/>
        <v>0</v>
      </c>
      <c r="J27" s="19">
        <f t="shared" si="0"/>
        <v>0</v>
      </c>
      <c r="K27" s="19">
        <v>0</v>
      </c>
      <c r="L27" s="19">
        <f t="shared" si="7"/>
        <v>0</v>
      </c>
    </row>
    <row r="28" spans="1:12" ht="25.5">
      <c r="A28" s="17" t="s">
        <v>74</v>
      </c>
      <c r="B28" s="17"/>
      <c r="C28" s="17" t="s">
        <v>75</v>
      </c>
      <c r="D28" s="18" t="s">
        <v>76</v>
      </c>
      <c r="E28" s="17" t="s">
        <v>53</v>
      </c>
      <c r="F28" s="19">
        <v>13.06</v>
      </c>
      <c r="G28" s="19">
        <v>0</v>
      </c>
      <c r="H28" s="19">
        <f t="shared" si="5"/>
        <v>0</v>
      </c>
      <c r="I28" s="19">
        <f t="shared" si="6"/>
        <v>0</v>
      </c>
      <c r="J28" s="19">
        <f t="shared" si="0"/>
        <v>0</v>
      </c>
      <c r="K28" s="19">
        <v>0</v>
      </c>
      <c r="L28" s="19">
        <f t="shared" si="7"/>
        <v>0</v>
      </c>
    </row>
    <row r="29" spans="1:12" ht="25.5">
      <c r="A29" s="17" t="s">
        <v>77</v>
      </c>
      <c r="B29" s="17"/>
      <c r="C29" s="17" t="s">
        <v>78</v>
      </c>
      <c r="D29" s="18" t="s">
        <v>79</v>
      </c>
      <c r="E29" s="17" t="s">
        <v>53</v>
      </c>
      <c r="F29" s="19">
        <v>585.99</v>
      </c>
      <c r="G29" s="19">
        <v>0</v>
      </c>
      <c r="H29" s="19">
        <f t="shared" si="5"/>
        <v>0</v>
      </c>
      <c r="I29" s="19">
        <f t="shared" si="6"/>
        <v>0</v>
      </c>
      <c r="J29" s="19">
        <f t="shared" si="0"/>
        <v>0</v>
      </c>
      <c r="K29" s="19">
        <v>0</v>
      </c>
      <c r="L29" s="19">
        <f t="shared" si="7"/>
        <v>0</v>
      </c>
    </row>
    <row r="30" spans="1:12" ht="25.5">
      <c r="A30" s="17" t="s">
        <v>80</v>
      </c>
      <c r="B30" s="17"/>
      <c r="C30" s="17" t="s">
        <v>78</v>
      </c>
      <c r="D30" s="18" t="s">
        <v>79</v>
      </c>
      <c r="E30" s="17" t="s">
        <v>53</v>
      </c>
      <c r="F30" s="19">
        <v>620.64</v>
      </c>
      <c r="G30" s="19">
        <v>0</v>
      </c>
      <c r="H30" s="19">
        <f t="shared" si="5"/>
        <v>0</v>
      </c>
      <c r="I30" s="19">
        <f t="shared" si="6"/>
        <v>0</v>
      </c>
      <c r="J30" s="19">
        <f t="shared" si="0"/>
        <v>0</v>
      </c>
      <c r="K30" s="19">
        <v>0</v>
      </c>
      <c r="L30" s="19">
        <f t="shared" si="7"/>
        <v>0</v>
      </c>
    </row>
    <row r="31" spans="1:12" ht="25.5">
      <c r="A31" s="17" t="s">
        <v>81</v>
      </c>
      <c r="B31" s="17"/>
      <c r="C31" s="17" t="s">
        <v>72</v>
      </c>
      <c r="D31" s="18" t="s">
        <v>73</v>
      </c>
      <c r="E31" s="17" t="s">
        <v>53</v>
      </c>
      <c r="F31" s="19">
        <v>12.15</v>
      </c>
      <c r="G31" s="19">
        <v>0</v>
      </c>
      <c r="H31" s="19">
        <f t="shared" si="5"/>
        <v>0</v>
      </c>
      <c r="I31" s="19">
        <f t="shared" si="6"/>
        <v>0</v>
      </c>
      <c r="J31" s="19">
        <f t="shared" si="0"/>
        <v>0</v>
      </c>
      <c r="K31" s="19">
        <v>0</v>
      </c>
      <c r="L31" s="19">
        <f t="shared" si="7"/>
        <v>0</v>
      </c>
    </row>
    <row r="32" spans="1:12" ht="25.5">
      <c r="A32" s="17" t="s">
        <v>82</v>
      </c>
      <c r="B32" s="17"/>
      <c r="C32" s="17" t="s">
        <v>83</v>
      </c>
      <c r="D32" s="18" t="s">
        <v>84</v>
      </c>
      <c r="E32" s="17" t="s">
        <v>53</v>
      </c>
      <c r="F32" s="19">
        <v>23.35</v>
      </c>
      <c r="G32" s="19">
        <v>0</v>
      </c>
      <c r="H32" s="19">
        <f t="shared" si="5"/>
        <v>0</v>
      </c>
      <c r="I32" s="19">
        <f t="shared" si="6"/>
        <v>0</v>
      </c>
      <c r="J32" s="19">
        <f t="shared" si="0"/>
        <v>0</v>
      </c>
      <c r="K32" s="19">
        <v>0</v>
      </c>
      <c r="L32" s="19">
        <f t="shared" si="7"/>
        <v>0</v>
      </c>
    </row>
    <row r="33" spans="1:12" ht="25.5">
      <c r="A33" s="17" t="s">
        <v>85</v>
      </c>
      <c r="B33" s="17"/>
      <c r="C33" s="17" t="s">
        <v>65</v>
      </c>
      <c r="D33" s="18" t="s">
        <v>66</v>
      </c>
      <c r="E33" s="17" t="s">
        <v>53</v>
      </c>
      <c r="F33" s="19">
        <v>19.92</v>
      </c>
      <c r="G33" s="19">
        <v>0</v>
      </c>
      <c r="H33" s="19">
        <f t="shared" si="5"/>
        <v>0</v>
      </c>
      <c r="I33" s="19">
        <f t="shared" si="6"/>
        <v>0</v>
      </c>
      <c r="J33" s="19">
        <f t="shared" si="0"/>
        <v>0</v>
      </c>
      <c r="K33" s="19">
        <v>0</v>
      </c>
      <c r="L33" s="19">
        <f t="shared" si="7"/>
        <v>0</v>
      </c>
    </row>
    <row r="34" spans="1:12" ht="25.5">
      <c r="A34" s="17" t="s">
        <v>86</v>
      </c>
      <c r="B34" s="17"/>
      <c r="C34" s="17" t="s">
        <v>83</v>
      </c>
      <c r="D34" s="18" t="s">
        <v>84</v>
      </c>
      <c r="E34" s="17" t="s">
        <v>53</v>
      </c>
      <c r="F34" s="19">
        <v>1.52</v>
      </c>
      <c r="G34" s="19">
        <v>0</v>
      </c>
      <c r="H34" s="19">
        <f t="shared" si="5"/>
        <v>0</v>
      </c>
      <c r="I34" s="19">
        <f t="shared" si="6"/>
        <v>0</v>
      </c>
      <c r="J34" s="19">
        <f t="shared" si="0"/>
        <v>0</v>
      </c>
      <c r="K34" s="19">
        <v>0</v>
      </c>
      <c r="L34" s="19">
        <f t="shared" si="7"/>
        <v>0</v>
      </c>
    </row>
    <row r="35" spans="1:12" ht="25.5">
      <c r="A35" s="17" t="s">
        <v>87</v>
      </c>
      <c r="B35" s="17"/>
      <c r="C35" s="17" t="s">
        <v>83</v>
      </c>
      <c r="D35" s="18" t="s">
        <v>84</v>
      </c>
      <c r="E35" s="17" t="s">
        <v>53</v>
      </c>
      <c r="F35" s="19">
        <v>9.89</v>
      </c>
      <c r="G35" s="19">
        <v>0</v>
      </c>
      <c r="H35" s="19">
        <f t="shared" si="5"/>
        <v>0</v>
      </c>
      <c r="I35" s="19">
        <f t="shared" si="6"/>
        <v>0</v>
      </c>
      <c r="J35" s="19">
        <f t="shared" si="0"/>
        <v>0</v>
      </c>
      <c r="K35" s="19">
        <v>0</v>
      </c>
      <c r="L35" s="19">
        <f t="shared" si="7"/>
        <v>0</v>
      </c>
    </row>
    <row r="36" spans="1:12" ht="25.5">
      <c r="A36" s="17" t="s">
        <v>88</v>
      </c>
      <c r="B36" s="17"/>
      <c r="C36" s="17" t="s">
        <v>83</v>
      </c>
      <c r="D36" s="18" t="s">
        <v>84</v>
      </c>
      <c r="E36" s="17" t="s">
        <v>53</v>
      </c>
      <c r="F36" s="19">
        <v>2.57</v>
      </c>
      <c r="G36" s="19">
        <v>0</v>
      </c>
      <c r="H36" s="19">
        <f t="shared" si="5"/>
        <v>0</v>
      </c>
      <c r="I36" s="19">
        <f t="shared" si="6"/>
        <v>0</v>
      </c>
      <c r="J36" s="19">
        <f t="shared" si="0"/>
        <v>0</v>
      </c>
      <c r="K36" s="19">
        <v>0</v>
      </c>
      <c r="L36" s="19">
        <f t="shared" si="7"/>
        <v>0</v>
      </c>
    </row>
    <row r="37" spans="1:12" ht="25.5">
      <c r="A37" s="17" t="s">
        <v>89</v>
      </c>
      <c r="B37" s="17"/>
      <c r="C37" s="17" t="s">
        <v>83</v>
      </c>
      <c r="D37" s="18" t="s">
        <v>84</v>
      </c>
      <c r="E37" s="17" t="s">
        <v>53</v>
      </c>
      <c r="F37" s="19">
        <v>1.47</v>
      </c>
      <c r="G37" s="19">
        <v>0</v>
      </c>
      <c r="H37" s="19">
        <f t="shared" si="5"/>
        <v>0</v>
      </c>
      <c r="I37" s="19">
        <f t="shared" si="6"/>
        <v>0</v>
      </c>
      <c r="J37" s="19">
        <f t="shared" si="0"/>
        <v>0</v>
      </c>
      <c r="K37" s="19">
        <v>0</v>
      </c>
      <c r="L37" s="19">
        <f t="shared" si="7"/>
        <v>0</v>
      </c>
    </row>
    <row r="38" spans="1:12" ht="25.5">
      <c r="A38" s="17" t="s">
        <v>90</v>
      </c>
      <c r="B38" s="17"/>
      <c r="C38" s="17" t="s">
        <v>91</v>
      </c>
      <c r="D38" s="18" t="s">
        <v>92</v>
      </c>
      <c r="E38" s="17" t="s">
        <v>53</v>
      </c>
      <c r="F38" s="19">
        <v>0.44</v>
      </c>
      <c r="G38" s="19">
        <v>0</v>
      </c>
      <c r="H38" s="19">
        <f t="shared" si="5"/>
        <v>0</v>
      </c>
      <c r="I38" s="19">
        <f t="shared" si="6"/>
        <v>0</v>
      </c>
      <c r="J38" s="19">
        <f aca="true" t="shared" si="8" ref="J38:J69">H38+I38</f>
        <v>0</v>
      </c>
      <c r="K38" s="19">
        <v>0</v>
      </c>
      <c r="L38" s="19">
        <f t="shared" si="7"/>
        <v>0</v>
      </c>
    </row>
    <row r="39" spans="1:12" ht="25.5">
      <c r="A39" s="17" t="s">
        <v>93</v>
      </c>
      <c r="B39" s="17"/>
      <c r="C39" s="17" t="s">
        <v>83</v>
      </c>
      <c r="D39" s="18" t="s">
        <v>84</v>
      </c>
      <c r="E39" s="17" t="s">
        <v>53</v>
      </c>
      <c r="F39" s="19">
        <v>6.21</v>
      </c>
      <c r="G39" s="19">
        <v>0</v>
      </c>
      <c r="H39" s="19">
        <f t="shared" si="5"/>
        <v>0</v>
      </c>
      <c r="I39" s="19">
        <f t="shared" si="6"/>
        <v>0</v>
      </c>
      <c r="J39" s="19">
        <f t="shared" si="8"/>
        <v>0</v>
      </c>
      <c r="K39" s="19">
        <v>0</v>
      </c>
      <c r="L39" s="19">
        <f t="shared" si="7"/>
        <v>0</v>
      </c>
    </row>
    <row r="40" spans="1:12" ht="12.75" customHeight="1">
      <c r="A40" s="20"/>
      <c r="B40" s="20"/>
      <c r="C40" s="21" t="s">
        <v>64</v>
      </c>
      <c r="D40" s="54" t="s">
        <v>94</v>
      </c>
      <c r="E40" s="54"/>
      <c r="F40" s="54"/>
      <c r="G40" s="54"/>
      <c r="H40" s="22">
        <f>SUM(H41:H49)</f>
        <v>0</v>
      </c>
      <c r="I40" s="22">
        <f>SUM(I41:I49)</f>
        <v>0</v>
      </c>
      <c r="J40" s="22">
        <f t="shared" si="8"/>
        <v>0</v>
      </c>
      <c r="K40" s="23"/>
      <c r="L40" s="22">
        <f>SUM(L41:L49)</f>
        <v>0</v>
      </c>
    </row>
    <row r="41" spans="1:12" ht="25.5">
      <c r="A41" s="17" t="s">
        <v>95</v>
      </c>
      <c r="B41" s="17"/>
      <c r="C41" s="17" t="s">
        <v>96</v>
      </c>
      <c r="D41" s="18" t="s">
        <v>97</v>
      </c>
      <c r="E41" s="17" t="s">
        <v>53</v>
      </c>
      <c r="F41" s="19">
        <v>43.52</v>
      </c>
      <c r="G41" s="19">
        <v>0</v>
      </c>
      <c r="H41" s="19">
        <f aca="true" t="shared" si="9" ref="H41:H49">F41*G41*0</f>
        <v>0</v>
      </c>
      <c r="I41" s="19">
        <f aca="true" t="shared" si="10" ref="I41:I49">F41*G41*(1-0)</f>
        <v>0</v>
      </c>
      <c r="J41" s="19">
        <f t="shared" si="8"/>
        <v>0</v>
      </c>
      <c r="K41" s="19">
        <v>0</v>
      </c>
      <c r="L41" s="19">
        <f aca="true" t="shared" si="11" ref="L41:L49">F41*K41</f>
        <v>0</v>
      </c>
    </row>
    <row r="42" spans="1:12" ht="25.5">
      <c r="A42" s="17" t="s">
        <v>98</v>
      </c>
      <c r="B42" s="17"/>
      <c r="C42" s="17" t="s">
        <v>99</v>
      </c>
      <c r="D42" s="18" t="s">
        <v>100</v>
      </c>
      <c r="E42" s="17" t="s">
        <v>53</v>
      </c>
      <c r="F42" s="19">
        <v>3507</v>
      </c>
      <c r="G42" s="19">
        <v>0</v>
      </c>
      <c r="H42" s="19">
        <f t="shared" si="9"/>
        <v>0</v>
      </c>
      <c r="I42" s="19">
        <f t="shared" si="10"/>
        <v>0</v>
      </c>
      <c r="J42" s="19">
        <f t="shared" si="8"/>
        <v>0</v>
      </c>
      <c r="K42" s="19">
        <v>0</v>
      </c>
      <c r="L42" s="19">
        <f t="shared" si="11"/>
        <v>0</v>
      </c>
    </row>
    <row r="43" spans="1:12" ht="25.5">
      <c r="A43" s="17" t="s">
        <v>101</v>
      </c>
      <c r="B43" s="17"/>
      <c r="C43" s="17" t="s">
        <v>96</v>
      </c>
      <c r="D43" s="18" t="s">
        <v>97</v>
      </c>
      <c r="E43" s="17" t="s">
        <v>53</v>
      </c>
      <c r="F43" s="19">
        <v>16049.78</v>
      </c>
      <c r="G43" s="19">
        <v>0</v>
      </c>
      <c r="H43" s="19">
        <f t="shared" si="9"/>
        <v>0</v>
      </c>
      <c r="I43" s="19">
        <f t="shared" si="10"/>
        <v>0</v>
      </c>
      <c r="J43" s="19">
        <f t="shared" si="8"/>
        <v>0</v>
      </c>
      <c r="K43" s="19">
        <v>0</v>
      </c>
      <c r="L43" s="19">
        <f t="shared" si="11"/>
        <v>0</v>
      </c>
    </row>
    <row r="44" spans="1:12" ht="25.5">
      <c r="A44" s="17" t="s">
        <v>102</v>
      </c>
      <c r="B44" s="17"/>
      <c r="C44" s="17" t="s">
        <v>103</v>
      </c>
      <c r="D44" s="18" t="s">
        <v>104</v>
      </c>
      <c r="E44" s="17" t="s">
        <v>29</v>
      </c>
      <c r="F44" s="19">
        <v>99</v>
      </c>
      <c r="G44" s="19">
        <v>0</v>
      </c>
      <c r="H44" s="19">
        <f t="shared" si="9"/>
        <v>0</v>
      </c>
      <c r="I44" s="19">
        <f t="shared" si="10"/>
        <v>0</v>
      </c>
      <c r="J44" s="19">
        <f t="shared" si="8"/>
        <v>0</v>
      </c>
      <c r="K44" s="19">
        <v>0</v>
      </c>
      <c r="L44" s="19">
        <f t="shared" si="11"/>
        <v>0</v>
      </c>
    </row>
    <row r="45" spans="1:12" ht="25.5">
      <c r="A45" s="17" t="s">
        <v>105</v>
      </c>
      <c r="B45" s="17"/>
      <c r="C45" s="17" t="s">
        <v>106</v>
      </c>
      <c r="D45" s="18" t="s">
        <v>107</v>
      </c>
      <c r="E45" s="17" t="s">
        <v>29</v>
      </c>
      <c r="F45" s="19">
        <v>66</v>
      </c>
      <c r="G45" s="19">
        <v>0</v>
      </c>
      <c r="H45" s="19">
        <f t="shared" si="9"/>
        <v>0</v>
      </c>
      <c r="I45" s="19">
        <f t="shared" si="10"/>
        <v>0</v>
      </c>
      <c r="J45" s="19">
        <f t="shared" si="8"/>
        <v>0</v>
      </c>
      <c r="K45" s="19">
        <v>0</v>
      </c>
      <c r="L45" s="19">
        <f t="shared" si="11"/>
        <v>0</v>
      </c>
    </row>
    <row r="46" spans="1:12" ht="25.5">
      <c r="A46" s="17" t="s">
        <v>108</v>
      </c>
      <c r="B46" s="17"/>
      <c r="C46" s="17" t="s">
        <v>109</v>
      </c>
      <c r="D46" s="18" t="s">
        <v>110</v>
      </c>
      <c r="E46" s="17" t="s">
        <v>29</v>
      </c>
      <c r="F46" s="19">
        <v>29</v>
      </c>
      <c r="G46" s="19">
        <v>0</v>
      </c>
      <c r="H46" s="19">
        <f t="shared" si="9"/>
        <v>0</v>
      </c>
      <c r="I46" s="19">
        <f t="shared" si="10"/>
        <v>0</v>
      </c>
      <c r="J46" s="19">
        <f t="shared" si="8"/>
        <v>0</v>
      </c>
      <c r="K46" s="19">
        <v>0</v>
      </c>
      <c r="L46" s="19">
        <f t="shared" si="11"/>
        <v>0</v>
      </c>
    </row>
    <row r="47" spans="1:12" ht="25.5">
      <c r="A47" s="17" t="s">
        <v>111</v>
      </c>
      <c r="B47" s="17"/>
      <c r="C47" s="17" t="s">
        <v>112</v>
      </c>
      <c r="D47" s="18" t="s">
        <v>113</v>
      </c>
      <c r="E47" s="17" t="s">
        <v>29</v>
      </c>
      <c r="F47" s="19">
        <v>99</v>
      </c>
      <c r="G47" s="19">
        <v>0</v>
      </c>
      <c r="H47" s="19">
        <f t="shared" si="9"/>
        <v>0</v>
      </c>
      <c r="I47" s="19">
        <f t="shared" si="10"/>
        <v>0</v>
      </c>
      <c r="J47" s="19">
        <f t="shared" si="8"/>
        <v>0</v>
      </c>
      <c r="K47" s="19">
        <v>0</v>
      </c>
      <c r="L47" s="19">
        <f t="shared" si="11"/>
        <v>0</v>
      </c>
    </row>
    <row r="48" spans="1:12" ht="25.5">
      <c r="A48" s="17" t="s">
        <v>114</v>
      </c>
      <c r="B48" s="17"/>
      <c r="C48" s="17" t="s">
        <v>115</v>
      </c>
      <c r="D48" s="18" t="s">
        <v>116</v>
      </c>
      <c r="E48" s="17" t="s">
        <v>29</v>
      </c>
      <c r="F48" s="19">
        <v>70</v>
      </c>
      <c r="G48" s="19">
        <v>0</v>
      </c>
      <c r="H48" s="19">
        <f t="shared" si="9"/>
        <v>0</v>
      </c>
      <c r="I48" s="19">
        <f t="shared" si="10"/>
        <v>0</v>
      </c>
      <c r="J48" s="19">
        <f t="shared" si="8"/>
        <v>0</v>
      </c>
      <c r="K48" s="19">
        <v>0</v>
      </c>
      <c r="L48" s="19">
        <f t="shared" si="11"/>
        <v>0</v>
      </c>
    </row>
    <row r="49" spans="1:12" ht="25.5">
      <c r="A49" s="17" t="s">
        <v>117</v>
      </c>
      <c r="B49" s="17"/>
      <c r="C49" s="17" t="s">
        <v>118</v>
      </c>
      <c r="D49" s="18" t="s">
        <v>119</v>
      </c>
      <c r="E49" s="17" t="s">
        <v>29</v>
      </c>
      <c r="F49" s="19">
        <v>29</v>
      </c>
      <c r="G49" s="19">
        <v>0</v>
      </c>
      <c r="H49" s="19">
        <f t="shared" si="9"/>
        <v>0</v>
      </c>
      <c r="I49" s="19">
        <f t="shared" si="10"/>
        <v>0</v>
      </c>
      <c r="J49" s="19">
        <f t="shared" si="8"/>
        <v>0</v>
      </c>
      <c r="K49" s="19">
        <v>0</v>
      </c>
      <c r="L49" s="19">
        <f t="shared" si="11"/>
        <v>0</v>
      </c>
    </row>
    <row r="50" spans="1:12" ht="12.75" customHeight="1">
      <c r="A50" s="20"/>
      <c r="B50" s="20"/>
      <c r="C50" s="21" t="s">
        <v>67</v>
      </c>
      <c r="D50" s="54" t="s">
        <v>120</v>
      </c>
      <c r="E50" s="54"/>
      <c r="F50" s="54"/>
      <c r="G50" s="54"/>
      <c r="H50" s="22">
        <f>SUM(H51:H51)</f>
        <v>0</v>
      </c>
      <c r="I50" s="22">
        <f>SUM(I51:I51)</f>
        <v>0</v>
      </c>
      <c r="J50" s="22">
        <f t="shared" si="8"/>
        <v>0</v>
      </c>
      <c r="K50" s="23"/>
      <c r="L50" s="22">
        <f>SUM(L51:L51)</f>
        <v>0</v>
      </c>
    </row>
    <row r="51" spans="1:12" ht="25.5">
      <c r="A51" s="17" t="s">
        <v>121</v>
      </c>
      <c r="B51" s="17"/>
      <c r="C51" s="17" t="s">
        <v>122</v>
      </c>
      <c r="D51" s="18" t="s">
        <v>123</v>
      </c>
      <c r="E51" s="17" t="s">
        <v>53</v>
      </c>
      <c r="F51" s="19">
        <v>11591</v>
      </c>
      <c r="G51" s="19">
        <v>0</v>
      </c>
      <c r="H51" s="19">
        <f>F51*G51*0</f>
        <v>0</v>
      </c>
      <c r="I51" s="19">
        <f>F51*G51*(1-0)</f>
        <v>0</v>
      </c>
      <c r="J51" s="19">
        <f t="shared" si="8"/>
        <v>0</v>
      </c>
      <c r="K51" s="19">
        <v>0</v>
      </c>
      <c r="L51" s="19">
        <f>F51*K51</f>
        <v>0</v>
      </c>
    </row>
    <row r="52" spans="1:12" ht="12.75" customHeight="1">
      <c r="A52" s="20"/>
      <c r="B52" s="20"/>
      <c r="C52" s="21" t="s">
        <v>70</v>
      </c>
      <c r="D52" s="54" t="s">
        <v>124</v>
      </c>
      <c r="E52" s="54"/>
      <c r="F52" s="54"/>
      <c r="G52" s="54"/>
      <c r="H52" s="22">
        <f>SUM(H53:H62)</f>
        <v>0</v>
      </c>
      <c r="I52" s="22">
        <f>SUM(I53:I62)</f>
        <v>0</v>
      </c>
      <c r="J52" s="22">
        <f t="shared" si="8"/>
        <v>0</v>
      </c>
      <c r="K52" s="23"/>
      <c r="L52" s="22">
        <f>SUM(L53:L62)</f>
        <v>0</v>
      </c>
    </row>
    <row r="53" spans="1:12" ht="12.75">
      <c r="A53" s="17" t="s">
        <v>125</v>
      </c>
      <c r="B53" s="17"/>
      <c r="C53" s="17" t="s">
        <v>126</v>
      </c>
      <c r="D53" s="18" t="s">
        <v>127</v>
      </c>
      <c r="E53" s="17" t="s">
        <v>22</v>
      </c>
      <c r="F53" s="19">
        <v>428</v>
      </c>
      <c r="G53" s="19">
        <v>0</v>
      </c>
      <c r="H53" s="19">
        <f aca="true" t="shared" si="12" ref="H53:H62">F53*G53*0</f>
        <v>0</v>
      </c>
      <c r="I53" s="19">
        <f aca="true" t="shared" si="13" ref="I53:I62">F53*G53*(1-0)</f>
        <v>0</v>
      </c>
      <c r="J53" s="19">
        <f t="shared" si="8"/>
        <v>0</v>
      </c>
      <c r="K53" s="19">
        <v>0</v>
      </c>
      <c r="L53" s="19">
        <f aca="true" t="shared" si="14" ref="L53:L62">F53*K53</f>
        <v>0</v>
      </c>
    </row>
    <row r="54" spans="1:12" ht="12.75">
      <c r="A54" s="17" t="s">
        <v>128</v>
      </c>
      <c r="B54" s="17"/>
      <c r="C54" s="17" t="s">
        <v>129</v>
      </c>
      <c r="D54" s="18" t="s">
        <v>130</v>
      </c>
      <c r="E54" s="17" t="s">
        <v>22</v>
      </c>
      <c r="F54" s="19">
        <v>428.4</v>
      </c>
      <c r="G54" s="19">
        <v>0</v>
      </c>
      <c r="H54" s="19">
        <f t="shared" si="12"/>
        <v>0</v>
      </c>
      <c r="I54" s="19">
        <f t="shared" si="13"/>
        <v>0</v>
      </c>
      <c r="J54" s="19">
        <f t="shared" si="8"/>
        <v>0</v>
      </c>
      <c r="K54" s="19">
        <v>0</v>
      </c>
      <c r="L54" s="19">
        <f t="shared" si="14"/>
        <v>0</v>
      </c>
    </row>
    <row r="55" spans="1:12" ht="12.75">
      <c r="A55" s="17" t="s">
        <v>131</v>
      </c>
      <c r="B55" s="17"/>
      <c r="C55" s="17" t="s">
        <v>129</v>
      </c>
      <c r="D55" s="18" t="s">
        <v>130</v>
      </c>
      <c r="E55" s="17" t="s">
        <v>22</v>
      </c>
      <c r="F55" s="19">
        <v>3420</v>
      </c>
      <c r="G55" s="19">
        <v>0</v>
      </c>
      <c r="H55" s="19">
        <f t="shared" si="12"/>
        <v>0</v>
      </c>
      <c r="I55" s="19">
        <f t="shared" si="13"/>
        <v>0</v>
      </c>
      <c r="J55" s="19">
        <f t="shared" si="8"/>
        <v>0</v>
      </c>
      <c r="K55" s="19">
        <v>0</v>
      </c>
      <c r="L55" s="19">
        <f t="shared" si="14"/>
        <v>0</v>
      </c>
    </row>
    <row r="56" spans="1:12" ht="25.5">
      <c r="A56" s="17" t="s">
        <v>132</v>
      </c>
      <c r="B56" s="17"/>
      <c r="C56" s="17" t="s">
        <v>133</v>
      </c>
      <c r="D56" s="18" t="s">
        <v>134</v>
      </c>
      <c r="E56" s="17" t="s">
        <v>22</v>
      </c>
      <c r="F56" s="19">
        <v>2357</v>
      </c>
      <c r="G56" s="19">
        <v>0</v>
      </c>
      <c r="H56" s="19">
        <f t="shared" si="12"/>
        <v>0</v>
      </c>
      <c r="I56" s="19">
        <f t="shared" si="13"/>
        <v>0</v>
      </c>
      <c r="J56" s="19">
        <f t="shared" si="8"/>
        <v>0</v>
      </c>
      <c r="K56" s="19">
        <v>0</v>
      </c>
      <c r="L56" s="19">
        <f t="shared" si="14"/>
        <v>0</v>
      </c>
    </row>
    <row r="57" spans="1:12" ht="25.5">
      <c r="A57" s="17" t="s">
        <v>135</v>
      </c>
      <c r="B57" s="17"/>
      <c r="C57" s="17" t="s">
        <v>136</v>
      </c>
      <c r="D57" s="18" t="s">
        <v>137</v>
      </c>
      <c r="E57" s="17" t="s">
        <v>22</v>
      </c>
      <c r="F57" s="19">
        <v>612</v>
      </c>
      <c r="G57" s="19">
        <v>0</v>
      </c>
      <c r="H57" s="19">
        <f t="shared" si="12"/>
        <v>0</v>
      </c>
      <c r="I57" s="19">
        <f t="shared" si="13"/>
        <v>0</v>
      </c>
      <c r="J57" s="19">
        <f t="shared" si="8"/>
        <v>0</v>
      </c>
      <c r="K57" s="19">
        <v>0</v>
      </c>
      <c r="L57" s="19">
        <f t="shared" si="14"/>
        <v>0</v>
      </c>
    </row>
    <row r="58" spans="1:12" ht="12.75">
      <c r="A58" s="17" t="s">
        <v>138</v>
      </c>
      <c r="B58" s="17"/>
      <c r="C58" s="17" t="s">
        <v>126</v>
      </c>
      <c r="D58" s="18" t="s">
        <v>127</v>
      </c>
      <c r="E58" s="17" t="s">
        <v>22</v>
      </c>
      <c r="F58" s="19">
        <v>361.2</v>
      </c>
      <c r="G58" s="19">
        <v>0</v>
      </c>
      <c r="H58" s="19">
        <f t="shared" si="12"/>
        <v>0</v>
      </c>
      <c r="I58" s="19">
        <f t="shared" si="13"/>
        <v>0</v>
      </c>
      <c r="J58" s="19">
        <f t="shared" si="8"/>
        <v>0</v>
      </c>
      <c r="K58" s="19">
        <v>0</v>
      </c>
      <c r="L58" s="19">
        <f t="shared" si="14"/>
        <v>0</v>
      </c>
    </row>
    <row r="59" spans="1:12" ht="25.5">
      <c r="A59" s="17" t="s">
        <v>139</v>
      </c>
      <c r="B59" s="17"/>
      <c r="C59" s="17" t="s">
        <v>140</v>
      </c>
      <c r="D59" s="18" t="s">
        <v>141</v>
      </c>
      <c r="E59" s="17" t="s">
        <v>22</v>
      </c>
      <c r="F59" s="19">
        <v>16300</v>
      </c>
      <c r="G59" s="19">
        <v>0</v>
      </c>
      <c r="H59" s="19">
        <f t="shared" si="12"/>
        <v>0</v>
      </c>
      <c r="I59" s="19">
        <f t="shared" si="13"/>
        <v>0</v>
      </c>
      <c r="J59" s="19">
        <f t="shared" si="8"/>
        <v>0</v>
      </c>
      <c r="K59" s="19">
        <v>0</v>
      </c>
      <c r="L59" s="19">
        <f t="shared" si="14"/>
        <v>0</v>
      </c>
    </row>
    <row r="60" spans="1:12" ht="25.5">
      <c r="A60" s="17" t="s">
        <v>142</v>
      </c>
      <c r="B60" s="17"/>
      <c r="C60" s="17" t="s">
        <v>143</v>
      </c>
      <c r="D60" s="18" t="s">
        <v>144</v>
      </c>
      <c r="E60" s="17" t="s">
        <v>22</v>
      </c>
      <c r="F60" s="19">
        <v>1020</v>
      </c>
      <c r="G60" s="19">
        <v>0</v>
      </c>
      <c r="H60" s="19">
        <f t="shared" si="12"/>
        <v>0</v>
      </c>
      <c r="I60" s="19">
        <f t="shared" si="13"/>
        <v>0</v>
      </c>
      <c r="J60" s="19">
        <f t="shared" si="8"/>
        <v>0</v>
      </c>
      <c r="K60" s="19">
        <v>0</v>
      </c>
      <c r="L60" s="19">
        <f t="shared" si="14"/>
        <v>0</v>
      </c>
    </row>
    <row r="61" spans="1:12" ht="12.75">
      <c r="A61" s="17" t="s">
        <v>145</v>
      </c>
      <c r="B61" s="17"/>
      <c r="C61" s="17" t="s">
        <v>126</v>
      </c>
      <c r="D61" s="18" t="s">
        <v>127</v>
      </c>
      <c r="E61" s="17" t="s">
        <v>22</v>
      </c>
      <c r="F61" s="19">
        <v>2101</v>
      </c>
      <c r="G61" s="19">
        <v>0</v>
      </c>
      <c r="H61" s="19">
        <f t="shared" si="12"/>
        <v>0</v>
      </c>
      <c r="I61" s="19">
        <f t="shared" si="13"/>
        <v>0</v>
      </c>
      <c r="J61" s="19">
        <f t="shared" si="8"/>
        <v>0</v>
      </c>
      <c r="K61" s="19">
        <v>0</v>
      </c>
      <c r="L61" s="19">
        <f t="shared" si="14"/>
        <v>0</v>
      </c>
    </row>
    <row r="62" spans="1:12" ht="25.5">
      <c r="A62" s="17" t="s">
        <v>146</v>
      </c>
      <c r="B62" s="17"/>
      <c r="C62" s="17" t="s">
        <v>147</v>
      </c>
      <c r="D62" s="18" t="s">
        <v>148</v>
      </c>
      <c r="E62" s="17" t="s">
        <v>22</v>
      </c>
      <c r="F62" s="19">
        <v>9818</v>
      </c>
      <c r="G62" s="19">
        <v>0</v>
      </c>
      <c r="H62" s="19">
        <f t="shared" si="12"/>
        <v>0</v>
      </c>
      <c r="I62" s="19">
        <f t="shared" si="13"/>
        <v>0</v>
      </c>
      <c r="J62" s="19">
        <f t="shared" si="8"/>
        <v>0</v>
      </c>
      <c r="K62" s="19">
        <v>0</v>
      </c>
      <c r="L62" s="19">
        <f t="shared" si="14"/>
        <v>0</v>
      </c>
    </row>
    <row r="63" spans="1:12" ht="12.75" customHeight="1">
      <c r="A63" s="20"/>
      <c r="B63" s="20"/>
      <c r="C63" s="21" t="s">
        <v>95</v>
      </c>
      <c r="D63" s="54" t="s">
        <v>149</v>
      </c>
      <c r="E63" s="54"/>
      <c r="F63" s="54"/>
      <c r="G63" s="54"/>
      <c r="H63" s="22">
        <f>SUM(H64:H88)</f>
        <v>0</v>
      </c>
      <c r="I63" s="22">
        <f>SUM(I64:I88)</f>
        <v>0</v>
      </c>
      <c r="J63" s="22">
        <f t="shared" si="8"/>
        <v>0</v>
      </c>
      <c r="K63" s="23"/>
      <c r="L63" s="22">
        <f>SUM(L64:L88)</f>
        <v>303.30550200000005</v>
      </c>
    </row>
    <row r="64" spans="1:12" ht="25.5">
      <c r="A64" s="17" t="s">
        <v>150</v>
      </c>
      <c r="B64" s="17"/>
      <c r="C64" s="17" t="s">
        <v>151</v>
      </c>
      <c r="D64" s="18" t="s">
        <v>152</v>
      </c>
      <c r="E64" s="17" t="s">
        <v>153</v>
      </c>
      <c r="F64" s="19">
        <v>0.03</v>
      </c>
      <c r="G64" s="19">
        <v>0</v>
      </c>
      <c r="H64" s="19">
        <f>F64*G64*0.823460363768975</f>
        <v>0</v>
      </c>
      <c r="I64" s="19">
        <f>F64*G64*(1-0.823460363768975)</f>
        <v>0</v>
      </c>
      <c r="J64" s="19">
        <f t="shared" si="8"/>
        <v>0</v>
      </c>
      <c r="K64" s="19">
        <v>1.056</v>
      </c>
      <c r="L64" s="19">
        <f aca="true" t="shared" si="15" ref="L64:L88">F64*K64</f>
        <v>0.03168</v>
      </c>
    </row>
    <row r="65" spans="1:12" ht="25.5">
      <c r="A65" s="17" t="s">
        <v>154</v>
      </c>
      <c r="B65" s="17"/>
      <c r="C65" s="17" t="s">
        <v>155</v>
      </c>
      <c r="D65" s="18" t="s">
        <v>156</v>
      </c>
      <c r="E65" s="17" t="s">
        <v>153</v>
      </c>
      <c r="F65" s="19">
        <v>0.49</v>
      </c>
      <c r="G65" s="19">
        <v>0</v>
      </c>
      <c r="H65" s="19">
        <f>F65*G65*0.723615591035859</f>
        <v>0</v>
      </c>
      <c r="I65" s="19">
        <f>F65*G65*(1-0.723615591035859)</f>
        <v>0</v>
      </c>
      <c r="J65" s="19">
        <f t="shared" si="8"/>
        <v>0</v>
      </c>
      <c r="K65" s="19">
        <v>1.03</v>
      </c>
      <c r="L65" s="19">
        <f t="shared" si="15"/>
        <v>0.5047</v>
      </c>
    </row>
    <row r="66" spans="1:12" ht="25.5">
      <c r="A66" s="17" t="s">
        <v>157</v>
      </c>
      <c r="B66" s="17"/>
      <c r="C66" s="17" t="s">
        <v>158</v>
      </c>
      <c r="D66" s="18" t="s">
        <v>159</v>
      </c>
      <c r="E66" s="17" t="s">
        <v>22</v>
      </c>
      <c r="F66" s="19">
        <v>99.65</v>
      </c>
      <c r="G66" s="19">
        <v>0</v>
      </c>
      <c r="H66" s="19">
        <f>F66*G66*0.229782749025847</f>
        <v>0</v>
      </c>
      <c r="I66" s="19">
        <f>F66*G66*(1-0.229782749025847)</f>
        <v>0</v>
      </c>
      <c r="J66" s="19">
        <f t="shared" si="8"/>
        <v>0</v>
      </c>
      <c r="K66" s="19">
        <v>0.01445</v>
      </c>
      <c r="L66" s="19">
        <f t="shared" si="15"/>
        <v>1.4399425</v>
      </c>
    </row>
    <row r="67" spans="1:12" ht="25.5">
      <c r="A67" s="17" t="s">
        <v>160</v>
      </c>
      <c r="B67" s="17"/>
      <c r="C67" s="17" t="s">
        <v>161</v>
      </c>
      <c r="D67" s="18" t="s">
        <v>162</v>
      </c>
      <c r="E67" s="17" t="s">
        <v>22</v>
      </c>
      <c r="F67" s="19">
        <v>99.65</v>
      </c>
      <c r="G67" s="19">
        <v>0</v>
      </c>
      <c r="H67" s="19">
        <f>F67*G67*0.204370395003481</f>
        <v>0</v>
      </c>
      <c r="I67" s="19">
        <f>F67*G67*(1-0.204370395003481)</f>
        <v>0</v>
      </c>
      <c r="J67" s="19">
        <f t="shared" si="8"/>
        <v>0</v>
      </c>
      <c r="K67" s="19">
        <v>0.001</v>
      </c>
      <c r="L67" s="19">
        <f t="shared" si="15"/>
        <v>0.09965</v>
      </c>
    </row>
    <row r="68" spans="1:12" ht="25.5">
      <c r="A68" s="17" t="s">
        <v>163</v>
      </c>
      <c r="B68" s="17"/>
      <c r="C68" s="17" t="s">
        <v>164</v>
      </c>
      <c r="D68" s="18" t="s">
        <v>165</v>
      </c>
      <c r="E68" s="17" t="s">
        <v>22</v>
      </c>
      <c r="F68" s="19">
        <v>0.75</v>
      </c>
      <c r="G68" s="19">
        <v>0</v>
      </c>
      <c r="H68" s="19">
        <f>F68*G68*0.202124524854878</f>
        <v>0</v>
      </c>
      <c r="I68" s="19">
        <f>F68*G68*(1-0.202124524854878)</f>
        <v>0</v>
      </c>
      <c r="J68" s="19">
        <f t="shared" si="8"/>
        <v>0</v>
      </c>
      <c r="K68" s="19">
        <v>0.01664</v>
      </c>
      <c r="L68" s="19">
        <f t="shared" si="15"/>
        <v>0.012479999999999998</v>
      </c>
    </row>
    <row r="69" spans="1:12" ht="25.5">
      <c r="A69" s="17" t="s">
        <v>166</v>
      </c>
      <c r="B69" s="17"/>
      <c r="C69" s="17" t="s">
        <v>167</v>
      </c>
      <c r="D69" s="18" t="s">
        <v>168</v>
      </c>
      <c r="E69" s="17" t="s">
        <v>22</v>
      </c>
      <c r="F69" s="19">
        <v>0.75</v>
      </c>
      <c r="G69" s="19">
        <v>0</v>
      </c>
      <c r="H69" s="19">
        <f>F69*G69*0.193711521547933</f>
        <v>0</v>
      </c>
      <c r="I69" s="19">
        <f>F69*G69*(1-0.193711521547933)</f>
        <v>0</v>
      </c>
      <c r="J69" s="19">
        <f t="shared" si="8"/>
        <v>0</v>
      </c>
      <c r="K69" s="19">
        <v>0.001</v>
      </c>
      <c r="L69" s="19">
        <f t="shared" si="15"/>
        <v>0.00075</v>
      </c>
    </row>
    <row r="70" spans="1:12" ht="25.5">
      <c r="A70" s="17" t="s">
        <v>169</v>
      </c>
      <c r="B70" s="17"/>
      <c r="C70" s="17" t="s">
        <v>170</v>
      </c>
      <c r="D70" s="18" t="s">
        <v>171</v>
      </c>
      <c r="E70" s="17" t="s">
        <v>53</v>
      </c>
      <c r="F70" s="19">
        <v>1.23</v>
      </c>
      <c r="G70" s="19">
        <v>0</v>
      </c>
      <c r="H70" s="19">
        <f>F70*G70*0.538270642127543</f>
        <v>0</v>
      </c>
      <c r="I70" s="19">
        <f>F70*G70*(1-0.538270642127543)</f>
        <v>0</v>
      </c>
      <c r="J70" s="19">
        <f aca="true" t="shared" si="16" ref="J70:J101">H70+I70</f>
        <v>0</v>
      </c>
      <c r="K70" s="19">
        <v>3.118</v>
      </c>
      <c r="L70" s="19">
        <f t="shared" si="15"/>
        <v>3.83514</v>
      </c>
    </row>
    <row r="71" spans="1:12" ht="25.5">
      <c r="A71" s="17" t="s">
        <v>172</v>
      </c>
      <c r="B71" s="17"/>
      <c r="C71" s="17" t="s">
        <v>173</v>
      </c>
      <c r="D71" s="18" t="s">
        <v>174</v>
      </c>
      <c r="E71" s="17" t="s">
        <v>53</v>
      </c>
      <c r="F71" s="19">
        <v>24.33</v>
      </c>
      <c r="G71" s="19">
        <v>0</v>
      </c>
      <c r="H71" s="19">
        <f>F71*G71*0.792671985326511</f>
        <v>0</v>
      </c>
      <c r="I71" s="19">
        <f>F71*G71*(1-0.792671985326511)</f>
        <v>0</v>
      </c>
      <c r="J71" s="19">
        <f t="shared" si="16"/>
        <v>0</v>
      </c>
      <c r="K71" s="19">
        <v>2.894</v>
      </c>
      <c r="L71" s="19">
        <f t="shared" si="15"/>
        <v>70.41102</v>
      </c>
    </row>
    <row r="72" spans="1:12" ht="25.5">
      <c r="A72" s="17" t="s">
        <v>175</v>
      </c>
      <c r="B72" s="17"/>
      <c r="C72" s="17" t="s">
        <v>155</v>
      </c>
      <c r="D72" s="18" t="s">
        <v>156</v>
      </c>
      <c r="E72" s="17" t="s">
        <v>153</v>
      </c>
      <c r="F72" s="19">
        <v>0.74</v>
      </c>
      <c r="G72" s="19">
        <v>0</v>
      </c>
      <c r="H72" s="19">
        <f>F72*G72*0.723615672751777</f>
        <v>0</v>
      </c>
      <c r="I72" s="19">
        <f>F72*G72*(1-0.723615672751777)</f>
        <v>0</v>
      </c>
      <c r="J72" s="19">
        <f t="shared" si="16"/>
        <v>0</v>
      </c>
      <c r="K72" s="19">
        <v>1.03</v>
      </c>
      <c r="L72" s="19">
        <f t="shared" si="15"/>
        <v>0.7622</v>
      </c>
    </row>
    <row r="73" spans="1:12" ht="25.5">
      <c r="A73" s="17" t="s">
        <v>176</v>
      </c>
      <c r="B73" s="17"/>
      <c r="C73" s="17" t="s">
        <v>173</v>
      </c>
      <c r="D73" s="18" t="s">
        <v>174</v>
      </c>
      <c r="E73" s="17" t="s">
        <v>53</v>
      </c>
      <c r="F73" s="19">
        <v>2.5</v>
      </c>
      <c r="G73" s="19">
        <v>0</v>
      </c>
      <c r="H73" s="19">
        <f>F73*G73*0.7926720959116</f>
        <v>0</v>
      </c>
      <c r="I73" s="19">
        <f>F73*G73*(1-0.7926720959116)</f>
        <v>0</v>
      </c>
      <c r="J73" s="19">
        <f t="shared" si="16"/>
        <v>0</v>
      </c>
      <c r="K73" s="19">
        <v>2.894</v>
      </c>
      <c r="L73" s="19">
        <f t="shared" si="15"/>
        <v>7.235</v>
      </c>
    </row>
    <row r="74" spans="1:12" ht="25.5">
      <c r="A74" s="17" t="s">
        <v>177</v>
      </c>
      <c r="B74" s="17"/>
      <c r="C74" s="17" t="s">
        <v>158</v>
      </c>
      <c r="D74" s="18" t="s">
        <v>159</v>
      </c>
      <c r="E74" s="17" t="s">
        <v>22</v>
      </c>
      <c r="F74" s="19">
        <v>18.48</v>
      </c>
      <c r="G74" s="19">
        <v>0</v>
      </c>
      <c r="H74" s="19">
        <f>F74*G74*0.229782428836564</f>
        <v>0</v>
      </c>
      <c r="I74" s="19">
        <f>F74*G74*(1-0.229782428836564)</f>
        <v>0</v>
      </c>
      <c r="J74" s="19">
        <f t="shared" si="16"/>
        <v>0</v>
      </c>
      <c r="K74" s="19">
        <v>0.01445</v>
      </c>
      <c r="L74" s="19">
        <f t="shared" si="15"/>
        <v>0.267036</v>
      </c>
    </row>
    <row r="75" spans="1:12" ht="25.5">
      <c r="A75" s="17" t="s">
        <v>178</v>
      </c>
      <c r="B75" s="17"/>
      <c r="C75" s="17" t="s">
        <v>161</v>
      </c>
      <c r="D75" s="18" t="s">
        <v>162</v>
      </c>
      <c r="E75" s="17" t="s">
        <v>22</v>
      </c>
      <c r="F75" s="19">
        <v>18.48</v>
      </c>
      <c r="G75" s="19">
        <v>0</v>
      </c>
      <c r="H75" s="19">
        <f>F75*G75*0.204371483648264</f>
        <v>0</v>
      </c>
      <c r="I75" s="19">
        <f>F75*G75*(1-0.204371483648264)</f>
        <v>0</v>
      </c>
      <c r="J75" s="19">
        <f t="shared" si="16"/>
        <v>0</v>
      </c>
      <c r="K75" s="19">
        <v>0.001</v>
      </c>
      <c r="L75" s="19">
        <f t="shared" si="15"/>
        <v>0.01848</v>
      </c>
    </row>
    <row r="76" spans="1:12" ht="25.5">
      <c r="A76" s="17" t="s">
        <v>179</v>
      </c>
      <c r="B76" s="17"/>
      <c r="C76" s="17" t="s">
        <v>155</v>
      </c>
      <c r="D76" s="18" t="s">
        <v>156</v>
      </c>
      <c r="E76" s="17" t="s">
        <v>153</v>
      </c>
      <c r="F76" s="19">
        <v>0.49</v>
      </c>
      <c r="G76" s="19">
        <v>0</v>
      </c>
      <c r="H76" s="19">
        <f>F76*G76*0.723615591035859</f>
        <v>0</v>
      </c>
      <c r="I76" s="19">
        <f>F76*G76*(1-0.723615591035859)</f>
        <v>0</v>
      </c>
      <c r="J76" s="19">
        <f t="shared" si="16"/>
        <v>0</v>
      </c>
      <c r="K76" s="19">
        <v>1.03</v>
      </c>
      <c r="L76" s="19">
        <f t="shared" si="15"/>
        <v>0.5047</v>
      </c>
    </row>
    <row r="77" spans="1:12" ht="25.5">
      <c r="A77" s="17" t="s">
        <v>180</v>
      </c>
      <c r="B77" s="17"/>
      <c r="C77" s="17" t="s">
        <v>173</v>
      </c>
      <c r="D77" s="18" t="s">
        <v>174</v>
      </c>
      <c r="E77" s="17" t="s">
        <v>53</v>
      </c>
      <c r="F77" s="19">
        <v>36.68</v>
      </c>
      <c r="G77" s="19">
        <v>0</v>
      </c>
      <c r="H77" s="19">
        <f>F77*G77*0.792672010298438</f>
        <v>0</v>
      </c>
      <c r="I77" s="19">
        <f>F77*G77*(1-0.792672010298438)</f>
        <v>0</v>
      </c>
      <c r="J77" s="19">
        <f t="shared" si="16"/>
        <v>0</v>
      </c>
      <c r="K77" s="19">
        <v>2.894</v>
      </c>
      <c r="L77" s="19">
        <f t="shared" si="15"/>
        <v>106.15192</v>
      </c>
    </row>
    <row r="78" spans="1:12" ht="25.5">
      <c r="A78" s="17" t="s">
        <v>181</v>
      </c>
      <c r="B78" s="17"/>
      <c r="C78" s="17" t="s">
        <v>170</v>
      </c>
      <c r="D78" s="18" t="s">
        <v>171</v>
      </c>
      <c r="E78" s="17" t="s">
        <v>53</v>
      </c>
      <c r="F78" s="19">
        <v>3.24</v>
      </c>
      <c r="G78" s="19">
        <v>0</v>
      </c>
      <c r="H78" s="19">
        <f>F78*G78*0.538270104355599</f>
        <v>0</v>
      </c>
      <c r="I78" s="19">
        <f>F78*G78*(1-0.538270104355599)</f>
        <v>0</v>
      </c>
      <c r="J78" s="19">
        <f t="shared" si="16"/>
        <v>0</v>
      </c>
      <c r="K78" s="19">
        <v>3.118</v>
      </c>
      <c r="L78" s="19">
        <f t="shared" si="15"/>
        <v>10.10232</v>
      </c>
    </row>
    <row r="79" spans="1:12" ht="25.5">
      <c r="A79" s="17" t="s">
        <v>182</v>
      </c>
      <c r="B79" s="17"/>
      <c r="C79" s="17" t="s">
        <v>155</v>
      </c>
      <c r="D79" s="18" t="s">
        <v>156</v>
      </c>
      <c r="E79" s="17" t="s">
        <v>153</v>
      </c>
      <c r="F79" s="19">
        <v>0.17</v>
      </c>
      <c r="G79" s="19">
        <v>0</v>
      </c>
      <c r="H79" s="19">
        <f>F79*G79*0.723615666921021</f>
        <v>0</v>
      </c>
      <c r="I79" s="19">
        <f>F79*G79*(1-0.723615666921021)</f>
        <v>0</v>
      </c>
      <c r="J79" s="19">
        <f t="shared" si="16"/>
        <v>0</v>
      </c>
      <c r="K79" s="19">
        <v>1.03</v>
      </c>
      <c r="L79" s="19">
        <f t="shared" si="15"/>
        <v>0.1751</v>
      </c>
    </row>
    <row r="80" spans="1:12" ht="25.5">
      <c r="A80" s="17" t="s">
        <v>183</v>
      </c>
      <c r="B80" s="17"/>
      <c r="C80" s="17" t="s">
        <v>184</v>
      </c>
      <c r="D80" s="18" t="s">
        <v>185</v>
      </c>
      <c r="E80" s="17" t="s">
        <v>153</v>
      </c>
      <c r="F80" s="19">
        <v>0.03</v>
      </c>
      <c r="G80" s="19">
        <v>0</v>
      </c>
      <c r="H80" s="19">
        <f>F80*G80*0.8158748701973</f>
        <v>0</v>
      </c>
      <c r="I80" s="19">
        <f>F80*G80*(1-0.8158748701973)</f>
        <v>0</v>
      </c>
      <c r="J80" s="19">
        <f t="shared" si="16"/>
        <v>0</v>
      </c>
      <c r="K80" s="19">
        <v>1.126</v>
      </c>
      <c r="L80" s="19">
        <f t="shared" si="15"/>
        <v>0.03378</v>
      </c>
    </row>
    <row r="81" spans="1:12" ht="25.5">
      <c r="A81" s="17" t="s">
        <v>186</v>
      </c>
      <c r="B81" s="17"/>
      <c r="C81" s="17" t="s">
        <v>155</v>
      </c>
      <c r="D81" s="18" t="s">
        <v>156</v>
      </c>
      <c r="E81" s="17" t="s">
        <v>153</v>
      </c>
      <c r="F81" s="19">
        <v>0.25</v>
      </c>
      <c r="G81" s="19">
        <v>0</v>
      </c>
      <c r="H81" s="19">
        <f>F81*G81*0.723615832914969</f>
        <v>0</v>
      </c>
      <c r="I81" s="19">
        <f>F81*G81*(1-0.723615832914969)</f>
        <v>0</v>
      </c>
      <c r="J81" s="19">
        <f t="shared" si="16"/>
        <v>0</v>
      </c>
      <c r="K81" s="19">
        <v>1.03</v>
      </c>
      <c r="L81" s="19">
        <f t="shared" si="15"/>
        <v>0.2575</v>
      </c>
    </row>
    <row r="82" spans="1:12" ht="25.5">
      <c r="A82" s="17" t="s">
        <v>187</v>
      </c>
      <c r="B82" s="17"/>
      <c r="C82" s="17" t="s">
        <v>158</v>
      </c>
      <c r="D82" s="18" t="s">
        <v>159</v>
      </c>
      <c r="E82" s="17" t="s">
        <v>22</v>
      </c>
      <c r="F82" s="19">
        <v>58.23</v>
      </c>
      <c r="G82" s="19">
        <v>0</v>
      </c>
      <c r="H82" s="19">
        <f>F82*G82*0.22978279999243</f>
        <v>0</v>
      </c>
      <c r="I82" s="19">
        <f>F82*G82*(1-0.22978279999243)</f>
        <v>0</v>
      </c>
      <c r="J82" s="19">
        <f t="shared" si="16"/>
        <v>0</v>
      </c>
      <c r="K82" s="19">
        <v>0.01445</v>
      </c>
      <c r="L82" s="19">
        <f t="shared" si="15"/>
        <v>0.8414234999999999</v>
      </c>
    </row>
    <row r="83" spans="1:12" ht="25.5">
      <c r="A83" s="17" t="s">
        <v>188</v>
      </c>
      <c r="B83" s="17"/>
      <c r="C83" s="17" t="s">
        <v>161</v>
      </c>
      <c r="D83" s="18" t="s">
        <v>162</v>
      </c>
      <c r="E83" s="17" t="s">
        <v>22</v>
      </c>
      <c r="F83" s="19">
        <v>58.23</v>
      </c>
      <c r="G83" s="19">
        <v>0</v>
      </c>
      <c r="H83" s="19">
        <f>F83*G83*0.204370280527407</f>
        <v>0</v>
      </c>
      <c r="I83" s="19">
        <f>F83*G83*(1-0.204370280527407)</f>
        <v>0</v>
      </c>
      <c r="J83" s="19">
        <f t="shared" si="16"/>
        <v>0</v>
      </c>
      <c r="K83" s="19">
        <v>0.001</v>
      </c>
      <c r="L83" s="19">
        <f t="shared" si="15"/>
        <v>0.05823</v>
      </c>
    </row>
    <row r="84" spans="1:12" ht="25.5">
      <c r="A84" s="17" t="s">
        <v>189</v>
      </c>
      <c r="B84" s="17"/>
      <c r="C84" s="17" t="s">
        <v>173</v>
      </c>
      <c r="D84" s="18" t="s">
        <v>174</v>
      </c>
      <c r="E84" s="17" t="s">
        <v>53</v>
      </c>
      <c r="F84" s="19">
        <v>11.57</v>
      </c>
      <c r="G84" s="19">
        <v>0</v>
      </c>
      <c r="H84" s="19">
        <f>F84*G84*0.792671998492014</f>
        <v>0</v>
      </c>
      <c r="I84" s="19">
        <f>F84*G84*(1-0.792671998492014)</f>
        <v>0</v>
      </c>
      <c r="J84" s="19">
        <f t="shared" si="16"/>
        <v>0</v>
      </c>
      <c r="K84" s="19">
        <v>2.894</v>
      </c>
      <c r="L84" s="19">
        <f t="shared" si="15"/>
        <v>33.48358</v>
      </c>
    </row>
    <row r="85" spans="1:12" ht="25.5">
      <c r="A85" s="17" t="s">
        <v>190</v>
      </c>
      <c r="B85" s="17"/>
      <c r="C85" s="17" t="s">
        <v>173</v>
      </c>
      <c r="D85" s="18" t="s">
        <v>174</v>
      </c>
      <c r="E85" s="17" t="s">
        <v>53</v>
      </c>
      <c r="F85" s="19">
        <v>9.89</v>
      </c>
      <c r="G85" s="19">
        <v>0</v>
      </c>
      <c r="H85" s="19">
        <f>F85*G85*0.79267215364362</f>
        <v>0</v>
      </c>
      <c r="I85" s="19">
        <f>F85*G85*(1-0.79267215364362)</f>
        <v>0</v>
      </c>
      <c r="J85" s="19">
        <f t="shared" si="16"/>
        <v>0</v>
      </c>
      <c r="K85" s="19">
        <v>2.894</v>
      </c>
      <c r="L85" s="19">
        <f t="shared" si="15"/>
        <v>28.621660000000002</v>
      </c>
    </row>
    <row r="86" spans="1:12" ht="25.5">
      <c r="A86" s="17" t="s">
        <v>191</v>
      </c>
      <c r="B86" s="17"/>
      <c r="C86" s="17" t="s">
        <v>192</v>
      </c>
      <c r="D86" s="18" t="s">
        <v>193</v>
      </c>
      <c r="E86" s="17" t="s">
        <v>53</v>
      </c>
      <c r="F86" s="19">
        <v>5.63</v>
      </c>
      <c r="G86" s="19">
        <v>0</v>
      </c>
      <c r="H86" s="19">
        <f>F86*G86*0.530113204628614</f>
        <v>0</v>
      </c>
      <c r="I86" s="19">
        <f>F86*G86*(1-0.530113204628614)</f>
        <v>0</v>
      </c>
      <c r="J86" s="19">
        <f t="shared" si="16"/>
        <v>0</v>
      </c>
      <c r="K86" s="19">
        <v>2.883</v>
      </c>
      <c r="L86" s="19">
        <f t="shared" si="15"/>
        <v>16.23129</v>
      </c>
    </row>
    <row r="87" spans="1:12" ht="25.5">
      <c r="A87" s="17" t="s">
        <v>194</v>
      </c>
      <c r="B87" s="17"/>
      <c r="C87" s="17" t="s">
        <v>173</v>
      </c>
      <c r="D87" s="18" t="s">
        <v>174</v>
      </c>
      <c r="E87" s="17" t="s">
        <v>53</v>
      </c>
      <c r="F87" s="19">
        <v>1.47</v>
      </c>
      <c r="G87" s="19">
        <v>0</v>
      </c>
      <c r="H87" s="19">
        <f>F87*G87*0.792671264504789</f>
        <v>0</v>
      </c>
      <c r="I87" s="19">
        <f>F87*G87*(1-0.792671264504789)</f>
        <v>0</v>
      </c>
      <c r="J87" s="19">
        <f t="shared" si="16"/>
        <v>0</v>
      </c>
      <c r="K87" s="19">
        <v>2.894</v>
      </c>
      <c r="L87" s="19">
        <f t="shared" si="15"/>
        <v>4.25418</v>
      </c>
    </row>
    <row r="88" spans="1:12" ht="25.5">
      <c r="A88" s="17" t="s">
        <v>195</v>
      </c>
      <c r="B88" s="17"/>
      <c r="C88" s="17" t="s">
        <v>173</v>
      </c>
      <c r="D88" s="18" t="s">
        <v>174</v>
      </c>
      <c r="E88" s="17" t="s">
        <v>53</v>
      </c>
      <c r="F88" s="19">
        <v>6.21</v>
      </c>
      <c r="G88" s="19">
        <v>0</v>
      </c>
      <c r="H88" s="19">
        <f>F88*G88*0.79267221104461</f>
        <v>0</v>
      </c>
      <c r="I88" s="19">
        <f>F88*G88*(1-0.79267221104461)</f>
        <v>0</v>
      </c>
      <c r="J88" s="19">
        <f t="shared" si="16"/>
        <v>0</v>
      </c>
      <c r="K88" s="19">
        <v>2.894</v>
      </c>
      <c r="L88" s="19">
        <f t="shared" si="15"/>
        <v>17.97174</v>
      </c>
    </row>
    <row r="89" spans="1:12" ht="24.75" customHeight="1">
      <c r="A89" s="20"/>
      <c r="B89" s="20"/>
      <c r="C89" s="21" t="s">
        <v>132</v>
      </c>
      <c r="D89" s="54" t="s">
        <v>196</v>
      </c>
      <c r="E89" s="54"/>
      <c r="F89" s="54"/>
      <c r="G89" s="54"/>
      <c r="H89" s="22">
        <f>SUM(H90:H96)</f>
        <v>0</v>
      </c>
      <c r="I89" s="22">
        <f>SUM(I90:I96)</f>
        <v>0</v>
      </c>
      <c r="J89" s="22">
        <f t="shared" si="16"/>
        <v>0</v>
      </c>
      <c r="K89" s="23"/>
      <c r="L89" s="22">
        <f>SUM(L90:L96)</f>
        <v>312.96162</v>
      </c>
    </row>
    <row r="90" spans="1:12" ht="25.5">
      <c r="A90" s="17" t="s">
        <v>197</v>
      </c>
      <c r="B90" s="17"/>
      <c r="C90" s="17" t="s">
        <v>198</v>
      </c>
      <c r="D90" s="18" t="s">
        <v>199</v>
      </c>
      <c r="E90" s="17" t="s">
        <v>53</v>
      </c>
      <c r="F90" s="19">
        <v>9.26</v>
      </c>
      <c r="G90" s="19">
        <v>0</v>
      </c>
      <c r="H90" s="19">
        <f>F90*G90*0.871961388302579</f>
        <v>0</v>
      </c>
      <c r="I90" s="19">
        <f>F90*G90*(1-0.871961388302579)</f>
        <v>0</v>
      </c>
      <c r="J90" s="19">
        <f t="shared" si="16"/>
        <v>0</v>
      </c>
      <c r="K90" s="19">
        <v>2.355</v>
      </c>
      <c r="L90" s="19">
        <f aca="true" t="shared" si="17" ref="L90:L96">F90*K90</f>
        <v>21.807299999999998</v>
      </c>
    </row>
    <row r="91" spans="1:12" ht="25.5">
      <c r="A91" s="17" t="s">
        <v>200</v>
      </c>
      <c r="B91" s="17"/>
      <c r="C91" s="17" t="s">
        <v>201</v>
      </c>
      <c r="D91" s="18" t="s">
        <v>202</v>
      </c>
      <c r="E91" s="17" t="s">
        <v>22</v>
      </c>
      <c r="F91" s="19">
        <v>10.58</v>
      </c>
      <c r="G91" s="19">
        <v>0</v>
      </c>
      <c r="H91" s="19">
        <f>F91*G91*0.235800331525571</f>
        <v>0</v>
      </c>
      <c r="I91" s="19">
        <f>F91*G91*(1-0.235800331525571)</f>
        <v>0</v>
      </c>
      <c r="J91" s="19">
        <f t="shared" si="16"/>
        <v>0</v>
      </c>
      <c r="K91" s="19">
        <v>0.004</v>
      </c>
      <c r="L91" s="19">
        <f t="shared" si="17"/>
        <v>0.04232</v>
      </c>
    </row>
    <row r="92" spans="1:12" ht="25.5">
      <c r="A92" s="17" t="s">
        <v>203</v>
      </c>
      <c r="B92" s="17"/>
      <c r="C92" s="17" t="s">
        <v>204</v>
      </c>
      <c r="D92" s="18" t="s">
        <v>205</v>
      </c>
      <c r="E92" s="17" t="s">
        <v>22</v>
      </c>
      <c r="F92" s="19">
        <v>30.4</v>
      </c>
      <c r="G92" s="19">
        <v>0</v>
      </c>
      <c r="H92" s="19">
        <f>F92*G92*0.840990246225278</f>
        <v>0</v>
      </c>
      <c r="I92" s="19">
        <f>F92*G92*(1-0.840990246225278)</f>
        <v>0</v>
      </c>
      <c r="J92" s="19">
        <f t="shared" si="16"/>
        <v>0</v>
      </c>
      <c r="K92" s="19">
        <v>0.496</v>
      </c>
      <c r="L92" s="19">
        <f t="shared" si="17"/>
        <v>15.078399999999998</v>
      </c>
    </row>
    <row r="93" spans="1:12" ht="25.5">
      <c r="A93" s="17" t="s">
        <v>206</v>
      </c>
      <c r="B93" s="17"/>
      <c r="C93" s="17" t="s">
        <v>207</v>
      </c>
      <c r="D93" s="18" t="s">
        <v>208</v>
      </c>
      <c r="E93" s="17" t="s">
        <v>22</v>
      </c>
      <c r="F93" s="19">
        <v>797</v>
      </c>
      <c r="G93" s="19">
        <v>0</v>
      </c>
      <c r="H93" s="19">
        <f>F93*G93*0.0806045340050378</f>
        <v>0</v>
      </c>
      <c r="I93" s="19">
        <f>F93*G93*(1-0.0806045340050378)</f>
        <v>0</v>
      </c>
      <c r="J93" s="19">
        <f t="shared" si="16"/>
        <v>0</v>
      </c>
      <c r="K93" s="19">
        <v>0</v>
      </c>
      <c r="L93" s="19">
        <f t="shared" si="17"/>
        <v>0</v>
      </c>
    </row>
    <row r="94" spans="1:12" ht="25.5">
      <c r="A94" s="17" t="s">
        <v>209</v>
      </c>
      <c r="B94" s="17"/>
      <c r="C94" s="17" t="s">
        <v>210</v>
      </c>
      <c r="D94" s="18" t="s">
        <v>211</v>
      </c>
      <c r="E94" s="17" t="s">
        <v>53</v>
      </c>
      <c r="F94" s="19">
        <v>139.2</v>
      </c>
      <c r="G94" s="19">
        <v>0</v>
      </c>
      <c r="H94" s="19">
        <f>F94*G94*0.928516751997324</f>
        <v>0</v>
      </c>
      <c r="I94" s="19">
        <f>F94*G94*(1-0.928516751997324)</f>
        <v>0</v>
      </c>
      <c r="J94" s="19">
        <f t="shared" si="16"/>
        <v>0</v>
      </c>
      <c r="K94" s="19">
        <v>1.89</v>
      </c>
      <c r="L94" s="19">
        <f t="shared" si="17"/>
        <v>263.08799999999997</v>
      </c>
    </row>
    <row r="95" spans="1:12" ht="25.5">
      <c r="A95" s="17" t="s">
        <v>212</v>
      </c>
      <c r="B95" s="17"/>
      <c r="C95" s="17" t="s">
        <v>204</v>
      </c>
      <c r="D95" s="18" t="s">
        <v>205</v>
      </c>
      <c r="E95" s="17" t="s">
        <v>22</v>
      </c>
      <c r="F95" s="19">
        <v>8.1</v>
      </c>
      <c r="G95" s="19">
        <v>0</v>
      </c>
      <c r="H95" s="19">
        <f>F95*G95*0.840991094084283</f>
        <v>0</v>
      </c>
      <c r="I95" s="19">
        <f>F95*G95*(1-0.840991094084283)</f>
        <v>0</v>
      </c>
      <c r="J95" s="19">
        <f t="shared" si="16"/>
        <v>0</v>
      </c>
      <c r="K95" s="19">
        <v>0.496</v>
      </c>
      <c r="L95" s="19">
        <f t="shared" si="17"/>
        <v>4.0176</v>
      </c>
    </row>
    <row r="96" spans="1:12" ht="25.5">
      <c r="A96" s="17" t="s">
        <v>213</v>
      </c>
      <c r="B96" s="17"/>
      <c r="C96" s="17" t="s">
        <v>204</v>
      </c>
      <c r="D96" s="18" t="s">
        <v>205</v>
      </c>
      <c r="E96" s="17" t="s">
        <v>22</v>
      </c>
      <c r="F96" s="19">
        <v>18</v>
      </c>
      <c r="G96" s="19">
        <v>0</v>
      </c>
      <c r="H96" s="19">
        <f>F96*G96*0.840990424605861</f>
        <v>0</v>
      </c>
      <c r="I96" s="19">
        <f>F96*G96*(1-0.840990424605861)</f>
        <v>0</v>
      </c>
      <c r="J96" s="19">
        <f t="shared" si="16"/>
        <v>0</v>
      </c>
      <c r="K96" s="19">
        <v>0.496</v>
      </c>
      <c r="L96" s="19">
        <f t="shared" si="17"/>
        <v>8.928</v>
      </c>
    </row>
    <row r="97" spans="1:12" ht="12.75" customHeight="1">
      <c r="A97" s="20"/>
      <c r="B97" s="20"/>
      <c r="C97" s="21" t="s">
        <v>135</v>
      </c>
      <c r="D97" s="54" t="s">
        <v>214</v>
      </c>
      <c r="E97" s="54"/>
      <c r="F97" s="54"/>
      <c r="G97" s="54"/>
      <c r="H97" s="22">
        <f>SUM(H98:H109)</f>
        <v>0</v>
      </c>
      <c r="I97" s="22">
        <f>SUM(I98:I109)</f>
        <v>0</v>
      </c>
      <c r="J97" s="22">
        <f t="shared" si="16"/>
        <v>0</v>
      </c>
      <c r="K97" s="23"/>
      <c r="L97" s="22">
        <f>SUM(L98:L109)</f>
        <v>2106.7397</v>
      </c>
    </row>
    <row r="98" spans="1:12" ht="25.5">
      <c r="A98" s="17" t="s">
        <v>215</v>
      </c>
      <c r="B98" s="17"/>
      <c r="C98" s="17" t="s">
        <v>216</v>
      </c>
      <c r="D98" s="18" t="s">
        <v>217</v>
      </c>
      <c r="E98" s="17" t="s">
        <v>22</v>
      </c>
      <c r="F98" s="19">
        <v>30.4</v>
      </c>
      <c r="G98" s="19">
        <v>0</v>
      </c>
      <c r="H98" s="19">
        <f>F98*G98*0.624845940189354</f>
        <v>0</v>
      </c>
      <c r="I98" s="19">
        <f>F98*G98*(1-0.624845940189354)</f>
        <v>0</v>
      </c>
      <c r="J98" s="19">
        <f t="shared" si="16"/>
        <v>0</v>
      </c>
      <c r="K98" s="19">
        <v>0.788</v>
      </c>
      <c r="L98" s="19">
        <f aca="true" t="shared" si="18" ref="L98:L109">F98*K98</f>
        <v>23.9552</v>
      </c>
    </row>
    <row r="99" spans="1:12" ht="25.5">
      <c r="A99" s="17" t="s">
        <v>218</v>
      </c>
      <c r="B99" s="17"/>
      <c r="C99" s="17" t="s">
        <v>219</v>
      </c>
      <c r="D99" s="18" t="s">
        <v>220</v>
      </c>
      <c r="E99" s="17" t="s">
        <v>53</v>
      </c>
      <c r="F99" s="19">
        <v>454.8</v>
      </c>
      <c r="G99" s="19">
        <v>0</v>
      </c>
      <c r="H99" s="19">
        <f>F99*G99*0.833268636174961</f>
        <v>0</v>
      </c>
      <c r="I99" s="19">
        <f>F99*G99*(1-0.833268636174961)</f>
        <v>0</v>
      </c>
      <c r="J99" s="19">
        <f t="shared" si="16"/>
        <v>0</v>
      </c>
      <c r="K99" s="19">
        <v>2.122</v>
      </c>
      <c r="L99" s="19">
        <f t="shared" si="18"/>
        <v>965.0856</v>
      </c>
    </row>
    <row r="100" spans="1:12" ht="25.5">
      <c r="A100" s="17" t="s">
        <v>221</v>
      </c>
      <c r="B100" s="17"/>
      <c r="C100" s="17" t="s">
        <v>222</v>
      </c>
      <c r="D100" s="18" t="s">
        <v>223</v>
      </c>
      <c r="E100" s="17" t="s">
        <v>22</v>
      </c>
      <c r="F100" s="19">
        <v>412.8</v>
      </c>
      <c r="G100" s="19">
        <v>0</v>
      </c>
      <c r="H100" s="19">
        <f>F100*G100*0</f>
        <v>0</v>
      </c>
      <c r="I100" s="19">
        <f>F100*G100*(1-0)</f>
        <v>0</v>
      </c>
      <c r="J100" s="19">
        <f t="shared" si="16"/>
        <v>0</v>
      </c>
      <c r="K100" s="19">
        <v>0</v>
      </c>
      <c r="L100" s="19">
        <f t="shared" si="18"/>
        <v>0</v>
      </c>
    </row>
    <row r="101" spans="1:12" ht="25.5">
      <c r="A101" s="17" t="s">
        <v>224</v>
      </c>
      <c r="B101" s="17"/>
      <c r="C101" s="17" t="s">
        <v>225</v>
      </c>
      <c r="D101" s="18" t="s">
        <v>226</v>
      </c>
      <c r="E101" s="17" t="s">
        <v>53</v>
      </c>
      <c r="F101" s="19">
        <v>199.5</v>
      </c>
      <c r="G101" s="19">
        <v>0</v>
      </c>
      <c r="H101" s="19">
        <f>F101*G101*0.87864404249221</f>
        <v>0</v>
      </c>
      <c r="I101" s="19">
        <f>F101*G101*(1-0.87864404249221)</f>
        <v>0</v>
      </c>
      <c r="J101" s="19">
        <f t="shared" si="16"/>
        <v>0</v>
      </c>
      <c r="K101" s="19">
        <v>2.16</v>
      </c>
      <c r="L101" s="19">
        <f t="shared" si="18"/>
        <v>430.92</v>
      </c>
    </row>
    <row r="102" spans="1:12" ht="25.5">
      <c r="A102" s="17" t="s">
        <v>227</v>
      </c>
      <c r="B102" s="17"/>
      <c r="C102" s="17" t="s">
        <v>219</v>
      </c>
      <c r="D102" s="18" t="s">
        <v>220</v>
      </c>
      <c r="E102" s="17" t="s">
        <v>53</v>
      </c>
      <c r="F102" s="19">
        <v>226.4</v>
      </c>
      <c r="G102" s="19">
        <v>0</v>
      </c>
      <c r="H102" s="19">
        <f>F102*G102*0.833268636139061</f>
        <v>0</v>
      </c>
      <c r="I102" s="19">
        <f>F102*G102*(1-0.833268636139061)</f>
        <v>0</v>
      </c>
      <c r="J102" s="19">
        <f aca="true" t="shared" si="19" ref="J102:J133">H102+I102</f>
        <v>0</v>
      </c>
      <c r="K102" s="19">
        <v>2.122</v>
      </c>
      <c r="L102" s="19">
        <f t="shared" si="18"/>
        <v>480.4208</v>
      </c>
    </row>
    <row r="103" spans="1:12" ht="25.5">
      <c r="A103" s="17" t="s">
        <v>228</v>
      </c>
      <c r="B103" s="17"/>
      <c r="C103" s="17" t="s">
        <v>222</v>
      </c>
      <c r="D103" s="18" t="s">
        <v>223</v>
      </c>
      <c r="E103" s="17" t="s">
        <v>22</v>
      </c>
      <c r="F103" s="19">
        <v>566</v>
      </c>
      <c r="G103" s="19">
        <v>0</v>
      </c>
      <c r="H103" s="19">
        <f>F103*G103*0</f>
        <v>0</v>
      </c>
      <c r="I103" s="19">
        <f>F103*G103*(1-0)</f>
        <v>0</v>
      </c>
      <c r="J103" s="19">
        <f t="shared" si="19"/>
        <v>0</v>
      </c>
      <c r="K103" s="19">
        <v>0</v>
      </c>
      <c r="L103" s="19">
        <f t="shared" si="18"/>
        <v>0</v>
      </c>
    </row>
    <row r="104" spans="1:12" ht="12.75">
      <c r="A104" s="17" t="s">
        <v>229</v>
      </c>
      <c r="B104" s="17"/>
      <c r="C104" s="17" t="s">
        <v>230</v>
      </c>
      <c r="D104" s="18" t="s">
        <v>231</v>
      </c>
      <c r="E104" s="17" t="s">
        <v>53</v>
      </c>
      <c r="F104" s="19">
        <v>17</v>
      </c>
      <c r="G104" s="19">
        <v>0</v>
      </c>
      <c r="H104" s="19">
        <f>F104*G104*0.861629546773471</f>
        <v>0</v>
      </c>
      <c r="I104" s="19">
        <f>F104*G104*(1-0.861629546773471)</f>
        <v>0</v>
      </c>
      <c r="J104" s="19">
        <f t="shared" si="19"/>
        <v>0</v>
      </c>
      <c r="K104" s="19">
        <v>2.482</v>
      </c>
      <c r="L104" s="19">
        <f t="shared" si="18"/>
        <v>42.194</v>
      </c>
    </row>
    <row r="105" spans="1:12" ht="25.5">
      <c r="A105" s="17" t="s">
        <v>232</v>
      </c>
      <c r="B105" s="17"/>
      <c r="C105" s="17" t="s">
        <v>216</v>
      </c>
      <c r="D105" s="18" t="s">
        <v>217</v>
      </c>
      <c r="E105" s="17" t="s">
        <v>22</v>
      </c>
      <c r="F105" s="19">
        <v>8.1</v>
      </c>
      <c r="G105" s="19">
        <v>0</v>
      </c>
      <c r="H105" s="19">
        <f>F105*G105*0.624846180197387</f>
        <v>0</v>
      </c>
      <c r="I105" s="19">
        <f>F105*G105*(1-0.624846180197387)</f>
        <v>0</v>
      </c>
      <c r="J105" s="19">
        <f t="shared" si="19"/>
        <v>0</v>
      </c>
      <c r="K105" s="19">
        <v>0.788</v>
      </c>
      <c r="L105" s="19">
        <f t="shared" si="18"/>
        <v>6.3828</v>
      </c>
    </row>
    <row r="106" spans="1:12" ht="25.5">
      <c r="A106" s="17" t="s">
        <v>233</v>
      </c>
      <c r="B106" s="17"/>
      <c r="C106" s="17" t="s">
        <v>234</v>
      </c>
      <c r="D106" s="18" t="s">
        <v>235</v>
      </c>
      <c r="E106" s="17" t="s">
        <v>22</v>
      </c>
      <c r="F106" s="19">
        <v>129.45</v>
      </c>
      <c r="G106" s="19">
        <v>0</v>
      </c>
      <c r="H106" s="19">
        <f>F106*G106*0.742688456310449</f>
        <v>0</v>
      </c>
      <c r="I106" s="19">
        <f>F106*G106*(1-0.742688456310449)</f>
        <v>0</v>
      </c>
      <c r="J106" s="19">
        <f t="shared" si="19"/>
        <v>0</v>
      </c>
      <c r="K106" s="19">
        <v>0.824</v>
      </c>
      <c r="L106" s="19">
        <f t="shared" si="18"/>
        <v>106.66679999999998</v>
      </c>
    </row>
    <row r="107" spans="1:12" ht="25.5">
      <c r="A107" s="17" t="s">
        <v>236</v>
      </c>
      <c r="B107" s="17"/>
      <c r="C107" s="17" t="s">
        <v>234</v>
      </c>
      <c r="D107" s="18" t="s">
        <v>235</v>
      </c>
      <c r="E107" s="17" t="s">
        <v>22</v>
      </c>
      <c r="F107" s="19">
        <v>18</v>
      </c>
      <c r="G107" s="19">
        <v>0</v>
      </c>
      <c r="H107" s="19">
        <f>F107*G107*0.742688468218741</f>
        <v>0</v>
      </c>
      <c r="I107" s="19">
        <f>F107*G107*(1-0.742688468218741)</f>
        <v>0</v>
      </c>
      <c r="J107" s="19">
        <f t="shared" si="19"/>
        <v>0</v>
      </c>
      <c r="K107" s="19">
        <v>0.824</v>
      </c>
      <c r="L107" s="19">
        <f t="shared" si="18"/>
        <v>14.831999999999999</v>
      </c>
    </row>
    <row r="108" spans="1:12" ht="25.5">
      <c r="A108" s="17" t="s">
        <v>237</v>
      </c>
      <c r="B108" s="17"/>
      <c r="C108" s="17" t="s">
        <v>219</v>
      </c>
      <c r="D108" s="18" t="s">
        <v>220</v>
      </c>
      <c r="E108" s="17" t="s">
        <v>53</v>
      </c>
      <c r="F108" s="19">
        <v>11.25</v>
      </c>
      <c r="G108" s="19">
        <v>0</v>
      </c>
      <c r="H108" s="19">
        <f>F108*G108*0.833268986546319</f>
        <v>0</v>
      </c>
      <c r="I108" s="19">
        <f>F108*G108*(1-0.833268986546319)</f>
        <v>0</v>
      </c>
      <c r="J108" s="19">
        <f t="shared" si="19"/>
        <v>0</v>
      </c>
      <c r="K108" s="19">
        <v>2.122</v>
      </c>
      <c r="L108" s="19">
        <f t="shared" si="18"/>
        <v>23.8725</v>
      </c>
    </row>
    <row r="109" spans="1:12" ht="12.75">
      <c r="A109" s="17" t="s">
        <v>238</v>
      </c>
      <c r="B109" s="17"/>
      <c r="C109" s="17" t="s">
        <v>230</v>
      </c>
      <c r="D109" s="18" t="s">
        <v>231</v>
      </c>
      <c r="E109" s="17" t="s">
        <v>53</v>
      </c>
      <c r="F109" s="19">
        <v>5</v>
      </c>
      <c r="G109" s="19">
        <v>0</v>
      </c>
      <c r="H109" s="19">
        <f>F109*G109*0.861629546773471</f>
        <v>0</v>
      </c>
      <c r="I109" s="19">
        <f>F109*G109*(1-0.861629546773471)</f>
        <v>0</v>
      </c>
      <c r="J109" s="19">
        <f t="shared" si="19"/>
        <v>0</v>
      </c>
      <c r="K109" s="19">
        <v>2.482</v>
      </c>
      <c r="L109" s="19">
        <f t="shared" si="18"/>
        <v>12.41</v>
      </c>
    </row>
    <row r="110" spans="1:12" ht="12.75" customHeight="1">
      <c r="A110" s="20"/>
      <c r="B110" s="20"/>
      <c r="C110" s="21" t="s">
        <v>239</v>
      </c>
      <c r="D110" s="54" t="s">
        <v>240</v>
      </c>
      <c r="E110" s="54"/>
      <c r="F110" s="54"/>
      <c r="G110" s="54"/>
      <c r="H110" s="22">
        <f>SUM(H111:H112)</f>
        <v>0</v>
      </c>
      <c r="I110" s="22">
        <f>SUM(I111:I112)</f>
        <v>0</v>
      </c>
      <c r="J110" s="22">
        <f t="shared" si="19"/>
        <v>0</v>
      </c>
      <c r="K110" s="23"/>
      <c r="L110" s="22">
        <f>SUM(L111:L112)</f>
        <v>0.0057599999999999995</v>
      </c>
    </row>
    <row r="111" spans="1:12" ht="25.5">
      <c r="A111" s="17" t="s">
        <v>241</v>
      </c>
      <c r="B111" s="17"/>
      <c r="C111" s="17" t="s">
        <v>242</v>
      </c>
      <c r="D111" s="18" t="s">
        <v>243</v>
      </c>
      <c r="E111" s="17" t="s">
        <v>22</v>
      </c>
      <c r="F111" s="19">
        <v>8</v>
      </c>
      <c r="G111" s="19">
        <v>0</v>
      </c>
      <c r="H111" s="19">
        <f>F111*G111*0.451832079592332</f>
        <v>0</v>
      </c>
      <c r="I111" s="19">
        <f>F111*G111*(1-0.451832079592332)</f>
        <v>0</v>
      </c>
      <c r="J111" s="19">
        <f t="shared" si="19"/>
        <v>0</v>
      </c>
      <c r="K111" s="19">
        <v>0.0006</v>
      </c>
      <c r="L111" s="19">
        <f>F111*K111</f>
        <v>0.0048</v>
      </c>
    </row>
    <row r="112" spans="1:12" ht="25.5">
      <c r="A112" s="17" t="s">
        <v>244</v>
      </c>
      <c r="B112" s="17"/>
      <c r="C112" s="17" t="s">
        <v>245</v>
      </c>
      <c r="D112" s="18" t="s">
        <v>246</v>
      </c>
      <c r="E112" s="17" t="s">
        <v>22</v>
      </c>
      <c r="F112" s="19">
        <v>8</v>
      </c>
      <c r="G112" s="19">
        <v>0</v>
      </c>
      <c r="H112" s="19">
        <f>F112*G112*0.480077120822622</f>
        <v>0</v>
      </c>
      <c r="I112" s="19">
        <f>F112*G112*(1-0.480077120822622)</f>
        <v>0</v>
      </c>
      <c r="J112" s="19">
        <f t="shared" si="19"/>
        <v>0</v>
      </c>
      <c r="K112" s="19">
        <v>0.00012</v>
      </c>
      <c r="L112" s="19">
        <f>F112*K112</f>
        <v>0.00096</v>
      </c>
    </row>
    <row r="113" spans="1:12" ht="12.75" customHeight="1">
      <c r="A113" s="20"/>
      <c r="B113" s="20"/>
      <c r="C113" s="21" t="s">
        <v>209</v>
      </c>
      <c r="D113" s="54" t="s">
        <v>247</v>
      </c>
      <c r="E113" s="54"/>
      <c r="F113" s="54"/>
      <c r="G113" s="54"/>
      <c r="H113" s="22">
        <f>SUM(H114:H114)</f>
        <v>0</v>
      </c>
      <c r="I113" s="22">
        <f>SUM(I114:I114)</f>
        <v>0</v>
      </c>
      <c r="J113" s="22">
        <f t="shared" si="19"/>
        <v>0</v>
      </c>
      <c r="K113" s="23"/>
      <c r="L113" s="22">
        <f>SUM(L114:L114)</f>
        <v>0</v>
      </c>
    </row>
    <row r="114" spans="1:12" ht="25.5">
      <c r="A114" s="17" t="s">
        <v>248</v>
      </c>
      <c r="B114" s="17"/>
      <c r="C114" s="17" t="s">
        <v>249</v>
      </c>
      <c r="D114" s="18" t="s">
        <v>250</v>
      </c>
      <c r="E114" s="17" t="s">
        <v>251</v>
      </c>
      <c r="F114" s="19">
        <v>28</v>
      </c>
      <c r="G114" s="19">
        <v>0</v>
      </c>
      <c r="H114" s="19">
        <f>F114*G114*0.000545217494370037</f>
        <v>0</v>
      </c>
      <c r="I114" s="19">
        <f>F114*G114*(1-0.000545217494370037)</f>
        <v>0</v>
      </c>
      <c r="J114" s="19">
        <f t="shared" si="19"/>
        <v>0</v>
      </c>
      <c r="K114" s="19">
        <v>0</v>
      </c>
      <c r="L114" s="19">
        <f>F114*K114</f>
        <v>0</v>
      </c>
    </row>
    <row r="115" spans="1:12" ht="12.75" customHeight="1">
      <c r="A115" s="20"/>
      <c r="B115" s="20"/>
      <c r="C115" s="21" t="s">
        <v>212</v>
      </c>
      <c r="D115" s="54" t="s">
        <v>252</v>
      </c>
      <c r="E115" s="54"/>
      <c r="F115" s="54"/>
      <c r="G115" s="54"/>
      <c r="H115" s="22">
        <f>SUM(H116:H116)</f>
        <v>0</v>
      </c>
      <c r="I115" s="22">
        <f>SUM(I116:I116)</f>
        <v>0</v>
      </c>
      <c r="J115" s="22">
        <f t="shared" si="19"/>
        <v>0</v>
      </c>
      <c r="K115" s="23"/>
      <c r="L115" s="22">
        <f>SUM(L116:L116)</f>
        <v>0</v>
      </c>
    </row>
    <row r="116" spans="1:12" ht="25.5">
      <c r="A116" s="17" t="s">
        <v>253</v>
      </c>
      <c r="B116" s="17"/>
      <c r="C116" s="17" t="s">
        <v>254</v>
      </c>
      <c r="D116" s="18" t="s">
        <v>255</v>
      </c>
      <c r="E116" s="17" t="s">
        <v>29</v>
      </c>
      <c r="F116" s="19">
        <v>1</v>
      </c>
      <c r="G116" s="19">
        <v>0</v>
      </c>
      <c r="H116" s="19">
        <f>F116*G116*0</f>
        <v>0</v>
      </c>
      <c r="I116" s="19">
        <f>F116*G116*(1-0)</f>
        <v>0</v>
      </c>
      <c r="J116" s="19">
        <f t="shared" si="19"/>
        <v>0</v>
      </c>
      <c r="K116" s="19">
        <v>0</v>
      </c>
      <c r="L116" s="19">
        <f>F116*K116</f>
        <v>0</v>
      </c>
    </row>
    <row r="117" spans="1:12" ht="12.75" customHeight="1">
      <c r="A117" s="20"/>
      <c r="B117" s="20"/>
      <c r="C117" s="21" t="s">
        <v>224</v>
      </c>
      <c r="D117" s="54" t="s">
        <v>256</v>
      </c>
      <c r="E117" s="54"/>
      <c r="F117" s="54"/>
      <c r="G117" s="54"/>
      <c r="H117" s="22">
        <f>SUM(H118:H118)</f>
        <v>0</v>
      </c>
      <c r="I117" s="22">
        <f>SUM(I118:I118)</f>
        <v>0</v>
      </c>
      <c r="J117" s="22">
        <f t="shared" si="19"/>
        <v>0</v>
      </c>
      <c r="K117" s="23"/>
      <c r="L117" s="22">
        <f>SUM(L118:L118)</f>
        <v>0</v>
      </c>
    </row>
    <row r="118" spans="1:12" ht="25.5">
      <c r="A118" s="17" t="s">
        <v>257</v>
      </c>
      <c r="B118" s="17"/>
      <c r="C118" s="17" t="s">
        <v>258</v>
      </c>
      <c r="D118" s="18" t="s">
        <v>259</v>
      </c>
      <c r="E118" s="17" t="s">
        <v>251</v>
      </c>
      <c r="F118" s="19">
        <v>120</v>
      </c>
      <c r="G118" s="19">
        <v>0</v>
      </c>
      <c r="H118" s="19">
        <f>F118*G118*0</f>
        <v>0</v>
      </c>
      <c r="I118" s="19">
        <f>F118*G118*(1-0)</f>
        <v>0</v>
      </c>
      <c r="J118" s="19">
        <f t="shared" si="19"/>
        <v>0</v>
      </c>
      <c r="K118" s="19">
        <v>0</v>
      </c>
      <c r="L118" s="19">
        <f>F118*K118</f>
        <v>0</v>
      </c>
    </row>
    <row r="119" spans="1:12" ht="12.75" customHeight="1">
      <c r="A119" s="20"/>
      <c r="B119" s="20"/>
      <c r="C119" s="21" t="s">
        <v>228</v>
      </c>
      <c r="D119" s="54" t="s">
        <v>260</v>
      </c>
      <c r="E119" s="54"/>
      <c r="F119" s="54"/>
      <c r="G119" s="54"/>
      <c r="H119" s="22">
        <f>SUM(H120:H123)</f>
        <v>0</v>
      </c>
      <c r="I119" s="22">
        <f>SUM(I120:I123)</f>
        <v>0</v>
      </c>
      <c r="J119" s="22">
        <f t="shared" si="19"/>
        <v>0</v>
      </c>
      <c r="K119" s="23"/>
      <c r="L119" s="22">
        <f>SUM(L120:L123)</f>
        <v>65.09787999999999</v>
      </c>
    </row>
    <row r="120" spans="1:12" ht="25.5">
      <c r="A120" s="17" t="s">
        <v>261</v>
      </c>
      <c r="B120" s="17"/>
      <c r="C120" s="17" t="s">
        <v>262</v>
      </c>
      <c r="D120" s="18" t="s">
        <v>263</v>
      </c>
      <c r="E120" s="17" t="s">
        <v>29</v>
      </c>
      <c r="F120" s="19">
        <v>32</v>
      </c>
      <c r="G120" s="19">
        <v>0</v>
      </c>
      <c r="H120" s="19">
        <f>F120*G120*0.593456186536292</f>
        <v>0</v>
      </c>
      <c r="I120" s="19">
        <f>F120*G120*(1-0.593456186536292)</f>
        <v>0</v>
      </c>
      <c r="J120" s="19">
        <f t="shared" si="19"/>
        <v>0</v>
      </c>
      <c r="K120" s="19">
        <v>0.002</v>
      </c>
      <c r="L120" s="19">
        <f>F120*K120</f>
        <v>0.064</v>
      </c>
    </row>
    <row r="121" spans="1:12" ht="25.5">
      <c r="A121" s="17" t="s">
        <v>264</v>
      </c>
      <c r="B121" s="17"/>
      <c r="C121" s="17" t="s">
        <v>265</v>
      </c>
      <c r="D121" s="18" t="s">
        <v>266</v>
      </c>
      <c r="E121" s="17" t="s">
        <v>53</v>
      </c>
      <c r="F121" s="19">
        <v>26.6</v>
      </c>
      <c r="G121" s="19">
        <v>0</v>
      </c>
      <c r="H121" s="19">
        <f>F121*G121*0.898859698028577</f>
        <v>0</v>
      </c>
      <c r="I121" s="19">
        <f>F121*G121*(1-0.898859698028577)</f>
        <v>0</v>
      </c>
      <c r="J121" s="19">
        <f t="shared" si="19"/>
        <v>0</v>
      </c>
      <c r="K121" s="19">
        <v>2.436</v>
      </c>
      <c r="L121" s="19">
        <f>F121*K121</f>
        <v>64.7976</v>
      </c>
    </row>
    <row r="122" spans="1:12" ht="25.5">
      <c r="A122" s="17" t="s">
        <v>267</v>
      </c>
      <c r="B122" s="17"/>
      <c r="C122" s="17" t="s">
        <v>268</v>
      </c>
      <c r="D122" s="18" t="s">
        <v>269</v>
      </c>
      <c r="E122" s="17" t="s">
        <v>22</v>
      </c>
      <c r="F122" s="19">
        <v>56.07</v>
      </c>
      <c r="G122" s="19">
        <v>0</v>
      </c>
      <c r="H122" s="19">
        <f>F122*G122*0.198212109856785</f>
        <v>0</v>
      </c>
      <c r="I122" s="19">
        <f>F122*G122*(1-0.198212109856785)</f>
        <v>0</v>
      </c>
      <c r="J122" s="19">
        <f t="shared" si="19"/>
        <v>0</v>
      </c>
      <c r="K122" s="19">
        <v>0.004</v>
      </c>
      <c r="L122" s="19">
        <f>F122*K122</f>
        <v>0.22428</v>
      </c>
    </row>
    <row r="123" spans="1:12" ht="25.5">
      <c r="A123" s="17" t="s">
        <v>270</v>
      </c>
      <c r="B123" s="17"/>
      <c r="C123" s="17" t="s">
        <v>262</v>
      </c>
      <c r="D123" s="18" t="s">
        <v>263</v>
      </c>
      <c r="E123" s="17" t="s">
        <v>29</v>
      </c>
      <c r="F123" s="19">
        <v>6</v>
      </c>
      <c r="G123" s="19">
        <v>0</v>
      </c>
      <c r="H123" s="19">
        <f>F123*G123*0.593456186536292</f>
        <v>0</v>
      </c>
      <c r="I123" s="19">
        <f>F123*G123*(1-0.593456186536292)</f>
        <v>0</v>
      </c>
      <c r="J123" s="19">
        <f t="shared" si="19"/>
        <v>0</v>
      </c>
      <c r="K123" s="19">
        <v>0.002</v>
      </c>
      <c r="L123" s="19">
        <f>F123*K123</f>
        <v>0.012</v>
      </c>
    </row>
    <row r="124" spans="1:12" ht="12.75" customHeight="1">
      <c r="A124" s="20"/>
      <c r="B124" s="20"/>
      <c r="C124" s="21" t="s">
        <v>236</v>
      </c>
      <c r="D124" s="54" t="s">
        <v>271</v>
      </c>
      <c r="E124" s="54"/>
      <c r="F124" s="54"/>
      <c r="G124" s="54"/>
      <c r="H124" s="22">
        <f>SUM(H125:H126)</f>
        <v>0</v>
      </c>
      <c r="I124" s="22">
        <f>SUM(I125:I126)</f>
        <v>0</v>
      </c>
      <c r="J124" s="22">
        <f t="shared" si="19"/>
        <v>0</v>
      </c>
      <c r="K124" s="23"/>
      <c r="L124" s="22">
        <f>SUM(L125:L126)</f>
        <v>0.1806</v>
      </c>
    </row>
    <row r="125" spans="1:12" ht="12.75">
      <c r="A125" s="17" t="s">
        <v>272</v>
      </c>
      <c r="B125" s="17"/>
      <c r="C125" s="17" t="s">
        <v>273</v>
      </c>
      <c r="D125" s="18" t="s">
        <v>274</v>
      </c>
      <c r="E125" s="17" t="s">
        <v>22</v>
      </c>
      <c r="F125" s="19">
        <v>2.6</v>
      </c>
      <c r="G125" s="19">
        <v>0</v>
      </c>
      <c r="H125" s="19">
        <f>F125*G125*0.589946087572405</f>
        <v>0</v>
      </c>
      <c r="I125" s="19">
        <f>F125*G125*(1-0.589946087572405)</f>
        <v>0</v>
      </c>
      <c r="J125" s="19">
        <f t="shared" si="19"/>
        <v>0</v>
      </c>
      <c r="K125" s="19">
        <v>0.042</v>
      </c>
      <c r="L125" s="19">
        <f>F125*K125</f>
        <v>0.1092</v>
      </c>
    </row>
    <row r="126" spans="1:12" ht="12.75">
      <c r="A126" s="17" t="s">
        <v>275</v>
      </c>
      <c r="B126" s="17"/>
      <c r="C126" s="17" t="s">
        <v>273</v>
      </c>
      <c r="D126" s="18" t="s">
        <v>274</v>
      </c>
      <c r="E126" s="17" t="s">
        <v>22</v>
      </c>
      <c r="F126" s="19">
        <v>1.7</v>
      </c>
      <c r="G126" s="19">
        <v>0</v>
      </c>
      <c r="H126" s="19">
        <f>F126*G126*0.589947921598333</f>
        <v>0</v>
      </c>
      <c r="I126" s="19">
        <f>F126*G126*(1-0.589947921598333)</f>
        <v>0</v>
      </c>
      <c r="J126" s="19">
        <f t="shared" si="19"/>
        <v>0</v>
      </c>
      <c r="K126" s="19">
        <v>0.042</v>
      </c>
      <c r="L126" s="19">
        <f>F126*K126</f>
        <v>0.0714</v>
      </c>
    </row>
    <row r="127" spans="1:12" ht="12.75" customHeight="1">
      <c r="A127" s="20"/>
      <c r="B127" s="20"/>
      <c r="C127" s="21" t="s">
        <v>237</v>
      </c>
      <c r="D127" s="54" t="s">
        <v>276</v>
      </c>
      <c r="E127" s="54"/>
      <c r="F127" s="54"/>
      <c r="G127" s="54"/>
      <c r="H127" s="22">
        <f>SUM(H128:H131)</f>
        <v>0</v>
      </c>
      <c r="I127" s="22">
        <f>SUM(I128:I131)</f>
        <v>0</v>
      </c>
      <c r="J127" s="22">
        <f t="shared" si="19"/>
        <v>0</v>
      </c>
      <c r="K127" s="23"/>
      <c r="L127" s="22">
        <f>SUM(L128:L131)</f>
        <v>2.1750407999999997</v>
      </c>
    </row>
    <row r="128" spans="1:12" ht="25.5">
      <c r="A128" s="17" t="s">
        <v>277</v>
      </c>
      <c r="B128" s="17"/>
      <c r="C128" s="17" t="s">
        <v>278</v>
      </c>
      <c r="D128" s="18" t="s">
        <v>279</v>
      </c>
      <c r="E128" s="17" t="s">
        <v>22</v>
      </c>
      <c r="F128" s="19">
        <v>50.76</v>
      </c>
      <c r="G128" s="19">
        <v>0</v>
      </c>
      <c r="H128" s="19">
        <f>F128*G128*0.000409508629792154</f>
        <v>0</v>
      </c>
      <c r="I128" s="19">
        <f>F128*G128*(1-0.000409508629792154)</f>
        <v>0</v>
      </c>
      <c r="J128" s="19">
        <f t="shared" si="19"/>
        <v>0</v>
      </c>
      <c r="K128" s="19">
        <v>0.03338</v>
      </c>
      <c r="L128" s="19">
        <f>F128*K128</f>
        <v>1.6943688</v>
      </c>
    </row>
    <row r="129" spans="1:12" ht="25.5">
      <c r="A129" s="17" t="s">
        <v>280</v>
      </c>
      <c r="B129" s="17"/>
      <c r="C129" s="17" t="s">
        <v>281</v>
      </c>
      <c r="D129" s="18" t="s">
        <v>282</v>
      </c>
      <c r="E129" s="17" t="s">
        <v>22</v>
      </c>
      <c r="F129" s="19">
        <v>50.76</v>
      </c>
      <c r="G129" s="19">
        <v>0</v>
      </c>
      <c r="H129" s="19">
        <f>F129*G129*0</f>
        <v>0</v>
      </c>
      <c r="I129" s="19">
        <f>F129*G129*(1-0)</f>
        <v>0</v>
      </c>
      <c r="J129" s="19">
        <f t="shared" si="19"/>
        <v>0</v>
      </c>
      <c r="K129" s="19">
        <v>0</v>
      </c>
      <c r="L129" s="19">
        <f>F129*K129</f>
        <v>0</v>
      </c>
    </row>
    <row r="130" spans="1:12" ht="25.5">
      <c r="A130" s="17" t="s">
        <v>283</v>
      </c>
      <c r="B130" s="17"/>
      <c r="C130" s="17" t="s">
        <v>278</v>
      </c>
      <c r="D130" s="18" t="s">
        <v>279</v>
      </c>
      <c r="E130" s="17" t="s">
        <v>22</v>
      </c>
      <c r="F130" s="19">
        <v>14.4</v>
      </c>
      <c r="G130" s="19">
        <v>0</v>
      </c>
      <c r="H130" s="19">
        <f>F130*G130*0.000410410268747966</f>
        <v>0</v>
      </c>
      <c r="I130" s="19">
        <f>F130*G130*(1-0.000410410268747966)</f>
        <v>0</v>
      </c>
      <c r="J130" s="19">
        <f t="shared" si="19"/>
        <v>0</v>
      </c>
      <c r="K130" s="19">
        <v>0.03338</v>
      </c>
      <c r="L130" s="19">
        <f>F130*K130</f>
        <v>0.480672</v>
      </c>
    </row>
    <row r="131" spans="1:12" ht="25.5">
      <c r="A131" s="17" t="s">
        <v>284</v>
      </c>
      <c r="B131" s="17"/>
      <c r="C131" s="17" t="s">
        <v>281</v>
      </c>
      <c r="D131" s="18" t="s">
        <v>282</v>
      </c>
      <c r="E131" s="17" t="s">
        <v>22</v>
      </c>
      <c r="F131" s="19">
        <v>14.4</v>
      </c>
      <c r="G131" s="19">
        <v>0</v>
      </c>
      <c r="H131" s="19">
        <f>F131*G131*0</f>
        <v>0</v>
      </c>
      <c r="I131" s="19">
        <f>F131*G131*(1-0)</f>
        <v>0</v>
      </c>
      <c r="J131" s="19">
        <f t="shared" si="19"/>
        <v>0</v>
      </c>
      <c r="K131" s="19">
        <v>0</v>
      </c>
      <c r="L131" s="19">
        <f>F131*K131</f>
        <v>0</v>
      </c>
    </row>
    <row r="132" spans="1:12" ht="12.75" customHeight="1">
      <c r="A132" s="20"/>
      <c r="B132" s="20"/>
      <c r="C132" s="21" t="s">
        <v>238</v>
      </c>
      <c r="D132" s="54" t="s">
        <v>285</v>
      </c>
      <c r="E132" s="54"/>
      <c r="F132" s="54"/>
      <c r="G132" s="54"/>
      <c r="H132" s="22">
        <f>SUM(H133:H136)</f>
        <v>0</v>
      </c>
      <c r="I132" s="22">
        <f>SUM(I133:I136)</f>
        <v>0</v>
      </c>
      <c r="J132" s="22">
        <f t="shared" si="19"/>
        <v>0</v>
      </c>
      <c r="K132" s="23"/>
      <c r="L132" s="22">
        <f>SUM(L133:L136)</f>
        <v>0</v>
      </c>
    </row>
    <row r="133" spans="1:12" ht="25.5">
      <c r="A133" s="17" t="s">
        <v>286</v>
      </c>
      <c r="B133" s="17"/>
      <c r="C133" s="17" t="s">
        <v>287</v>
      </c>
      <c r="D133" s="18" t="s">
        <v>288</v>
      </c>
      <c r="E133" s="17" t="s">
        <v>29</v>
      </c>
      <c r="F133" s="19">
        <v>4</v>
      </c>
      <c r="G133" s="19">
        <v>0</v>
      </c>
      <c r="H133" s="19">
        <f>F133*G133*0.0644939730073148</f>
        <v>0</v>
      </c>
      <c r="I133" s="19">
        <f>F133*G133*(1-0.0644939730073148)</f>
        <v>0</v>
      </c>
      <c r="J133" s="19">
        <f t="shared" si="19"/>
        <v>0</v>
      </c>
      <c r="K133" s="19">
        <v>0</v>
      </c>
      <c r="L133" s="19">
        <f>F133*K133</f>
        <v>0</v>
      </c>
    </row>
    <row r="134" spans="1:12" ht="25.5">
      <c r="A134" s="17" t="s">
        <v>289</v>
      </c>
      <c r="B134" s="17"/>
      <c r="C134" s="17" t="s">
        <v>287</v>
      </c>
      <c r="D134" s="18" t="s">
        <v>288</v>
      </c>
      <c r="E134" s="17" t="s">
        <v>29</v>
      </c>
      <c r="F134" s="19">
        <v>1</v>
      </c>
      <c r="G134" s="19">
        <v>0</v>
      </c>
      <c r="H134" s="19">
        <f>F134*G134*0.0644939730073148</f>
        <v>0</v>
      </c>
      <c r="I134" s="19">
        <f>F134*G134*(1-0.0644939730073148)</f>
        <v>0</v>
      </c>
      <c r="J134" s="19">
        <f aca="true" t="shared" si="20" ref="J134:J152">H134+I134</f>
        <v>0</v>
      </c>
      <c r="K134" s="19">
        <v>0</v>
      </c>
      <c r="L134" s="19">
        <f>F134*K134</f>
        <v>0</v>
      </c>
    </row>
    <row r="135" spans="1:12" ht="25.5">
      <c r="A135" s="17" t="s">
        <v>290</v>
      </c>
      <c r="B135" s="17"/>
      <c r="C135" s="17" t="s">
        <v>287</v>
      </c>
      <c r="D135" s="18" t="s">
        <v>288</v>
      </c>
      <c r="E135" s="17" t="s">
        <v>29</v>
      </c>
      <c r="F135" s="19">
        <v>1</v>
      </c>
      <c r="G135" s="19">
        <v>0</v>
      </c>
      <c r="H135" s="19">
        <f>F135*G135*0.0644939730073148</f>
        <v>0</v>
      </c>
      <c r="I135" s="19">
        <f>F135*G135*(1-0.0644939730073148)</f>
        <v>0</v>
      </c>
      <c r="J135" s="19">
        <f t="shared" si="20"/>
        <v>0</v>
      </c>
      <c r="K135" s="19">
        <v>0</v>
      </c>
      <c r="L135" s="19">
        <f>F135*K135</f>
        <v>0</v>
      </c>
    </row>
    <row r="136" spans="1:12" ht="25.5">
      <c r="A136" s="17" t="s">
        <v>291</v>
      </c>
      <c r="B136" s="17"/>
      <c r="C136" s="17" t="s">
        <v>287</v>
      </c>
      <c r="D136" s="18" t="s">
        <v>288</v>
      </c>
      <c r="E136" s="17" t="s">
        <v>29</v>
      </c>
      <c r="F136" s="19">
        <v>3</v>
      </c>
      <c r="G136" s="19">
        <v>0</v>
      </c>
      <c r="H136" s="19">
        <f>F136*G136*0.0644939730073148</f>
        <v>0</v>
      </c>
      <c r="I136" s="19">
        <f>F136*G136*(1-0.0644939730073148)</f>
        <v>0</v>
      </c>
      <c r="J136" s="19">
        <f t="shared" si="20"/>
        <v>0</v>
      </c>
      <c r="K136" s="19">
        <v>0</v>
      </c>
      <c r="L136" s="19">
        <f>F136*K136</f>
        <v>0</v>
      </c>
    </row>
    <row r="137" spans="1:12" ht="12.75" customHeight="1">
      <c r="A137" s="20"/>
      <c r="B137" s="20"/>
      <c r="C137" s="21" t="s">
        <v>292</v>
      </c>
      <c r="D137" s="54" t="s">
        <v>293</v>
      </c>
      <c r="E137" s="54"/>
      <c r="F137" s="54"/>
      <c r="G137" s="54"/>
      <c r="H137" s="22">
        <f>SUM(H138:H138)</f>
        <v>0</v>
      </c>
      <c r="I137" s="22">
        <f>SUM(I138:I138)</f>
        <v>0</v>
      </c>
      <c r="J137" s="22">
        <f t="shared" si="20"/>
        <v>0</v>
      </c>
      <c r="K137" s="23"/>
      <c r="L137" s="22">
        <f>SUM(L138:L138)</f>
        <v>0</v>
      </c>
    </row>
    <row r="138" spans="1:12" ht="25.5">
      <c r="A138" s="17" t="s">
        <v>294</v>
      </c>
      <c r="B138" s="17"/>
      <c r="C138" s="17" t="s">
        <v>295</v>
      </c>
      <c r="D138" s="18" t="s">
        <v>296</v>
      </c>
      <c r="E138" s="17" t="s">
        <v>153</v>
      </c>
      <c r="F138" s="19">
        <v>2824.9091</v>
      </c>
      <c r="G138" s="19">
        <v>0</v>
      </c>
      <c r="H138" s="19">
        <f>F138*G138*0</f>
        <v>0</v>
      </c>
      <c r="I138" s="19">
        <f>F138*G138*(1-0)</f>
        <v>0</v>
      </c>
      <c r="J138" s="19">
        <f t="shared" si="20"/>
        <v>0</v>
      </c>
      <c r="K138" s="19">
        <v>0</v>
      </c>
      <c r="L138" s="19">
        <f>F138*K138</f>
        <v>0</v>
      </c>
    </row>
    <row r="139" spans="1:12" ht="12.75" customHeight="1">
      <c r="A139" s="20"/>
      <c r="B139" s="20"/>
      <c r="C139" s="21"/>
      <c r="D139" s="54" t="s">
        <v>297</v>
      </c>
      <c r="E139" s="54"/>
      <c r="F139" s="54"/>
      <c r="G139" s="54"/>
      <c r="H139" s="22">
        <f>SUM(H140:H152)</f>
        <v>0</v>
      </c>
      <c r="I139" s="22">
        <f>SUM(I140:I152)</f>
        <v>0</v>
      </c>
      <c r="J139" s="22">
        <f t="shared" si="20"/>
        <v>0</v>
      </c>
      <c r="K139" s="23"/>
      <c r="L139" s="22">
        <f>SUM(L140:L152)</f>
        <v>33.861</v>
      </c>
    </row>
    <row r="140" spans="1:12" ht="12.75">
      <c r="A140" s="17" t="s">
        <v>298</v>
      </c>
      <c r="B140" s="17"/>
      <c r="C140" s="17" t="s">
        <v>299</v>
      </c>
      <c r="D140" s="18" t="s">
        <v>300</v>
      </c>
      <c r="E140" s="17" t="s">
        <v>301</v>
      </c>
      <c r="F140" s="19">
        <v>4</v>
      </c>
      <c r="G140" s="19">
        <v>0</v>
      </c>
      <c r="H140" s="19">
        <f aca="true" t="shared" si="21" ref="H140:H152">F140*G140*1</f>
        <v>0</v>
      </c>
      <c r="I140" s="19">
        <f aca="true" t="shared" si="22" ref="I140:I152">F140*G140*(1-1)</f>
        <v>0</v>
      </c>
      <c r="J140" s="19">
        <f t="shared" si="20"/>
        <v>0</v>
      </c>
      <c r="K140" s="19">
        <v>0.05</v>
      </c>
      <c r="L140" s="19">
        <f aca="true" t="shared" si="23" ref="L140:L152">F140*K140</f>
        <v>0.2</v>
      </c>
    </row>
    <row r="141" spans="1:12" ht="12.75">
      <c r="A141" s="17" t="s">
        <v>302</v>
      </c>
      <c r="B141" s="17"/>
      <c r="C141" s="17" t="s">
        <v>303</v>
      </c>
      <c r="D141" s="18" t="s">
        <v>304</v>
      </c>
      <c r="E141" s="17" t="s">
        <v>301</v>
      </c>
      <c r="F141" s="19">
        <v>1</v>
      </c>
      <c r="G141" s="19">
        <v>0</v>
      </c>
      <c r="H141" s="19">
        <f t="shared" si="21"/>
        <v>0</v>
      </c>
      <c r="I141" s="19">
        <f t="shared" si="22"/>
        <v>0</v>
      </c>
      <c r="J141" s="19">
        <f t="shared" si="20"/>
        <v>0</v>
      </c>
      <c r="K141" s="19">
        <v>0</v>
      </c>
      <c r="L141" s="19">
        <f t="shared" si="23"/>
        <v>0</v>
      </c>
    </row>
    <row r="142" spans="1:12" ht="25.5">
      <c r="A142" s="17" t="s">
        <v>305</v>
      </c>
      <c r="B142" s="17"/>
      <c r="C142" s="17" t="s">
        <v>306</v>
      </c>
      <c r="D142" s="18" t="s">
        <v>307</v>
      </c>
      <c r="E142" s="17" t="s">
        <v>301</v>
      </c>
      <c r="F142" s="19">
        <v>1</v>
      </c>
      <c r="G142" s="19">
        <v>0</v>
      </c>
      <c r="H142" s="19">
        <f t="shared" si="21"/>
        <v>0</v>
      </c>
      <c r="I142" s="19">
        <f t="shared" si="22"/>
        <v>0</v>
      </c>
      <c r="J142" s="19">
        <f t="shared" si="20"/>
        <v>0</v>
      </c>
      <c r="K142" s="19">
        <v>0</v>
      </c>
      <c r="L142" s="19">
        <f t="shared" si="23"/>
        <v>0</v>
      </c>
    </row>
    <row r="143" spans="1:12" ht="12.75">
      <c r="A143" s="17" t="s">
        <v>308</v>
      </c>
      <c r="B143" s="17"/>
      <c r="C143" s="17" t="s">
        <v>309</v>
      </c>
      <c r="D143" s="18" t="s">
        <v>310</v>
      </c>
      <c r="E143" s="17" t="s">
        <v>301</v>
      </c>
      <c r="F143" s="19">
        <v>1</v>
      </c>
      <c r="G143" s="19">
        <v>0</v>
      </c>
      <c r="H143" s="19">
        <f t="shared" si="21"/>
        <v>0</v>
      </c>
      <c r="I143" s="19">
        <f t="shared" si="22"/>
        <v>0</v>
      </c>
      <c r="J143" s="19">
        <f t="shared" si="20"/>
        <v>0</v>
      </c>
      <c r="K143" s="19">
        <v>0.05</v>
      </c>
      <c r="L143" s="19">
        <f t="shared" si="23"/>
        <v>0.05</v>
      </c>
    </row>
    <row r="144" spans="1:12" ht="12.75">
      <c r="A144" s="17" t="s">
        <v>311</v>
      </c>
      <c r="B144" s="17"/>
      <c r="C144" s="17" t="s">
        <v>312</v>
      </c>
      <c r="D144" s="18" t="s">
        <v>313</v>
      </c>
      <c r="E144" s="17" t="s">
        <v>301</v>
      </c>
      <c r="F144" s="19">
        <v>1</v>
      </c>
      <c r="G144" s="19">
        <v>0</v>
      </c>
      <c r="H144" s="19">
        <f t="shared" si="21"/>
        <v>0</v>
      </c>
      <c r="I144" s="19">
        <f t="shared" si="22"/>
        <v>0</v>
      </c>
      <c r="J144" s="19">
        <f t="shared" si="20"/>
        <v>0</v>
      </c>
      <c r="K144" s="19">
        <v>0.02</v>
      </c>
      <c r="L144" s="19">
        <f t="shared" si="23"/>
        <v>0.02</v>
      </c>
    </row>
    <row r="145" spans="1:12" ht="12.75">
      <c r="A145" s="17" t="s">
        <v>314</v>
      </c>
      <c r="B145" s="17"/>
      <c r="C145" s="17" t="s">
        <v>315</v>
      </c>
      <c r="D145" s="18" t="s">
        <v>316</v>
      </c>
      <c r="E145" s="17" t="s">
        <v>301</v>
      </c>
      <c r="F145" s="19">
        <v>12</v>
      </c>
      <c r="G145" s="19">
        <v>0</v>
      </c>
      <c r="H145" s="19">
        <f t="shared" si="21"/>
        <v>0</v>
      </c>
      <c r="I145" s="19">
        <f t="shared" si="22"/>
        <v>0</v>
      </c>
      <c r="J145" s="19">
        <f t="shared" si="20"/>
        <v>0</v>
      </c>
      <c r="K145" s="19">
        <v>2.56</v>
      </c>
      <c r="L145" s="19">
        <f t="shared" si="23"/>
        <v>30.72</v>
      </c>
    </row>
    <row r="146" spans="1:12" ht="25.5">
      <c r="A146" s="17" t="s">
        <v>317</v>
      </c>
      <c r="B146" s="17"/>
      <c r="C146" s="17" t="s">
        <v>318</v>
      </c>
      <c r="D146" s="18" t="s">
        <v>319</v>
      </c>
      <c r="E146" s="17" t="s">
        <v>22</v>
      </c>
      <c r="F146" s="19">
        <v>797</v>
      </c>
      <c r="G146" s="19">
        <v>0</v>
      </c>
      <c r="H146" s="19">
        <f t="shared" si="21"/>
        <v>0</v>
      </c>
      <c r="I146" s="19">
        <f t="shared" si="22"/>
        <v>0</v>
      </c>
      <c r="J146" s="19">
        <f t="shared" si="20"/>
        <v>0</v>
      </c>
      <c r="K146" s="19">
        <v>0.0005</v>
      </c>
      <c r="L146" s="19">
        <f t="shared" si="23"/>
        <v>0.3985</v>
      </c>
    </row>
    <row r="147" spans="1:12" ht="12.75">
      <c r="A147" s="17" t="s">
        <v>320</v>
      </c>
      <c r="B147" s="17"/>
      <c r="C147" s="17" t="s">
        <v>299</v>
      </c>
      <c r="D147" s="18" t="s">
        <v>300</v>
      </c>
      <c r="E147" s="17" t="s">
        <v>301</v>
      </c>
      <c r="F147" s="19">
        <v>2</v>
      </c>
      <c r="G147" s="19">
        <v>0</v>
      </c>
      <c r="H147" s="19">
        <f t="shared" si="21"/>
        <v>0</v>
      </c>
      <c r="I147" s="19">
        <f t="shared" si="22"/>
        <v>0</v>
      </c>
      <c r="J147" s="19">
        <f t="shared" si="20"/>
        <v>0</v>
      </c>
      <c r="K147" s="19">
        <v>0.05</v>
      </c>
      <c r="L147" s="19">
        <f t="shared" si="23"/>
        <v>0.1</v>
      </c>
    </row>
    <row r="148" spans="1:12" ht="12.75">
      <c r="A148" s="17" t="s">
        <v>321</v>
      </c>
      <c r="B148" s="17"/>
      <c r="C148" s="17" t="s">
        <v>322</v>
      </c>
      <c r="D148" s="18" t="s">
        <v>323</v>
      </c>
      <c r="E148" s="17" t="s">
        <v>301</v>
      </c>
      <c r="F148" s="19">
        <v>2</v>
      </c>
      <c r="G148" s="19">
        <v>0</v>
      </c>
      <c r="H148" s="19">
        <f t="shared" si="21"/>
        <v>0</v>
      </c>
      <c r="I148" s="19">
        <f t="shared" si="22"/>
        <v>0</v>
      </c>
      <c r="J148" s="19">
        <f t="shared" si="20"/>
        <v>0</v>
      </c>
      <c r="K148" s="19">
        <v>0.03</v>
      </c>
      <c r="L148" s="19">
        <f t="shared" si="23"/>
        <v>0.06</v>
      </c>
    </row>
    <row r="149" spans="1:12" ht="12.75">
      <c r="A149" s="17" t="s">
        <v>324</v>
      </c>
      <c r="B149" s="17"/>
      <c r="C149" s="17" t="s">
        <v>312</v>
      </c>
      <c r="D149" s="18" t="s">
        <v>313</v>
      </c>
      <c r="E149" s="17" t="s">
        <v>301</v>
      </c>
      <c r="F149" s="19">
        <v>1</v>
      </c>
      <c r="G149" s="19">
        <v>0</v>
      </c>
      <c r="H149" s="19">
        <f t="shared" si="21"/>
        <v>0</v>
      </c>
      <c r="I149" s="19">
        <f t="shared" si="22"/>
        <v>0</v>
      </c>
      <c r="J149" s="19">
        <f t="shared" si="20"/>
        <v>0</v>
      </c>
      <c r="K149" s="19">
        <v>0.02</v>
      </c>
      <c r="L149" s="19">
        <f t="shared" si="23"/>
        <v>0.02</v>
      </c>
    </row>
    <row r="150" spans="1:12" ht="12.75">
      <c r="A150" s="17" t="s">
        <v>325</v>
      </c>
      <c r="B150" s="17"/>
      <c r="C150" s="17" t="s">
        <v>326</v>
      </c>
      <c r="D150" s="18" t="s">
        <v>327</v>
      </c>
      <c r="E150" s="17" t="s">
        <v>301</v>
      </c>
      <c r="F150" s="19">
        <v>24</v>
      </c>
      <c r="G150" s="19">
        <v>0</v>
      </c>
      <c r="H150" s="19">
        <f t="shared" si="21"/>
        <v>0</v>
      </c>
      <c r="I150" s="19">
        <f t="shared" si="22"/>
        <v>0</v>
      </c>
      <c r="J150" s="19">
        <f t="shared" si="20"/>
        <v>0</v>
      </c>
      <c r="K150" s="19">
        <v>0.09</v>
      </c>
      <c r="L150" s="19">
        <f t="shared" si="23"/>
        <v>2.16</v>
      </c>
    </row>
    <row r="151" spans="1:12" ht="12.75">
      <c r="A151" s="17" t="s">
        <v>328</v>
      </c>
      <c r="B151" s="17"/>
      <c r="C151" s="17" t="s">
        <v>329</v>
      </c>
      <c r="D151" s="18" t="s">
        <v>330</v>
      </c>
      <c r="E151" s="17" t="s">
        <v>251</v>
      </c>
      <c r="F151" s="19">
        <v>12.5</v>
      </c>
      <c r="G151" s="19">
        <v>0</v>
      </c>
      <c r="H151" s="19">
        <f t="shared" si="21"/>
        <v>0</v>
      </c>
      <c r="I151" s="19">
        <f t="shared" si="22"/>
        <v>0</v>
      </c>
      <c r="J151" s="19">
        <f t="shared" si="20"/>
        <v>0</v>
      </c>
      <c r="K151" s="19">
        <v>0.001</v>
      </c>
      <c r="L151" s="19">
        <f t="shared" si="23"/>
        <v>0.0125</v>
      </c>
    </row>
    <row r="152" spans="1:12" ht="12.75">
      <c r="A152" s="17" t="s">
        <v>331</v>
      </c>
      <c r="B152" s="17"/>
      <c r="C152" s="17" t="s">
        <v>332</v>
      </c>
      <c r="D152" s="18" t="s">
        <v>333</v>
      </c>
      <c r="E152" s="17" t="s">
        <v>251</v>
      </c>
      <c r="F152" s="19">
        <v>120</v>
      </c>
      <c r="G152" s="19">
        <v>0</v>
      </c>
      <c r="H152" s="19">
        <f t="shared" si="21"/>
        <v>0</v>
      </c>
      <c r="I152" s="19">
        <f t="shared" si="22"/>
        <v>0</v>
      </c>
      <c r="J152" s="19">
        <f t="shared" si="20"/>
        <v>0</v>
      </c>
      <c r="K152" s="19">
        <v>0.001</v>
      </c>
      <c r="L152" s="19">
        <f t="shared" si="23"/>
        <v>0.12</v>
      </c>
    </row>
    <row r="153" spans="1:12" ht="12.75">
      <c r="A153" s="24"/>
      <c r="B153" s="24"/>
      <c r="C153" s="24"/>
      <c r="D153" s="24"/>
      <c r="E153" s="24"/>
      <c r="F153" s="24"/>
      <c r="G153" s="24"/>
      <c r="H153" s="52" t="s">
        <v>334</v>
      </c>
      <c r="I153" s="52"/>
      <c r="J153" s="25">
        <f>J6+J16+J23+J40+J50+J52+J63+J89+J97+J110+J113+J115+J117+J119+J124+J127+J132+J137+J139</f>
        <v>0</v>
      </c>
      <c r="K153" s="24"/>
      <c r="L153" s="24"/>
    </row>
    <row r="154" spans="8:10" ht="12.75">
      <c r="H154" s="53" t="s">
        <v>335</v>
      </c>
      <c r="I154" s="53"/>
      <c r="J154" s="27">
        <v>0</v>
      </c>
    </row>
    <row r="155" spans="8:10" ht="12.75">
      <c r="H155" s="53" t="s">
        <v>336</v>
      </c>
      <c r="I155" s="53"/>
      <c r="J155" s="27">
        <f>J153*(1-J154/100)</f>
        <v>0</v>
      </c>
    </row>
  </sheetData>
  <sheetProtection/>
  <mergeCells count="27">
    <mergeCell ref="A1:L1"/>
    <mergeCell ref="A2:C3"/>
    <mergeCell ref="D2:L3"/>
    <mergeCell ref="H4:J4"/>
    <mergeCell ref="K4:L4"/>
    <mergeCell ref="D6:G6"/>
    <mergeCell ref="D16:G16"/>
    <mergeCell ref="D23:G23"/>
    <mergeCell ref="D40:G40"/>
    <mergeCell ref="D50:G50"/>
    <mergeCell ref="D52:G52"/>
    <mergeCell ref="D63:G63"/>
    <mergeCell ref="D89:G89"/>
    <mergeCell ref="D97:G97"/>
    <mergeCell ref="D110:G110"/>
    <mergeCell ref="D113:G113"/>
    <mergeCell ref="D115:G115"/>
    <mergeCell ref="D117:G117"/>
    <mergeCell ref="H153:I153"/>
    <mergeCell ref="H154:I154"/>
    <mergeCell ref="H155:I155"/>
    <mergeCell ref="D119:G119"/>
    <mergeCell ref="D124:G124"/>
    <mergeCell ref="D127:G127"/>
    <mergeCell ref="D132:G132"/>
    <mergeCell ref="D137:G137"/>
    <mergeCell ref="D139:G13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7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SheetLayoutView="100" zoomScalePageLayoutView="0" workbookViewId="0" topLeftCell="A1">
      <selection activeCell="C41" sqref="C41"/>
    </sheetView>
  </sheetViews>
  <sheetFormatPr defaultColWidth="11.421875" defaultRowHeight="12.75"/>
  <cols>
    <col min="1" max="2" width="16.57421875" style="0" customWidth="1"/>
    <col min="3" max="3" width="71.421875" style="0" bestFit="1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</cols>
  <sheetData>
    <row r="1" spans="1:7" ht="21.75" customHeight="1">
      <c r="A1" s="55" t="s">
        <v>337</v>
      </c>
      <c r="B1" s="55"/>
      <c r="C1" s="55"/>
      <c r="D1" s="55"/>
      <c r="E1" s="55"/>
      <c r="F1" s="55"/>
      <c r="G1" s="28"/>
    </row>
    <row r="2" spans="1:8" ht="12.75">
      <c r="A2" s="65" t="s">
        <v>1</v>
      </c>
      <c r="B2" s="52" t="s">
        <v>338</v>
      </c>
      <c r="C2" s="52"/>
      <c r="D2" s="66" t="s">
        <v>339</v>
      </c>
      <c r="E2" s="67"/>
      <c r="F2" s="67"/>
      <c r="G2" s="67"/>
      <c r="H2" s="1"/>
    </row>
    <row r="3" spans="1:8" ht="12.75">
      <c r="A3" s="65"/>
      <c r="B3" s="52"/>
      <c r="C3" s="52"/>
      <c r="D3" s="66"/>
      <c r="E3" s="66"/>
      <c r="F3" s="67"/>
      <c r="G3" s="67"/>
      <c r="H3" s="1"/>
    </row>
    <row r="4" spans="1:8" ht="12.75">
      <c r="A4" s="59" t="s">
        <v>340</v>
      </c>
      <c r="B4" s="60"/>
      <c r="C4" s="60"/>
      <c r="D4" s="60" t="s">
        <v>341</v>
      </c>
      <c r="E4" s="61"/>
      <c r="F4" s="61"/>
      <c r="G4" s="61"/>
      <c r="H4" s="1"/>
    </row>
    <row r="5" spans="1:8" ht="12.75">
      <c r="A5" s="59"/>
      <c r="B5" s="60"/>
      <c r="C5" s="60"/>
      <c r="D5" s="60"/>
      <c r="E5" s="60"/>
      <c r="F5" s="61"/>
      <c r="G5" s="61"/>
      <c r="H5" s="1"/>
    </row>
    <row r="6" spans="1:8" ht="12.75">
      <c r="A6" s="59" t="s">
        <v>342</v>
      </c>
      <c r="B6" s="60" t="s">
        <v>343</v>
      </c>
      <c r="C6" s="60"/>
      <c r="D6" s="60" t="s">
        <v>344</v>
      </c>
      <c r="E6" s="61"/>
      <c r="F6" s="61"/>
      <c r="G6" s="61"/>
      <c r="H6" s="1"/>
    </row>
    <row r="7" spans="1:8" ht="12.75">
      <c r="A7" s="59"/>
      <c r="B7" s="60"/>
      <c r="C7" s="60"/>
      <c r="D7" s="60"/>
      <c r="E7" s="60"/>
      <c r="F7" s="61"/>
      <c r="G7" s="61"/>
      <c r="H7" s="1"/>
    </row>
    <row r="8" spans="1:8" ht="12.75">
      <c r="A8" s="62" t="s">
        <v>345</v>
      </c>
      <c r="B8" s="63" t="s">
        <v>346</v>
      </c>
      <c r="C8" s="63"/>
      <c r="D8" s="63" t="s">
        <v>347</v>
      </c>
      <c r="E8" s="64"/>
      <c r="F8" s="64"/>
      <c r="G8" s="64"/>
      <c r="H8" s="1"/>
    </row>
    <row r="9" spans="1:8" ht="12.75">
      <c r="A9" s="62"/>
      <c r="B9" s="63"/>
      <c r="C9" s="63"/>
      <c r="D9" s="63"/>
      <c r="E9" s="63"/>
      <c r="F9" s="64"/>
      <c r="G9" s="64"/>
      <c r="H9" s="1"/>
    </row>
    <row r="10" spans="1:8" ht="12.75">
      <c r="A10" s="30" t="s">
        <v>8</v>
      </c>
      <c r="B10" s="31" t="s">
        <v>9</v>
      </c>
      <c r="C10" s="32" t="s">
        <v>10</v>
      </c>
      <c r="D10" s="33" t="s">
        <v>348</v>
      </c>
      <c r="E10" s="33" t="s">
        <v>349</v>
      </c>
      <c r="F10" s="33" t="s">
        <v>350</v>
      </c>
      <c r="G10" s="34" t="s">
        <v>351</v>
      </c>
      <c r="H10" s="5"/>
    </row>
    <row r="11" spans="1:7" ht="12.75">
      <c r="A11" s="35"/>
      <c r="B11" s="35" t="s">
        <v>17</v>
      </c>
      <c r="C11" s="35" t="s">
        <v>18</v>
      </c>
      <c r="D11" s="36">
        <v>0</v>
      </c>
      <c r="E11" s="36">
        <v>0</v>
      </c>
      <c r="F11" s="36">
        <f aca="true" t="shared" si="0" ref="F11:F29">D11+E11</f>
        <v>0</v>
      </c>
      <c r="G11" s="36">
        <v>0.582</v>
      </c>
    </row>
    <row r="12" spans="1:7" ht="12.75">
      <c r="A12" s="29"/>
      <c r="B12" s="29" t="s">
        <v>48</v>
      </c>
      <c r="C12" s="29" t="s">
        <v>49</v>
      </c>
      <c r="D12" s="37">
        <v>0</v>
      </c>
      <c r="E12" s="37">
        <v>0</v>
      </c>
      <c r="F12" s="37">
        <f t="shared" si="0"/>
        <v>0</v>
      </c>
      <c r="G12" s="37">
        <v>0</v>
      </c>
    </row>
    <row r="13" spans="1:7" ht="12.75">
      <c r="A13" s="29"/>
      <c r="B13" s="29" t="s">
        <v>54</v>
      </c>
      <c r="C13" s="29" t="s">
        <v>63</v>
      </c>
      <c r="D13" s="37">
        <v>0</v>
      </c>
      <c r="E13" s="37">
        <v>0</v>
      </c>
      <c r="F13" s="37">
        <f t="shared" si="0"/>
        <v>0</v>
      </c>
      <c r="G13" s="37">
        <v>0</v>
      </c>
    </row>
    <row r="14" spans="1:7" ht="12.75">
      <c r="A14" s="29"/>
      <c r="B14" s="29" t="s">
        <v>64</v>
      </c>
      <c r="C14" s="29" t="s">
        <v>94</v>
      </c>
      <c r="D14" s="37">
        <v>0</v>
      </c>
      <c r="E14" s="37">
        <v>0</v>
      </c>
      <c r="F14" s="37">
        <f t="shared" si="0"/>
        <v>0</v>
      </c>
      <c r="G14" s="37">
        <v>0</v>
      </c>
    </row>
    <row r="15" spans="1:7" ht="12.75">
      <c r="A15" s="29"/>
      <c r="B15" s="29" t="s">
        <v>67</v>
      </c>
      <c r="C15" s="29" t="s">
        <v>120</v>
      </c>
      <c r="D15" s="37">
        <v>0</v>
      </c>
      <c r="E15" s="37">
        <v>0</v>
      </c>
      <c r="F15" s="37">
        <f t="shared" si="0"/>
        <v>0</v>
      </c>
      <c r="G15" s="37">
        <v>0</v>
      </c>
    </row>
    <row r="16" spans="1:7" ht="12.75">
      <c r="A16" s="29"/>
      <c r="B16" s="29" t="s">
        <v>70</v>
      </c>
      <c r="C16" s="29" t="s">
        <v>124</v>
      </c>
      <c r="D16" s="37">
        <v>0</v>
      </c>
      <c r="E16" s="37">
        <v>0</v>
      </c>
      <c r="F16" s="37">
        <f t="shared" si="0"/>
        <v>0</v>
      </c>
      <c r="G16" s="37">
        <v>0</v>
      </c>
    </row>
    <row r="17" spans="1:7" ht="12.75">
      <c r="A17" s="29"/>
      <c r="B17" s="29" t="s">
        <v>95</v>
      </c>
      <c r="C17" s="29" t="s">
        <v>149</v>
      </c>
      <c r="D17" s="37">
        <v>0</v>
      </c>
      <c r="E17" s="37">
        <v>0</v>
      </c>
      <c r="F17" s="37">
        <f t="shared" si="0"/>
        <v>0</v>
      </c>
      <c r="G17" s="37">
        <v>303.3055</v>
      </c>
    </row>
    <row r="18" spans="1:7" ht="12.75">
      <c r="A18" s="29"/>
      <c r="B18" s="29" t="s">
        <v>132</v>
      </c>
      <c r="C18" s="29" t="s">
        <v>196</v>
      </c>
      <c r="D18" s="37">
        <v>0</v>
      </c>
      <c r="E18" s="37">
        <v>0</v>
      </c>
      <c r="F18" s="37">
        <f t="shared" si="0"/>
        <v>0</v>
      </c>
      <c r="G18" s="37">
        <v>312.96162</v>
      </c>
    </row>
    <row r="19" spans="1:7" ht="12.75">
      <c r="A19" s="29"/>
      <c r="B19" s="29" t="s">
        <v>135</v>
      </c>
      <c r="C19" s="29" t="s">
        <v>214</v>
      </c>
      <c r="D19" s="37">
        <v>0</v>
      </c>
      <c r="E19" s="37">
        <v>0</v>
      </c>
      <c r="F19" s="37">
        <f t="shared" si="0"/>
        <v>0</v>
      </c>
      <c r="G19" s="37">
        <v>2106.7397</v>
      </c>
    </row>
    <row r="20" spans="1:7" ht="12.75">
      <c r="A20" s="29"/>
      <c r="B20" s="29" t="s">
        <v>239</v>
      </c>
      <c r="C20" s="29" t="s">
        <v>240</v>
      </c>
      <c r="D20" s="37">
        <v>0</v>
      </c>
      <c r="E20" s="37">
        <v>0</v>
      </c>
      <c r="F20" s="37">
        <f t="shared" si="0"/>
        <v>0</v>
      </c>
      <c r="G20" s="37">
        <v>0.00576</v>
      </c>
    </row>
    <row r="21" spans="1:7" ht="12.75">
      <c r="A21" s="29"/>
      <c r="B21" s="29" t="s">
        <v>209</v>
      </c>
      <c r="C21" s="29" t="s">
        <v>247</v>
      </c>
      <c r="D21" s="37">
        <v>0</v>
      </c>
      <c r="E21" s="37">
        <v>0</v>
      </c>
      <c r="F21" s="37">
        <f t="shared" si="0"/>
        <v>0</v>
      </c>
      <c r="G21" s="37">
        <v>0</v>
      </c>
    </row>
    <row r="22" spans="1:7" ht="12.75">
      <c r="A22" s="29"/>
      <c r="B22" s="29" t="s">
        <v>212</v>
      </c>
      <c r="C22" s="29" t="s">
        <v>252</v>
      </c>
      <c r="D22" s="37">
        <v>0</v>
      </c>
      <c r="E22" s="37">
        <v>0</v>
      </c>
      <c r="F22" s="37">
        <f t="shared" si="0"/>
        <v>0</v>
      </c>
      <c r="G22" s="37">
        <v>0</v>
      </c>
    </row>
    <row r="23" spans="1:7" ht="12.75">
      <c r="A23" s="29"/>
      <c r="B23" s="29" t="s">
        <v>224</v>
      </c>
      <c r="C23" s="29" t="s">
        <v>256</v>
      </c>
      <c r="D23" s="37">
        <v>0</v>
      </c>
      <c r="E23" s="37">
        <v>0</v>
      </c>
      <c r="F23" s="37">
        <f t="shared" si="0"/>
        <v>0</v>
      </c>
      <c r="G23" s="37">
        <v>0</v>
      </c>
    </row>
    <row r="24" spans="1:7" ht="12.75">
      <c r="A24" s="29"/>
      <c r="B24" s="29" t="s">
        <v>228</v>
      </c>
      <c r="C24" s="29" t="s">
        <v>260</v>
      </c>
      <c r="D24" s="37">
        <v>0</v>
      </c>
      <c r="E24" s="37">
        <v>0</v>
      </c>
      <c r="F24" s="37">
        <f t="shared" si="0"/>
        <v>0</v>
      </c>
      <c r="G24" s="37">
        <v>65.09788</v>
      </c>
    </row>
    <row r="25" spans="1:7" ht="12.75">
      <c r="A25" s="29"/>
      <c r="B25" s="29" t="s">
        <v>236</v>
      </c>
      <c r="C25" s="29" t="s">
        <v>271</v>
      </c>
      <c r="D25" s="37">
        <v>0</v>
      </c>
      <c r="E25" s="37">
        <v>0</v>
      </c>
      <c r="F25" s="37">
        <f t="shared" si="0"/>
        <v>0</v>
      </c>
      <c r="G25" s="37">
        <v>0.1806</v>
      </c>
    </row>
    <row r="26" spans="1:7" ht="12.75">
      <c r="A26" s="29"/>
      <c r="B26" s="29" t="s">
        <v>237</v>
      </c>
      <c r="C26" s="29" t="s">
        <v>276</v>
      </c>
      <c r="D26" s="37">
        <v>0</v>
      </c>
      <c r="E26" s="37">
        <v>0</v>
      </c>
      <c r="F26" s="37">
        <f t="shared" si="0"/>
        <v>0</v>
      </c>
      <c r="G26" s="37">
        <v>2.17504</v>
      </c>
    </row>
    <row r="27" spans="1:7" ht="12.75">
      <c r="A27" s="29"/>
      <c r="B27" s="29" t="s">
        <v>238</v>
      </c>
      <c r="C27" s="29" t="s">
        <v>285</v>
      </c>
      <c r="D27" s="37">
        <v>0</v>
      </c>
      <c r="E27" s="37">
        <v>0</v>
      </c>
      <c r="F27" s="37">
        <f t="shared" si="0"/>
        <v>0</v>
      </c>
      <c r="G27" s="37">
        <v>0</v>
      </c>
    </row>
    <row r="28" spans="1:7" ht="12.75">
      <c r="A28" s="29"/>
      <c r="B28" s="29" t="s">
        <v>292</v>
      </c>
      <c r="C28" s="29" t="s">
        <v>293</v>
      </c>
      <c r="D28" s="37">
        <v>0</v>
      </c>
      <c r="E28" s="37">
        <v>0</v>
      </c>
      <c r="F28" s="37">
        <f t="shared" si="0"/>
        <v>0</v>
      </c>
      <c r="G28" s="37">
        <v>0</v>
      </c>
    </row>
    <row r="29" spans="1:7" ht="12.75">
      <c r="A29" s="29"/>
      <c r="B29" s="29"/>
      <c r="C29" s="29" t="s">
        <v>297</v>
      </c>
      <c r="D29" s="37">
        <v>0</v>
      </c>
      <c r="E29" s="37">
        <v>0</v>
      </c>
      <c r="F29" s="37">
        <f t="shared" si="0"/>
        <v>0</v>
      </c>
      <c r="G29" s="37">
        <v>33.861</v>
      </c>
    </row>
    <row r="31" spans="5:6" ht="12.75">
      <c r="E31" s="26" t="s">
        <v>334</v>
      </c>
      <c r="F31" s="27">
        <f>SUM(F11:F29)</f>
        <v>0</v>
      </c>
    </row>
    <row r="32" spans="5:6" ht="12.75">
      <c r="E32" s="26" t="s">
        <v>335</v>
      </c>
      <c r="F32" s="27">
        <v>0</v>
      </c>
    </row>
    <row r="33" spans="5:6" ht="12.75">
      <c r="E33" s="26" t="s">
        <v>336</v>
      </c>
      <c r="F33" s="27">
        <f>F31*(1-F32/100)</f>
        <v>0</v>
      </c>
    </row>
  </sheetData>
  <sheetProtection/>
  <mergeCells count="17">
    <mergeCell ref="A1:F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11.421875" defaultRowHeight="12.75"/>
  <cols>
    <col min="1" max="1" width="16.421875" style="0" customWidth="1"/>
    <col min="2" max="2" width="48.7109375" style="0" customWidth="1"/>
    <col min="3" max="3" width="15.28125" style="0" customWidth="1"/>
    <col min="4" max="4" width="10.28125" style="0" customWidth="1"/>
    <col min="5" max="5" width="8.421875" style="0" customWidth="1"/>
    <col min="6" max="7" width="11.8515625" style="0" customWidth="1"/>
    <col min="8" max="8" width="19.8515625" style="0" customWidth="1"/>
  </cols>
  <sheetData>
    <row r="1" spans="1:8" ht="21.75" customHeight="1">
      <c r="A1" s="55" t="s">
        <v>352</v>
      </c>
      <c r="B1" s="55"/>
      <c r="C1" s="55"/>
      <c r="D1" s="55"/>
      <c r="E1" s="55"/>
      <c r="F1" s="55"/>
      <c r="G1" s="55"/>
      <c r="H1" s="55"/>
    </row>
    <row r="2" spans="1:9" ht="12.75">
      <c r="A2" s="65" t="s">
        <v>1</v>
      </c>
      <c r="B2" s="52" t="s">
        <v>338</v>
      </c>
      <c r="C2" s="66" t="s">
        <v>353</v>
      </c>
      <c r="D2" s="66"/>
      <c r="E2" s="66"/>
      <c r="F2" s="66" t="s">
        <v>339</v>
      </c>
      <c r="G2" s="67"/>
      <c r="H2" s="67"/>
      <c r="I2" s="1"/>
    </row>
    <row r="3" spans="1:9" ht="12.75">
      <c r="A3" s="65"/>
      <c r="B3" s="52"/>
      <c r="C3" s="66"/>
      <c r="D3" s="66"/>
      <c r="E3" s="66"/>
      <c r="F3" s="66"/>
      <c r="G3" s="66"/>
      <c r="H3" s="67"/>
      <c r="I3" s="1"/>
    </row>
    <row r="4" spans="1:9" ht="12.75">
      <c r="A4" s="59" t="s">
        <v>340</v>
      </c>
      <c r="B4" s="60"/>
      <c r="C4" s="60" t="s">
        <v>354</v>
      </c>
      <c r="D4" s="71"/>
      <c r="E4" s="71"/>
      <c r="F4" s="60" t="s">
        <v>341</v>
      </c>
      <c r="G4" s="61"/>
      <c r="H4" s="61"/>
      <c r="I4" s="1"/>
    </row>
    <row r="5" spans="1:9" ht="12.75">
      <c r="A5" s="59"/>
      <c r="B5" s="60"/>
      <c r="C5" s="60"/>
      <c r="D5" s="60"/>
      <c r="E5" s="71"/>
      <c r="F5" s="60"/>
      <c r="G5" s="60"/>
      <c r="H5" s="61"/>
      <c r="I5" s="1"/>
    </row>
    <row r="6" spans="1:9" ht="12.75">
      <c r="A6" s="59" t="s">
        <v>342</v>
      </c>
      <c r="B6" s="60" t="s">
        <v>343</v>
      </c>
      <c r="C6" s="60" t="s">
        <v>355</v>
      </c>
      <c r="D6" s="70"/>
      <c r="E6" s="70"/>
      <c r="F6" s="60" t="s">
        <v>344</v>
      </c>
      <c r="G6" s="61"/>
      <c r="H6" s="61"/>
      <c r="I6" s="1"/>
    </row>
    <row r="7" spans="1:9" ht="12.75">
      <c r="A7" s="59"/>
      <c r="B7" s="60"/>
      <c r="C7" s="60"/>
      <c r="D7" s="60"/>
      <c r="E7" s="70"/>
      <c r="F7" s="60"/>
      <c r="G7" s="60"/>
      <c r="H7" s="61"/>
      <c r="I7" s="1"/>
    </row>
    <row r="8" spans="1:9" ht="12.75">
      <c r="A8" s="62" t="s">
        <v>356</v>
      </c>
      <c r="B8" s="63"/>
      <c r="C8" s="63" t="s">
        <v>347</v>
      </c>
      <c r="D8" s="68"/>
      <c r="E8" s="68"/>
      <c r="F8" s="63" t="s">
        <v>345</v>
      </c>
      <c r="G8" s="69" t="s">
        <v>346</v>
      </c>
      <c r="H8" s="69"/>
      <c r="I8" s="1"/>
    </row>
    <row r="9" spans="1:9" ht="12.75">
      <c r="A9" s="62"/>
      <c r="B9" s="63"/>
      <c r="C9" s="63"/>
      <c r="D9" s="63"/>
      <c r="E9" s="68"/>
      <c r="F9" s="63"/>
      <c r="G9" s="63"/>
      <c r="H9" s="69"/>
      <c r="I9" s="1"/>
    </row>
    <row r="10" spans="1:9" ht="12.75">
      <c r="A10" s="31" t="s">
        <v>9</v>
      </c>
      <c r="B10" s="32" t="s">
        <v>10</v>
      </c>
      <c r="C10" s="39" t="s">
        <v>357</v>
      </c>
      <c r="D10" s="39" t="s">
        <v>358</v>
      </c>
      <c r="E10" s="39" t="s">
        <v>359</v>
      </c>
      <c r="F10" s="39" t="s">
        <v>360</v>
      </c>
      <c r="G10" s="39" t="s">
        <v>361</v>
      </c>
      <c r="H10" s="38" t="s">
        <v>362</v>
      </c>
      <c r="I10" s="5"/>
    </row>
    <row r="11" spans="1:8" ht="12.75">
      <c r="A11" s="40"/>
      <c r="B11" s="40"/>
      <c r="C11" s="40"/>
      <c r="D11" s="40"/>
      <c r="E11" s="40"/>
      <c r="F11" s="40"/>
      <c r="G11" s="40"/>
      <c r="H11" s="40"/>
    </row>
  </sheetData>
  <sheetProtection/>
  <mergeCells count="25">
    <mergeCell ref="A1:H1"/>
    <mergeCell ref="A2:A3"/>
    <mergeCell ref="B2:B3"/>
    <mergeCell ref="C2:C3"/>
    <mergeCell ref="D2:E3"/>
    <mergeCell ref="F2:F3"/>
    <mergeCell ref="G2:H3"/>
    <mergeCell ref="A4:A5"/>
    <mergeCell ref="B4:B5"/>
    <mergeCell ref="C4:C5"/>
    <mergeCell ref="D4:E5"/>
    <mergeCell ref="F4:F5"/>
    <mergeCell ref="G4:H5"/>
    <mergeCell ref="A6:A7"/>
    <mergeCell ref="B6:B7"/>
    <mergeCell ref="C6:C7"/>
    <mergeCell ref="D6:E7"/>
    <mergeCell ref="F6:F7"/>
    <mergeCell ref="G6:H7"/>
    <mergeCell ref="A8:A9"/>
    <mergeCell ref="B8:B9"/>
    <mergeCell ref="C8:C9"/>
    <mergeCell ref="D8:E9"/>
    <mergeCell ref="F8:F9"/>
    <mergeCell ref="G8:H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SheetLayoutView="100" zoomScalePageLayoutView="0" workbookViewId="0" topLeftCell="A1">
      <selection activeCell="D14" sqref="D14:E14"/>
    </sheetView>
  </sheetViews>
  <sheetFormatPr defaultColWidth="11.421875" defaultRowHeight="12.75"/>
  <cols>
    <col min="1" max="1" width="9.14062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9.140625" style="0" customWidth="1"/>
    <col min="8" max="8" width="11.8515625" style="0" customWidth="1"/>
    <col min="9" max="9" width="22.421875" style="0" customWidth="1"/>
  </cols>
  <sheetData>
    <row r="1" spans="1:9" ht="28.5" customHeight="1">
      <c r="A1" s="85" t="s">
        <v>363</v>
      </c>
      <c r="B1" s="85"/>
      <c r="C1" s="85"/>
      <c r="D1" s="85"/>
      <c r="E1" s="85"/>
      <c r="F1" s="85"/>
      <c r="G1" s="85"/>
      <c r="H1" s="85"/>
      <c r="I1" s="85"/>
    </row>
    <row r="2" spans="1:10" ht="12.75" customHeight="1">
      <c r="A2" s="80" t="s">
        <v>1</v>
      </c>
      <c r="B2" s="80"/>
      <c r="C2" s="86" t="s">
        <v>338</v>
      </c>
      <c r="D2" s="86"/>
      <c r="E2" s="80" t="s">
        <v>339</v>
      </c>
      <c r="F2" s="87" t="s">
        <v>364</v>
      </c>
      <c r="G2" s="87"/>
      <c r="H2" s="80" t="s">
        <v>365</v>
      </c>
      <c r="I2" s="80"/>
      <c r="J2" s="1"/>
    </row>
    <row r="3" spans="1:10" ht="12.75">
      <c r="A3" s="80"/>
      <c r="B3" s="80"/>
      <c r="C3" s="86"/>
      <c r="D3" s="86"/>
      <c r="E3" s="80"/>
      <c r="F3" s="80"/>
      <c r="G3" s="87"/>
      <c r="H3" s="80"/>
      <c r="I3" s="80"/>
      <c r="J3" s="1"/>
    </row>
    <row r="4" spans="1:10" ht="12.75">
      <c r="A4" s="80" t="s">
        <v>340</v>
      </c>
      <c r="B4" s="80"/>
      <c r="C4" s="84" t="s">
        <v>366</v>
      </c>
      <c r="D4" s="84"/>
      <c r="E4" s="80" t="s">
        <v>341</v>
      </c>
      <c r="F4" s="80" t="s">
        <v>367</v>
      </c>
      <c r="G4" s="80"/>
      <c r="H4" s="80" t="s">
        <v>365</v>
      </c>
      <c r="I4" s="83" t="s">
        <v>368</v>
      </c>
      <c r="J4" s="1"/>
    </row>
    <row r="5" spans="1:10" ht="12.75">
      <c r="A5" s="80"/>
      <c r="B5" s="80"/>
      <c r="C5" s="84"/>
      <c r="D5" s="84"/>
      <c r="E5" s="80"/>
      <c r="F5" s="80"/>
      <c r="G5" s="80"/>
      <c r="H5" s="80"/>
      <c r="I5" s="80"/>
      <c r="J5" s="1"/>
    </row>
    <row r="6" spans="1:10" ht="12.75">
      <c r="A6" s="80" t="s">
        <v>342</v>
      </c>
      <c r="B6" s="80"/>
      <c r="C6" s="80" t="s">
        <v>343</v>
      </c>
      <c r="D6" s="80"/>
      <c r="E6" s="80" t="s">
        <v>344</v>
      </c>
      <c r="F6" s="80"/>
      <c r="G6" s="80"/>
      <c r="H6" s="80" t="s">
        <v>365</v>
      </c>
      <c r="I6" s="80"/>
      <c r="J6" s="1"/>
    </row>
    <row r="7" spans="1:10" ht="12.75">
      <c r="A7" s="80"/>
      <c r="B7" s="80"/>
      <c r="C7" s="80"/>
      <c r="D7" s="80"/>
      <c r="E7" s="80"/>
      <c r="F7" s="80"/>
      <c r="G7" s="80"/>
      <c r="H7" s="80"/>
      <c r="I7" s="80"/>
      <c r="J7" s="1"/>
    </row>
    <row r="8" spans="1:10" ht="12.75">
      <c r="A8" s="80" t="s">
        <v>354</v>
      </c>
      <c r="B8" s="80"/>
      <c r="C8" s="81"/>
      <c r="D8" s="81"/>
      <c r="E8" s="80" t="s">
        <v>355</v>
      </c>
      <c r="F8" s="82"/>
      <c r="G8" s="82"/>
      <c r="H8" s="80" t="s">
        <v>369</v>
      </c>
      <c r="I8" s="83" t="s">
        <v>331</v>
      </c>
      <c r="J8" s="1"/>
    </row>
    <row r="9" spans="1:10" ht="12.75">
      <c r="A9" s="80"/>
      <c r="B9" s="80"/>
      <c r="C9" s="81"/>
      <c r="D9" s="81"/>
      <c r="E9" s="80"/>
      <c r="F9" s="80"/>
      <c r="G9" s="82"/>
      <c r="H9" s="80"/>
      <c r="I9" s="80"/>
      <c r="J9" s="1"/>
    </row>
    <row r="10" spans="1:10" ht="12.75">
      <c r="A10" s="80" t="s">
        <v>356</v>
      </c>
      <c r="B10" s="80"/>
      <c r="C10" s="80"/>
      <c r="D10" s="80"/>
      <c r="E10" s="80" t="s">
        <v>345</v>
      </c>
      <c r="F10" s="80" t="s">
        <v>346</v>
      </c>
      <c r="G10" s="80"/>
      <c r="H10" s="80" t="s">
        <v>370</v>
      </c>
      <c r="I10" s="81"/>
      <c r="J10" s="1"/>
    </row>
    <row r="11" spans="1:10" ht="12.75">
      <c r="A11" s="80"/>
      <c r="B11" s="80"/>
      <c r="C11" s="80"/>
      <c r="D11" s="80"/>
      <c r="E11" s="80"/>
      <c r="F11" s="80"/>
      <c r="G11" s="80"/>
      <c r="H11" s="80"/>
      <c r="I11" s="80"/>
      <c r="J11" s="1"/>
    </row>
    <row r="12" spans="1:9" ht="23.25" customHeight="1">
      <c r="A12" s="78" t="s">
        <v>371</v>
      </c>
      <c r="B12" s="78"/>
      <c r="C12" s="78"/>
      <c r="D12" s="78"/>
      <c r="E12" s="78"/>
      <c r="F12" s="78"/>
      <c r="G12" s="78"/>
      <c r="H12" s="78"/>
      <c r="I12" s="78"/>
    </row>
    <row r="13" spans="1:10" ht="26.25" customHeight="1">
      <c r="A13" s="41" t="s">
        <v>372</v>
      </c>
      <c r="B13" s="79" t="s">
        <v>373</v>
      </c>
      <c r="C13" s="79"/>
      <c r="D13" s="41" t="s">
        <v>374</v>
      </c>
      <c r="E13" s="79" t="s">
        <v>375</v>
      </c>
      <c r="F13" s="79"/>
      <c r="G13" s="41" t="s">
        <v>376</v>
      </c>
      <c r="H13" s="79" t="s">
        <v>377</v>
      </c>
      <c r="I13" s="79"/>
      <c r="J13" s="1"/>
    </row>
    <row r="14" spans="1:10" ht="15" customHeight="1">
      <c r="A14" s="42" t="s">
        <v>378</v>
      </c>
      <c r="B14" s="43" t="s">
        <v>379</v>
      </c>
      <c r="C14" s="44">
        <v>0</v>
      </c>
      <c r="D14" s="77" t="s">
        <v>380</v>
      </c>
      <c r="E14" s="77"/>
      <c r="F14" s="44">
        <v>0</v>
      </c>
      <c r="G14" s="77" t="s">
        <v>381</v>
      </c>
      <c r="H14" s="77"/>
      <c r="I14" s="44">
        <v>0</v>
      </c>
      <c r="J14" s="1"/>
    </row>
    <row r="15" spans="1:10" ht="15" customHeight="1">
      <c r="A15" s="45"/>
      <c r="B15" s="43" t="s">
        <v>15</v>
      </c>
      <c r="C15" s="44">
        <v>0</v>
      </c>
      <c r="D15" s="77" t="s">
        <v>382</v>
      </c>
      <c r="E15" s="77"/>
      <c r="F15" s="44">
        <v>0</v>
      </c>
      <c r="G15" s="77" t="s">
        <v>383</v>
      </c>
      <c r="H15" s="77"/>
      <c r="I15" s="44">
        <v>0</v>
      </c>
      <c r="J15" s="1"/>
    </row>
    <row r="16" spans="1:10" ht="15" customHeight="1">
      <c r="A16" s="42" t="s">
        <v>384</v>
      </c>
      <c r="B16" s="43" t="s">
        <v>379</v>
      </c>
      <c r="C16" s="44">
        <v>0</v>
      </c>
      <c r="D16" s="77" t="s">
        <v>385</v>
      </c>
      <c r="E16" s="77"/>
      <c r="F16" s="44">
        <v>0</v>
      </c>
      <c r="G16" s="77" t="s">
        <v>386</v>
      </c>
      <c r="H16" s="77"/>
      <c r="I16" s="44">
        <v>0</v>
      </c>
      <c r="J16" s="1"/>
    </row>
    <row r="17" spans="1:10" ht="15" customHeight="1">
      <c r="A17" s="45"/>
      <c r="B17" s="43" t="s">
        <v>15</v>
      </c>
      <c r="C17" s="44">
        <v>0</v>
      </c>
      <c r="D17" s="77"/>
      <c r="E17" s="77"/>
      <c r="F17" s="46"/>
      <c r="G17" s="77" t="s">
        <v>387</v>
      </c>
      <c r="H17" s="77"/>
      <c r="I17" s="44">
        <v>0</v>
      </c>
      <c r="J17" s="1"/>
    </row>
    <row r="18" spans="1:10" ht="15" customHeight="1">
      <c r="A18" s="42" t="s">
        <v>388</v>
      </c>
      <c r="B18" s="43" t="s">
        <v>379</v>
      </c>
      <c r="C18" s="44">
        <v>0</v>
      </c>
      <c r="D18" s="77"/>
      <c r="E18" s="77"/>
      <c r="F18" s="46"/>
      <c r="G18" s="77" t="s">
        <v>389</v>
      </c>
      <c r="H18" s="77"/>
      <c r="I18" s="44">
        <v>0</v>
      </c>
      <c r="J18" s="1"/>
    </row>
    <row r="19" spans="1:10" ht="15" customHeight="1">
      <c r="A19" s="45"/>
      <c r="B19" s="43" t="s">
        <v>15</v>
      </c>
      <c r="C19" s="44">
        <v>0</v>
      </c>
      <c r="D19" s="77"/>
      <c r="E19" s="77"/>
      <c r="F19" s="46"/>
      <c r="G19" s="77" t="s">
        <v>390</v>
      </c>
      <c r="H19" s="77"/>
      <c r="I19" s="44">
        <v>0</v>
      </c>
      <c r="J19" s="1"/>
    </row>
    <row r="20" spans="1:10" ht="15" customHeight="1">
      <c r="A20" s="76" t="s">
        <v>297</v>
      </c>
      <c r="B20" s="76"/>
      <c r="C20" s="44">
        <v>0</v>
      </c>
      <c r="D20" s="77"/>
      <c r="E20" s="77"/>
      <c r="F20" s="46"/>
      <c r="G20" s="77"/>
      <c r="H20" s="77"/>
      <c r="I20" s="46"/>
      <c r="J20" s="1"/>
    </row>
    <row r="21" spans="1:10" ht="15" customHeight="1">
      <c r="A21" s="76" t="s">
        <v>391</v>
      </c>
      <c r="B21" s="76"/>
      <c r="C21" s="44">
        <v>0</v>
      </c>
      <c r="D21" s="77"/>
      <c r="E21" s="77"/>
      <c r="F21" s="46"/>
      <c r="G21" s="77"/>
      <c r="H21" s="77"/>
      <c r="I21" s="46"/>
      <c r="J21" s="1"/>
    </row>
    <row r="22" spans="1:10" ht="39.75" customHeight="1">
      <c r="A22" s="76" t="s">
        <v>392</v>
      </c>
      <c r="B22" s="76"/>
      <c r="C22" s="44">
        <v>0</v>
      </c>
      <c r="D22" s="76" t="s">
        <v>393</v>
      </c>
      <c r="E22" s="76"/>
      <c r="F22" s="44">
        <v>0</v>
      </c>
      <c r="G22" s="76" t="s">
        <v>394</v>
      </c>
      <c r="H22" s="76"/>
      <c r="I22" s="44">
        <v>0</v>
      </c>
      <c r="J22" s="1"/>
    </row>
    <row r="23" spans="1:9" ht="12.75">
      <c r="A23" s="47"/>
      <c r="B23" s="47"/>
      <c r="C23" s="47"/>
      <c r="D23" s="24"/>
      <c r="E23" s="24"/>
      <c r="F23" s="24"/>
      <c r="G23" s="24"/>
      <c r="H23" s="24"/>
      <c r="I23" s="24"/>
    </row>
    <row r="24" spans="1:9" ht="15" customHeight="1">
      <c r="A24" s="75" t="s">
        <v>395</v>
      </c>
      <c r="B24" s="75"/>
      <c r="C24" s="48">
        <v>0</v>
      </c>
      <c r="D24" s="49"/>
      <c r="E24" s="50"/>
      <c r="F24" s="50"/>
      <c r="G24" s="50"/>
      <c r="H24" s="50"/>
      <c r="I24" s="50"/>
    </row>
    <row r="25" spans="1:10" ht="15" customHeight="1">
      <c r="A25" s="75" t="s">
        <v>396</v>
      </c>
      <c r="B25" s="75"/>
      <c r="C25" s="48">
        <v>0</v>
      </c>
      <c r="D25" s="75" t="s">
        <v>397</v>
      </c>
      <c r="E25" s="75"/>
      <c r="F25" s="48">
        <v>0</v>
      </c>
      <c r="G25" s="75" t="s">
        <v>398</v>
      </c>
      <c r="H25" s="75"/>
      <c r="I25" s="48">
        <v>0</v>
      </c>
      <c r="J25" s="1"/>
    </row>
    <row r="26" spans="1:10" ht="15" customHeight="1">
      <c r="A26" s="75" t="s">
        <v>406</v>
      </c>
      <c r="B26" s="75"/>
      <c r="C26" s="48">
        <v>0</v>
      </c>
      <c r="D26" s="75" t="s">
        <v>407</v>
      </c>
      <c r="E26" s="75"/>
      <c r="F26" s="48">
        <v>0</v>
      </c>
      <c r="G26" s="75" t="s">
        <v>399</v>
      </c>
      <c r="H26" s="75"/>
      <c r="I26" s="48">
        <v>0</v>
      </c>
      <c r="J26" s="1"/>
    </row>
    <row r="27" spans="1:9" ht="12.75">
      <c r="A27" s="51"/>
      <c r="B27" s="51"/>
      <c r="C27" s="51"/>
      <c r="D27" s="51"/>
      <c r="E27" s="51"/>
      <c r="F27" s="51"/>
      <c r="G27" s="51"/>
      <c r="H27" s="51"/>
      <c r="I27" s="51"/>
    </row>
    <row r="28" spans="1:10" ht="14.25" customHeight="1">
      <c r="A28" s="74" t="s">
        <v>400</v>
      </c>
      <c r="B28" s="74"/>
      <c r="C28" s="74"/>
      <c r="D28" s="74" t="s">
        <v>401</v>
      </c>
      <c r="E28" s="74"/>
      <c r="F28" s="74"/>
      <c r="G28" s="74" t="s">
        <v>402</v>
      </c>
      <c r="H28" s="74"/>
      <c r="I28" s="74"/>
      <c r="J28" s="5"/>
    </row>
    <row r="29" spans="1:10" ht="14.25" customHeight="1">
      <c r="A29" s="73" t="s">
        <v>367</v>
      </c>
      <c r="B29" s="73"/>
      <c r="C29" s="73"/>
      <c r="D29" s="73" t="s">
        <v>403</v>
      </c>
      <c r="E29" s="73"/>
      <c r="F29" s="73"/>
      <c r="G29" s="73"/>
      <c r="H29" s="73"/>
      <c r="I29" s="73"/>
      <c r="J29" s="5"/>
    </row>
    <row r="30" spans="1:10" ht="14.25" customHeight="1">
      <c r="A30" s="73"/>
      <c r="B30" s="73"/>
      <c r="C30" s="73"/>
      <c r="D30" s="73" t="s">
        <v>404</v>
      </c>
      <c r="E30" s="73"/>
      <c r="F30" s="73"/>
      <c r="G30" s="73"/>
      <c r="H30" s="73"/>
      <c r="I30" s="73"/>
      <c r="J30" s="5"/>
    </row>
    <row r="31" spans="1:10" ht="14.25" customHeight="1">
      <c r="A31" s="73"/>
      <c r="B31" s="73"/>
      <c r="C31" s="73"/>
      <c r="D31" s="73"/>
      <c r="E31" s="73"/>
      <c r="F31" s="73"/>
      <c r="G31" s="73"/>
      <c r="H31" s="73"/>
      <c r="I31" s="73"/>
      <c r="J31" s="5"/>
    </row>
    <row r="32" spans="1:10" ht="14.25" customHeight="1">
      <c r="A32" s="72" t="s">
        <v>405</v>
      </c>
      <c r="B32" s="72"/>
      <c r="C32" s="72"/>
      <c r="D32" s="72" t="s">
        <v>405</v>
      </c>
      <c r="E32" s="72"/>
      <c r="F32" s="72"/>
      <c r="G32" s="72" t="s">
        <v>405</v>
      </c>
      <c r="H32" s="72"/>
      <c r="I32" s="72"/>
      <c r="J32" s="5"/>
    </row>
    <row r="33" spans="1:9" ht="12.75">
      <c r="A33" s="40"/>
      <c r="B33" s="40"/>
      <c r="C33" s="40"/>
      <c r="D33" s="40"/>
      <c r="E33" s="40"/>
      <c r="F33" s="40"/>
      <c r="G33" s="40"/>
      <c r="H33" s="40"/>
      <c r="I33" s="40"/>
    </row>
  </sheetData>
  <sheetProtection/>
  <mergeCells count="78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kodlozilikova</cp:lastModifiedBy>
  <cp:lastPrinted>2011-05-09T08:25:33Z</cp:lastPrinted>
  <dcterms:created xsi:type="dcterms:W3CDTF">2011-04-11T05:16:59Z</dcterms:created>
  <dcterms:modified xsi:type="dcterms:W3CDTF">2011-05-09T08:25:48Z</dcterms:modified>
  <cp:category/>
  <cp:version/>
  <cp:contentType/>
  <cp:contentStatus/>
</cp:coreProperties>
</file>