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:\EKOTOXI\INVESTICE\Investice-2017\Zatepleni-2017\"/>
    </mc:Choice>
  </mc:AlternateContent>
  <bookViews>
    <workbookView xWindow="0" yWindow="0" windowWidth="28800" windowHeight="12435"/>
  </bookViews>
  <sheets>
    <sheet name="Stavební_rozpočet" sheetId="1" r:id="rId1"/>
    <sheet name="Krycí_list_rozpočtu" sheetId="2" r:id="rId2"/>
  </sheets>
  <calcPr calcId="162913"/>
</workbook>
</file>

<file path=xl/calcChain.xml><?xml version="1.0" encoding="utf-8"?>
<calcChain xmlns="http://schemas.openxmlformats.org/spreadsheetml/2006/main">
  <c r="I22" i="2" l="1"/>
  <c r="F22" i="2"/>
  <c r="AF180" i="1"/>
  <c r="AN180" i="1" s="1"/>
  <c r="AE180" i="1"/>
  <c r="AM180" i="1" s="1"/>
  <c r="AA180" i="1"/>
  <c r="Z180" i="1"/>
  <c r="L180" i="1"/>
  <c r="J180" i="1"/>
  <c r="AF178" i="1"/>
  <c r="AN178" i="1" s="1"/>
  <c r="AE178" i="1"/>
  <c r="AM178" i="1" s="1"/>
  <c r="AA178" i="1"/>
  <c r="Z178" i="1"/>
  <c r="L178" i="1"/>
  <c r="J178" i="1"/>
  <c r="AM177" i="1"/>
  <c r="AF177" i="1"/>
  <c r="AN177" i="1" s="1"/>
  <c r="AE177" i="1"/>
  <c r="H177" i="1" s="1"/>
  <c r="AA177" i="1"/>
  <c r="Z177" i="1"/>
  <c r="AI174" i="1" s="1"/>
  <c r="L177" i="1"/>
  <c r="J177" i="1"/>
  <c r="AM176" i="1"/>
  <c r="AF176" i="1"/>
  <c r="AN176" i="1" s="1"/>
  <c r="AE176" i="1"/>
  <c r="H176" i="1" s="1"/>
  <c r="AA176" i="1"/>
  <c r="Z176" i="1"/>
  <c r="L176" i="1"/>
  <c r="J176" i="1"/>
  <c r="AF175" i="1"/>
  <c r="AN175" i="1" s="1"/>
  <c r="AE175" i="1"/>
  <c r="AM175" i="1" s="1"/>
  <c r="AA175" i="1"/>
  <c r="Z175" i="1"/>
  <c r="L175" i="1"/>
  <c r="L174" i="1" s="1"/>
  <c r="J175" i="1"/>
  <c r="X174" i="1"/>
  <c r="W174" i="1"/>
  <c r="V174" i="1"/>
  <c r="U174" i="1"/>
  <c r="T174" i="1"/>
  <c r="AF172" i="1"/>
  <c r="AN172" i="1" s="1"/>
  <c r="AE172" i="1"/>
  <c r="AM172" i="1" s="1"/>
  <c r="AA172" i="1"/>
  <c r="AJ171" i="1" s="1"/>
  <c r="Z172" i="1"/>
  <c r="AI171" i="1" s="1"/>
  <c r="O172" i="1"/>
  <c r="P171" i="1" s="1"/>
  <c r="L172" i="1"/>
  <c r="L171" i="1" s="1"/>
  <c r="J172" i="1"/>
  <c r="AB172" i="1" s="1"/>
  <c r="AK171" i="1" s="1"/>
  <c r="X171" i="1"/>
  <c r="U171" i="1"/>
  <c r="T171" i="1"/>
  <c r="S171" i="1"/>
  <c r="R171" i="1"/>
  <c r="AF169" i="1"/>
  <c r="AN169" i="1" s="1"/>
  <c r="AE169" i="1"/>
  <c r="AM169" i="1" s="1"/>
  <c r="AA169" i="1"/>
  <c r="AJ164" i="1" s="1"/>
  <c r="Z169" i="1"/>
  <c r="O169" i="1"/>
  <c r="L169" i="1"/>
  <c r="L164" i="1" s="1"/>
  <c r="J169" i="1"/>
  <c r="AB169" i="1" s="1"/>
  <c r="H169" i="1"/>
  <c r="AF165" i="1"/>
  <c r="AN165" i="1" s="1"/>
  <c r="AE165" i="1"/>
  <c r="AM165" i="1" s="1"/>
  <c r="AA165" i="1"/>
  <c r="Z165" i="1"/>
  <c r="O165" i="1"/>
  <c r="P164" i="1" s="1"/>
  <c r="L165" i="1"/>
  <c r="J165" i="1"/>
  <c r="AB165" i="1" s="1"/>
  <c r="H165" i="1"/>
  <c r="I165" i="1" s="1"/>
  <c r="X164" i="1"/>
  <c r="W164" i="1"/>
  <c r="V164" i="1"/>
  <c r="U164" i="1"/>
  <c r="T164" i="1"/>
  <c r="AF162" i="1"/>
  <c r="AN162" i="1" s="1"/>
  <c r="AE162" i="1"/>
  <c r="AM162" i="1" s="1"/>
  <c r="AB162" i="1"/>
  <c r="AA162" i="1"/>
  <c r="Z162" i="1"/>
  <c r="O162" i="1"/>
  <c r="L162" i="1"/>
  <c r="J162" i="1"/>
  <c r="H162" i="1"/>
  <c r="AF160" i="1"/>
  <c r="AN160" i="1" s="1"/>
  <c r="AE160" i="1"/>
  <c r="AM160" i="1" s="1"/>
  <c r="AA160" i="1"/>
  <c r="Z160" i="1"/>
  <c r="O160" i="1"/>
  <c r="L160" i="1"/>
  <c r="J160" i="1"/>
  <c r="AB160" i="1" s="1"/>
  <c r="H160" i="1"/>
  <c r="AF157" i="1"/>
  <c r="AN157" i="1" s="1"/>
  <c r="AE157" i="1"/>
  <c r="AM157" i="1" s="1"/>
  <c r="AA157" i="1"/>
  <c r="Z157" i="1"/>
  <c r="AI156" i="1" s="1"/>
  <c r="O157" i="1"/>
  <c r="L157" i="1"/>
  <c r="J157" i="1"/>
  <c r="AB157" i="1" s="1"/>
  <c r="X156" i="1"/>
  <c r="W156" i="1"/>
  <c r="V156" i="1"/>
  <c r="U156" i="1"/>
  <c r="T156" i="1"/>
  <c r="AF154" i="1"/>
  <c r="AN154" i="1" s="1"/>
  <c r="AE154" i="1"/>
  <c r="H154" i="1" s="1"/>
  <c r="AA154" i="1"/>
  <c r="Z154" i="1"/>
  <c r="L154" i="1"/>
  <c r="J154" i="1"/>
  <c r="AM152" i="1"/>
  <c r="AF152" i="1"/>
  <c r="AN152" i="1" s="1"/>
  <c r="AE152" i="1"/>
  <c r="AA152" i="1"/>
  <c r="Z152" i="1"/>
  <c r="O152" i="1"/>
  <c r="L152" i="1"/>
  <c r="J152" i="1"/>
  <c r="H152" i="1"/>
  <c r="AJ151" i="1"/>
  <c r="X151" i="1"/>
  <c r="W151" i="1"/>
  <c r="V151" i="1"/>
  <c r="U151" i="1"/>
  <c r="T151" i="1"/>
  <c r="AM150" i="1"/>
  <c r="AF150" i="1"/>
  <c r="AN150" i="1" s="1"/>
  <c r="AE150" i="1"/>
  <c r="AA150" i="1"/>
  <c r="Z150" i="1"/>
  <c r="L150" i="1"/>
  <c r="J150" i="1"/>
  <c r="AB150" i="1" s="1"/>
  <c r="H150" i="1"/>
  <c r="AF148" i="1"/>
  <c r="AN148" i="1" s="1"/>
  <c r="AE148" i="1"/>
  <c r="AM148" i="1" s="1"/>
  <c r="AA148" i="1"/>
  <c r="Z148" i="1"/>
  <c r="O148" i="1"/>
  <c r="L148" i="1"/>
  <c r="J148" i="1"/>
  <c r="AB148" i="1" s="1"/>
  <c r="AF146" i="1"/>
  <c r="AN146" i="1" s="1"/>
  <c r="AE146" i="1"/>
  <c r="AM146" i="1" s="1"/>
  <c r="AA146" i="1"/>
  <c r="Z146" i="1"/>
  <c r="O146" i="1"/>
  <c r="L146" i="1"/>
  <c r="J146" i="1"/>
  <c r="AB146" i="1" s="1"/>
  <c r="AF137" i="1"/>
  <c r="AN137" i="1" s="1"/>
  <c r="AE137" i="1"/>
  <c r="AM137" i="1" s="1"/>
  <c r="AA137" i="1"/>
  <c r="Z137" i="1"/>
  <c r="O137" i="1"/>
  <c r="L137" i="1"/>
  <c r="J137" i="1"/>
  <c r="AB137" i="1" s="1"/>
  <c r="AF135" i="1"/>
  <c r="AN135" i="1" s="1"/>
  <c r="AE135" i="1"/>
  <c r="AM135" i="1" s="1"/>
  <c r="AA135" i="1"/>
  <c r="Z135" i="1"/>
  <c r="O135" i="1"/>
  <c r="L135" i="1"/>
  <c r="J135" i="1"/>
  <c r="AB135" i="1" s="1"/>
  <c r="H135" i="1"/>
  <c r="I135" i="1" s="1"/>
  <c r="X134" i="1"/>
  <c r="W134" i="1"/>
  <c r="V134" i="1"/>
  <c r="U134" i="1"/>
  <c r="T134" i="1"/>
  <c r="AF132" i="1"/>
  <c r="AN132" i="1" s="1"/>
  <c r="AE132" i="1"/>
  <c r="AM132" i="1" s="1"/>
  <c r="AA132" i="1"/>
  <c r="AJ131" i="1" s="1"/>
  <c r="Z132" i="1"/>
  <c r="AI131" i="1" s="1"/>
  <c r="O132" i="1"/>
  <c r="P131" i="1" s="1"/>
  <c r="L132" i="1"/>
  <c r="L131" i="1" s="1"/>
  <c r="J132" i="1"/>
  <c r="AB132" i="1" s="1"/>
  <c r="AK131" i="1" s="1"/>
  <c r="X131" i="1"/>
  <c r="W131" i="1"/>
  <c r="V131" i="1"/>
  <c r="S131" i="1"/>
  <c r="R131" i="1"/>
  <c r="AF129" i="1"/>
  <c r="AN129" i="1" s="1"/>
  <c r="AE129" i="1"/>
  <c r="AM129" i="1" s="1"/>
  <c r="AB129" i="1"/>
  <c r="AA129" i="1"/>
  <c r="Z129" i="1"/>
  <c r="O129" i="1"/>
  <c r="L129" i="1"/>
  <c r="J129" i="1"/>
  <c r="AF127" i="1"/>
  <c r="AN127" i="1" s="1"/>
  <c r="AE127" i="1"/>
  <c r="AM127" i="1" s="1"/>
  <c r="AA127" i="1"/>
  <c r="Z127" i="1"/>
  <c r="O127" i="1"/>
  <c r="L127" i="1"/>
  <c r="J127" i="1"/>
  <c r="AB127" i="1" s="1"/>
  <c r="H127" i="1"/>
  <c r="X126" i="1"/>
  <c r="W126" i="1"/>
  <c r="V126" i="1"/>
  <c r="S126" i="1"/>
  <c r="R126" i="1"/>
  <c r="AF124" i="1"/>
  <c r="AN124" i="1" s="1"/>
  <c r="AE124" i="1"/>
  <c r="AM124" i="1" s="1"/>
  <c r="AA124" i="1"/>
  <c r="Z124" i="1"/>
  <c r="O124" i="1"/>
  <c r="L124" i="1"/>
  <c r="J124" i="1"/>
  <c r="AF122" i="1"/>
  <c r="AN122" i="1" s="1"/>
  <c r="AE122" i="1"/>
  <c r="AM122" i="1" s="1"/>
  <c r="AA122" i="1"/>
  <c r="Z122" i="1"/>
  <c r="O122" i="1"/>
  <c r="L122" i="1"/>
  <c r="J122" i="1"/>
  <c r="H122" i="1"/>
  <c r="AF119" i="1"/>
  <c r="AN119" i="1" s="1"/>
  <c r="AE119" i="1"/>
  <c r="AM119" i="1" s="1"/>
  <c r="AA119" i="1"/>
  <c r="Z119" i="1"/>
  <c r="O119" i="1"/>
  <c r="L119" i="1"/>
  <c r="J119" i="1"/>
  <c r="AI118" i="1"/>
  <c r="X118" i="1"/>
  <c r="W118" i="1"/>
  <c r="V118" i="1"/>
  <c r="S118" i="1"/>
  <c r="R118" i="1"/>
  <c r="AF109" i="1"/>
  <c r="AN109" i="1" s="1"/>
  <c r="AE109" i="1"/>
  <c r="AM109" i="1" s="1"/>
  <c r="AA109" i="1"/>
  <c r="Z109" i="1"/>
  <c r="O109" i="1"/>
  <c r="L109" i="1"/>
  <c r="J109" i="1"/>
  <c r="AB109" i="1" s="1"/>
  <c r="AF105" i="1"/>
  <c r="AN105" i="1" s="1"/>
  <c r="AE105" i="1"/>
  <c r="AM105" i="1" s="1"/>
  <c r="AA105" i="1"/>
  <c r="Z105" i="1"/>
  <c r="O105" i="1"/>
  <c r="L105" i="1"/>
  <c r="J105" i="1"/>
  <c r="AB105" i="1" s="1"/>
  <c r="AF101" i="1"/>
  <c r="AN101" i="1" s="1"/>
  <c r="AE101" i="1"/>
  <c r="AM101" i="1" s="1"/>
  <c r="AA101" i="1"/>
  <c r="AJ100" i="1" s="1"/>
  <c r="Z101" i="1"/>
  <c r="O101" i="1"/>
  <c r="L101" i="1"/>
  <c r="J101" i="1"/>
  <c r="AB101" i="1" s="1"/>
  <c r="X100" i="1"/>
  <c r="W100" i="1"/>
  <c r="V100" i="1"/>
  <c r="S100" i="1"/>
  <c r="R100" i="1"/>
  <c r="AF98" i="1"/>
  <c r="AN98" i="1" s="1"/>
  <c r="AE98" i="1"/>
  <c r="AM98" i="1" s="1"/>
  <c r="AA98" i="1"/>
  <c r="AJ97" i="1" s="1"/>
  <c r="Z98" i="1"/>
  <c r="AI97" i="1" s="1"/>
  <c r="O98" i="1"/>
  <c r="P97" i="1" s="1"/>
  <c r="L98" i="1"/>
  <c r="L97" i="1" s="1"/>
  <c r="J98" i="1"/>
  <c r="AB98" i="1" s="1"/>
  <c r="AK97" i="1" s="1"/>
  <c r="X97" i="1"/>
  <c r="W97" i="1"/>
  <c r="V97" i="1"/>
  <c r="S97" i="1"/>
  <c r="R97" i="1"/>
  <c r="AF95" i="1"/>
  <c r="AN95" i="1" s="1"/>
  <c r="AE95" i="1"/>
  <c r="AM95" i="1" s="1"/>
  <c r="AA95" i="1"/>
  <c r="Z95" i="1"/>
  <c r="O95" i="1"/>
  <c r="L95" i="1"/>
  <c r="J95" i="1"/>
  <c r="AB95" i="1" s="1"/>
  <c r="H95" i="1"/>
  <c r="I95" i="1" s="1"/>
  <c r="AF93" i="1"/>
  <c r="AN93" i="1" s="1"/>
  <c r="AE93" i="1"/>
  <c r="AM93" i="1" s="1"/>
  <c r="AA93" i="1"/>
  <c r="Z93" i="1"/>
  <c r="O93" i="1"/>
  <c r="L93" i="1"/>
  <c r="J93" i="1"/>
  <c r="AB93" i="1" s="1"/>
  <c r="AF90" i="1"/>
  <c r="AN90" i="1" s="1"/>
  <c r="AE90" i="1"/>
  <c r="AM90" i="1" s="1"/>
  <c r="AA90" i="1"/>
  <c r="Z90" i="1"/>
  <c r="O90" i="1"/>
  <c r="L90" i="1"/>
  <c r="J90" i="1"/>
  <c r="AB90" i="1" s="1"/>
  <c r="H90" i="1"/>
  <c r="I90" i="1" s="1"/>
  <c r="AF80" i="1"/>
  <c r="AN80" i="1" s="1"/>
  <c r="AE80" i="1"/>
  <c r="AM80" i="1" s="1"/>
  <c r="AA80" i="1"/>
  <c r="Z80" i="1"/>
  <c r="O80" i="1"/>
  <c r="L80" i="1"/>
  <c r="J80" i="1"/>
  <c r="AB80" i="1" s="1"/>
  <c r="AF77" i="1"/>
  <c r="AN77" i="1" s="1"/>
  <c r="AE77" i="1"/>
  <c r="AM77" i="1" s="1"/>
  <c r="AA77" i="1"/>
  <c r="Z77" i="1"/>
  <c r="O77" i="1"/>
  <c r="L77" i="1"/>
  <c r="J77" i="1"/>
  <c r="AB77" i="1" s="1"/>
  <c r="AF74" i="1"/>
  <c r="AN74" i="1" s="1"/>
  <c r="AE74" i="1"/>
  <c r="AM74" i="1" s="1"/>
  <c r="AA74" i="1"/>
  <c r="Z74" i="1"/>
  <c r="O74" i="1"/>
  <c r="L74" i="1"/>
  <c r="J74" i="1"/>
  <c r="AB74" i="1" s="1"/>
  <c r="H74" i="1"/>
  <c r="AF67" i="1"/>
  <c r="AN67" i="1" s="1"/>
  <c r="AE67" i="1"/>
  <c r="AM67" i="1" s="1"/>
  <c r="AB67" i="1"/>
  <c r="AA67" i="1"/>
  <c r="Z67" i="1"/>
  <c r="O67" i="1"/>
  <c r="L67" i="1"/>
  <c r="J67" i="1"/>
  <c r="AF60" i="1"/>
  <c r="AN60" i="1" s="1"/>
  <c r="AE60" i="1"/>
  <c r="AM60" i="1" s="1"/>
  <c r="AA60" i="1"/>
  <c r="Z60" i="1"/>
  <c r="O60" i="1"/>
  <c r="L60" i="1"/>
  <c r="J60" i="1"/>
  <c r="AB60" i="1" s="1"/>
  <c r="H60" i="1"/>
  <c r="AF54" i="1"/>
  <c r="AN54" i="1" s="1"/>
  <c r="AE54" i="1"/>
  <c r="AM54" i="1" s="1"/>
  <c r="AA54" i="1"/>
  <c r="Z54" i="1"/>
  <c r="O54" i="1"/>
  <c r="L54" i="1"/>
  <c r="J54" i="1"/>
  <c r="AB54" i="1" s="1"/>
  <c r="AF51" i="1"/>
  <c r="AN51" i="1" s="1"/>
  <c r="AE51" i="1"/>
  <c r="AM51" i="1" s="1"/>
  <c r="AA51" i="1"/>
  <c r="Z51" i="1"/>
  <c r="O51" i="1"/>
  <c r="L51" i="1"/>
  <c r="J51" i="1"/>
  <c r="AB51" i="1" s="1"/>
  <c r="H51" i="1"/>
  <c r="AF48" i="1"/>
  <c r="AN48" i="1" s="1"/>
  <c r="AE48" i="1"/>
  <c r="AM48" i="1" s="1"/>
  <c r="AB48" i="1"/>
  <c r="AA48" i="1"/>
  <c r="Z48" i="1"/>
  <c r="O48" i="1"/>
  <c r="L48" i="1"/>
  <c r="J48" i="1"/>
  <c r="AF45" i="1"/>
  <c r="AN45" i="1" s="1"/>
  <c r="AE45" i="1"/>
  <c r="AM45" i="1" s="1"/>
  <c r="AA45" i="1"/>
  <c r="Z45" i="1"/>
  <c r="O45" i="1"/>
  <c r="L45" i="1"/>
  <c r="J45" i="1"/>
  <c r="H45" i="1"/>
  <c r="AF35" i="1"/>
  <c r="AN35" i="1" s="1"/>
  <c r="AE35" i="1"/>
  <c r="AM35" i="1" s="1"/>
  <c r="AB35" i="1"/>
  <c r="AA35" i="1"/>
  <c r="Z35" i="1"/>
  <c r="O35" i="1"/>
  <c r="L35" i="1"/>
  <c r="J35" i="1"/>
  <c r="AF25" i="1"/>
  <c r="AN25" i="1" s="1"/>
  <c r="AE25" i="1"/>
  <c r="AM25" i="1" s="1"/>
  <c r="AA25" i="1"/>
  <c r="Z25" i="1"/>
  <c r="O25" i="1"/>
  <c r="L25" i="1"/>
  <c r="J25" i="1"/>
  <c r="I25" i="1" s="1"/>
  <c r="H25" i="1"/>
  <c r="AF22" i="1"/>
  <c r="AN22" i="1" s="1"/>
  <c r="AE22" i="1"/>
  <c r="AM22" i="1" s="1"/>
  <c r="AA22" i="1"/>
  <c r="Z22" i="1"/>
  <c r="O22" i="1"/>
  <c r="L22" i="1"/>
  <c r="J22" i="1"/>
  <c r="AB22" i="1" s="1"/>
  <c r="AF19" i="1"/>
  <c r="AN19" i="1" s="1"/>
  <c r="AE19" i="1"/>
  <c r="AM19" i="1" s="1"/>
  <c r="AA19" i="1"/>
  <c r="Z19" i="1"/>
  <c r="O19" i="1"/>
  <c r="L19" i="1"/>
  <c r="J19" i="1"/>
  <c r="H19" i="1"/>
  <c r="X18" i="1"/>
  <c r="W18" i="1"/>
  <c r="V18" i="1"/>
  <c r="U18" i="1"/>
  <c r="T18" i="1"/>
  <c r="AF16" i="1"/>
  <c r="AN16" i="1" s="1"/>
  <c r="AE16" i="1"/>
  <c r="AM16" i="1" s="1"/>
  <c r="AA16" i="1"/>
  <c r="Z16" i="1"/>
  <c r="O16" i="1"/>
  <c r="L16" i="1"/>
  <c r="J16" i="1"/>
  <c r="AN13" i="1"/>
  <c r="AF13" i="1"/>
  <c r="AE13" i="1"/>
  <c r="AM13" i="1" s="1"/>
  <c r="AA13" i="1"/>
  <c r="Z13" i="1"/>
  <c r="O13" i="1"/>
  <c r="L13" i="1"/>
  <c r="J13" i="1"/>
  <c r="H13" i="1"/>
  <c r="X12" i="1"/>
  <c r="W12" i="1"/>
  <c r="V12" i="1"/>
  <c r="U12" i="1"/>
  <c r="T12" i="1"/>
  <c r="I45" i="1" l="1"/>
  <c r="P100" i="1"/>
  <c r="AJ126" i="1"/>
  <c r="AJ156" i="1"/>
  <c r="AI12" i="1"/>
  <c r="I19" i="1"/>
  <c r="AI18" i="1"/>
  <c r="AJ134" i="1"/>
  <c r="H157" i="1"/>
  <c r="I157" i="1" s="1"/>
  <c r="I156" i="1" s="1"/>
  <c r="S156" i="1" s="1"/>
  <c r="H180" i="1"/>
  <c r="P12" i="1"/>
  <c r="AJ18" i="1"/>
  <c r="AK164" i="1"/>
  <c r="AI164" i="1"/>
  <c r="H175" i="1"/>
  <c r="H178" i="1"/>
  <c r="I178" i="1" s="1"/>
  <c r="O178" i="1" s="1"/>
  <c r="H93" i="1"/>
  <c r="L100" i="1"/>
  <c r="H105" i="1"/>
  <c r="I105" i="1" s="1"/>
  <c r="L118" i="1"/>
  <c r="AJ118" i="1"/>
  <c r="AK126" i="1"/>
  <c r="AI126" i="1"/>
  <c r="AI134" i="1"/>
  <c r="H146" i="1"/>
  <c r="I146" i="1" s="1"/>
  <c r="I150" i="1"/>
  <c r="O150" i="1" s="1"/>
  <c r="P134" i="1" s="1"/>
  <c r="AI151" i="1"/>
  <c r="I160" i="1"/>
  <c r="I169" i="1"/>
  <c r="I164" i="1" s="1"/>
  <c r="S164" i="1" s="1"/>
  <c r="AJ174" i="1"/>
  <c r="C20" i="2"/>
  <c r="L12" i="1"/>
  <c r="H16" i="1"/>
  <c r="H12" i="1" s="1"/>
  <c r="R12" i="1" s="1"/>
  <c r="AB19" i="1"/>
  <c r="H22" i="1"/>
  <c r="I22" i="1" s="1"/>
  <c r="AB25" i="1"/>
  <c r="H35" i="1"/>
  <c r="AB45" i="1"/>
  <c r="H48" i="1"/>
  <c r="I48" i="1" s="1"/>
  <c r="H54" i="1"/>
  <c r="I54" i="1" s="1"/>
  <c r="H67" i="1"/>
  <c r="I67" i="1" s="1"/>
  <c r="H77" i="1"/>
  <c r="I77" i="1" s="1"/>
  <c r="H101" i="1"/>
  <c r="I101" i="1" s="1"/>
  <c r="H109" i="1"/>
  <c r="I109" i="1" s="1"/>
  <c r="P118" i="1"/>
  <c r="H129" i="1"/>
  <c r="I129" i="1" s="1"/>
  <c r="AK134" i="1"/>
  <c r="H137" i="1"/>
  <c r="H148" i="1"/>
  <c r="I148" i="1" s="1"/>
  <c r="AM154" i="1"/>
  <c r="P156" i="1"/>
  <c r="H172" i="1"/>
  <c r="H171" i="1" s="1"/>
  <c r="AK156" i="1"/>
  <c r="P18" i="1"/>
  <c r="I35" i="1"/>
  <c r="I93" i="1"/>
  <c r="AI100" i="1"/>
  <c r="H119" i="1"/>
  <c r="H124" i="1"/>
  <c r="I124" i="1" s="1"/>
  <c r="P126" i="1"/>
  <c r="L134" i="1"/>
  <c r="L151" i="1"/>
  <c r="I162" i="1"/>
  <c r="I172" i="1"/>
  <c r="I171" i="1" s="1"/>
  <c r="W171" i="1" s="1"/>
  <c r="C19" i="2" s="1"/>
  <c r="H151" i="1"/>
  <c r="R151" i="1" s="1"/>
  <c r="L156" i="1"/>
  <c r="I51" i="1"/>
  <c r="I60" i="1"/>
  <c r="I74" i="1"/>
  <c r="I127" i="1"/>
  <c r="I126" i="1" s="1"/>
  <c r="U126" i="1" s="1"/>
  <c r="I154" i="1"/>
  <c r="O154" i="1" s="1"/>
  <c r="P151" i="1" s="1"/>
  <c r="I176" i="1"/>
  <c r="O176" i="1" s="1"/>
  <c r="I177" i="1"/>
  <c r="O177" i="1" s="1"/>
  <c r="I180" i="1"/>
  <c r="O180" i="1" s="1"/>
  <c r="I122" i="1"/>
  <c r="AB122" i="1"/>
  <c r="H98" i="1"/>
  <c r="AK100" i="1"/>
  <c r="H132" i="1"/>
  <c r="I152" i="1"/>
  <c r="AB152" i="1"/>
  <c r="C28" i="2"/>
  <c r="F28" i="2" s="1"/>
  <c r="AA181" i="1"/>
  <c r="AB119" i="1"/>
  <c r="AB124" i="1"/>
  <c r="L126" i="1"/>
  <c r="I13" i="1"/>
  <c r="AB13" i="1"/>
  <c r="AJ12" i="1"/>
  <c r="AB16" i="1"/>
  <c r="Z181" i="1"/>
  <c r="L18" i="1"/>
  <c r="H80" i="1"/>
  <c r="I80" i="1" s="1"/>
  <c r="AB154" i="1"/>
  <c r="H164" i="1"/>
  <c r="AB175" i="1"/>
  <c r="AB176" i="1"/>
  <c r="AB177" i="1"/>
  <c r="AB178" i="1"/>
  <c r="AB180" i="1"/>
  <c r="C27" i="2"/>
  <c r="H156" i="1"/>
  <c r="C29" i="2" l="1"/>
  <c r="F29" i="2" s="1"/>
  <c r="H126" i="1"/>
  <c r="H174" i="1"/>
  <c r="R174" i="1" s="1"/>
  <c r="I16" i="1"/>
  <c r="I175" i="1"/>
  <c r="O175" i="1" s="1"/>
  <c r="H134" i="1"/>
  <c r="R134" i="1" s="1"/>
  <c r="I137" i="1"/>
  <c r="I134" i="1" s="1"/>
  <c r="S134" i="1" s="1"/>
  <c r="H118" i="1"/>
  <c r="T118" i="1" s="1"/>
  <c r="H100" i="1"/>
  <c r="J171" i="1"/>
  <c r="I18" i="1"/>
  <c r="S18" i="1" s="1"/>
  <c r="V171" i="1"/>
  <c r="C18" i="2" s="1"/>
  <c r="I174" i="1"/>
  <c r="AK18" i="1"/>
  <c r="I100" i="1"/>
  <c r="U100" i="1" s="1"/>
  <c r="P174" i="1"/>
  <c r="C21" i="2" s="1"/>
  <c r="I119" i="1"/>
  <c r="I118" i="1" s="1"/>
  <c r="U118" i="1" s="1"/>
  <c r="I151" i="1"/>
  <c r="I28" i="2"/>
  <c r="I29" i="2" s="1"/>
  <c r="AK151" i="1"/>
  <c r="I132" i="1"/>
  <c r="I131" i="1" s="1"/>
  <c r="U131" i="1" s="1"/>
  <c r="H131" i="1"/>
  <c r="AK174" i="1"/>
  <c r="I98" i="1"/>
  <c r="I97" i="1" s="1"/>
  <c r="U97" i="1" s="1"/>
  <c r="H97" i="1"/>
  <c r="R156" i="1"/>
  <c r="J156" i="1"/>
  <c r="AK12" i="1"/>
  <c r="AB181" i="1"/>
  <c r="T126" i="1"/>
  <c r="J126" i="1"/>
  <c r="J164" i="1"/>
  <c r="R164" i="1"/>
  <c r="I12" i="1"/>
  <c r="AK118" i="1"/>
  <c r="H18" i="1"/>
  <c r="J174" i="1" l="1"/>
  <c r="C17" i="2"/>
  <c r="S151" i="1"/>
  <c r="J151" i="1"/>
  <c r="J134" i="1"/>
  <c r="J118" i="1"/>
  <c r="S174" i="1"/>
  <c r="T100" i="1"/>
  <c r="J100" i="1"/>
  <c r="R18" i="1"/>
  <c r="C14" i="2" s="1"/>
  <c r="J18" i="1"/>
  <c r="J131" i="1"/>
  <c r="T131" i="1"/>
  <c r="S12" i="1"/>
  <c r="C15" i="2" s="1"/>
  <c r="J12" i="1"/>
  <c r="J97" i="1"/>
  <c r="T97" i="1"/>
  <c r="C16" i="2" l="1"/>
  <c r="C22" i="2" s="1"/>
  <c r="J181" i="1"/>
</calcChain>
</file>

<file path=xl/sharedStrings.xml><?xml version="1.0" encoding="utf-8"?>
<sst xmlns="http://schemas.openxmlformats.org/spreadsheetml/2006/main" count="682" uniqueCount="390">
  <si>
    <t>Slepý stavební rozpočet</t>
  </si>
  <si>
    <t>Název stavby:</t>
  </si>
  <si>
    <t>STAVEBNÍ ÚPRAVY - ZATEPLENÍ OBJEKTU VÚRV - FASÁDY - revize 21.09.2016</t>
  </si>
  <si>
    <t>Doba výstavby:</t>
  </si>
  <si>
    <t>Objednatel:</t>
  </si>
  <si>
    <t>Výzkumný ústav rostlinné výroby</t>
  </si>
  <si>
    <t>Druh stavby:</t>
  </si>
  <si>
    <t>D.1.1. ARCHITEKTONICKO-STAVEBNÍ ŘEŠENÍ</t>
  </si>
  <si>
    <t>Začátek výstavby:</t>
  </si>
  <si>
    <t xml:space="preserve"> </t>
  </si>
  <si>
    <t>Projektant:</t>
  </si>
  <si>
    <t>ing. Jindřich Janoušek</t>
  </si>
  <si>
    <t>Lokalita:</t>
  </si>
  <si>
    <t>Chomutov, ul. Černovická č.p. 4987</t>
  </si>
  <si>
    <t>Konec výstavby:</t>
  </si>
  <si>
    <t>Zhotovitel:</t>
  </si>
  <si>
    <t>Dle výběrového řízení</t>
  </si>
  <si>
    <t>JKSO:</t>
  </si>
  <si>
    <t>Zpracováno dne:</t>
  </si>
  <si>
    <t>Zpracoval:</t>
  </si>
  <si>
    <t>Kamila Možná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</si>
  <si>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</si>
  <si>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</si>
  <si>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</si>
  <si>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</si>
  <si>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</si>
  <si>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</si>
  <si>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</si>
  <si>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</si>
  <si>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</si>
  <si>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</si>
  <si>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</si>
  <si>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</si>
  <si>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</si>
  <si>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</si>
  <si>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</si>
  <si>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</si>
  <si>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</si>
  <si>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</si>
  <si>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</si>
  <si>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</si>
  <si>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</si>
  <si>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</si>
  <si>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</si>
  <si>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</si>
  <si>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</si>
  <si>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</t>
  </si>
  <si>
    <t>Stěny a příčky</t>
  </si>
  <si>
    <t>HS</t>
  </si>
  <si>
    <t>1</t>
  </si>
  <si>
    <t>342266111R00</t>
  </si>
  <si>
    <t>Obklad stěn sádrokartonem na ocelovou konstrukci</t>
  </si>
  <si>
    <t>m2</t>
  </si>
  <si>
    <t>RTS I / 2016</t>
  </si>
  <si>
    <t>34_</t>
  </si>
  <si>
    <t>3_</t>
  </si>
  <si>
    <t>_</t>
  </si>
  <si>
    <t>(0,6+0,5)*3,3*2;mč, 1,08;</t>
  </si>
  <si>
    <t>7,26*0,05;ztratné 5%;</t>
  </si>
  <si>
    <t>2</t>
  </si>
  <si>
    <t>342266998R00</t>
  </si>
  <si>
    <t>Příplatek pro obklad za plochu do 5 m2</t>
  </si>
  <si>
    <t>7,26;viz obklad;</t>
  </si>
  <si>
    <t>62</t>
  </si>
  <si>
    <t>Úprava povrchů vnější</t>
  </si>
  <si>
    <t>3</t>
  </si>
  <si>
    <t>622311733RV1</t>
  </si>
  <si>
    <t>Zatepl.syst., fasáda, miner.desky tl. 120 mm zakončený stěrkou s výztužnou tkaninou</t>
  </si>
  <si>
    <t>62_</t>
  </si>
  <si>
    <t>6_</t>
  </si>
  <si>
    <t>4</t>
  </si>
  <si>
    <t>622311750RT6</t>
  </si>
  <si>
    <t>Povrchová úprava ostění KZS s min.vlnou s omítkou silikonovou</t>
  </si>
  <si>
    <t>1*3,3*2;vstup SO001;</t>
  </si>
  <si>
    <t>6,6*0,05;ztratné 5%;</t>
  </si>
  <si>
    <t>5</t>
  </si>
  <si>
    <t>622311524RU1</t>
  </si>
  <si>
    <t>Zateplovací systém Baumit, sokl, XPS tl. 140 mm s mozaikovou omítkou</t>
  </si>
  <si>
    <t>(38,04-5,7)*0,6;SO001 jihovýchod;</t>
  </si>
  <si>
    <t>14,98*0,6;SO002 jihovýchod;</t>
  </si>
  <si>
    <t>15*0,6;SO001 jihozápad;</t>
  </si>
  <si>
    <t>5,3*0,6;SO001 severovýchod;</t>
  </si>
  <si>
    <t>23,65*0,6;SO002 severovýchod;</t>
  </si>
  <si>
    <t>15*0,6;SO002 severozápad;</t>
  </si>
  <si>
    <t>13,94*0,6;SO002 jihozápad;</t>
  </si>
  <si>
    <t>29,78*0,6;SO001 severozápad;</t>
  </si>
  <si>
    <t>90,044*0,05;ztratné 5%;</t>
  </si>
  <si>
    <t>6</t>
  </si>
  <si>
    <t>622311134RT3</t>
  </si>
  <si>
    <t>Zateplovací systém, fasáda, EPS F tl.140 mm s omítkou silikonovou</t>
  </si>
  <si>
    <t>38,04*8-(5,7*3,5+2,4*2,1*16);SO001 jihovýchod;</t>
  </si>
  <si>
    <t>14,98*4,5-(2,4*2,1*3);SO002 jihovýchod;</t>
  </si>
  <si>
    <t>15*8-(1,2*2,1*14);SO001 jihozápad;</t>
  </si>
  <si>
    <t>5,3*8-(2,4*2,1)+10*3,5;SO001 severovýchod;</t>
  </si>
  <si>
    <t>23,65*4,5-(1,2*2,1*7);SO002 severovýchod;</t>
  </si>
  <si>
    <t>15*4,5-(2,4*2,1*2+1,45*2);SO002 severozápad;</t>
  </si>
  <si>
    <t>13,94*4,5-(1,2*2,1*4);SO002 jihozápad;</t>
  </si>
  <si>
    <t>29,78*8-(2,4*2,1*13+1,2*2,1*2+1*2);SO001 severozápad;</t>
  </si>
  <si>
    <t>774,785*0,05;ztratné 5%;</t>
  </si>
  <si>
    <t>7</t>
  </si>
  <si>
    <t>622311113R00</t>
  </si>
  <si>
    <t>Dilatační profil KZS rohový</t>
  </si>
  <si>
    <t>m</t>
  </si>
  <si>
    <t>5*2;SO002;</t>
  </si>
  <si>
    <t>10*0,05;ztratné 5%;</t>
  </si>
  <si>
    <t>8</t>
  </si>
  <si>
    <t>622311130RT3</t>
  </si>
  <si>
    <t>Zateplovací systém, ostění a nadpraží, EPS F tl. 30 mm s omítkou Silikon</t>
  </si>
  <si>
    <t>126,1575*0,3;viz okenní lišta;</t>
  </si>
  <si>
    <t>248,64*0,3;viz rohová lišta;</t>
  </si>
  <si>
    <t>9</t>
  </si>
  <si>
    <t>622311653RT3</t>
  </si>
  <si>
    <t>Zateplovací systém, parapety, XPS tl. 30 mm</t>
  </si>
  <si>
    <t>121,6*0,3;viz délka parapetů krát šířka;</t>
  </si>
  <si>
    <t>36,48*0,05;ztratné 5%;</t>
  </si>
  <si>
    <t>10</t>
  </si>
  <si>
    <t>620991121R00</t>
  </si>
  <si>
    <t>Zakrývání výplní vnějších otvorů</t>
  </si>
  <si>
    <t>1,2*2,1*14;jihozápad;</t>
  </si>
  <si>
    <t>2,4*2,1*16+2,4*2,1*3+5,7*3,5;jihovýchod;</t>
  </si>
  <si>
    <t>2,4*2,1*2+1,45*2+1*2+1,2*2,1*2+2,4*2,1*13+1*0,6*4;severozápad;</t>
  </si>
  <si>
    <t>2,4*2,1+1,2*2,1+1,2*2,1*7;severovýchod;</t>
  </si>
  <si>
    <t>1,2*2,1*4;jihozápad ze dvora;</t>
  </si>
  <si>
    <t>11</t>
  </si>
  <si>
    <t>622421491R00</t>
  </si>
  <si>
    <t>Doplňky zatepl. systémů, okenní lišta s okapničkou</t>
  </si>
  <si>
    <t>1,2*14;jihozápad;</t>
  </si>
  <si>
    <t>2,4*12+2,4*3+5,7;jihovýchod;</t>
  </si>
  <si>
    <t>2,4*2+1,45+1+1,2*2+2,4*13+1*4;severozápad;</t>
  </si>
  <si>
    <t>2,4+1,2+1,2*7;severovýchod;</t>
  </si>
  <si>
    <t>1,2*4;jihozápad ze dvora;</t>
  </si>
  <si>
    <t>120,15*0,05;ztratné 5%;</t>
  </si>
  <si>
    <t>12</t>
  </si>
  <si>
    <t>622421492R00</t>
  </si>
  <si>
    <t>Doplňky zatepl. systémů, okenní lišta s tkaninou</t>
  </si>
  <si>
    <t>2*14;jihozápad;</t>
  </si>
  <si>
    <t>2,1*2*12+2,1*2*3+3,5*2;jihovýchod;</t>
  </si>
  <si>
    <t>2,1*2*2+2*2+2*2+2,1*2*2+2,1*2*13+0,6*2*4;severozápad;</t>
  </si>
  <si>
    <t>2,1*2+2,1*2+2,1*2*7;severovýchod;</t>
  </si>
  <si>
    <t>2,1*2*4;jihozápad ze dvora;</t>
  </si>
  <si>
    <t>236,8*0,05;ztratné 5%;</t>
  </si>
  <si>
    <t>13</t>
  </si>
  <si>
    <t>622421497VD</t>
  </si>
  <si>
    <t>Doplňky zatep. systémů, APU lišta</t>
  </si>
  <si>
    <t>126,1575;viz okenní lišta;</t>
  </si>
  <si>
    <t>248,64;viz rohová lišta;</t>
  </si>
  <si>
    <t>14</t>
  </si>
  <si>
    <t>622421494R00</t>
  </si>
  <si>
    <t>Doplňky zatepl. systémů, podparapetní lišta s tkan + fólie</t>
  </si>
  <si>
    <t>121,6;viz parapety;</t>
  </si>
  <si>
    <t>121,6*0,05;ztratné 5%;</t>
  </si>
  <si>
    <t>15</t>
  </si>
  <si>
    <t>622311014R00</t>
  </si>
  <si>
    <t>Soklová lišta hliník KZS Baumit tl. 140 mm</t>
  </si>
  <si>
    <t>38,04-5,7;SO001 jihovýchod;</t>
  </si>
  <si>
    <t>14,98;SO002 jihovýchod;</t>
  </si>
  <si>
    <t>15;SO001 jihozápad;</t>
  </si>
  <si>
    <t>5,3;SO001 severovýchod;</t>
  </si>
  <si>
    <t>23,65;SO002 severovýchod;</t>
  </si>
  <si>
    <t>15;SO002 severozápad;</t>
  </si>
  <si>
    <t>13,94;SO002 jihozápad;</t>
  </si>
  <si>
    <t>29,78;SO001 severozápad;</t>
  </si>
  <si>
    <t>149,99*0,05;ztratné 5%;</t>
  </si>
  <si>
    <t>16</t>
  </si>
  <si>
    <t>622904112R00</t>
  </si>
  <si>
    <t>Očištění fasád tlakovou vodou</t>
  </si>
  <si>
    <t>94,4962;sokl 140mm s mozaik, omítkou;</t>
  </si>
  <si>
    <t>813,47425;fasáda EPS 140mm;</t>
  </si>
  <si>
    <t>17</t>
  </si>
  <si>
    <t>622422111R00</t>
  </si>
  <si>
    <t>Oprava vnějších omítek vápen. hladk. II, do 10 %</t>
  </si>
  <si>
    <t>907,97;viz omytí;</t>
  </si>
  <si>
    <t>18</t>
  </si>
  <si>
    <t>622481113R00</t>
  </si>
  <si>
    <t>Potažení vnějších stěn sklotex. pletivem, vypnutí</t>
  </si>
  <si>
    <t>157,4895*2;viz soklová lišta krát výška 2m;</t>
  </si>
  <si>
    <t>713</t>
  </si>
  <si>
    <t>Izolace tepelné</t>
  </si>
  <si>
    <t>PS</t>
  </si>
  <si>
    <t>19</t>
  </si>
  <si>
    <t>713134211RK3</t>
  </si>
  <si>
    <t>Montáž parozábrany na stěny s přelepením spojů včetně dodávky</t>
  </si>
  <si>
    <t>713_</t>
  </si>
  <si>
    <t>71_</t>
  </si>
  <si>
    <t>7,62;viz obklad SDK;</t>
  </si>
  <si>
    <t>764</t>
  </si>
  <si>
    <t>Konstrukce klempířské</t>
  </si>
  <si>
    <t>20</t>
  </si>
  <si>
    <t>764900050RA0</t>
  </si>
  <si>
    <t>Demontáž oplechování parapetů</t>
  </si>
  <si>
    <t>764_</t>
  </si>
  <si>
    <t>76_</t>
  </si>
  <si>
    <t>2,4*35;B1;</t>
  </si>
  <si>
    <t>1,2*28;B2;</t>
  </si>
  <si>
    <t>1*4;B3;</t>
  </si>
  <si>
    <t>21</t>
  </si>
  <si>
    <t>764410310RAB</t>
  </si>
  <si>
    <t>Oplechování parapetů z elox. hliníku včetně doplňků</t>
  </si>
  <si>
    <t>2,4*35;1/K;</t>
  </si>
  <si>
    <t>1,2*28;2/K;</t>
  </si>
  <si>
    <t>1*4;3/K;</t>
  </si>
  <si>
    <t>22</t>
  </si>
  <si>
    <t>764530400R00</t>
  </si>
  <si>
    <t>Oplechování návaznosti atiky z Ti Zn plechu, rš 330 mm vč. příponk. plechu a pásky</t>
  </si>
  <si>
    <t>15,3;jihozápad SO001;</t>
  </si>
  <si>
    <t>38,5;jihovýchod SO001;</t>
  </si>
  <si>
    <t>15;jihovýchod SO002;</t>
  </si>
  <si>
    <t>15,3;severovýchod SO001;</t>
  </si>
  <si>
    <t>24;severovýchod SO002;</t>
  </si>
  <si>
    <t>15;severozápad SO002;</t>
  </si>
  <si>
    <t>38,5;severozápad SO001;</t>
  </si>
  <si>
    <t>14,1;jihozápad SO002 ze dvora;</t>
  </si>
  <si>
    <t>766</t>
  </si>
  <si>
    <t>Konstrukce truhlářské</t>
  </si>
  <si>
    <t>23</t>
  </si>
  <si>
    <t>766629304R00</t>
  </si>
  <si>
    <t>Montáž dveří plastových</t>
  </si>
  <si>
    <t>kus</t>
  </si>
  <si>
    <t>766_</t>
  </si>
  <si>
    <t>1;1/P;</t>
  </si>
  <si>
    <t>1;4/D;</t>
  </si>
  <si>
    <t>24</t>
  </si>
  <si>
    <t>611111159VD</t>
  </si>
  <si>
    <t>Dveře plastové 900x1970mm</t>
  </si>
  <si>
    <t>0</t>
  </si>
  <si>
    <t>25</t>
  </si>
  <si>
    <t>611111162VD</t>
  </si>
  <si>
    <t>Dveře plastové 1450x1970mm</t>
  </si>
  <si>
    <t>767</t>
  </si>
  <si>
    <t>Konstrukce doplňkové stavební (zámečnické)</t>
  </si>
  <si>
    <t>26</t>
  </si>
  <si>
    <t>767001152VD</t>
  </si>
  <si>
    <t>Demontáž požárního žebříku</t>
  </si>
  <si>
    <t>767_</t>
  </si>
  <si>
    <t>1;B14;</t>
  </si>
  <si>
    <t>27</t>
  </si>
  <si>
    <t>767995114VD</t>
  </si>
  <si>
    <t>Zpětné osazení požárního žebříku včetně přikotvení</t>
  </si>
  <si>
    <t>1;viz demontáž;</t>
  </si>
  <si>
    <t>784</t>
  </si>
  <si>
    <t>Malby</t>
  </si>
  <si>
    <t>28</t>
  </si>
  <si>
    <t>784442021RT1</t>
  </si>
  <si>
    <t>Malba disperzní interiérová HET, výška do 3,8 m pro sádrokartony, 2 x nátěr</t>
  </si>
  <si>
    <t>784_</t>
  </si>
  <si>
    <t>78_</t>
  </si>
  <si>
    <t>7,26;viz obklad SDK;</t>
  </si>
  <si>
    <t>94</t>
  </si>
  <si>
    <t>Lešení a stavební výtahy</t>
  </si>
  <si>
    <t>29</t>
  </si>
  <si>
    <t>941955002R00</t>
  </si>
  <si>
    <t>Lešení lehké pomocné, výška podlahy do 1,9 m</t>
  </si>
  <si>
    <t>94_</t>
  </si>
  <si>
    <t>9_</t>
  </si>
  <si>
    <t>1*1*2;mč, 1,08;</t>
  </si>
  <si>
    <t>30</t>
  </si>
  <si>
    <t>941941041R00</t>
  </si>
  <si>
    <t>Montáž lešení leh.řad.s podlahami,š.1,2 m, H 10 m</t>
  </si>
  <si>
    <t>38,04*8,6;SO001 jihovýchod;</t>
  </si>
  <si>
    <t>14,98*5,1;SO002 jihovýchod;</t>
  </si>
  <si>
    <t>15*8,6;SO001 jihozápad;</t>
  </si>
  <si>
    <t>5,3*8,6;SO001 severovýchod;</t>
  </si>
  <si>
    <t>23,65*5,1;SO002 severovýchod;</t>
  </si>
  <si>
    <t>15*5,1;SO002 severozápad;</t>
  </si>
  <si>
    <t>13,94*5,1;SO002 jihozápad;</t>
  </si>
  <si>
    <t>29,78*8,6;SO001 severozápad;</t>
  </si>
  <si>
    <t>31</t>
  </si>
  <si>
    <t>941941291R00</t>
  </si>
  <si>
    <t>Příplatek za každý měsíc použití lešení k pol.1041</t>
  </si>
  <si>
    <t>1102,44*2;2 měsíce;</t>
  </si>
  <si>
    <t>32</t>
  </si>
  <si>
    <t>941941831R00</t>
  </si>
  <si>
    <t>Demontáž lešení leh.řad.s podlahami,š.1 m, H 10 m</t>
  </si>
  <si>
    <t>1102,44;viz montáž;</t>
  </si>
  <si>
    <t>33</t>
  </si>
  <si>
    <t>998009101R00</t>
  </si>
  <si>
    <t>Přesun hmot lešení samostatně budovaného</t>
  </si>
  <si>
    <t>t</t>
  </si>
  <si>
    <t>95</t>
  </si>
  <si>
    <t>Různé dokončovací konstrukce a práce na pozemních stavbách</t>
  </si>
  <si>
    <t>952901110R00</t>
  </si>
  <si>
    <t>Čištění mytím vnějších ploch oken a dveří</t>
  </si>
  <si>
    <t>95_</t>
  </si>
  <si>
    <t>274,21;viz zakrývání;</t>
  </si>
  <si>
    <t>35</t>
  </si>
  <si>
    <t>999281108R00</t>
  </si>
  <si>
    <t>Přesun hmot pro opravy a údržbu do výšky 12 m</t>
  </si>
  <si>
    <t>34,02506</t>
  </si>
  <si>
    <t>96</t>
  </si>
  <si>
    <t>Bourání konstrukcí</t>
  </si>
  <si>
    <t>36</t>
  </si>
  <si>
    <t>968061125R00</t>
  </si>
  <si>
    <t>Vyvěšení dřevěných dveřních křídel pl. do 2 m2</t>
  </si>
  <si>
    <t>96_</t>
  </si>
  <si>
    <t>1;B8;</t>
  </si>
  <si>
    <t>2;B11;</t>
  </si>
  <si>
    <t>37</t>
  </si>
  <si>
    <t>968072455R00</t>
  </si>
  <si>
    <t>Vybourání kovových dveřních zárubní pl. do 2 m2</t>
  </si>
  <si>
    <t>0,9*1,97;B8;</t>
  </si>
  <si>
    <t>38</t>
  </si>
  <si>
    <t>968072456R00</t>
  </si>
  <si>
    <t>Vybourání kovových dveřních zárubní pl. nad 2 m2</t>
  </si>
  <si>
    <t>1,45*1,97;B11;</t>
  </si>
  <si>
    <t>97</t>
  </si>
  <si>
    <t>Prorážení otvorů a ostatní bourací práce</t>
  </si>
  <si>
    <t>39</t>
  </si>
  <si>
    <t>978059611R00</t>
  </si>
  <si>
    <t>Odsekání vnějších obkladů soklů</t>
  </si>
  <si>
    <t>97_</t>
  </si>
  <si>
    <t>10;jihovýchod;</t>
  </si>
  <si>
    <t>3,5;severovýchod;</t>
  </si>
  <si>
    <t>;B13;</t>
  </si>
  <si>
    <t>40</t>
  </si>
  <si>
    <t>978015221R00</t>
  </si>
  <si>
    <t>Otlučení omítek vnějších MVC v složit.1-4 do 10 %</t>
  </si>
  <si>
    <t>M21</t>
  </si>
  <si>
    <t>Elektromontáže</t>
  </si>
  <si>
    <t>MP</t>
  </si>
  <si>
    <t>41</t>
  </si>
  <si>
    <t>210200000RAA</t>
  </si>
  <si>
    <t>Hromosvod</t>
  </si>
  <si>
    <t>kompl</t>
  </si>
  <si>
    <t>M21_</t>
  </si>
  <si>
    <t>1;hromosvod;</t>
  </si>
  <si>
    <t>S</t>
  </si>
  <si>
    <t>Přesuny sutí</t>
  </si>
  <si>
    <t>42</t>
  </si>
  <si>
    <t>979082212R00</t>
  </si>
  <si>
    <t>Vodorovná doprava suti po suchu do 50 m</t>
  </si>
  <si>
    <t>S_</t>
  </si>
  <si>
    <t>43</t>
  </si>
  <si>
    <t>979087113R00</t>
  </si>
  <si>
    <t>Nakládání vybouraných hmot na dopravní prostředky</t>
  </si>
  <si>
    <t>44</t>
  </si>
  <si>
    <t>979081111R00</t>
  </si>
  <si>
    <t>Odvoz suti a vybour. hmot na skládku do 1 km</t>
  </si>
  <si>
    <t>45</t>
  </si>
  <si>
    <t>979081121R00</t>
  </si>
  <si>
    <t>Příplatek k odvozu za každý další 1 km</t>
  </si>
  <si>
    <t>6,28108*19;odvoz do 20km;</t>
  </si>
  <si>
    <t>46</t>
  </si>
  <si>
    <t>979999999R00</t>
  </si>
  <si>
    <t>Poplatek za skladku</t>
  </si>
  <si>
    <t>Celkem:</t>
  </si>
  <si>
    <t>Poznámka:</t>
  </si>
  <si>
    <t>Krycí list slepého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</si>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</sst>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61"/>
      <name val="Arial"/>
      <family val="2"/>
      <charset val="238"/>
    </font>
    <font>
      <sz val="10"/>
      <color indexed="62"/>
      <name val="Arial"/>
      <family val="2"/>
      <charset val="238"/>
    </font>
    <font>
      <i/>
      <sz val="8"/>
      <color indexed="8"/>
      <name val="Arial"/>
      <family val="2"/>
      <charset val="238"/>
    </font>
    <font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24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right" vertical="center"/>
    </xf>
    <xf numFmtId="4" fontId="4" fillId="2" borderId="0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49" fontId="9" fillId="0" borderId="10" xfId="0" applyNumberFormat="1" applyFont="1" applyFill="1" applyBorder="1" applyAlignment="1" applyProtection="1">
      <alignment horizontal="left" vertical="center"/>
    </xf>
    <xf numFmtId="49" fontId="9" fillId="0" borderId="11" xfId="0" applyNumberFormat="1" applyFont="1" applyFill="1" applyBorder="1" applyAlignment="1" applyProtection="1">
      <alignment horizontal="left" vertical="center"/>
    </xf>
    <xf numFmtId="49" fontId="9" fillId="0" borderId="11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vertical="center"/>
    </xf>
    <xf numFmtId="49" fontId="1" fillId="0" borderId="18" xfId="0" applyNumberFormat="1" applyFont="1" applyFill="1" applyBorder="1" applyAlignment="1" applyProtection="1">
      <alignment horizontal="left" vertical="center"/>
    </xf>
    <xf numFmtId="49" fontId="1" fillId="0" borderId="19" xfId="0" applyNumberFormat="1" applyFont="1" applyFill="1" applyBorder="1" applyAlignment="1" applyProtection="1">
      <alignment horizontal="left" vertical="center"/>
    </xf>
    <xf numFmtId="49" fontId="9" fillId="0" borderId="19" xfId="0" applyNumberFormat="1" applyFont="1" applyFill="1" applyBorder="1" applyAlignment="1" applyProtection="1">
      <alignment horizontal="left" vertical="center"/>
    </xf>
    <xf numFmtId="49" fontId="9" fillId="0" borderId="20" xfId="0" applyNumberFormat="1" applyFont="1" applyFill="1" applyBorder="1" applyAlignment="1" applyProtection="1">
      <alignment horizontal="right" vertical="center"/>
    </xf>
    <xf numFmtId="49" fontId="9" fillId="0" borderId="21" xfId="0" applyNumberFormat="1" applyFont="1" applyFill="1" applyBorder="1" applyAlignment="1" applyProtection="1">
      <alignment horizontal="center" vertical="center"/>
    </xf>
    <xf numFmtId="49" fontId="9" fillId="0" borderId="22" xfId="0" applyNumberFormat="1" applyFont="1" applyFill="1" applyBorder="1" applyAlignment="1" applyProtection="1">
      <alignment horizontal="center" vertical="center"/>
    </xf>
    <xf numFmtId="49" fontId="9" fillId="0" borderId="23" xfId="0" applyNumberFormat="1" applyFont="1" applyFill="1" applyBorder="1" applyAlignment="1" applyProtection="1">
      <alignment horizontal="center" vertical="center"/>
    </xf>
    <xf numFmtId="49" fontId="9" fillId="0" borderId="24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" fontId="10" fillId="0" borderId="0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righ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49" fontId="9" fillId="0" borderId="25" xfId="0" applyNumberFormat="1" applyFont="1" applyFill="1" applyBorder="1" applyAlignment="1" applyProtection="1">
      <alignment horizontal="left" vertical="center"/>
    </xf>
    <xf numFmtId="4" fontId="9" fillId="0" borderId="25" xfId="0" applyNumberFormat="1" applyFont="1" applyFill="1" applyBorder="1" applyAlignment="1" applyProtection="1">
      <alignment horizontal="right" vertical="center"/>
    </xf>
    <xf numFmtId="49" fontId="9" fillId="0" borderId="25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vertical="center"/>
    </xf>
    <xf numFmtId="49" fontId="14" fillId="3" borderId="29" xfId="0" applyNumberFormat="1" applyFont="1" applyFill="1" applyBorder="1" applyAlignment="1" applyProtection="1">
      <alignment horizontal="center" vertical="center"/>
    </xf>
    <xf numFmtId="49" fontId="16" fillId="0" borderId="32" xfId="0" applyNumberFormat="1" applyFont="1" applyFill="1" applyBorder="1" applyAlignment="1" applyProtection="1">
      <alignment horizontal="left" vertical="center"/>
    </xf>
    <xf numFmtId="49" fontId="17" fillId="0" borderId="29" xfId="0" applyNumberFormat="1" applyFont="1" applyFill="1" applyBorder="1" applyAlignment="1" applyProtection="1">
      <alignment horizontal="left" vertical="center"/>
    </xf>
    <xf numFmtId="4" fontId="17" fillId="0" borderId="29" xfId="0" applyNumberFormat="1" applyFont="1" applyFill="1" applyBorder="1" applyAlignment="1" applyProtection="1">
      <alignment horizontal="right" vertical="center"/>
    </xf>
    <xf numFmtId="49" fontId="16" fillId="0" borderId="33" xfId="0" applyNumberFormat="1" applyFont="1" applyFill="1" applyBorder="1" applyAlignment="1" applyProtection="1">
      <alignment horizontal="left" vertical="center"/>
    </xf>
    <xf numFmtId="49" fontId="17" fillId="0" borderId="29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vertical="center"/>
    </xf>
    <xf numFmtId="4" fontId="17" fillId="0" borderId="22" xfId="0" applyNumberFormat="1" applyFont="1" applyFill="1" applyBorder="1" applyAlignment="1" applyProtection="1">
      <alignment horizontal="right" vertical="center"/>
    </xf>
    <xf numFmtId="0" fontId="2" fillId="0" borderId="34" xfId="0" applyNumberFormat="1" applyFont="1" applyFill="1" applyBorder="1" applyAlignment="1" applyProtection="1">
      <alignment vertical="center"/>
    </xf>
    <xf numFmtId="0" fontId="2" fillId="0" borderId="3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4" fontId="16" fillId="3" borderId="31" xfId="0" applyNumberFormat="1" applyFont="1" applyFill="1" applyBorder="1" applyAlignment="1" applyProtection="1">
      <alignment horizontal="right" vertical="center"/>
    </xf>
    <xf numFmtId="0" fontId="2" fillId="0" borderId="26" xfId="0" applyNumberFormat="1" applyFont="1" applyFill="1" applyBorder="1" applyAlignment="1" applyProtection="1">
      <alignment vertical="center"/>
    </xf>
    <xf numFmtId="0" fontId="2" fillId="0" borderId="35" xfId="0" applyNumberFormat="1" applyFont="1" applyFill="1" applyBorder="1" applyAlignment="1" applyProtection="1">
      <alignment vertical="center"/>
    </xf>
    <xf numFmtId="49" fontId="7" fillId="0" borderId="25" xfId="0" applyNumberFormat="1" applyFont="1" applyFill="1" applyBorder="1" applyAlignment="1" applyProtection="1">
      <alignment horizontal="left" vertical="center"/>
    </xf>
    <xf numFmtId="0" fontId="2" fillId="0" borderId="25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49" fontId="9" fillId="0" borderId="3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49" fontId="9" fillId="0" borderId="25" xfId="0" applyNumberFormat="1" applyFont="1" applyFill="1" applyBorder="1" applyAlignment="1" applyProtection="1">
      <alignment horizontal="left" vertical="center"/>
    </xf>
    <xf numFmtId="0" fontId="9" fillId="0" borderId="25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49" fontId="17" fillId="0" borderId="17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38" xfId="0" applyNumberFormat="1" applyFont="1" applyFill="1" applyBorder="1" applyAlignment="1" applyProtection="1">
      <alignment horizontal="left" vertical="center"/>
    </xf>
    <xf numFmtId="49" fontId="17" fillId="0" borderId="39" xfId="0" applyNumberFormat="1" applyFont="1" applyFill="1" applyBorder="1" applyAlignment="1" applyProtection="1">
      <alignment horizontal="left" vertical="center"/>
    </xf>
    <xf numFmtId="0" fontId="17" fillId="0" borderId="8" xfId="0" applyNumberFormat="1" applyFont="1" applyFill="1" applyBorder="1" applyAlignment="1" applyProtection="1">
      <alignment horizontal="left" vertical="center"/>
    </xf>
    <xf numFmtId="0" fontId="17" fillId="0" borderId="40" xfId="0" applyNumberFormat="1" applyFont="1" applyFill="1" applyBorder="1" applyAlignment="1" applyProtection="1">
      <alignment horizontal="left" vertical="center"/>
    </xf>
    <xf numFmtId="49" fontId="16" fillId="3" borderId="30" xfId="0" applyNumberFormat="1" applyFont="1" applyFill="1" applyBorder="1" applyAlignment="1" applyProtection="1">
      <alignment horizontal="left" vertical="center"/>
    </xf>
    <xf numFmtId="0" fontId="16" fillId="3" borderId="28" xfId="0" applyNumberFormat="1" applyFont="1" applyFill="1" applyBorder="1" applyAlignment="1" applyProtection="1">
      <alignment horizontal="left" vertical="center"/>
    </xf>
    <xf numFmtId="49" fontId="17" fillId="0" borderId="36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7" fillId="0" borderId="37" xfId="0" applyNumberFormat="1" applyFont="1" applyFill="1" applyBorder="1" applyAlignment="1" applyProtection="1">
      <alignment horizontal="left" vertical="center"/>
    </xf>
    <xf numFmtId="49" fontId="16" fillId="0" borderId="30" xfId="0" applyNumberFormat="1" applyFont="1" applyFill="1" applyBorder="1" applyAlignment="1" applyProtection="1">
      <alignment horizontal="left" vertical="center"/>
    </xf>
    <xf numFmtId="0" fontId="16" fillId="0" borderId="31" xfId="0" applyNumberFormat="1" applyFont="1" applyFill="1" applyBorder="1" applyAlignment="1" applyProtection="1">
      <alignment horizontal="left" vertical="center"/>
    </xf>
    <xf numFmtId="49" fontId="17" fillId="0" borderId="30" xfId="0" applyNumberFormat="1" applyFont="1" applyFill="1" applyBorder="1" applyAlignment="1" applyProtection="1">
      <alignment horizontal="left" vertical="center"/>
    </xf>
    <xf numFmtId="0" fontId="17" fillId="0" borderId="31" xfId="0" applyNumberFormat="1" applyFont="1" applyFill="1" applyBorder="1" applyAlignment="1" applyProtection="1">
      <alignment horizontal="left" vertical="center"/>
    </xf>
    <xf numFmtId="49" fontId="13" fillId="0" borderId="28" xfId="0" applyNumberFormat="1" applyFont="1" applyFill="1" applyBorder="1" applyAlignment="1" applyProtection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/>
    </xf>
    <xf numFmtId="49" fontId="15" fillId="0" borderId="30" xfId="0" applyNumberFormat="1" applyFont="1" applyFill="1" applyBorder="1" applyAlignment="1" applyProtection="1">
      <alignment horizontal="left" vertical="center"/>
    </xf>
    <xf numFmtId="0" fontId="15" fillId="0" borderId="31" xfId="0" applyNumberFormat="1" applyFont="1" applyFill="1" applyBorder="1" applyAlignment="1" applyProtection="1">
      <alignment horizontal="left" vertical="center"/>
    </xf>
    <xf numFmtId="14" fontId="2" fillId="0" borderId="6" xfId="0" applyNumberFormat="1" applyFont="1" applyFill="1" applyBorder="1" applyAlignment="1" applyProtection="1">
      <alignment horizontal="left" vertical="center"/>
    </xf>
    <xf numFmtId="0" fontId="2" fillId="0" borderId="27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26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left" vertical="center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2"/>
  <sheetViews>
    <sheetView tabSelected="1" workbookViewId="0">
      <pane ySplit="11" topLeftCell="A12" activePane="bottomLeft" state="frozen"/>
      <selection activeCell="C1" sqref="C1"/>
      <selection pane="bottomLeft" activeCell="D31" sqref="D31"/>
    </sheetView>
  </sheetViews>
  <sheetFormatPr defaultColWidth="11.5703125" defaultRowHeight="12.75" x14ac:dyDescent="0.2"/>
  <cols>
    <col min="1" max="1" width="3.7109375" style="1" customWidth="1"/>
    <col min="2" max="2" width="6.85546875" style="1" customWidth="1"/>
    <col min="3" max="3" width="13.28515625" style="1" customWidth="1"/>
    <col min="4" max="4" width="72.85546875" style="1" customWidth="1"/>
    <col min="5" max="5" width="4.28515625" style="1" customWidth="1"/>
    <col min="6" max="6" width="11.140625" style="1" customWidth="1"/>
    <col min="7" max="13" width="11.7109375" style="1" customWidth="1"/>
    <col min="14" max="14" width="0" style="1" hidden="1" customWidth="1"/>
    <col min="15" max="47" width="12.140625" style="1" hidden="1" customWidth="1"/>
    <col min="48" max="256" width="11.5703125" style="1"/>
    <col min="257" max="257" width="3.7109375" style="1" customWidth="1"/>
    <col min="258" max="258" width="6.85546875" style="1" customWidth="1"/>
    <col min="259" max="259" width="13.28515625" style="1" customWidth="1"/>
    <col min="260" max="260" width="77" style="1" customWidth="1"/>
    <col min="261" max="261" width="4.28515625" style="1" customWidth="1"/>
    <col min="262" max="262" width="12.85546875" style="1" customWidth="1"/>
    <col min="263" max="263" width="12" style="1" customWidth="1"/>
    <col min="264" max="266" width="14.28515625" style="1" customWidth="1"/>
    <col min="267" max="269" width="11.7109375" style="1" customWidth="1"/>
    <col min="270" max="303" width="0" style="1" hidden="1" customWidth="1"/>
    <col min="304" max="512" width="11.5703125" style="1"/>
    <col min="513" max="513" width="3.7109375" style="1" customWidth="1"/>
    <col min="514" max="514" width="6.85546875" style="1" customWidth="1"/>
    <col min="515" max="515" width="13.28515625" style="1" customWidth="1"/>
    <col min="516" max="516" width="77" style="1" customWidth="1"/>
    <col min="517" max="517" width="4.28515625" style="1" customWidth="1"/>
    <col min="518" max="518" width="12.85546875" style="1" customWidth="1"/>
    <col min="519" max="519" width="12" style="1" customWidth="1"/>
    <col min="520" max="522" width="14.28515625" style="1" customWidth="1"/>
    <col min="523" max="525" width="11.7109375" style="1" customWidth="1"/>
    <col min="526" max="559" width="0" style="1" hidden="1" customWidth="1"/>
    <col min="560" max="768" width="11.5703125" style="1"/>
    <col min="769" max="769" width="3.7109375" style="1" customWidth="1"/>
    <col min="770" max="770" width="6.85546875" style="1" customWidth="1"/>
    <col min="771" max="771" width="13.28515625" style="1" customWidth="1"/>
    <col min="772" max="772" width="77" style="1" customWidth="1"/>
    <col min="773" max="773" width="4.28515625" style="1" customWidth="1"/>
    <col min="774" max="774" width="12.85546875" style="1" customWidth="1"/>
    <col min="775" max="775" width="12" style="1" customWidth="1"/>
    <col min="776" max="778" width="14.28515625" style="1" customWidth="1"/>
    <col min="779" max="781" width="11.7109375" style="1" customWidth="1"/>
    <col min="782" max="815" width="0" style="1" hidden="1" customWidth="1"/>
    <col min="816" max="1024" width="11.5703125" style="1"/>
    <col min="1025" max="1025" width="3.7109375" style="1" customWidth="1"/>
    <col min="1026" max="1026" width="6.85546875" style="1" customWidth="1"/>
    <col min="1027" max="1027" width="13.28515625" style="1" customWidth="1"/>
    <col min="1028" max="1028" width="77" style="1" customWidth="1"/>
    <col min="1029" max="1029" width="4.28515625" style="1" customWidth="1"/>
    <col min="1030" max="1030" width="12.85546875" style="1" customWidth="1"/>
    <col min="1031" max="1031" width="12" style="1" customWidth="1"/>
    <col min="1032" max="1034" width="14.28515625" style="1" customWidth="1"/>
    <col min="1035" max="1037" width="11.7109375" style="1" customWidth="1"/>
    <col min="1038" max="1071" width="0" style="1" hidden="1" customWidth="1"/>
    <col min="1072" max="1280" width="11.5703125" style="1"/>
    <col min="1281" max="1281" width="3.7109375" style="1" customWidth="1"/>
    <col min="1282" max="1282" width="6.85546875" style="1" customWidth="1"/>
    <col min="1283" max="1283" width="13.28515625" style="1" customWidth="1"/>
    <col min="1284" max="1284" width="77" style="1" customWidth="1"/>
    <col min="1285" max="1285" width="4.28515625" style="1" customWidth="1"/>
    <col min="1286" max="1286" width="12.85546875" style="1" customWidth="1"/>
    <col min="1287" max="1287" width="12" style="1" customWidth="1"/>
    <col min="1288" max="1290" width="14.28515625" style="1" customWidth="1"/>
    <col min="1291" max="1293" width="11.7109375" style="1" customWidth="1"/>
    <col min="1294" max="1327" width="0" style="1" hidden="1" customWidth="1"/>
    <col min="1328" max="1536" width="11.5703125" style="1"/>
    <col min="1537" max="1537" width="3.7109375" style="1" customWidth="1"/>
    <col min="1538" max="1538" width="6.85546875" style="1" customWidth="1"/>
    <col min="1539" max="1539" width="13.28515625" style="1" customWidth="1"/>
    <col min="1540" max="1540" width="77" style="1" customWidth="1"/>
    <col min="1541" max="1541" width="4.28515625" style="1" customWidth="1"/>
    <col min="1542" max="1542" width="12.85546875" style="1" customWidth="1"/>
    <col min="1543" max="1543" width="12" style="1" customWidth="1"/>
    <col min="1544" max="1546" width="14.28515625" style="1" customWidth="1"/>
    <col min="1547" max="1549" width="11.7109375" style="1" customWidth="1"/>
    <col min="1550" max="1583" width="0" style="1" hidden="1" customWidth="1"/>
    <col min="1584" max="1792" width="11.5703125" style="1"/>
    <col min="1793" max="1793" width="3.7109375" style="1" customWidth="1"/>
    <col min="1794" max="1794" width="6.85546875" style="1" customWidth="1"/>
    <col min="1795" max="1795" width="13.28515625" style="1" customWidth="1"/>
    <col min="1796" max="1796" width="77" style="1" customWidth="1"/>
    <col min="1797" max="1797" width="4.28515625" style="1" customWidth="1"/>
    <col min="1798" max="1798" width="12.85546875" style="1" customWidth="1"/>
    <col min="1799" max="1799" width="12" style="1" customWidth="1"/>
    <col min="1800" max="1802" width="14.28515625" style="1" customWidth="1"/>
    <col min="1803" max="1805" width="11.7109375" style="1" customWidth="1"/>
    <col min="1806" max="1839" width="0" style="1" hidden="1" customWidth="1"/>
    <col min="1840" max="2048" width="11.5703125" style="1"/>
    <col min="2049" max="2049" width="3.7109375" style="1" customWidth="1"/>
    <col min="2050" max="2050" width="6.85546875" style="1" customWidth="1"/>
    <col min="2051" max="2051" width="13.28515625" style="1" customWidth="1"/>
    <col min="2052" max="2052" width="77" style="1" customWidth="1"/>
    <col min="2053" max="2053" width="4.28515625" style="1" customWidth="1"/>
    <col min="2054" max="2054" width="12.85546875" style="1" customWidth="1"/>
    <col min="2055" max="2055" width="12" style="1" customWidth="1"/>
    <col min="2056" max="2058" width="14.28515625" style="1" customWidth="1"/>
    <col min="2059" max="2061" width="11.7109375" style="1" customWidth="1"/>
    <col min="2062" max="2095" width="0" style="1" hidden="1" customWidth="1"/>
    <col min="2096" max="2304" width="11.5703125" style="1"/>
    <col min="2305" max="2305" width="3.7109375" style="1" customWidth="1"/>
    <col min="2306" max="2306" width="6.85546875" style="1" customWidth="1"/>
    <col min="2307" max="2307" width="13.28515625" style="1" customWidth="1"/>
    <col min="2308" max="2308" width="77" style="1" customWidth="1"/>
    <col min="2309" max="2309" width="4.28515625" style="1" customWidth="1"/>
    <col min="2310" max="2310" width="12.85546875" style="1" customWidth="1"/>
    <col min="2311" max="2311" width="12" style="1" customWidth="1"/>
    <col min="2312" max="2314" width="14.28515625" style="1" customWidth="1"/>
    <col min="2315" max="2317" width="11.7109375" style="1" customWidth="1"/>
    <col min="2318" max="2351" width="0" style="1" hidden="1" customWidth="1"/>
    <col min="2352" max="2560" width="11.5703125" style="1"/>
    <col min="2561" max="2561" width="3.7109375" style="1" customWidth="1"/>
    <col min="2562" max="2562" width="6.85546875" style="1" customWidth="1"/>
    <col min="2563" max="2563" width="13.28515625" style="1" customWidth="1"/>
    <col min="2564" max="2564" width="77" style="1" customWidth="1"/>
    <col min="2565" max="2565" width="4.28515625" style="1" customWidth="1"/>
    <col min="2566" max="2566" width="12.85546875" style="1" customWidth="1"/>
    <col min="2567" max="2567" width="12" style="1" customWidth="1"/>
    <col min="2568" max="2570" width="14.28515625" style="1" customWidth="1"/>
    <col min="2571" max="2573" width="11.7109375" style="1" customWidth="1"/>
    <col min="2574" max="2607" width="0" style="1" hidden="1" customWidth="1"/>
    <col min="2608" max="2816" width="11.5703125" style="1"/>
    <col min="2817" max="2817" width="3.7109375" style="1" customWidth="1"/>
    <col min="2818" max="2818" width="6.85546875" style="1" customWidth="1"/>
    <col min="2819" max="2819" width="13.28515625" style="1" customWidth="1"/>
    <col min="2820" max="2820" width="77" style="1" customWidth="1"/>
    <col min="2821" max="2821" width="4.28515625" style="1" customWidth="1"/>
    <col min="2822" max="2822" width="12.85546875" style="1" customWidth="1"/>
    <col min="2823" max="2823" width="12" style="1" customWidth="1"/>
    <col min="2824" max="2826" width="14.28515625" style="1" customWidth="1"/>
    <col min="2827" max="2829" width="11.7109375" style="1" customWidth="1"/>
    <col min="2830" max="2863" width="0" style="1" hidden="1" customWidth="1"/>
    <col min="2864" max="3072" width="11.5703125" style="1"/>
    <col min="3073" max="3073" width="3.7109375" style="1" customWidth="1"/>
    <col min="3074" max="3074" width="6.85546875" style="1" customWidth="1"/>
    <col min="3075" max="3075" width="13.28515625" style="1" customWidth="1"/>
    <col min="3076" max="3076" width="77" style="1" customWidth="1"/>
    <col min="3077" max="3077" width="4.28515625" style="1" customWidth="1"/>
    <col min="3078" max="3078" width="12.85546875" style="1" customWidth="1"/>
    <col min="3079" max="3079" width="12" style="1" customWidth="1"/>
    <col min="3080" max="3082" width="14.28515625" style="1" customWidth="1"/>
    <col min="3083" max="3085" width="11.7109375" style="1" customWidth="1"/>
    <col min="3086" max="3119" width="0" style="1" hidden="1" customWidth="1"/>
    <col min="3120" max="3328" width="11.5703125" style="1"/>
    <col min="3329" max="3329" width="3.7109375" style="1" customWidth="1"/>
    <col min="3330" max="3330" width="6.85546875" style="1" customWidth="1"/>
    <col min="3331" max="3331" width="13.28515625" style="1" customWidth="1"/>
    <col min="3332" max="3332" width="77" style="1" customWidth="1"/>
    <col min="3333" max="3333" width="4.28515625" style="1" customWidth="1"/>
    <col min="3334" max="3334" width="12.85546875" style="1" customWidth="1"/>
    <col min="3335" max="3335" width="12" style="1" customWidth="1"/>
    <col min="3336" max="3338" width="14.28515625" style="1" customWidth="1"/>
    <col min="3339" max="3341" width="11.7109375" style="1" customWidth="1"/>
    <col min="3342" max="3375" width="0" style="1" hidden="1" customWidth="1"/>
    <col min="3376" max="3584" width="11.5703125" style="1"/>
    <col min="3585" max="3585" width="3.7109375" style="1" customWidth="1"/>
    <col min="3586" max="3586" width="6.85546875" style="1" customWidth="1"/>
    <col min="3587" max="3587" width="13.28515625" style="1" customWidth="1"/>
    <col min="3588" max="3588" width="77" style="1" customWidth="1"/>
    <col min="3589" max="3589" width="4.28515625" style="1" customWidth="1"/>
    <col min="3590" max="3590" width="12.85546875" style="1" customWidth="1"/>
    <col min="3591" max="3591" width="12" style="1" customWidth="1"/>
    <col min="3592" max="3594" width="14.28515625" style="1" customWidth="1"/>
    <col min="3595" max="3597" width="11.7109375" style="1" customWidth="1"/>
    <col min="3598" max="3631" width="0" style="1" hidden="1" customWidth="1"/>
    <col min="3632" max="3840" width="11.5703125" style="1"/>
    <col min="3841" max="3841" width="3.7109375" style="1" customWidth="1"/>
    <col min="3842" max="3842" width="6.85546875" style="1" customWidth="1"/>
    <col min="3843" max="3843" width="13.28515625" style="1" customWidth="1"/>
    <col min="3844" max="3844" width="77" style="1" customWidth="1"/>
    <col min="3845" max="3845" width="4.28515625" style="1" customWidth="1"/>
    <col min="3846" max="3846" width="12.85546875" style="1" customWidth="1"/>
    <col min="3847" max="3847" width="12" style="1" customWidth="1"/>
    <col min="3848" max="3850" width="14.28515625" style="1" customWidth="1"/>
    <col min="3851" max="3853" width="11.7109375" style="1" customWidth="1"/>
    <col min="3854" max="3887" width="0" style="1" hidden="1" customWidth="1"/>
    <col min="3888" max="4096" width="11.5703125" style="1"/>
    <col min="4097" max="4097" width="3.7109375" style="1" customWidth="1"/>
    <col min="4098" max="4098" width="6.85546875" style="1" customWidth="1"/>
    <col min="4099" max="4099" width="13.28515625" style="1" customWidth="1"/>
    <col min="4100" max="4100" width="77" style="1" customWidth="1"/>
    <col min="4101" max="4101" width="4.28515625" style="1" customWidth="1"/>
    <col min="4102" max="4102" width="12.85546875" style="1" customWidth="1"/>
    <col min="4103" max="4103" width="12" style="1" customWidth="1"/>
    <col min="4104" max="4106" width="14.28515625" style="1" customWidth="1"/>
    <col min="4107" max="4109" width="11.7109375" style="1" customWidth="1"/>
    <col min="4110" max="4143" width="0" style="1" hidden="1" customWidth="1"/>
    <col min="4144" max="4352" width="11.5703125" style="1"/>
    <col min="4353" max="4353" width="3.7109375" style="1" customWidth="1"/>
    <col min="4354" max="4354" width="6.85546875" style="1" customWidth="1"/>
    <col min="4355" max="4355" width="13.28515625" style="1" customWidth="1"/>
    <col min="4356" max="4356" width="77" style="1" customWidth="1"/>
    <col min="4357" max="4357" width="4.28515625" style="1" customWidth="1"/>
    <col min="4358" max="4358" width="12.85546875" style="1" customWidth="1"/>
    <col min="4359" max="4359" width="12" style="1" customWidth="1"/>
    <col min="4360" max="4362" width="14.28515625" style="1" customWidth="1"/>
    <col min="4363" max="4365" width="11.7109375" style="1" customWidth="1"/>
    <col min="4366" max="4399" width="0" style="1" hidden="1" customWidth="1"/>
    <col min="4400" max="4608" width="11.5703125" style="1"/>
    <col min="4609" max="4609" width="3.7109375" style="1" customWidth="1"/>
    <col min="4610" max="4610" width="6.85546875" style="1" customWidth="1"/>
    <col min="4611" max="4611" width="13.28515625" style="1" customWidth="1"/>
    <col min="4612" max="4612" width="77" style="1" customWidth="1"/>
    <col min="4613" max="4613" width="4.28515625" style="1" customWidth="1"/>
    <col min="4614" max="4614" width="12.85546875" style="1" customWidth="1"/>
    <col min="4615" max="4615" width="12" style="1" customWidth="1"/>
    <col min="4616" max="4618" width="14.28515625" style="1" customWidth="1"/>
    <col min="4619" max="4621" width="11.7109375" style="1" customWidth="1"/>
    <col min="4622" max="4655" width="0" style="1" hidden="1" customWidth="1"/>
    <col min="4656" max="4864" width="11.5703125" style="1"/>
    <col min="4865" max="4865" width="3.7109375" style="1" customWidth="1"/>
    <col min="4866" max="4866" width="6.85546875" style="1" customWidth="1"/>
    <col min="4867" max="4867" width="13.28515625" style="1" customWidth="1"/>
    <col min="4868" max="4868" width="77" style="1" customWidth="1"/>
    <col min="4869" max="4869" width="4.28515625" style="1" customWidth="1"/>
    <col min="4870" max="4870" width="12.85546875" style="1" customWidth="1"/>
    <col min="4871" max="4871" width="12" style="1" customWidth="1"/>
    <col min="4872" max="4874" width="14.28515625" style="1" customWidth="1"/>
    <col min="4875" max="4877" width="11.7109375" style="1" customWidth="1"/>
    <col min="4878" max="4911" width="0" style="1" hidden="1" customWidth="1"/>
    <col min="4912" max="5120" width="11.5703125" style="1"/>
    <col min="5121" max="5121" width="3.7109375" style="1" customWidth="1"/>
    <col min="5122" max="5122" width="6.85546875" style="1" customWidth="1"/>
    <col min="5123" max="5123" width="13.28515625" style="1" customWidth="1"/>
    <col min="5124" max="5124" width="77" style="1" customWidth="1"/>
    <col min="5125" max="5125" width="4.28515625" style="1" customWidth="1"/>
    <col min="5126" max="5126" width="12.85546875" style="1" customWidth="1"/>
    <col min="5127" max="5127" width="12" style="1" customWidth="1"/>
    <col min="5128" max="5130" width="14.28515625" style="1" customWidth="1"/>
    <col min="5131" max="5133" width="11.7109375" style="1" customWidth="1"/>
    <col min="5134" max="5167" width="0" style="1" hidden="1" customWidth="1"/>
    <col min="5168" max="5376" width="11.5703125" style="1"/>
    <col min="5377" max="5377" width="3.7109375" style="1" customWidth="1"/>
    <col min="5378" max="5378" width="6.85546875" style="1" customWidth="1"/>
    <col min="5379" max="5379" width="13.28515625" style="1" customWidth="1"/>
    <col min="5380" max="5380" width="77" style="1" customWidth="1"/>
    <col min="5381" max="5381" width="4.28515625" style="1" customWidth="1"/>
    <col min="5382" max="5382" width="12.85546875" style="1" customWidth="1"/>
    <col min="5383" max="5383" width="12" style="1" customWidth="1"/>
    <col min="5384" max="5386" width="14.28515625" style="1" customWidth="1"/>
    <col min="5387" max="5389" width="11.7109375" style="1" customWidth="1"/>
    <col min="5390" max="5423" width="0" style="1" hidden="1" customWidth="1"/>
    <col min="5424" max="5632" width="11.5703125" style="1"/>
    <col min="5633" max="5633" width="3.7109375" style="1" customWidth="1"/>
    <col min="5634" max="5634" width="6.85546875" style="1" customWidth="1"/>
    <col min="5635" max="5635" width="13.28515625" style="1" customWidth="1"/>
    <col min="5636" max="5636" width="77" style="1" customWidth="1"/>
    <col min="5637" max="5637" width="4.28515625" style="1" customWidth="1"/>
    <col min="5638" max="5638" width="12.85546875" style="1" customWidth="1"/>
    <col min="5639" max="5639" width="12" style="1" customWidth="1"/>
    <col min="5640" max="5642" width="14.28515625" style="1" customWidth="1"/>
    <col min="5643" max="5645" width="11.7109375" style="1" customWidth="1"/>
    <col min="5646" max="5679" width="0" style="1" hidden="1" customWidth="1"/>
    <col min="5680" max="5888" width="11.5703125" style="1"/>
    <col min="5889" max="5889" width="3.7109375" style="1" customWidth="1"/>
    <col min="5890" max="5890" width="6.85546875" style="1" customWidth="1"/>
    <col min="5891" max="5891" width="13.28515625" style="1" customWidth="1"/>
    <col min="5892" max="5892" width="77" style="1" customWidth="1"/>
    <col min="5893" max="5893" width="4.28515625" style="1" customWidth="1"/>
    <col min="5894" max="5894" width="12.85546875" style="1" customWidth="1"/>
    <col min="5895" max="5895" width="12" style="1" customWidth="1"/>
    <col min="5896" max="5898" width="14.28515625" style="1" customWidth="1"/>
    <col min="5899" max="5901" width="11.7109375" style="1" customWidth="1"/>
    <col min="5902" max="5935" width="0" style="1" hidden="1" customWidth="1"/>
    <col min="5936" max="6144" width="11.5703125" style="1"/>
    <col min="6145" max="6145" width="3.7109375" style="1" customWidth="1"/>
    <col min="6146" max="6146" width="6.85546875" style="1" customWidth="1"/>
    <col min="6147" max="6147" width="13.28515625" style="1" customWidth="1"/>
    <col min="6148" max="6148" width="77" style="1" customWidth="1"/>
    <col min="6149" max="6149" width="4.28515625" style="1" customWidth="1"/>
    <col min="6150" max="6150" width="12.85546875" style="1" customWidth="1"/>
    <col min="6151" max="6151" width="12" style="1" customWidth="1"/>
    <col min="6152" max="6154" width="14.28515625" style="1" customWidth="1"/>
    <col min="6155" max="6157" width="11.7109375" style="1" customWidth="1"/>
    <col min="6158" max="6191" width="0" style="1" hidden="1" customWidth="1"/>
    <col min="6192" max="6400" width="11.5703125" style="1"/>
    <col min="6401" max="6401" width="3.7109375" style="1" customWidth="1"/>
    <col min="6402" max="6402" width="6.85546875" style="1" customWidth="1"/>
    <col min="6403" max="6403" width="13.28515625" style="1" customWidth="1"/>
    <col min="6404" max="6404" width="77" style="1" customWidth="1"/>
    <col min="6405" max="6405" width="4.28515625" style="1" customWidth="1"/>
    <col min="6406" max="6406" width="12.85546875" style="1" customWidth="1"/>
    <col min="6407" max="6407" width="12" style="1" customWidth="1"/>
    <col min="6408" max="6410" width="14.28515625" style="1" customWidth="1"/>
    <col min="6411" max="6413" width="11.7109375" style="1" customWidth="1"/>
    <col min="6414" max="6447" width="0" style="1" hidden="1" customWidth="1"/>
    <col min="6448" max="6656" width="11.5703125" style="1"/>
    <col min="6657" max="6657" width="3.7109375" style="1" customWidth="1"/>
    <col min="6658" max="6658" width="6.85546875" style="1" customWidth="1"/>
    <col min="6659" max="6659" width="13.28515625" style="1" customWidth="1"/>
    <col min="6660" max="6660" width="77" style="1" customWidth="1"/>
    <col min="6661" max="6661" width="4.28515625" style="1" customWidth="1"/>
    <col min="6662" max="6662" width="12.85546875" style="1" customWidth="1"/>
    <col min="6663" max="6663" width="12" style="1" customWidth="1"/>
    <col min="6664" max="6666" width="14.28515625" style="1" customWidth="1"/>
    <col min="6667" max="6669" width="11.7109375" style="1" customWidth="1"/>
    <col min="6670" max="6703" width="0" style="1" hidden="1" customWidth="1"/>
    <col min="6704" max="6912" width="11.5703125" style="1"/>
    <col min="6913" max="6913" width="3.7109375" style="1" customWidth="1"/>
    <col min="6914" max="6914" width="6.85546875" style="1" customWidth="1"/>
    <col min="6915" max="6915" width="13.28515625" style="1" customWidth="1"/>
    <col min="6916" max="6916" width="77" style="1" customWidth="1"/>
    <col min="6917" max="6917" width="4.28515625" style="1" customWidth="1"/>
    <col min="6918" max="6918" width="12.85546875" style="1" customWidth="1"/>
    <col min="6919" max="6919" width="12" style="1" customWidth="1"/>
    <col min="6920" max="6922" width="14.28515625" style="1" customWidth="1"/>
    <col min="6923" max="6925" width="11.7109375" style="1" customWidth="1"/>
    <col min="6926" max="6959" width="0" style="1" hidden="1" customWidth="1"/>
    <col min="6960" max="7168" width="11.5703125" style="1"/>
    <col min="7169" max="7169" width="3.7109375" style="1" customWidth="1"/>
    <col min="7170" max="7170" width="6.85546875" style="1" customWidth="1"/>
    <col min="7171" max="7171" width="13.28515625" style="1" customWidth="1"/>
    <col min="7172" max="7172" width="77" style="1" customWidth="1"/>
    <col min="7173" max="7173" width="4.28515625" style="1" customWidth="1"/>
    <col min="7174" max="7174" width="12.85546875" style="1" customWidth="1"/>
    <col min="7175" max="7175" width="12" style="1" customWidth="1"/>
    <col min="7176" max="7178" width="14.28515625" style="1" customWidth="1"/>
    <col min="7179" max="7181" width="11.7109375" style="1" customWidth="1"/>
    <col min="7182" max="7215" width="0" style="1" hidden="1" customWidth="1"/>
    <col min="7216" max="7424" width="11.5703125" style="1"/>
    <col min="7425" max="7425" width="3.7109375" style="1" customWidth="1"/>
    <col min="7426" max="7426" width="6.85546875" style="1" customWidth="1"/>
    <col min="7427" max="7427" width="13.28515625" style="1" customWidth="1"/>
    <col min="7428" max="7428" width="77" style="1" customWidth="1"/>
    <col min="7429" max="7429" width="4.28515625" style="1" customWidth="1"/>
    <col min="7430" max="7430" width="12.85546875" style="1" customWidth="1"/>
    <col min="7431" max="7431" width="12" style="1" customWidth="1"/>
    <col min="7432" max="7434" width="14.28515625" style="1" customWidth="1"/>
    <col min="7435" max="7437" width="11.7109375" style="1" customWidth="1"/>
    <col min="7438" max="7471" width="0" style="1" hidden="1" customWidth="1"/>
    <col min="7472" max="7680" width="11.5703125" style="1"/>
    <col min="7681" max="7681" width="3.7109375" style="1" customWidth="1"/>
    <col min="7682" max="7682" width="6.85546875" style="1" customWidth="1"/>
    <col min="7683" max="7683" width="13.28515625" style="1" customWidth="1"/>
    <col min="7684" max="7684" width="77" style="1" customWidth="1"/>
    <col min="7685" max="7685" width="4.28515625" style="1" customWidth="1"/>
    <col min="7686" max="7686" width="12.85546875" style="1" customWidth="1"/>
    <col min="7687" max="7687" width="12" style="1" customWidth="1"/>
    <col min="7688" max="7690" width="14.28515625" style="1" customWidth="1"/>
    <col min="7691" max="7693" width="11.7109375" style="1" customWidth="1"/>
    <col min="7694" max="7727" width="0" style="1" hidden="1" customWidth="1"/>
    <col min="7728" max="7936" width="11.5703125" style="1"/>
    <col min="7937" max="7937" width="3.7109375" style="1" customWidth="1"/>
    <col min="7938" max="7938" width="6.85546875" style="1" customWidth="1"/>
    <col min="7939" max="7939" width="13.28515625" style="1" customWidth="1"/>
    <col min="7940" max="7940" width="77" style="1" customWidth="1"/>
    <col min="7941" max="7941" width="4.28515625" style="1" customWidth="1"/>
    <col min="7942" max="7942" width="12.85546875" style="1" customWidth="1"/>
    <col min="7943" max="7943" width="12" style="1" customWidth="1"/>
    <col min="7944" max="7946" width="14.28515625" style="1" customWidth="1"/>
    <col min="7947" max="7949" width="11.7109375" style="1" customWidth="1"/>
    <col min="7950" max="7983" width="0" style="1" hidden="1" customWidth="1"/>
    <col min="7984" max="8192" width="11.5703125" style="1"/>
    <col min="8193" max="8193" width="3.7109375" style="1" customWidth="1"/>
    <col min="8194" max="8194" width="6.85546875" style="1" customWidth="1"/>
    <col min="8195" max="8195" width="13.28515625" style="1" customWidth="1"/>
    <col min="8196" max="8196" width="77" style="1" customWidth="1"/>
    <col min="8197" max="8197" width="4.28515625" style="1" customWidth="1"/>
    <col min="8198" max="8198" width="12.85546875" style="1" customWidth="1"/>
    <col min="8199" max="8199" width="12" style="1" customWidth="1"/>
    <col min="8200" max="8202" width="14.28515625" style="1" customWidth="1"/>
    <col min="8203" max="8205" width="11.7109375" style="1" customWidth="1"/>
    <col min="8206" max="8239" width="0" style="1" hidden="1" customWidth="1"/>
    <col min="8240" max="8448" width="11.5703125" style="1"/>
    <col min="8449" max="8449" width="3.7109375" style="1" customWidth="1"/>
    <col min="8450" max="8450" width="6.85546875" style="1" customWidth="1"/>
    <col min="8451" max="8451" width="13.28515625" style="1" customWidth="1"/>
    <col min="8452" max="8452" width="77" style="1" customWidth="1"/>
    <col min="8453" max="8453" width="4.28515625" style="1" customWidth="1"/>
    <col min="8454" max="8454" width="12.85546875" style="1" customWidth="1"/>
    <col min="8455" max="8455" width="12" style="1" customWidth="1"/>
    <col min="8456" max="8458" width="14.28515625" style="1" customWidth="1"/>
    <col min="8459" max="8461" width="11.7109375" style="1" customWidth="1"/>
    <col min="8462" max="8495" width="0" style="1" hidden="1" customWidth="1"/>
    <col min="8496" max="8704" width="11.5703125" style="1"/>
    <col min="8705" max="8705" width="3.7109375" style="1" customWidth="1"/>
    <col min="8706" max="8706" width="6.85546875" style="1" customWidth="1"/>
    <col min="8707" max="8707" width="13.28515625" style="1" customWidth="1"/>
    <col min="8708" max="8708" width="77" style="1" customWidth="1"/>
    <col min="8709" max="8709" width="4.28515625" style="1" customWidth="1"/>
    <col min="8710" max="8710" width="12.85546875" style="1" customWidth="1"/>
    <col min="8711" max="8711" width="12" style="1" customWidth="1"/>
    <col min="8712" max="8714" width="14.28515625" style="1" customWidth="1"/>
    <col min="8715" max="8717" width="11.7109375" style="1" customWidth="1"/>
    <col min="8718" max="8751" width="0" style="1" hidden="1" customWidth="1"/>
    <col min="8752" max="8960" width="11.5703125" style="1"/>
    <col min="8961" max="8961" width="3.7109375" style="1" customWidth="1"/>
    <col min="8962" max="8962" width="6.85546875" style="1" customWidth="1"/>
    <col min="8963" max="8963" width="13.28515625" style="1" customWidth="1"/>
    <col min="8964" max="8964" width="77" style="1" customWidth="1"/>
    <col min="8965" max="8965" width="4.28515625" style="1" customWidth="1"/>
    <col min="8966" max="8966" width="12.85546875" style="1" customWidth="1"/>
    <col min="8967" max="8967" width="12" style="1" customWidth="1"/>
    <col min="8968" max="8970" width="14.28515625" style="1" customWidth="1"/>
    <col min="8971" max="8973" width="11.7109375" style="1" customWidth="1"/>
    <col min="8974" max="9007" width="0" style="1" hidden="1" customWidth="1"/>
    <col min="9008" max="9216" width="11.5703125" style="1"/>
    <col min="9217" max="9217" width="3.7109375" style="1" customWidth="1"/>
    <col min="9218" max="9218" width="6.85546875" style="1" customWidth="1"/>
    <col min="9219" max="9219" width="13.28515625" style="1" customWidth="1"/>
    <col min="9220" max="9220" width="77" style="1" customWidth="1"/>
    <col min="9221" max="9221" width="4.28515625" style="1" customWidth="1"/>
    <col min="9222" max="9222" width="12.85546875" style="1" customWidth="1"/>
    <col min="9223" max="9223" width="12" style="1" customWidth="1"/>
    <col min="9224" max="9226" width="14.28515625" style="1" customWidth="1"/>
    <col min="9227" max="9229" width="11.7109375" style="1" customWidth="1"/>
    <col min="9230" max="9263" width="0" style="1" hidden="1" customWidth="1"/>
    <col min="9264" max="9472" width="11.5703125" style="1"/>
    <col min="9473" max="9473" width="3.7109375" style="1" customWidth="1"/>
    <col min="9474" max="9474" width="6.85546875" style="1" customWidth="1"/>
    <col min="9475" max="9475" width="13.28515625" style="1" customWidth="1"/>
    <col min="9476" max="9476" width="77" style="1" customWidth="1"/>
    <col min="9477" max="9477" width="4.28515625" style="1" customWidth="1"/>
    <col min="9478" max="9478" width="12.85546875" style="1" customWidth="1"/>
    <col min="9479" max="9479" width="12" style="1" customWidth="1"/>
    <col min="9480" max="9482" width="14.28515625" style="1" customWidth="1"/>
    <col min="9483" max="9485" width="11.7109375" style="1" customWidth="1"/>
    <col min="9486" max="9519" width="0" style="1" hidden="1" customWidth="1"/>
    <col min="9520" max="9728" width="11.5703125" style="1"/>
    <col min="9729" max="9729" width="3.7109375" style="1" customWidth="1"/>
    <col min="9730" max="9730" width="6.85546875" style="1" customWidth="1"/>
    <col min="9731" max="9731" width="13.28515625" style="1" customWidth="1"/>
    <col min="9732" max="9732" width="77" style="1" customWidth="1"/>
    <col min="9733" max="9733" width="4.28515625" style="1" customWidth="1"/>
    <col min="9734" max="9734" width="12.85546875" style="1" customWidth="1"/>
    <col min="9735" max="9735" width="12" style="1" customWidth="1"/>
    <col min="9736" max="9738" width="14.28515625" style="1" customWidth="1"/>
    <col min="9739" max="9741" width="11.7109375" style="1" customWidth="1"/>
    <col min="9742" max="9775" width="0" style="1" hidden="1" customWidth="1"/>
    <col min="9776" max="9984" width="11.5703125" style="1"/>
    <col min="9985" max="9985" width="3.7109375" style="1" customWidth="1"/>
    <col min="9986" max="9986" width="6.85546875" style="1" customWidth="1"/>
    <col min="9987" max="9987" width="13.28515625" style="1" customWidth="1"/>
    <col min="9988" max="9988" width="77" style="1" customWidth="1"/>
    <col min="9989" max="9989" width="4.28515625" style="1" customWidth="1"/>
    <col min="9990" max="9990" width="12.85546875" style="1" customWidth="1"/>
    <col min="9991" max="9991" width="12" style="1" customWidth="1"/>
    <col min="9992" max="9994" width="14.28515625" style="1" customWidth="1"/>
    <col min="9995" max="9997" width="11.7109375" style="1" customWidth="1"/>
    <col min="9998" max="10031" width="0" style="1" hidden="1" customWidth="1"/>
    <col min="10032" max="10240" width="11.5703125" style="1"/>
    <col min="10241" max="10241" width="3.7109375" style="1" customWidth="1"/>
    <col min="10242" max="10242" width="6.85546875" style="1" customWidth="1"/>
    <col min="10243" max="10243" width="13.28515625" style="1" customWidth="1"/>
    <col min="10244" max="10244" width="77" style="1" customWidth="1"/>
    <col min="10245" max="10245" width="4.28515625" style="1" customWidth="1"/>
    <col min="10246" max="10246" width="12.85546875" style="1" customWidth="1"/>
    <col min="10247" max="10247" width="12" style="1" customWidth="1"/>
    <col min="10248" max="10250" width="14.28515625" style="1" customWidth="1"/>
    <col min="10251" max="10253" width="11.7109375" style="1" customWidth="1"/>
    <col min="10254" max="10287" width="0" style="1" hidden="1" customWidth="1"/>
    <col min="10288" max="10496" width="11.5703125" style="1"/>
    <col min="10497" max="10497" width="3.7109375" style="1" customWidth="1"/>
    <col min="10498" max="10498" width="6.85546875" style="1" customWidth="1"/>
    <col min="10499" max="10499" width="13.28515625" style="1" customWidth="1"/>
    <col min="10500" max="10500" width="77" style="1" customWidth="1"/>
    <col min="10501" max="10501" width="4.28515625" style="1" customWidth="1"/>
    <col min="10502" max="10502" width="12.85546875" style="1" customWidth="1"/>
    <col min="10503" max="10503" width="12" style="1" customWidth="1"/>
    <col min="10504" max="10506" width="14.28515625" style="1" customWidth="1"/>
    <col min="10507" max="10509" width="11.7109375" style="1" customWidth="1"/>
    <col min="10510" max="10543" width="0" style="1" hidden="1" customWidth="1"/>
    <col min="10544" max="10752" width="11.5703125" style="1"/>
    <col min="10753" max="10753" width="3.7109375" style="1" customWidth="1"/>
    <col min="10754" max="10754" width="6.85546875" style="1" customWidth="1"/>
    <col min="10755" max="10755" width="13.28515625" style="1" customWidth="1"/>
    <col min="10756" max="10756" width="77" style="1" customWidth="1"/>
    <col min="10757" max="10757" width="4.28515625" style="1" customWidth="1"/>
    <col min="10758" max="10758" width="12.85546875" style="1" customWidth="1"/>
    <col min="10759" max="10759" width="12" style="1" customWidth="1"/>
    <col min="10760" max="10762" width="14.28515625" style="1" customWidth="1"/>
    <col min="10763" max="10765" width="11.7109375" style="1" customWidth="1"/>
    <col min="10766" max="10799" width="0" style="1" hidden="1" customWidth="1"/>
    <col min="10800" max="11008" width="11.5703125" style="1"/>
    <col min="11009" max="11009" width="3.7109375" style="1" customWidth="1"/>
    <col min="11010" max="11010" width="6.85546875" style="1" customWidth="1"/>
    <col min="11011" max="11011" width="13.28515625" style="1" customWidth="1"/>
    <col min="11012" max="11012" width="77" style="1" customWidth="1"/>
    <col min="11013" max="11013" width="4.28515625" style="1" customWidth="1"/>
    <col min="11014" max="11014" width="12.85546875" style="1" customWidth="1"/>
    <col min="11015" max="11015" width="12" style="1" customWidth="1"/>
    <col min="11016" max="11018" width="14.28515625" style="1" customWidth="1"/>
    <col min="11019" max="11021" width="11.7109375" style="1" customWidth="1"/>
    <col min="11022" max="11055" width="0" style="1" hidden="1" customWidth="1"/>
    <col min="11056" max="11264" width="11.5703125" style="1"/>
    <col min="11265" max="11265" width="3.7109375" style="1" customWidth="1"/>
    <col min="11266" max="11266" width="6.85546875" style="1" customWidth="1"/>
    <col min="11267" max="11267" width="13.28515625" style="1" customWidth="1"/>
    <col min="11268" max="11268" width="77" style="1" customWidth="1"/>
    <col min="11269" max="11269" width="4.28515625" style="1" customWidth="1"/>
    <col min="11270" max="11270" width="12.85546875" style="1" customWidth="1"/>
    <col min="11271" max="11271" width="12" style="1" customWidth="1"/>
    <col min="11272" max="11274" width="14.28515625" style="1" customWidth="1"/>
    <col min="11275" max="11277" width="11.7109375" style="1" customWidth="1"/>
    <col min="11278" max="11311" width="0" style="1" hidden="1" customWidth="1"/>
    <col min="11312" max="11520" width="11.5703125" style="1"/>
    <col min="11521" max="11521" width="3.7109375" style="1" customWidth="1"/>
    <col min="11522" max="11522" width="6.85546875" style="1" customWidth="1"/>
    <col min="11523" max="11523" width="13.28515625" style="1" customWidth="1"/>
    <col min="11524" max="11524" width="77" style="1" customWidth="1"/>
    <col min="11525" max="11525" width="4.28515625" style="1" customWidth="1"/>
    <col min="11526" max="11526" width="12.85546875" style="1" customWidth="1"/>
    <col min="11527" max="11527" width="12" style="1" customWidth="1"/>
    <col min="11528" max="11530" width="14.28515625" style="1" customWidth="1"/>
    <col min="11531" max="11533" width="11.7109375" style="1" customWidth="1"/>
    <col min="11534" max="11567" width="0" style="1" hidden="1" customWidth="1"/>
    <col min="11568" max="11776" width="11.5703125" style="1"/>
    <col min="11777" max="11777" width="3.7109375" style="1" customWidth="1"/>
    <col min="11778" max="11778" width="6.85546875" style="1" customWidth="1"/>
    <col min="11779" max="11779" width="13.28515625" style="1" customWidth="1"/>
    <col min="11780" max="11780" width="77" style="1" customWidth="1"/>
    <col min="11781" max="11781" width="4.28515625" style="1" customWidth="1"/>
    <col min="11782" max="11782" width="12.85546875" style="1" customWidth="1"/>
    <col min="11783" max="11783" width="12" style="1" customWidth="1"/>
    <col min="11784" max="11786" width="14.28515625" style="1" customWidth="1"/>
    <col min="11787" max="11789" width="11.7109375" style="1" customWidth="1"/>
    <col min="11790" max="11823" width="0" style="1" hidden="1" customWidth="1"/>
    <col min="11824" max="12032" width="11.5703125" style="1"/>
    <col min="12033" max="12033" width="3.7109375" style="1" customWidth="1"/>
    <col min="12034" max="12034" width="6.85546875" style="1" customWidth="1"/>
    <col min="12035" max="12035" width="13.28515625" style="1" customWidth="1"/>
    <col min="12036" max="12036" width="77" style="1" customWidth="1"/>
    <col min="12037" max="12037" width="4.28515625" style="1" customWidth="1"/>
    <col min="12038" max="12038" width="12.85546875" style="1" customWidth="1"/>
    <col min="12039" max="12039" width="12" style="1" customWidth="1"/>
    <col min="12040" max="12042" width="14.28515625" style="1" customWidth="1"/>
    <col min="12043" max="12045" width="11.7109375" style="1" customWidth="1"/>
    <col min="12046" max="12079" width="0" style="1" hidden="1" customWidth="1"/>
    <col min="12080" max="12288" width="11.5703125" style="1"/>
    <col min="12289" max="12289" width="3.7109375" style="1" customWidth="1"/>
    <col min="12290" max="12290" width="6.85546875" style="1" customWidth="1"/>
    <col min="12291" max="12291" width="13.28515625" style="1" customWidth="1"/>
    <col min="12292" max="12292" width="77" style="1" customWidth="1"/>
    <col min="12293" max="12293" width="4.28515625" style="1" customWidth="1"/>
    <col min="12294" max="12294" width="12.85546875" style="1" customWidth="1"/>
    <col min="12295" max="12295" width="12" style="1" customWidth="1"/>
    <col min="12296" max="12298" width="14.28515625" style="1" customWidth="1"/>
    <col min="12299" max="12301" width="11.7109375" style="1" customWidth="1"/>
    <col min="12302" max="12335" width="0" style="1" hidden="1" customWidth="1"/>
    <col min="12336" max="12544" width="11.5703125" style="1"/>
    <col min="12545" max="12545" width="3.7109375" style="1" customWidth="1"/>
    <col min="12546" max="12546" width="6.85546875" style="1" customWidth="1"/>
    <col min="12547" max="12547" width="13.28515625" style="1" customWidth="1"/>
    <col min="12548" max="12548" width="77" style="1" customWidth="1"/>
    <col min="12549" max="12549" width="4.28515625" style="1" customWidth="1"/>
    <col min="12550" max="12550" width="12.85546875" style="1" customWidth="1"/>
    <col min="12551" max="12551" width="12" style="1" customWidth="1"/>
    <col min="12552" max="12554" width="14.28515625" style="1" customWidth="1"/>
    <col min="12555" max="12557" width="11.7109375" style="1" customWidth="1"/>
    <col min="12558" max="12591" width="0" style="1" hidden="1" customWidth="1"/>
    <col min="12592" max="12800" width="11.5703125" style="1"/>
    <col min="12801" max="12801" width="3.7109375" style="1" customWidth="1"/>
    <col min="12802" max="12802" width="6.85546875" style="1" customWidth="1"/>
    <col min="12803" max="12803" width="13.28515625" style="1" customWidth="1"/>
    <col min="12804" max="12804" width="77" style="1" customWidth="1"/>
    <col min="12805" max="12805" width="4.28515625" style="1" customWidth="1"/>
    <col min="12806" max="12806" width="12.85546875" style="1" customWidth="1"/>
    <col min="12807" max="12807" width="12" style="1" customWidth="1"/>
    <col min="12808" max="12810" width="14.28515625" style="1" customWidth="1"/>
    <col min="12811" max="12813" width="11.7109375" style="1" customWidth="1"/>
    <col min="12814" max="12847" width="0" style="1" hidden="1" customWidth="1"/>
    <col min="12848" max="13056" width="11.5703125" style="1"/>
    <col min="13057" max="13057" width="3.7109375" style="1" customWidth="1"/>
    <col min="13058" max="13058" width="6.85546875" style="1" customWidth="1"/>
    <col min="13059" max="13059" width="13.28515625" style="1" customWidth="1"/>
    <col min="13060" max="13060" width="77" style="1" customWidth="1"/>
    <col min="13061" max="13061" width="4.28515625" style="1" customWidth="1"/>
    <col min="13062" max="13062" width="12.85546875" style="1" customWidth="1"/>
    <col min="13063" max="13063" width="12" style="1" customWidth="1"/>
    <col min="13064" max="13066" width="14.28515625" style="1" customWidth="1"/>
    <col min="13067" max="13069" width="11.7109375" style="1" customWidth="1"/>
    <col min="13070" max="13103" width="0" style="1" hidden="1" customWidth="1"/>
    <col min="13104" max="13312" width="11.5703125" style="1"/>
    <col min="13313" max="13313" width="3.7109375" style="1" customWidth="1"/>
    <col min="13314" max="13314" width="6.85546875" style="1" customWidth="1"/>
    <col min="13315" max="13315" width="13.28515625" style="1" customWidth="1"/>
    <col min="13316" max="13316" width="77" style="1" customWidth="1"/>
    <col min="13317" max="13317" width="4.28515625" style="1" customWidth="1"/>
    <col min="13318" max="13318" width="12.85546875" style="1" customWidth="1"/>
    <col min="13319" max="13319" width="12" style="1" customWidth="1"/>
    <col min="13320" max="13322" width="14.28515625" style="1" customWidth="1"/>
    <col min="13323" max="13325" width="11.7109375" style="1" customWidth="1"/>
    <col min="13326" max="13359" width="0" style="1" hidden="1" customWidth="1"/>
    <col min="13360" max="13568" width="11.5703125" style="1"/>
    <col min="13569" max="13569" width="3.7109375" style="1" customWidth="1"/>
    <col min="13570" max="13570" width="6.85546875" style="1" customWidth="1"/>
    <col min="13571" max="13571" width="13.28515625" style="1" customWidth="1"/>
    <col min="13572" max="13572" width="77" style="1" customWidth="1"/>
    <col min="13573" max="13573" width="4.28515625" style="1" customWidth="1"/>
    <col min="13574" max="13574" width="12.85546875" style="1" customWidth="1"/>
    <col min="13575" max="13575" width="12" style="1" customWidth="1"/>
    <col min="13576" max="13578" width="14.28515625" style="1" customWidth="1"/>
    <col min="13579" max="13581" width="11.7109375" style="1" customWidth="1"/>
    <col min="13582" max="13615" width="0" style="1" hidden="1" customWidth="1"/>
    <col min="13616" max="13824" width="11.5703125" style="1"/>
    <col min="13825" max="13825" width="3.7109375" style="1" customWidth="1"/>
    <col min="13826" max="13826" width="6.85546875" style="1" customWidth="1"/>
    <col min="13827" max="13827" width="13.28515625" style="1" customWidth="1"/>
    <col min="13828" max="13828" width="77" style="1" customWidth="1"/>
    <col min="13829" max="13829" width="4.28515625" style="1" customWidth="1"/>
    <col min="13830" max="13830" width="12.85546875" style="1" customWidth="1"/>
    <col min="13831" max="13831" width="12" style="1" customWidth="1"/>
    <col min="13832" max="13834" width="14.28515625" style="1" customWidth="1"/>
    <col min="13835" max="13837" width="11.7109375" style="1" customWidth="1"/>
    <col min="13838" max="13871" width="0" style="1" hidden="1" customWidth="1"/>
    <col min="13872" max="14080" width="11.5703125" style="1"/>
    <col min="14081" max="14081" width="3.7109375" style="1" customWidth="1"/>
    <col min="14082" max="14082" width="6.85546875" style="1" customWidth="1"/>
    <col min="14083" max="14083" width="13.28515625" style="1" customWidth="1"/>
    <col min="14084" max="14084" width="77" style="1" customWidth="1"/>
    <col min="14085" max="14085" width="4.28515625" style="1" customWidth="1"/>
    <col min="14086" max="14086" width="12.85546875" style="1" customWidth="1"/>
    <col min="14087" max="14087" width="12" style="1" customWidth="1"/>
    <col min="14088" max="14090" width="14.28515625" style="1" customWidth="1"/>
    <col min="14091" max="14093" width="11.7109375" style="1" customWidth="1"/>
    <col min="14094" max="14127" width="0" style="1" hidden="1" customWidth="1"/>
    <col min="14128" max="14336" width="11.5703125" style="1"/>
    <col min="14337" max="14337" width="3.7109375" style="1" customWidth="1"/>
    <col min="14338" max="14338" width="6.85546875" style="1" customWidth="1"/>
    <col min="14339" max="14339" width="13.28515625" style="1" customWidth="1"/>
    <col min="14340" max="14340" width="77" style="1" customWidth="1"/>
    <col min="14341" max="14341" width="4.28515625" style="1" customWidth="1"/>
    <col min="14342" max="14342" width="12.85546875" style="1" customWidth="1"/>
    <col min="14343" max="14343" width="12" style="1" customWidth="1"/>
    <col min="14344" max="14346" width="14.28515625" style="1" customWidth="1"/>
    <col min="14347" max="14349" width="11.7109375" style="1" customWidth="1"/>
    <col min="14350" max="14383" width="0" style="1" hidden="1" customWidth="1"/>
    <col min="14384" max="14592" width="11.5703125" style="1"/>
    <col min="14593" max="14593" width="3.7109375" style="1" customWidth="1"/>
    <col min="14594" max="14594" width="6.85546875" style="1" customWidth="1"/>
    <col min="14595" max="14595" width="13.28515625" style="1" customWidth="1"/>
    <col min="14596" max="14596" width="77" style="1" customWidth="1"/>
    <col min="14597" max="14597" width="4.28515625" style="1" customWidth="1"/>
    <col min="14598" max="14598" width="12.85546875" style="1" customWidth="1"/>
    <col min="14599" max="14599" width="12" style="1" customWidth="1"/>
    <col min="14600" max="14602" width="14.28515625" style="1" customWidth="1"/>
    <col min="14603" max="14605" width="11.7109375" style="1" customWidth="1"/>
    <col min="14606" max="14639" width="0" style="1" hidden="1" customWidth="1"/>
    <col min="14640" max="14848" width="11.5703125" style="1"/>
    <col min="14849" max="14849" width="3.7109375" style="1" customWidth="1"/>
    <col min="14850" max="14850" width="6.85546875" style="1" customWidth="1"/>
    <col min="14851" max="14851" width="13.28515625" style="1" customWidth="1"/>
    <col min="14852" max="14852" width="77" style="1" customWidth="1"/>
    <col min="14853" max="14853" width="4.28515625" style="1" customWidth="1"/>
    <col min="14854" max="14854" width="12.85546875" style="1" customWidth="1"/>
    <col min="14855" max="14855" width="12" style="1" customWidth="1"/>
    <col min="14856" max="14858" width="14.28515625" style="1" customWidth="1"/>
    <col min="14859" max="14861" width="11.7109375" style="1" customWidth="1"/>
    <col min="14862" max="14895" width="0" style="1" hidden="1" customWidth="1"/>
    <col min="14896" max="15104" width="11.5703125" style="1"/>
    <col min="15105" max="15105" width="3.7109375" style="1" customWidth="1"/>
    <col min="15106" max="15106" width="6.85546875" style="1" customWidth="1"/>
    <col min="15107" max="15107" width="13.28515625" style="1" customWidth="1"/>
    <col min="15108" max="15108" width="77" style="1" customWidth="1"/>
    <col min="15109" max="15109" width="4.28515625" style="1" customWidth="1"/>
    <col min="15110" max="15110" width="12.85546875" style="1" customWidth="1"/>
    <col min="15111" max="15111" width="12" style="1" customWidth="1"/>
    <col min="15112" max="15114" width="14.28515625" style="1" customWidth="1"/>
    <col min="15115" max="15117" width="11.7109375" style="1" customWidth="1"/>
    <col min="15118" max="15151" width="0" style="1" hidden="1" customWidth="1"/>
    <col min="15152" max="15360" width="11.5703125" style="1"/>
    <col min="15361" max="15361" width="3.7109375" style="1" customWidth="1"/>
    <col min="15362" max="15362" width="6.85546875" style="1" customWidth="1"/>
    <col min="15363" max="15363" width="13.28515625" style="1" customWidth="1"/>
    <col min="15364" max="15364" width="77" style="1" customWidth="1"/>
    <col min="15365" max="15365" width="4.28515625" style="1" customWidth="1"/>
    <col min="15366" max="15366" width="12.85546875" style="1" customWidth="1"/>
    <col min="15367" max="15367" width="12" style="1" customWidth="1"/>
    <col min="15368" max="15370" width="14.28515625" style="1" customWidth="1"/>
    <col min="15371" max="15373" width="11.7109375" style="1" customWidth="1"/>
    <col min="15374" max="15407" width="0" style="1" hidden="1" customWidth="1"/>
    <col min="15408" max="15616" width="11.5703125" style="1"/>
    <col min="15617" max="15617" width="3.7109375" style="1" customWidth="1"/>
    <col min="15618" max="15618" width="6.85546875" style="1" customWidth="1"/>
    <col min="15619" max="15619" width="13.28515625" style="1" customWidth="1"/>
    <col min="15620" max="15620" width="77" style="1" customWidth="1"/>
    <col min="15621" max="15621" width="4.28515625" style="1" customWidth="1"/>
    <col min="15622" max="15622" width="12.85546875" style="1" customWidth="1"/>
    <col min="15623" max="15623" width="12" style="1" customWidth="1"/>
    <col min="15624" max="15626" width="14.28515625" style="1" customWidth="1"/>
    <col min="15627" max="15629" width="11.7109375" style="1" customWidth="1"/>
    <col min="15630" max="15663" width="0" style="1" hidden="1" customWidth="1"/>
    <col min="15664" max="15872" width="11.5703125" style="1"/>
    <col min="15873" max="15873" width="3.7109375" style="1" customWidth="1"/>
    <col min="15874" max="15874" width="6.85546875" style="1" customWidth="1"/>
    <col min="15875" max="15875" width="13.28515625" style="1" customWidth="1"/>
    <col min="15876" max="15876" width="77" style="1" customWidth="1"/>
    <col min="15877" max="15877" width="4.28515625" style="1" customWidth="1"/>
    <col min="15878" max="15878" width="12.85546875" style="1" customWidth="1"/>
    <col min="15879" max="15879" width="12" style="1" customWidth="1"/>
    <col min="15880" max="15882" width="14.28515625" style="1" customWidth="1"/>
    <col min="15883" max="15885" width="11.7109375" style="1" customWidth="1"/>
    <col min="15886" max="15919" width="0" style="1" hidden="1" customWidth="1"/>
    <col min="15920" max="16128" width="11.5703125" style="1"/>
    <col min="16129" max="16129" width="3.7109375" style="1" customWidth="1"/>
    <col min="16130" max="16130" width="6.85546875" style="1" customWidth="1"/>
    <col min="16131" max="16131" width="13.28515625" style="1" customWidth="1"/>
    <col min="16132" max="16132" width="77" style="1" customWidth="1"/>
    <col min="16133" max="16133" width="4.28515625" style="1" customWidth="1"/>
    <col min="16134" max="16134" width="12.85546875" style="1" customWidth="1"/>
    <col min="16135" max="16135" width="12" style="1" customWidth="1"/>
    <col min="16136" max="16138" width="14.28515625" style="1" customWidth="1"/>
    <col min="16139" max="16141" width="11.7109375" style="1" customWidth="1"/>
    <col min="16142" max="16175" width="0" style="1" hidden="1" customWidth="1"/>
    <col min="16176" max="16384" width="11.5703125" style="1"/>
  </cols>
  <sheetData>
    <row r="1" spans="1:43" ht="27.75" customHeight="1" x14ac:dyDescent="0.3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43" x14ac:dyDescent="0.2">
      <c r="A2" s="91" t="s">
        <v>1</v>
      </c>
      <c r="B2" s="92"/>
      <c r="C2" s="92"/>
      <c r="D2" s="93" t="s">
        <v>2</v>
      </c>
      <c r="E2" s="94" t="s">
        <v>3</v>
      </c>
      <c r="F2" s="92"/>
      <c r="G2" s="94"/>
      <c r="H2" s="92"/>
      <c r="I2" s="95" t="s">
        <v>4</v>
      </c>
      <c r="J2" s="95" t="s">
        <v>5</v>
      </c>
      <c r="K2" s="92"/>
      <c r="L2" s="92"/>
      <c r="M2" s="96"/>
      <c r="N2" s="15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43" x14ac:dyDescent="0.2">
      <c r="A3" s="85"/>
      <c r="B3" s="75"/>
      <c r="C3" s="75"/>
      <c r="D3" s="69"/>
      <c r="E3" s="75"/>
      <c r="F3" s="75"/>
      <c r="G3" s="75"/>
      <c r="H3" s="75"/>
      <c r="I3" s="75"/>
      <c r="J3" s="75"/>
      <c r="K3" s="75"/>
      <c r="L3" s="75"/>
      <c r="M3" s="81"/>
      <c r="N3" s="15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43" x14ac:dyDescent="0.2">
      <c r="A4" s="84" t="s">
        <v>6</v>
      </c>
      <c r="B4" s="75"/>
      <c r="C4" s="75"/>
      <c r="D4" s="74" t="s">
        <v>7</v>
      </c>
      <c r="E4" s="86" t="s">
        <v>8</v>
      </c>
      <c r="F4" s="75"/>
      <c r="G4" s="86" t="s">
        <v>9</v>
      </c>
      <c r="H4" s="75"/>
      <c r="I4" s="74" t="s">
        <v>10</v>
      </c>
      <c r="J4" s="74" t="s">
        <v>11</v>
      </c>
      <c r="K4" s="75"/>
      <c r="L4" s="75"/>
      <c r="M4" s="81"/>
      <c r="N4" s="15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43" x14ac:dyDescent="0.2">
      <c r="A5" s="8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81"/>
      <c r="N5" s="15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43" x14ac:dyDescent="0.2">
      <c r="A6" s="84" t="s">
        <v>12</v>
      </c>
      <c r="B6" s="75"/>
      <c r="C6" s="75"/>
      <c r="D6" s="74" t="s">
        <v>13</v>
      </c>
      <c r="E6" s="86" t="s">
        <v>14</v>
      </c>
      <c r="F6" s="75"/>
      <c r="G6" s="75"/>
      <c r="H6" s="75"/>
      <c r="I6" s="74" t="s">
        <v>15</v>
      </c>
      <c r="J6" s="74" t="s">
        <v>16</v>
      </c>
      <c r="K6" s="75"/>
      <c r="L6" s="75"/>
      <c r="M6" s="81"/>
      <c r="N6" s="15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43" x14ac:dyDescent="0.2">
      <c r="A7" s="8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81"/>
      <c r="N7" s="15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43" x14ac:dyDescent="0.2">
      <c r="A8" s="84" t="s">
        <v>17</v>
      </c>
      <c r="B8" s="75"/>
      <c r="C8" s="75"/>
      <c r="D8" s="74"/>
      <c r="E8" s="86" t="s">
        <v>18</v>
      </c>
      <c r="F8" s="75"/>
      <c r="G8" s="88">
        <v>42634</v>
      </c>
      <c r="H8" s="75"/>
      <c r="I8" s="74" t="s">
        <v>19</v>
      </c>
      <c r="J8" s="74" t="s">
        <v>20</v>
      </c>
      <c r="K8" s="75"/>
      <c r="L8" s="75"/>
      <c r="M8" s="81"/>
      <c r="N8" s="15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43" ht="13.5" thickBot="1" x14ac:dyDescent="0.25">
      <c r="A9" s="87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15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43" x14ac:dyDescent="0.2">
      <c r="A10" s="16" t="s">
        <v>21</v>
      </c>
      <c r="B10" s="17" t="s">
        <v>22</v>
      </c>
      <c r="C10" s="17" t="s">
        <v>23</v>
      </c>
      <c r="D10" s="17" t="s">
        <v>24</v>
      </c>
      <c r="E10" s="17" t="s">
        <v>25</v>
      </c>
      <c r="F10" s="18" t="s">
        <v>26</v>
      </c>
      <c r="G10" s="19" t="s">
        <v>27</v>
      </c>
      <c r="H10" s="76" t="s">
        <v>28</v>
      </c>
      <c r="I10" s="77"/>
      <c r="J10" s="78"/>
      <c r="K10" s="76" t="s">
        <v>29</v>
      </c>
      <c r="L10" s="78"/>
      <c r="M10" s="20" t="s">
        <v>30</v>
      </c>
      <c r="N10" s="21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43" ht="13.5" thickBot="1" x14ac:dyDescent="0.25">
      <c r="A11" s="22" t="s">
        <v>9</v>
      </c>
      <c r="B11" s="23" t="s">
        <v>9</v>
      </c>
      <c r="C11" s="23" t="s">
        <v>9</v>
      </c>
      <c r="D11" s="24" t="s">
        <v>31</v>
      </c>
      <c r="E11" s="23" t="s">
        <v>9</v>
      </c>
      <c r="F11" s="23" t="s">
        <v>9</v>
      </c>
      <c r="G11" s="25" t="s">
        <v>32</v>
      </c>
      <c r="H11" s="26" t="s">
        <v>33</v>
      </c>
      <c r="I11" s="27" t="s">
        <v>34</v>
      </c>
      <c r="J11" s="28" t="s">
        <v>35</v>
      </c>
      <c r="K11" s="26" t="s">
        <v>27</v>
      </c>
      <c r="L11" s="28" t="s">
        <v>35</v>
      </c>
      <c r="M11" s="29" t="s">
        <v>36</v>
      </c>
      <c r="N11" s="21"/>
      <c r="O11" s="42"/>
      <c r="P11" s="43" t="s">
        <v>37</v>
      </c>
      <c r="Q11" s="43" t="s">
        <v>38</v>
      </c>
      <c r="R11" s="43" t="s">
        <v>39</v>
      </c>
      <c r="S11" s="43" t="s">
        <v>40</v>
      </c>
      <c r="T11" s="43" t="s">
        <v>41</v>
      </c>
      <c r="U11" s="43" t="s">
        <v>42</v>
      </c>
      <c r="V11" s="43" t="s">
        <v>43</v>
      </c>
      <c r="W11" s="43" t="s">
        <v>44</v>
      </c>
      <c r="X11" s="43" t="s">
        <v>45</v>
      </c>
    </row>
    <row r="12" spans="1:43" x14ac:dyDescent="0.2">
      <c r="A12" s="44"/>
      <c r="B12" s="45"/>
      <c r="C12" s="45" t="s">
        <v>46</v>
      </c>
      <c r="D12" s="79" t="s">
        <v>47</v>
      </c>
      <c r="E12" s="80"/>
      <c r="F12" s="80"/>
      <c r="G12" s="80"/>
      <c r="H12" s="46">
        <f>SUM(H13:H16)</f>
        <v>0</v>
      </c>
      <c r="I12" s="46">
        <f>SUM(I13:I16)</f>
        <v>0</v>
      </c>
      <c r="J12" s="46">
        <f>H12+I12</f>
        <v>0</v>
      </c>
      <c r="K12" s="47"/>
      <c r="L12" s="46">
        <f>SUM(L13:L16)</f>
        <v>0.1357884</v>
      </c>
      <c r="M12" s="47"/>
      <c r="N12" s="42"/>
      <c r="O12" s="42"/>
      <c r="P12" s="48">
        <f>IF(Q12="PR",J12,SUM(O13:O16))</f>
        <v>0</v>
      </c>
      <c r="Q12" s="43" t="s">
        <v>48</v>
      </c>
      <c r="R12" s="48">
        <f>IF(Q12="HS",H12,0)</f>
        <v>0</v>
      </c>
      <c r="S12" s="48">
        <f>IF(Q12="HS",I12-P12,0)</f>
        <v>0</v>
      </c>
      <c r="T12" s="48">
        <f>IF(Q12="PS",H12,0)</f>
        <v>0</v>
      </c>
      <c r="U12" s="48">
        <f>IF(Q12="PS",I12-P12,0)</f>
        <v>0</v>
      </c>
      <c r="V12" s="48">
        <f>IF(Q12="MP",H12,0)</f>
        <v>0</v>
      </c>
      <c r="W12" s="48">
        <f>IF(Q12="MP",I12-P12,0)</f>
        <v>0</v>
      </c>
      <c r="X12" s="48">
        <f>IF(Q12="OM",H12,0)</f>
        <v>0</v>
      </c>
      <c r="Y12" s="4"/>
      <c r="AI12" s="5">
        <f>SUM(Z13:Z16)</f>
        <v>0</v>
      </c>
      <c r="AJ12" s="5">
        <f>SUM(AA13:AA16)</f>
        <v>0</v>
      </c>
      <c r="AK12" s="5">
        <f>SUM(AB13:AB16)</f>
        <v>0</v>
      </c>
    </row>
    <row r="13" spans="1:43" x14ac:dyDescent="0.2">
      <c r="A13" s="31" t="s">
        <v>49</v>
      </c>
      <c r="B13" s="31"/>
      <c r="C13" s="31" t="s">
        <v>50</v>
      </c>
      <c r="D13" s="31" t="s">
        <v>51</v>
      </c>
      <c r="E13" s="31" t="s">
        <v>52</v>
      </c>
      <c r="F13" s="32">
        <v>7.62</v>
      </c>
      <c r="G13" s="32">
        <v>0</v>
      </c>
      <c r="H13" s="32">
        <f>F13*AE13</f>
        <v>0</v>
      </c>
      <c r="I13" s="32">
        <f>J13-H13</f>
        <v>0</v>
      </c>
      <c r="J13" s="32">
        <f>F13*G13</f>
        <v>0</v>
      </c>
      <c r="K13" s="32">
        <v>1.7819999999999999E-2</v>
      </c>
      <c r="L13" s="32">
        <f>F13*K13</f>
        <v>0.1357884</v>
      </c>
      <c r="M13" s="33" t="s">
        <v>53</v>
      </c>
      <c r="N13" s="33" t="s">
        <v>49</v>
      </c>
      <c r="O13" s="32">
        <f>IF(N13="5",I13,0)</f>
        <v>0</v>
      </c>
      <c r="P13" s="42"/>
      <c r="Q13" s="42"/>
      <c r="R13" s="42"/>
      <c r="S13" s="42"/>
      <c r="T13" s="42"/>
      <c r="U13" s="42"/>
      <c r="V13" s="42"/>
      <c r="W13" s="42"/>
      <c r="X13" s="42"/>
      <c r="Z13" s="6">
        <f>IF(AD13=0,J13,0)</f>
        <v>0</v>
      </c>
      <c r="AA13" s="6">
        <f>IF(AD13=15,J13,0)</f>
        <v>0</v>
      </c>
      <c r="AB13" s="6">
        <f>IF(AD13=21,J13,0)</f>
        <v>0</v>
      </c>
      <c r="AD13" s="7">
        <v>21</v>
      </c>
      <c r="AE13" s="7">
        <f>G13*0.462233009708738</f>
        <v>0</v>
      </c>
      <c r="AF13" s="7">
        <f>G13*(1-0.462233009708738)</f>
        <v>0</v>
      </c>
      <c r="AM13" s="7">
        <f>F13*AE13</f>
        <v>0</v>
      </c>
      <c r="AN13" s="7">
        <f>F13*AF13</f>
        <v>0</v>
      </c>
      <c r="AO13" s="8" t="s">
        <v>54</v>
      </c>
      <c r="AP13" s="8" t="s">
        <v>55</v>
      </c>
      <c r="AQ13" s="4" t="s">
        <v>56</v>
      </c>
    </row>
    <row r="14" spans="1:43" x14ac:dyDescent="0.2">
      <c r="A14" s="42"/>
      <c r="B14" s="42"/>
      <c r="C14" s="42"/>
      <c r="D14" s="34" t="s">
        <v>57</v>
      </c>
      <c r="E14" s="42"/>
      <c r="F14" s="35">
        <v>7.26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43" x14ac:dyDescent="0.2">
      <c r="A15" s="42"/>
      <c r="B15" s="42"/>
      <c r="C15" s="42"/>
      <c r="D15" s="34" t="s">
        <v>58</v>
      </c>
      <c r="E15" s="42"/>
      <c r="F15" s="35">
        <v>0.36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43" x14ac:dyDescent="0.2">
      <c r="A16" s="31" t="s">
        <v>59</v>
      </c>
      <c r="B16" s="31"/>
      <c r="C16" s="31" t="s">
        <v>60</v>
      </c>
      <c r="D16" s="31" t="s">
        <v>61</v>
      </c>
      <c r="E16" s="31" t="s">
        <v>52</v>
      </c>
      <c r="F16" s="32">
        <v>7.26</v>
      </c>
      <c r="G16" s="32">
        <v>0</v>
      </c>
      <c r="H16" s="32">
        <f>F16*AE16</f>
        <v>0</v>
      </c>
      <c r="I16" s="32">
        <f>J16-H16</f>
        <v>0</v>
      </c>
      <c r="J16" s="32">
        <f>F16*G16</f>
        <v>0</v>
      </c>
      <c r="K16" s="32">
        <v>0</v>
      </c>
      <c r="L16" s="32">
        <f>F16*K16</f>
        <v>0</v>
      </c>
      <c r="M16" s="33" t="s">
        <v>53</v>
      </c>
      <c r="N16" s="33" t="s">
        <v>49</v>
      </c>
      <c r="O16" s="32">
        <f>IF(N16="5",I16,0)</f>
        <v>0</v>
      </c>
      <c r="P16" s="42"/>
      <c r="Q16" s="42"/>
      <c r="R16" s="42"/>
      <c r="S16" s="42"/>
      <c r="T16" s="42"/>
      <c r="U16" s="42"/>
      <c r="V16" s="42"/>
      <c r="W16" s="42"/>
      <c r="X16" s="42"/>
      <c r="Z16" s="6">
        <f>IF(AD16=0,J16,0)</f>
        <v>0</v>
      </c>
      <c r="AA16" s="6">
        <f>IF(AD16=15,J16,0)</f>
        <v>0</v>
      </c>
      <c r="AB16" s="6">
        <f>IF(AD16=21,J16,0)</f>
        <v>0</v>
      </c>
      <c r="AD16" s="7">
        <v>21</v>
      </c>
      <c r="AE16" s="7">
        <f>G16*0</f>
        <v>0</v>
      </c>
      <c r="AF16" s="7">
        <f>G16*(1-0)</f>
        <v>0</v>
      </c>
      <c r="AM16" s="7">
        <f>F16*AE16</f>
        <v>0</v>
      </c>
      <c r="AN16" s="7">
        <f>F16*AF16</f>
        <v>0</v>
      </c>
      <c r="AO16" s="8" t="s">
        <v>54</v>
      </c>
      <c r="AP16" s="8" t="s">
        <v>55</v>
      </c>
      <c r="AQ16" s="4" t="s">
        <v>56</v>
      </c>
    </row>
    <row r="17" spans="1:43" x14ac:dyDescent="0.2">
      <c r="A17" s="42"/>
      <c r="B17" s="42"/>
      <c r="C17" s="42"/>
      <c r="D17" s="34" t="s">
        <v>62</v>
      </c>
      <c r="E17" s="42"/>
      <c r="F17" s="35">
        <v>7.26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43" x14ac:dyDescent="0.2">
      <c r="A18" s="31"/>
      <c r="B18" s="49"/>
      <c r="C18" s="49" t="s">
        <v>63</v>
      </c>
      <c r="D18" s="68" t="s">
        <v>64</v>
      </c>
      <c r="E18" s="69"/>
      <c r="F18" s="69"/>
      <c r="G18" s="69"/>
      <c r="H18" s="48">
        <f>SUM(H19:H95)</f>
        <v>0</v>
      </c>
      <c r="I18" s="48">
        <f>SUM(I19:I95)</f>
        <v>0</v>
      </c>
      <c r="J18" s="48">
        <f>H18+I18</f>
        <v>0</v>
      </c>
      <c r="K18" s="43"/>
      <c r="L18" s="48">
        <f>SUM(L19:L95)</f>
        <v>33.445938226000003</v>
      </c>
      <c r="M18" s="43"/>
      <c r="N18" s="42"/>
      <c r="O18" s="42"/>
      <c r="P18" s="48">
        <f>IF(Q18="PR",J18,SUM(O19:O95))</f>
        <v>0</v>
      </c>
      <c r="Q18" s="43" t="s">
        <v>48</v>
      </c>
      <c r="R18" s="48">
        <f>IF(Q18="HS",H18,0)</f>
        <v>0</v>
      </c>
      <c r="S18" s="48">
        <f>IF(Q18="HS",I18-P18,0)</f>
        <v>0</v>
      </c>
      <c r="T18" s="48">
        <f>IF(Q18="PS",H18,0)</f>
        <v>0</v>
      </c>
      <c r="U18" s="48">
        <f>IF(Q18="PS",I18-P18,0)</f>
        <v>0</v>
      </c>
      <c r="V18" s="48">
        <f>IF(Q18="MP",H18,0)</f>
        <v>0</v>
      </c>
      <c r="W18" s="48">
        <f>IF(Q18="MP",I18-P18,0)</f>
        <v>0</v>
      </c>
      <c r="X18" s="48">
        <f>IF(Q18="OM",H18,0)</f>
        <v>0</v>
      </c>
      <c r="Y18" s="4"/>
      <c r="AI18" s="5">
        <f>SUM(Z19:Z95)</f>
        <v>0</v>
      </c>
      <c r="AJ18" s="5">
        <f>SUM(AA19:AA95)</f>
        <v>0</v>
      </c>
      <c r="AK18" s="5">
        <f>SUM(AB19:AB95)</f>
        <v>0</v>
      </c>
    </row>
    <row r="19" spans="1:43" x14ac:dyDescent="0.2">
      <c r="A19" s="31" t="s">
        <v>65</v>
      </c>
      <c r="B19" s="31"/>
      <c r="C19" s="31" t="s">
        <v>66</v>
      </c>
      <c r="D19" s="31" t="s">
        <v>67</v>
      </c>
      <c r="E19" s="31" t="s">
        <v>52</v>
      </c>
      <c r="F19" s="32">
        <v>7.62</v>
      </c>
      <c r="G19" s="32">
        <v>0</v>
      </c>
      <c r="H19" s="32">
        <f>F19*AE19</f>
        <v>0</v>
      </c>
      <c r="I19" s="32">
        <f>J19-H19</f>
        <v>0</v>
      </c>
      <c r="J19" s="32">
        <f>F19*G19</f>
        <v>0</v>
      </c>
      <c r="K19" s="32">
        <v>2.555E-2</v>
      </c>
      <c r="L19" s="32">
        <f>F19*K19</f>
        <v>0.194691</v>
      </c>
      <c r="M19" s="33" t="s">
        <v>53</v>
      </c>
      <c r="N19" s="33" t="s">
        <v>49</v>
      </c>
      <c r="O19" s="32">
        <f>IF(N19="5",I19,0)</f>
        <v>0</v>
      </c>
      <c r="P19" s="42"/>
      <c r="Q19" s="42"/>
      <c r="R19" s="42"/>
      <c r="S19" s="42"/>
      <c r="T19" s="42"/>
      <c r="U19" s="42"/>
      <c r="V19" s="42"/>
      <c r="W19" s="42"/>
      <c r="X19" s="42"/>
      <c r="Z19" s="6">
        <f>IF(AD19=0,J19,0)</f>
        <v>0</v>
      </c>
      <c r="AA19" s="6">
        <f>IF(AD19=15,J19,0)</f>
        <v>0</v>
      </c>
      <c r="AB19" s="6">
        <f>IF(AD19=21,J19,0)</f>
        <v>0</v>
      </c>
      <c r="AD19" s="7">
        <v>21</v>
      </c>
      <c r="AE19" s="7">
        <f>G19*0.665413223140496</f>
        <v>0</v>
      </c>
      <c r="AF19" s="7">
        <f>G19*(1-0.665413223140496)</f>
        <v>0</v>
      </c>
      <c r="AM19" s="7">
        <f>F19*AE19</f>
        <v>0</v>
      </c>
      <c r="AN19" s="7">
        <f>F19*AF19</f>
        <v>0</v>
      </c>
      <c r="AO19" s="8" t="s">
        <v>68</v>
      </c>
      <c r="AP19" s="8" t="s">
        <v>69</v>
      </c>
      <c r="AQ19" s="4" t="s">
        <v>56</v>
      </c>
    </row>
    <row r="20" spans="1:43" x14ac:dyDescent="0.2">
      <c r="A20" s="42"/>
      <c r="B20" s="42"/>
      <c r="C20" s="42"/>
      <c r="D20" s="34" t="s">
        <v>57</v>
      </c>
      <c r="E20" s="42"/>
      <c r="F20" s="35">
        <v>7.26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43" x14ac:dyDescent="0.2">
      <c r="A21" s="42"/>
      <c r="B21" s="42"/>
      <c r="C21" s="42"/>
      <c r="D21" s="34" t="s">
        <v>58</v>
      </c>
      <c r="E21" s="42"/>
      <c r="F21" s="35">
        <v>0.36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43" x14ac:dyDescent="0.2">
      <c r="A22" s="31" t="s">
        <v>70</v>
      </c>
      <c r="B22" s="31"/>
      <c r="C22" s="31" t="s">
        <v>71</v>
      </c>
      <c r="D22" s="31" t="s">
        <v>72</v>
      </c>
      <c r="E22" s="31" t="s">
        <v>52</v>
      </c>
      <c r="F22" s="32">
        <v>6.93</v>
      </c>
      <c r="G22" s="32">
        <v>0</v>
      </c>
      <c r="H22" s="32">
        <f>F22*AE22</f>
        <v>0</v>
      </c>
      <c r="I22" s="32">
        <f>J22-H22</f>
        <v>0</v>
      </c>
      <c r="J22" s="32">
        <f>F22*G22</f>
        <v>0</v>
      </c>
      <c r="K22" s="32">
        <v>1.206E-2</v>
      </c>
      <c r="L22" s="32">
        <f>F22*K22</f>
        <v>8.3575799999999992E-2</v>
      </c>
      <c r="M22" s="33" t="s">
        <v>53</v>
      </c>
      <c r="N22" s="33" t="s">
        <v>49</v>
      </c>
      <c r="O22" s="32">
        <f>IF(N22="5",I22,0)</f>
        <v>0</v>
      </c>
      <c r="P22" s="42"/>
      <c r="Q22" s="42"/>
      <c r="R22" s="42"/>
      <c r="S22" s="42"/>
      <c r="T22" s="42"/>
      <c r="U22" s="42"/>
      <c r="V22" s="42"/>
      <c r="W22" s="42"/>
      <c r="X22" s="42"/>
      <c r="Z22" s="6">
        <f>IF(AD22=0,J22,0)</f>
        <v>0</v>
      </c>
      <c r="AA22" s="6">
        <f>IF(AD22=15,J22,0)</f>
        <v>0</v>
      </c>
      <c r="AB22" s="6">
        <f>IF(AD22=21,J22,0)</f>
        <v>0</v>
      </c>
      <c r="AD22" s="7">
        <v>21</v>
      </c>
      <c r="AE22" s="7">
        <f>G22*0.449469234657622</f>
        <v>0</v>
      </c>
      <c r="AF22" s="7">
        <f>G22*(1-0.449469234657622)</f>
        <v>0</v>
      </c>
      <c r="AM22" s="7">
        <f>F22*AE22</f>
        <v>0</v>
      </c>
      <c r="AN22" s="7">
        <f>F22*AF22</f>
        <v>0</v>
      </c>
      <c r="AO22" s="8" t="s">
        <v>68</v>
      </c>
      <c r="AP22" s="8" t="s">
        <v>69</v>
      </c>
      <c r="AQ22" s="4" t="s">
        <v>56</v>
      </c>
    </row>
    <row r="23" spans="1:43" x14ac:dyDescent="0.2">
      <c r="A23" s="42"/>
      <c r="B23" s="42"/>
      <c r="C23" s="42"/>
      <c r="D23" s="34" t="s">
        <v>73</v>
      </c>
      <c r="E23" s="42"/>
      <c r="F23" s="35">
        <v>6.6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43" x14ac:dyDescent="0.2">
      <c r="A24" s="42"/>
      <c r="B24" s="42"/>
      <c r="C24" s="42"/>
      <c r="D24" s="34" t="s">
        <v>74</v>
      </c>
      <c r="E24" s="42"/>
      <c r="F24" s="35">
        <v>0.33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43" x14ac:dyDescent="0.2">
      <c r="A25" s="31" t="s">
        <v>75</v>
      </c>
      <c r="B25" s="31"/>
      <c r="C25" s="31" t="s">
        <v>76</v>
      </c>
      <c r="D25" s="31" t="s">
        <v>77</v>
      </c>
      <c r="E25" s="31" t="s">
        <v>52</v>
      </c>
      <c r="F25" s="32">
        <v>94.496200000000002</v>
      </c>
      <c r="G25" s="32">
        <v>0</v>
      </c>
      <c r="H25" s="32">
        <f>F25*AE25</f>
        <v>0</v>
      </c>
      <c r="I25" s="32">
        <f>J25-H25</f>
        <v>0</v>
      </c>
      <c r="J25" s="32">
        <f>F25*G25</f>
        <v>0</v>
      </c>
      <c r="K25" s="32">
        <v>1.856E-2</v>
      </c>
      <c r="L25" s="32">
        <f>F25*K25</f>
        <v>1.753849472</v>
      </c>
      <c r="M25" s="33"/>
      <c r="N25" s="33" t="s">
        <v>49</v>
      </c>
      <c r="O25" s="32">
        <f>IF(N25="5",I25,0)</f>
        <v>0</v>
      </c>
      <c r="P25" s="42"/>
      <c r="Q25" s="42"/>
      <c r="R25" s="42"/>
      <c r="S25" s="42"/>
      <c r="T25" s="42"/>
      <c r="U25" s="42"/>
      <c r="V25" s="42"/>
      <c r="W25" s="42"/>
      <c r="X25" s="42"/>
      <c r="Z25" s="6">
        <f>IF(AD25=0,J25,0)</f>
        <v>0</v>
      </c>
      <c r="AA25" s="6">
        <f>IF(AD25=15,J25,0)</f>
        <v>0</v>
      </c>
      <c r="AB25" s="6">
        <f>IF(AD25=21,J25,0)</f>
        <v>0</v>
      </c>
      <c r="AD25" s="7">
        <v>21</v>
      </c>
      <c r="AE25" s="7">
        <f>G25*0.697629407351838</f>
        <v>0</v>
      </c>
      <c r="AF25" s="7">
        <f>G25*(1-0.697629407351838)</f>
        <v>0</v>
      </c>
      <c r="AM25" s="7">
        <f>F25*AE25</f>
        <v>0</v>
      </c>
      <c r="AN25" s="7">
        <f>F25*AF25</f>
        <v>0</v>
      </c>
      <c r="AO25" s="8" t="s">
        <v>68</v>
      </c>
      <c r="AP25" s="8" t="s">
        <v>69</v>
      </c>
      <c r="AQ25" s="4" t="s">
        <v>56</v>
      </c>
    </row>
    <row r="26" spans="1:43" x14ac:dyDescent="0.2">
      <c r="A26" s="42"/>
      <c r="B26" s="42"/>
      <c r="C26" s="42"/>
      <c r="D26" s="34" t="s">
        <v>78</v>
      </c>
      <c r="E26" s="42"/>
      <c r="F26" s="35">
        <v>19.404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43" x14ac:dyDescent="0.2">
      <c r="A27" s="42"/>
      <c r="B27" s="42"/>
      <c r="C27" s="42"/>
      <c r="D27" s="34" t="s">
        <v>79</v>
      </c>
      <c r="E27" s="42"/>
      <c r="F27" s="35">
        <v>8.9879999999999995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43" x14ac:dyDescent="0.2">
      <c r="A28" s="42"/>
      <c r="B28" s="42"/>
      <c r="C28" s="42"/>
      <c r="D28" s="34" t="s">
        <v>80</v>
      </c>
      <c r="E28" s="42"/>
      <c r="F28" s="35">
        <v>9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43" x14ac:dyDescent="0.2">
      <c r="A29" s="42"/>
      <c r="B29" s="42"/>
      <c r="C29" s="42"/>
      <c r="D29" s="34" t="s">
        <v>81</v>
      </c>
      <c r="E29" s="42"/>
      <c r="F29" s="35">
        <v>3.18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43" x14ac:dyDescent="0.2">
      <c r="A30" s="42"/>
      <c r="B30" s="42"/>
      <c r="C30" s="42"/>
      <c r="D30" s="34" t="s">
        <v>82</v>
      </c>
      <c r="E30" s="42"/>
      <c r="F30" s="35">
        <v>14.19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1:43" x14ac:dyDescent="0.2">
      <c r="A31" s="42"/>
      <c r="B31" s="42"/>
      <c r="C31" s="42"/>
      <c r="D31" s="34" t="s">
        <v>83</v>
      </c>
      <c r="E31" s="42"/>
      <c r="F31" s="35">
        <v>9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43" x14ac:dyDescent="0.2">
      <c r="A32" s="42"/>
      <c r="B32" s="42"/>
      <c r="C32" s="42"/>
      <c r="D32" s="34" t="s">
        <v>84</v>
      </c>
      <c r="E32" s="42"/>
      <c r="F32" s="35">
        <v>8.3640000000000008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43" x14ac:dyDescent="0.2">
      <c r="A33" s="42"/>
      <c r="B33" s="42"/>
      <c r="C33" s="42"/>
      <c r="D33" s="34" t="s">
        <v>85</v>
      </c>
      <c r="E33" s="42"/>
      <c r="F33" s="35">
        <v>17.867999999999999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43" x14ac:dyDescent="0.2">
      <c r="A34" s="42"/>
      <c r="B34" s="42"/>
      <c r="C34" s="42"/>
      <c r="D34" s="34" t="s">
        <v>86</v>
      </c>
      <c r="E34" s="42"/>
      <c r="F34" s="35">
        <v>4.5022000000000002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43" x14ac:dyDescent="0.2">
      <c r="A35" s="31" t="s">
        <v>87</v>
      </c>
      <c r="B35" s="31"/>
      <c r="C35" s="31" t="s">
        <v>88</v>
      </c>
      <c r="D35" s="31" t="s">
        <v>89</v>
      </c>
      <c r="E35" s="31" t="s">
        <v>52</v>
      </c>
      <c r="F35" s="32">
        <v>813.47424999999998</v>
      </c>
      <c r="G35" s="32">
        <v>0</v>
      </c>
      <c r="H35" s="32">
        <f>F35*AE35</f>
        <v>0</v>
      </c>
      <c r="I35" s="32">
        <f>J35-H35</f>
        <v>0</v>
      </c>
      <c r="J35" s="32">
        <f>F35*G35</f>
        <v>0</v>
      </c>
      <c r="K35" s="32">
        <v>1.3650000000000001E-2</v>
      </c>
      <c r="L35" s="32">
        <f>F35*K35</f>
        <v>11.1039235125</v>
      </c>
      <c r="M35" s="33" t="s">
        <v>53</v>
      </c>
      <c r="N35" s="33" t="s">
        <v>49</v>
      </c>
      <c r="O35" s="32">
        <f>IF(N35="5",I35,0)</f>
        <v>0</v>
      </c>
      <c r="P35" s="42"/>
      <c r="Q35" s="42"/>
      <c r="R35" s="42"/>
      <c r="S35" s="42"/>
      <c r="T35" s="42"/>
      <c r="U35" s="42"/>
      <c r="V35" s="42"/>
      <c r="W35" s="42"/>
      <c r="X35" s="42"/>
      <c r="Z35" s="6">
        <f>IF(AD35=0,J35,0)</f>
        <v>0</v>
      </c>
      <c r="AA35" s="6">
        <f>IF(AD35=15,J35,0)</f>
        <v>0</v>
      </c>
      <c r="AB35" s="6">
        <f>IF(AD35=21,J35,0)</f>
        <v>0</v>
      </c>
      <c r="AD35" s="7">
        <v>21</v>
      </c>
      <c r="AE35" s="7">
        <f>G35*0.540896017699115</f>
        <v>0</v>
      </c>
      <c r="AF35" s="7">
        <f>G35*(1-0.540896017699115)</f>
        <v>0</v>
      </c>
      <c r="AM35" s="7">
        <f>F35*AE35</f>
        <v>0</v>
      </c>
      <c r="AN35" s="7">
        <f>F35*AF35</f>
        <v>0</v>
      </c>
      <c r="AO35" s="8" t="s">
        <v>68</v>
      </c>
      <c r="AP35" s="8" t="s">
        <v>69</v>
      </c>
      <c r="AQ35" s="4" t="s">
        <v>56</v>
      </c>
    </row>
    <row r="36" spans="1:43" x14ac:dyDescent="0.2">
      <c r="A36" s="42"/>
      <c r="B36" s="42"/>
      <c r="C36" s="42"/>
      <c r="D36" s="34" t="s">
        <v>90</v>
      </c>
      <c r="E36" s="42"/>
      <c r="F36" s="35">
        <v>203.73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43" x14ac:dyDescent="0.2">
      <c r="A37" s="42"/>
      <c r="B37" s="42"/>
      <c r="C37" s="42"/>
      <c r="D37" s="34" t="s">
        <v>91</v>
      </c>
      <c r="E37" s="42"/>
      <c r="F37" s="35">
        <v>52.29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43" x14ac:dyDescent="0.2">
      <c r="A38" s="42"/>
      <c r="B38" s="42"/>
      <c r="C38" s="42"/>
      <c r="D38" s="34" t="s">
        <v>92</v>
      </c>
      <c r="E38" s="42"/>
      <c r="F38" s="35">
        <v>84.72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43" x14ac:dyDescent="0.2">
      <c r="A39" s="42"/>
      <c r="B39" s="42"/>
      <c r="C39" s="42"/>
      <c r="D39" s="34" t="s">
        <v>93</v>
      </c>
      <c r="E39" s="42"/>
      <c r="F39" s="35">
        <v>72.36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43" x14ac:dyDescent="0.2">
      <c r="A40" s="42"/>
      <c r="B40" s="42"/>
      <c r="C40" s="42"/>
      <c r="D40" s="34" t="s">
        <v>94</v>
      </c>
      <c r="E40" s="42"/>
      <c r="F40" s="35">
        <v>88.784999999999997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43" x14ac:dyDescent="0.2">
      <c r="A41" s="42"/>
      <c r="B41" s="42"/>
      <c r="C41" s="42"/>
      <c r="D41" s="34" t="s">
        <v>95</v>
      </c>
      <c r="E41" s="42"/>
      <c r="F41" s="35">
        <v>54.52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43" x14ac:dyDescent="0.2">
      <c r="A42" s="42"/>
      <c r="B42" s="42"/>
      <c r="C42" s="42"/>
      <c r="D42" s="34" t="s">
        <v>96</v>
      </c>
      <c r="E42" s="42"/>
      <c r="F42" s="35">
        <v>52.65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43" x14ac:dyDescent="0.2">
      <c r="A43" s="42"/>
      <c r="B43" s="42"/>
      <c r="C43" s="42"/>
      <c r="D43" s="34" t="s">
        <v>97</v>
      </c>
      <c r="E43" s="42"/>
      <c r="F43" s="35">
        <v>165.68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43" x14ac:dyDescent="0.2">
      <c r="A44" s="42"/>
      <c r="B44" s="42"/>
      <c r="C44" s="42"/>
      <c r="D44" s="34" t="s">
        <v>98</v>
      </c>
      <c r="E44" s="42"/>
      <c r="F44" s="35">
        <v>38.739249999999998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43" x14ac:dyDescent="0.2">
      <c r="A45" s="31" t="s">
        <v>99</v>
      </c>
      <c r="B45" s="31"/>
      <c r="C45" s="31" t="s">
        <v>100</v>
      </c>
      <c r="D45" s="31" t="s">
        <v>101</v>
      </c>
      <c r="E45" s="31" t="s">
        <v>102</v>
      </c>
      <c r="F45" s="32">
        <v>10.5</v>
      </c>
      <c r="G45" s="32">
        <v>0</v>
      </c>
      <c r="H45" s="32">
        <f>F45*AE45</f>
        <v>0</v>
      </c>
      <c r="I45" s="32">
        <f>J45-H45</f>
        <v>0</v>
      </c>
      <c r="J45" s="32">
        <f>F45*G45</f>
        <v>0</v>
      </c>
      <c r="K45" s="32">
        <v>5.1000000000000004E-4</v>
      </c>
      <c r="L45" s="32">
        <f>F45*K45</f>
        <v>5.3550000000000004E-3</v>
      </c>
      <c r="M45" s="33" t="s">
        <v>53</v>
      </c>
      <c r="N45" s="33" t="s">
        <v>49</v>
      </c>
      <c r="O45" s="32">
        <f>IF(N45="5",I45,0)</f>
        <v>0</v>
      </c>
      <c r="P45" s="42"/>
      <c r="Q45" s="42"/>
      <c r="R45" s="42"/>
      <c r="S45" s="42"/>
      <c r="T45" s="42"/>
      <c r="U45" s="42"/>
      <c r="V45" s="42"/>
      <c r="W45" s="42"/>
      <c r="X45" s="42"/>
      <c r="Z45" s="6">
        <f>IF(AD45=0,J45,0)</f>
        <v>0</v>
      </c>
      <c r="AA45" s="6">
        <f>IF(AD45=15,J45,0)</f>
        <v>0</v>
      </c>
      <c r="AB45" s="6">
        <f>IF(AD45=21,J45,0)</f>
        <v>0</v>
      </c>
      <c r="AD45" s="7">
        <v>21</v>
      </c>
      <c r="AE45" s="7">
        <f>G45*0.759439252336449</f>
        <v>0</v>
      </c>
      <c r="AF45" s="7">
        <f>G45*(1-0.759439252336449)</f>
        <v>0</v>
      </c>
      <c r="AM45" s="7">
        <f>F45*AE45</f>
        <v>0</v>
      </c>
      <c r="AN45" s="7">
        <f>F45*AF45</f>
        <v>0</v>
      </c>
      <c r="AO45" s="8" t="s">
        <v>68</v>
      </c>
      <c r="AP45" s="8" t="s">
        <v>69</v>
      </c>
      <c r="AQ45" s="4" t="s">
        <v>56</v>
      </c>
    </row>
    <row r="46" spans="1:43" x14ac:dyDescent="0.2">
      <c r="A46" s="42"/>
      <c r="B46" s="42"/>
      <c r="C46" s="42"/>
      <c r="D46" s="34" t="s">
        <v>103</v>
      </c>
      <c r="E46" s="42"/>
      <c r="F46" s="35">
        <v>10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1:43" x14ac:dyDescent="0.2">
      <c r="A47" s="42"/>
      <c r="B47" s="42"/>
      <c r="C47" s="42"/>
      <c r="D47" s="34" t="s">
        <v>104</v>
      </c>
      <c r="E47" s="42"/>
      <c r="F47" s="35">
        <v>0.5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43" x14ac:dyDescent="0.2">
      <c r="A48" s="31" t="s">
        <v>105</v>
      </c>
      <c r="B48" s="31"/>
      <c r="C48" s="31" t="s">
        <v>106</v>
      </c>
      <c r="D48" s="31" t="s">
        <v>107</v>
      </c>
      <c r="E48" s="31" t="s">
        <v>52</v>
      </c>
      <c r="F48" s="32">
        <v>112.43925</v>
      </c>
      <c r="G48" s="32">
        <v>0</v>
      </c>
      <c r="H48" s="32">
        <f>F48*AE48</f>
        <v>0</v>
      </c>
      <c r="I48" s="32">
        <f>J48-H48</f>
        <v>0</v>
      </c>
      <c r="J48" s="32">
        <f>F48*G48</f>
        <v>0</v>
      </c>
      <c r="K48" s="32">
        <v>1.225E-2</v>
      </c>
      <c r="L48" s="32">
        <f>F48*K48</f>
        <v>1.3773808125</v>
      </c>
      <c r="M48" s="33" t="s">
        <v>53</v>
      </c>
      <c r="N48" s="33" t="s">
        <v>49</v>
      </c>
      <c r="O48" s="32">
        <f>IF(N48="5",I48,0)</f>
        <v>0</v>
      </c>
      <c r="P48" s="42"/>
      <c r="Q48" s="42"/>
      <c r="R48" s="42"/>
      <c r="S48" s="42"/>
      <c r="T48" s="42"/>
      <c r="U48" s="42"/>
      <c r="V48" s="42"/>
      <c r="W48" s="42"/>
      <c r="X48" s="42"/>
      <c r="Z48" s="6">
        <f>IF(AD48=0,J48,0)</f>
        <v>0</v>
      </c>
      <c r="AA48" s="6">
        <f>IF(AD48=15,J48,0)</f>
        <v>0</v>
      </c>
      <c r="AB48" s="6">
        <f>IF(AD48=21,J48,0)</f>
        <v>0</v>
      </c>
      <c r="AD48" s="7">
        <v>21</v>
      </c>
      <c r="AE48" s="7">
        <f>G48*0.478605527638191</f>
        <v>0</v>
      </c>
      <c r="AF48" s="7">
        <f>G48*(1-0.478605527638191)</f>
        <v>0</v>
      </c>
      <c r="AM48" s="7">
        <f>F48*AE48</f>
        <v>0</v>
      </c>
      <c r="AN48" s="7">
        <f>F48*AF48</f>
        <v>0</v>
      </c>
      <c r="AO48" s="8" t="s">
        <v>68</v>
      </c>
      <c r="AP48" s="8" t="s">
        <v>69</v>
      </c>
      <c r="AQ48" s="4" t="s">
        <v>56</v>
      </c>
    </row>
    <row r="49" spans="1:43" x14ac:dyDescent="0.2">
      <c r="A49" s="42"/>
      <c r="B49" s="42"/>
      <c r="C49" s="42"/>
      <c r="D49" s="34" t="s">
        <v>108</v>
      </c>
      <c r="E49" s="42"/>
      <c r="F49" s="35">
        <v>37.847250000000003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1:43" x14ac:dyDescent="0.2">
      <c r="A50" s="42"/>
      <c r="B50" s="42"/>
      <c r="C50" s="42"/>
      <c r="D50" s="34" t="s">
        <v>109</v>
      </c>
      <c r="E50" s="42"/>
      <c r="F50" s="35">
        <v>74.591999999999999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</row>
    <row r="51" spans="1:43" x14ac:dyDescent="0.2">
      <c r="A51" s="31" t="s">
        <v>110</v>
      </c>
      <c r="B51" s="31"/>
      <c r="C51" s="31" t="s">
        <v>111</v>
      </c>
      <c r="D51" s="31" t="s">
        <v>112</v>
      </c>
      <c r="E51" s="31" t="s">
        <v>52</v>
      </c>
      <c r="F51" s="32">
        <v>38.304000000000002</v>
      </c>
      <c r="G51" s="32">
        <v>0</v>
      </c>
      <c r="H51" s="32">
        <f>F51*AE51</f>
        <v>0</v>
      </c>
      <c r="I51" s="32">
        <f>J51-H51</f>
        <v>0</v>
      </c>
      <c r="J51" s="32">
        <f>F51*G51</f>
        <v>0</v>
      </c>
      <c r="K51" s="32">
        <v>1.38E-2</v>
      </c>
      <c r="L51" s="32">
        <f>F51*K51</f>
        <v>0.52859520000000004</v>
      </c>
      <c r="M51" s="33" t="s">
        <v>53</v>
      </c>
      <c r="N51" s="33" t="s">
        <v>49</v>
      </c>
      <c r="O51" s="32">
        <f>IF(N51="5",I51,0)</f>
        <v>0</v>
      </c>
      <c r="P51" s="42"/>
      <c r="Q51" s="42"/>
      <c r="R51" s="42"/>
      <c r="S51" s="42"/>
      <c r="T51" s="42"/>
      <c r="U51" s="42"/>
      <c r="V51" s="42"/>
      <c r="W51" s="42"/>
      <c r="X51" s="42"/>
      <c r="Z51" s="6">
        <f>IF(AD51=0,J51,0)</f>
        <v>0</v>
      </c>
      <c r="AA51" s="6">
        <f>IF(AD51=15,J51,0)</f>
        <v>0</v>
      </c>
      <c r="AB51" s="6">
        <f>IF(AD51=21,J51,0)</f>
        <v>0</v>
      </c>
      <c r="AD51" s="7">
        <v>21</v>
      </c>
      <c r="AE51" s="7">
        <f>G51*0.442895533398516</f>
        <v>0</v>
      </c>
      <c r="AF51" s="7">
        <f>G51*(1-0.442895533398516)</f>
        <v>0</v>
      </c>
      <c r="AM51" s="7">
        <f>F51*AE51</f>
        <v>0</v>
      </c>
      <c r="AN51" s="7">
        <f>F51*AF51</f>
        <v>0</v>
      </c>
      <c r="AO51" s="8" t="s">
        <v>68</v>
      </c>
      <c r="AP51" s="8" t="s">
        <v>69</v>
      </c>
      <c r="AQ51" s="4" t="s">
        <v>56</v>
      </c>
    </row>
    <row r="52" spans="1:43" x14ac:dyDescent="0.2">
      <c r="A52" s="42"/>
      <c r="B52" s="42"/>
      <c r="C52" s="42"/>
      <c r="D52" s="34" t="s">
        <v>113</v>
      </c>
      <c r="E52" s="42"/>
      <c r="F52" s="35">
        <v>36.479999999999997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1:43" x14ac:dyDescent="0.2">
      <c r="A53" s="42"/>
      <c r="B53" s="42"/>
      <c r="C53" s="42"/>
      <c r="D53" s="34" t="s">
        <v>114</v>
      </c>
      <c r="E53" s="42"/>
      <c r="F53" s="35">
        <v>1.8240000000000001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43" x14ac:dyDescent="0.2">
      <c r="A54" s="31" t="s">
        <v>115</v>
      </c>
      <c r="B54" s="31"/>
      <c r="C54" s="31" t="s">
        <v>116</v>
      </c>
      <c r="D54" s="31" t="s">
        <v>117</v>
      </c>
      <c r="E54" s="31" t="s">
        <v>52</v>
      </c>
      <c r="F54" s="32">
        <v>274.20999999999998</v>
      </c>
      <c r="G54" s="32">
        <v>0</v>
      </c>
      <c r="H54" s="32">
        <f>F54*AE54</f>
        <v>0</v>
      </c>
      <c r="I54" s="32">
        <f>J54-H54</f>
        <v>0</v>
      </c>
      <c r="J54" s="32">
        <f>F54*G54</f>
        <v>0</v>
      </c>
      <c r="K54" s="32">
        <v>4.0000000000000003E-5</v>
      </c>
      <c r="L54" s="32">
        <f>F54*K54</f>
        <v>1.09684E-2</v>
      </c>
      <c r="M54" s="33" t="s">
        <v>53</v>
      </c>
      <c r="N54" s="33" t="s">
        <v>49</v>
      </c>
      <c r="O54" s="32">
        <f>IF(N54="5",I54,0)</f>
        <v>0</v>
      </c>
      <c r="P54" s="42"/>
      <c r="Q54" s="42"/>
      <c r="R54" s="42"/>
      <c r="S54" s="42"/>
      <c r="T54" s="42"/>
      <c r="U54" s="42"/>
      <c r="V54" s="42"/>
      <c r="W54" s="42"/>
      <c r="X54" s="42"/>
      <c r="Z54" s="6">
        <f>IF(AD54=0,J54,0)</f>
        <v>0</v>
      </c>
      <c r="AA54" s="6">
        <f>IF(AD54=15,J54,0)</f>
        <v>0</v>
      </c>
      <c r="AB54" s="6">
        <f>IF(AD54=21,J54,0)</f>
        <v>0</v>
      </c>
      <c r="AD54" s="7">
        <v>21</v>
      </c>
      <c r="AE54" s="7">
        <f>G54*0.386834733893557</f>
        <v>0</v>
      </c>
      <c r="AF54" s="7">
        <f>G54*(1-0.386834733893557)</f>
        <v>0</v>
      </c>
      <c r="AM54" s="7">
        <f>F54*AE54</f>
        <v>0</v>
      </c>
      <c r="AN54" s="7">
        <f>F54*AF54</f>
        <v>0</v>
      </c>
      <c r="AO54" s="8" t="s">
        <v>68</v>
      </c>
      <c r="AP54" s="8" t="s">
        <v>69</v>
      </c>
      <c r="AQ54" s="4" t="s">
        <v>56</v>
      </c>
    </row>
    <row r="55" spans="1:43" x14ac:dyDescent="0.2">
      <c r="A55" s="42"/>
      <c r="B55" s="42"/>
      <c r="C55" s="42"/>
      <c r="D55" s="34" t="s">
        <v>118</v>
      </c>
      <c r="E55" s="42"/>
      <c r="F55" s="35">
        <v>35.28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1:43" x14ac:dyDescent="0.2">
      <c r="A56" s="42"/>
      <c r="B56" s="42"/>
      <c r="C56" s="42"/>
      <c r="D56" s="34" t="s">
        <v>119</v>
      </c>
      <c r="E56" s="42"/>
      <c r="F56" s="35">
        <v>115.71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43" x14ac:dyDescent="0.2">
      <c r="A57" s="42"/>
      <c r="B57" s="42"/>
      <c r="C57" s="42"/>
      <c r="D57" s="34" t="s">
        <v>120</v>
      </c>
      <c r="E57" s="42"/>
      <c r="F57" s="35">
        <v>87.94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43" x14ac:dyDescent="0.2">
      <c r="A58" s="42"/>
      <c r="B58" s="42"/>
      <c r="C58" s="42"/>
      <c r="D58" s="34" t="s">
        <v>121</v>
      </c>
      <c r="E58" s="42"/>
      <c r="F58" s="35">
        <v>25.2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43" x14ac:dyDescent="0.2">
      <c r="A59" s="42"/>
      <c r="B59" s="42"/>
      <c r="C59" s="42"/>
      <c r="D59" s="34" t="s">
        <v>122</v>
      </c>
      <c r="E59" s="42"/>
      <c r="F59" s="35">
        <v>10.08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43" x14ac:dyDescent="0.2">
      <c r="A60" s="31" t="s">
        <v>123</v>
      </c>
      <c r="B60" s="31"/>
      <c r="C60" s="31" t="s">
        <v>124</v>
      </c>
      <c r="D60" s="31" t="s">
        <v>125</v>
      </c>
      <c r="E60" s="31" t="s">
        <v>102</v>
      </c>
      <c r="F60" s="32">
        <v>126.1575</v>
      </c>
      <c r="G60" s="32">
        <v>0</v>
      </c>
      <c r="H60" s="32">
        <f>F60*AE60</f>
        <v>0</v>
      </c>
      <c r="I60" s="32">
        <f>J60-H60</f>
        <v>0</v>
      </c>
      <c r="J60" s="32">
        <f>F60*G60</f>
        <v>0</v>
      </c>
      <c r="K60" s="32">
        <v>2.0000000000000002E-5</v>
      </c>
      <c r="L60" s="32">
        <f>F60*K60</f>
        <v>2.52315E-3</v>
      </c>
      <c r="M60" s="33"/>
      <c r="N60" s="33" t="s">
        <v>49</v>
      </c>
      <c r="O60" s="32">
        <f>IF(N60="5",I60,0)</f>
        <v>0</v>
      </c>
      <c r="P60" s="42"/>
      <c r="Q60" s="42"/>
      <c r="R60" s="42"/>
      <c r="S60" s="42"/>
      <c r="T60" s="42"/>
      <c r="U60" s="42"/>
      <c r="V60" s="42"/>
      <c r="W60" s="42"/>
      <c r="X60" s="42"/>
      <c r="Z60" s="6">
        <f>IF(AD60=0,J60,0)</f>
        <v>0</v>
      </c>
      <c r="AA60" s="6">
        <f>IF(AD60=15,J60,0)</f>
        <v>0</v>
      </c>
      <c r="AB60" s="6">
        <f>IF(AD60=21,J60,0)</f>
        <v>0</v>
      </c>
      <c r="AD60" s="7">
        <v>21</v>
      </c>
      <c r="AE60" s="7">
        <f>G60*0.406936690818387</f>
        <v>0</v>
      </c>
      <c r="AF60" s="7">
        <f>G60*(1-0.406936690818387)</f>
        <v>0</v>
      </c>
      <c r="AM60" s="7">
        <f>F60*AE60</f>
        <v>0</v>
      </c>
      <c r="AN60" s="7">
        <f>F60*AF60</f>
        <v>0</v>
      </c>
      <c r="AO60" s="8" t="s">
        <v>68</v>
      </c>
      <c r="AP60" s="8" t="s">
        <v>69</v>
      </c>
      <c r="AQ60" s="4" t="s">
        <v>56</v>
      </c>
    </row>
    <row r="61" spans="1:43" x14ac:dyDescent="0.2">
      <c r="A61" s="42"/>
      <c r="B61" s="42"/>
      <c r="C61" s="42"/>
      <c r="D61" s="34" t="s">
        <v>126</v>
      </c>
      <c r="E61" s="42"/>
      <c r="F61" s="35">
        <v>16.8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43" x14ac:dyDescent="0.2">
      <c r="A62" s="42"/>
      <c r="B62" s="42"/>
      <c r="C62" s="42"/>
      <c r="D62" s="34" t="s">
        <v>127</v>
      </c>
      <c r="E62" s="42"/>
      <c r="F62" s="35">
        <v>41.7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43" x14ac:dyDescent="0.2">
      <c r="A63" s="42"/>
      <c r="B63" s="42"/>
      <c r="C63" s="42"/>
      <c r="D63" s="34" t="s">
        <v>128</v>
      </c>
      <c r="E63" s="42"/>
      <c r="F63" s="35">
        <v>44.85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43" x14ac:dyDescent="0.2">
      <c r="A64" s="42"/>
      <c r="B64" s="42"/>
      <c r="C64" s="42"/>
      <c r="D64" s="34" t="s">
        <v>129</v>
      </c>
      <c r="E64" s="42"/>
      <c r="F64" s="35">
        <v>12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43" x14ac:dyDescent="0.2">
      <c r="A65" s="42"/>
      <c r="B65" s="42"/>
      <c r="C65" s="42"/>
      <c r="D65" s="34" t="s">
        <v>130</v>
      </c>
      <c r="E65" s="42"/>
      <c r="F65" s="35">
        <v>4.8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1:43" x14ac:dyDescent="0.2">
      <c r="A66" s="42"/>
      <c r="B66" s="42"/>
      <c r="C66" s="42"/>
      <c r="D66" s="34" t="s">
        <v>131</v>
      </c>
      <c r="E66" s="42"/>
      <c r="F66" s="35">
        <v>6.0075000000000003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:43" x14ac:dyDescent="0.2">
      <c r="A67" s="31" t="s">
        <v>132</v>
      </c>
      <c r="B67" s="31"/>
      <c r="C67" s="31" t="s">
        <v>133</v>
      </c>
      <c r="D67" s="31" t="s">
        <v>134</v>
      </c>
      <c r="E67" s="31" t="s">
        <v>102</v>
      </c>
      <c r="F67" s="32">
        <v>248.64</v>
      </c>
      <c r="G67" s="32">
        <v>0</v>
      </c>
      <c r="H67" s="32">
        <f>F67*AE67</f>
        <v>0</v>
      </c>
      <c r="I67" s="32">
        <f>J67-H67</f>
        <v>0</v>
      </c>
      <c r="J67" s="32">
        <f>F67*G67</f>
        <v>0</v>
      </c>
      <c r="K67" s="32">
        <v>0</v>
      </c>
      <c r="L67" s="32">
        <f>F67*K67</f>
        <v>0</v>
      </c>
      <c r="M67" s="33" t="s">
        <v>53</v>
      </c>
      <c r="N67" s="33" t="s">
        <v>49</v>
      </c>
      <c r="O67" s="32">
        <f>IF(N67="5",I67,0)</f>
        <v>0</v>
      </c>
      <c r="P67" s="42"/>
      <c r="Q67" s="42"/>
      <c r="R67" s="42"/>
      <c r="S67" s="42"/>
      <c r="T67" s="42"/>
      <c r="U67" s="42"/>
      <c r="V67" s="42"/>
      <c r="W67" s="42"/>
      <c r="X67" s="42"/>
      <c r="Z67" s="6">
        <f>IF(AD67=0,J67,0)</f>
        <v>0</v>
      </c>
      <c r="AA67" s="6">
        <f>IF(AD67=15,J67,0)</f>
        <v>0</v>
      </c>
      <c r="AB67" s="6">
        <f>IF(AD67=21,J67,0)</f>
        <v>0</v>
      </c>
      <c r="AD67" s="7">
        <v>21</v>
      </c>
      <c r="AE67" s="7">
        <f>G67*0.666576271186441</f>
        <v>0</v>
      </c>
      <c r="AF67" s="7">
        <f>G67*(1-0.666576271186441)</f>
        <v>0</v>
      </c>
      <c r="AM67" s="7">
        <f>F67*AE67</f>
        <v>0</v>
      </c>
      <c r="AN67" s="7">
        <f>F67*AF67</f>
        <v>0</v>
      </c>
      <c r="AO67" s="8" t="s">
        <v>68</v>
      </c>
      <c r="AP67" s="8" t="s">
        <v>69</v>
      </c>
      <c r="AQ67" s="4" t="s">
        <v>56</v>
      </c>
    </row>
    <row r="68" spans="1:43" x14ac:dyDescent="0.2">
      <c r="A68" s="42"/>
      <c r="B68" s="42"/>
      <c r="C68" s="42"/>
      <c r="D68" s="34" t="s">
        <v>135</v>
      </c>
      <c r="E68" s="42"/>
      <c r="F68" s="35">
        <v>28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43" x14ac:dyDescent="0.2">
      <c r="A69" s="42"/>
      <c r="B69" s="42"/>
      <c r="C69" s="42"/>
      <c r="D69" s="34" t="s">
        <v>136</v>
      </c>
      <c r="E69" s="42"/>
      <c r="F69" s="35">
        <v>70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1:43" x14ac:dyDescent="0.2">
      <c r="A70" s="42"/>
      <c r="B70" s="42"/>
      <c r="C70" s="42"/>
      <c r="D70" s="34" t="s">
        <v>137</v>
      </c>
      <c r="E70" s="42"/>
      <c r="F70" s="35">
        <v>84.2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1:43" x14ac:dyDescent="0.2">
      <c r="A71" s="42"/>
      <c r="B71" s="42"/>
      <c r="C71" s="42"/>
      <c r="D71" s="34" t="s">
        <v>138</v>
      </c>
      <c r="E71" s="42"/>
      <c r="F71" s="35">
        <v>37.799999999999997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43" x14ac:dyDescent="0.2">
      <c r="A72" s="42"/>
      <c r="B72" s="42"/>
      <c r="C72" s="42"/>
      <c r="D72" s="34" t="s">
        <v>139</v>
      </c>
      <c r="E72" s="42"/>
      <c r="F72" s="35">
        <v>16.8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:43" x14ac:dyDescent="0.2">
      <c r="A73" s="42"/>
      <c r="B73" s="42"/>
      <c r="C73" s="42"/>
      <c r="D73" s="34" t="s">
        <v>140</v>
      </c>
      <c r="E73" s="42"/>
      <c r="F73" s="35">
        <v>11.84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1:43" x14ac:dyDescent="0.2">
      <c r="A74" s="31" t="s">
        <v>141</v>
      </c>
      <c r="B74" s="31"/>
      <c r="C74" s="31" t="s">
        <v>142</v>
      </c>
      <c r="D74" s="31" t="s">
        <v>143</v>
      </c>
      <c r="E74" s="31" t="s">
        <v>102</v>
      </c>
      <c r="F74" s="32">
        <v>374.79750000000001</v>
      </c>
      <c r="G74" s="32">
        <v>0</v>
      </c>
      <c r="H74" s="32">
        <f>F74*AE74</f>
        <v>0</v>
      </c>
      <c r="I74" s="32">
        <f>J74-H74</f>
        <v>0</v>
      </c>
      <c r="J74" s="32">
        <f>F74*G74</f>
        <v>0</v>
      </c>
      <c r="K74" s="32">
        <v>0</v>
      </c>
      <c r="L74" s="32">
        <f>F74*K74</f>
        <v>0</v>
      </c>
      <c r="M74" s="33"/>
      <c r="N74" s="33" t="s">
        <v>49</v>
      </c>
      <c r="O74" s="32">
        <f>IF(N74="5",I74,0)</f>
        <v>0</v>
      </c>
      <c r="P74" s="42"/>
      <c r="Q74" s="42"/>
      <c r="R74" s="42"/>
      <c r="S74" s="42"/>
      <c r="T74" s="42"/>
      <c r="U74" s="42"/>
      <c r="V74" s="42"/>
      <c r="W74" s="42"/>
      <c r="X74" s="42"/>
      <c r="Z74" s="6">
        <f>IF(AD74=0,J74,0)</f>
        <v>0</v>
      </c>
      <c r="AA74" s="6">
        <f>IF(AD74=15,J74,0)</f>
        <v>0</v>
      </c>
      <c r="AB74" s="6">
        <f>IF(AD74=21,J74,0)</f>
        <v>0</v>
      </c>
      <c r="AD74" s="7">
        <v>21</v>
      </c>
      <c r="AE74" s="7">
        <f>G74*0.584412007711374</f>
        <v>0</v>
      </c>
      <c r="AF74" s="7">
        <f>G74*(1-0.584412007711374)</f>
        <v>0</v>
      </c>
      <c r="AM74" s="7">
        <f>F74*AE74</f>
        <v>0</v>
      </c>
      <c r="AN74" s="7">
        <f>F74*AF74</f>
        <v>0</v>
      </c>
      <c r="AO74" s="8" t="s">
        <v>68</v>
      </c>
      <c r="AP74" s="8" t="s">
        <v>69</v>
      </c>
      <c r="AQ74" s="4" t="s">
        <v>56</v>
      </c>
    </row>
    <row r="75" spans="1:43" x14ac:dyDescent="0.2">
      <c r="A75" s="42"/>
      <c r="B75" s="42"/>
      <c r="C75" s="42"/>
      <c r="D75" s="34" t="s">
        <v>144</v>
      </c>
      <c r="E75" s="42"/>
      <c r="F75" s="35">
        <v>126.1575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1:43" x14ac:dyDescent="0.2">
      <c r="A76" s="42"/>
      <c r="B76" s="42"/>
      <c r="C76" s="42"/>
      <c r="D76" s="34" t="s">
        <v>145</v>
      </c>
      <c r="E76" s="42"/>
      <c r="F76" s="35">
        <v>248.64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43" x14ac:dyDescent="0.2">
      <c r="A77" s="31" t="s">
        <v>146</v>
      </c>
      <c r="B77" s="31"/>
      <c r="C77" s="31" t="s">
        <v>147</v>
      </c>
      <c r="D77" s="31" t="s">
        <v>148</v>
      </c>
      <c r="E77" s="31" t="s">
        <v>102</v>
      </c>
      <c r="F77" s="32">
        <v>127.68</v>
      </c>
      <c r="G77" s="32">
        <v>0</v>
      </c>
      <c r="H77" s="32">
        <f>F77*AE77</f>
        <v>0</v>
      </c>
      <c r="I77" s="32">
        <f>J77-H77</f>
        <v>0</v>
      </c>
      <c r="J77" s="32">
        <f>F77*G77</f>
        <v>0</v>
      </c>
      <c r="K77" s="32">
        <v>0</v>
      </c>
      <c r="L77" s="32">
        <f>F77*K77</f>
        <v>0</v>
      </c>
      <c r="M77" s="33" t="s">
        <v>53</v>
      </c>
      <c r="N77" s="33" t="s">
        <v>49</v>
      </c>
      <c r="O77" s="32">
        <f>IF(N77="5",I77,0)</f>
        <v>0</v>
      </c>
      <c r="P77" s="42"/>
      <c r="Q77" s="42"/>
      <c r="R77" s="42"/>
      <c r="S77" s="42"/>
      <c r="T77" s="42"/>
      <c r="U77" s="42"/>
      <c r="V77" s="42"/>
      <c r="W77" s="42"/>
      <c r="X77" s="42"/>
      <c r="Z77" s="6">
        <f>IF(AD77=0,J77,0)</f>
        <v>0</v>
      </c>
      <c r="AA77" s="6">
        <f>IF(AD77=15,J77,0)</f>
        <v>0</v>
      </c>
      <c r="AB77" s="6">
        <f>IF(AD77=21,J77,0)</f>
        <v>0</v>
      </c>
      <c r="AD77" s="7">
        <v>21</v>
      </c>
      <c r="AE77" s="7">
        <f>G77*0.542511627906977</f>
        <v>0</v>
      </c>
      <c r="AF77" s="7">
        <f>G77*(1-0.542511627906977)</f>
        <v>0</v>
      </c>
      <c r="AM77" s="7">
        <f>F77*AE77</f>
        <v>0</v>
      </c>
      <c r="AN77" s="7">
        <f>F77*AF77</f>
        <v>0</v>
      </c>
      <c r="AO77" s="8" t="s">
        <v>68</v>
      </c>
      <c r="AP77" s="8" t="s">
        <v>69</v>
      </c>
      <c r="AQ77" s="4" t="s">
        <v>56</v>
      </c>
    </row>
    <row r="78" spans="1:43" x14ac:dyDescent="0.2">
      <c r="A78" s="42"/>
      <c r="B78" s="42"/>
      <c r="C78" s="42"/>
      <c r="D78" s="34" t="s">
        <v>149</v>
      </c>
      <c r="E78" s="42"/>
      <c r="F78" s="35">
        <v>121.6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43" x14ac:dyDescent="0.2">
      <c r="A79" s="42"/>
      <c r="B79" s="42"/>
      <c r="C79" s="42"/>
      <c r="D79" s="34" t="s">
        <v>150</v>
      </c>
      <c r="E79" s="42"/>
      <c r="F79" s="35">
        <v>6.08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43" x14ac:dyDescent="0.2">
      <c r="A80" s="31" t="s">
        <v>151</v>
      </c>
      <c r="B80" s="31"/>
      <c r="C80" s="31" t="s">
        <v>152</v>
      </c>
      <c r="D80" s="31" t="s">
        <v>153</v>
      </c>
      <c r="E80" s="31" t="s">
        <v>102</v>
      </c>
      <c r="F80" s="32">
        <v>157.48949999999999</v>
      </c>
      <c r="G80" s="32">
        <v>0</v>
      </c>
      <c r="H80" s="32">
        <f>F80*AE80</f>
        <v>0</v>
      </c>
      <c r="I80" s="32">
        <f>J80-H80</f>
        <v>0</v>
      </c>
      <c r="J80" s="32">
        <f>F80*G80</f>
        <v>0</v>
      </c>
      <c r="K80" s="32">
        <v>2.7999999999999998E-4</v>
      </c>
      <c r="L80" s="32">
        <f>F80*K80</f>
        <v>4.4097059999999993E-2</v>
      </c>
      <c r="M80" s="33" t="s">
        <v>53</v>
      </c>
      <c r="N80" s="33" t="s">
        <v>49</v>
      </c>
      <c r="O80" s="32">
        <f>IF(N80="5",I80,0)</f>
        <v>0</v>
      </c>
      <c r="P80" s="42"/>
      <c r="Q80" s="42"/>
      <c r="R80" s="42"/>
      <c r="S80" s="42"/>
      <c r="T80" s="42"/>
      <c r="U80" s="42"/>
      <c r="V80" s="42"/>
      <c r="W80" s="42"/>
      <c r="X80" s="42"/>
      <c r="Z80" s="6">
        <f>IF(AD80=0,J80,0)</f>
        <v>0</v>
      </c>
      <c r="AA80" s="6">
        <f>IF(AD80=15,J80,0)</f>
        <v>0</v>
      </c>
      <c r="AB80" s="6">
        <f>IF(AD80=21,J80,0)</f>
        <v>0</v>
      </c>
      <c r="AD80" s="7">
        <v>21</v>
      </c>
      <c r="AE80" s="7">
        <f>G80*0.59812865497076</f>
        <v>0</v>
      </c>
      <c r="AF80" s="7">
        <f>G80*(1-0.59812865497076)</f>
        <v>0</v>
      </c>
      <c r="AM80" s="7">
        <f>F80*AE80</f>
        <v>0</v>
      </c>
      <c r="AN80" s="7">
        <f>F80*AF80</f>
        <v>0</v>
      </c>
      <c r="AO80" s="8" t="s">
        <v>68</v>
      </c>
      <c r="AP80" s="8" t="s">
        <v>69</v>
      </c>
      <c r="AQ80" s="4" t="s">
        <v>56</v>
      </c>
    </row>
    <row r="81" spans="1:43" x14ac:dyDescent="0.2">
      <c r="A81" s="42"/>
      <c r="B81" s="42"/>
      <c r="C81" s="42"/>
      <c r="D81" s="34" t="s">
        <v>154</v>
      </c>
      <c r="E81" s="42"/>
      <c r="F81" s="35">
        <v>32.340000000000003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1:43" x14ac:dyDescent="0.2">
      <c r="A82" s="42"/>
      <c r="B82" s="42"/>
      <c r="C82" s="42"/>
      <c r="D82" s="34" t="s">
        <v>155</v>
      </c>
      <c r="E82" s="42"/>
      <c r="F82" s="35">
        <v>14.98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1:43" x14ac:dyDescent="0.2">
      <c r="A83" s="42"/>
      <c r="B83" s="42"/>
      <c r="C83" s="42"/>
      <c r="D83" s="34" t="s">
        <v>156</v>
      </c>
      <c r="E83" s="42"/>
      <c r="F83" s="35">
        <v>15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1:43" x14ac:dyDescent="0.2">
      <c r="A84" s="42"/>
      <c r="B84" s="42"/>
      <c r="C84" s="42"/>
      <c r="D84" s="34" t="s">
        <v>157</v>
      </c>
      <c r="E84" s="42"/>
      <c r="F84" s="35">
        <v>5.3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:43" x14ac:dyDescent="0.2">
      <c r="A85" s="42"/>
      <c r="B85" s="42"/>
      <c r="C85" s="42"/>
      <c r="D85" s="34" t="s">
        <v>158</v>
      </c>
      <c r="E85" s="42"/>
      <c r="F85" s="35">
        <v>23.65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1:43" x14ac:dyDescent="0.2">
      <c r="A86" s="42"/>
      <c r="B86" s="42"/>
      <c r="C86" s="42"/>
      <c r="D86" s="34" t="s">
        <v>159</v>
      </c>
      <c r="E86" s="42"/>
      <c r="F86" s="35">
        <v>15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1:43" x14ac:dyDescent="0.2">
      <c r="A87" s="42"/>
      <c r="B87" s="42"/>
      <c r="C87" s="42"/>
      <c r="D87" s="34" t="s">
        <v>160</v>
      </c>
      <c r="E87" s="42"/>
      <c r="F87" s="35">
        <v>13.94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1:43" x14ac:dyDescent="0.2">
      <c r="A88" s="42"/>
      <c r="B88" s="42"/>
      <c r="C88" s="42"/>
      <c r="D88" s="34" t="s">
        <v>161</v>
      </c>
      <c r="E88" s="42"/>
      <c r="F88" s="35">
        <v>29.78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43" x14ac:dyDescent="0.2">
      <c r="A89" s="42"/>
      <c r="B89" s="42"/>
      <c r="C89" s="42"/>
      <c r="D89" s="34" t="s">
        <v>162</v>
      </c>
      <c r="E89" s="42"/>
      <c r="F89" s="35">
        <v>7.4995000000000003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1:43" x14ac:dyDescent="0.2">
      <c r="A90" s="31" t="s">
        <v>163</v>
      </c>
      <c r="B90" s="31"/>
      <c r="C90" s="31" t="s">
        <v>164</v>
      </c>
      <c r="D90" s="31" t="s">
        <v>165</v>
      </c>
      <c r="E90" s="31" t="s">
        <v>52</v>
      </c>
      <c r="F90" s="32">
        <v>907.97045000000003</v>
      </c>
      <c r="G90" s="32">
        <v>0</v>
      </c>
      <c r="H90" s="32">
        <f>F90*AE90</f>
        <v>0</v>
      </c>
      <c r="I90" s="32">
        <f>J90-H90</f>
        <v>0</v>
      </c>
      <c r="J90" s="32">
        <f>F90*G90</f>
        <v>0</v>
      </c>
      <c r="K90" s="32">
        <v>2.0000000000000002E-5</v>
      </c>
      <c r="L90" s="32">
        <f>F90*K90</f>
        <v>1.8159409000000001E-2</v>
      </c>
      <c r="M90" s="33" t="s">
        <v>53</v>
      </c>
      <c r="N90" s="33" t="s">
        <v>49</v>
      </c>
      <c r="O90" s="32">
        <f>IF(N90="5",I90,0)</f>
        <v>0</v>
      </c>
      <c r="P90" s="42"/>
      <c r="Q90" s="42"/>
      <c r="R90" s="42"/>
      <c r="S90" s="42"/>
      <c r="T90" s="42"/>
      <c r="U90" s="42"/>
      <c r="V90" s="42"/>
      <c r="W90" s="42"/>
      <c r="X90" s="42"/>
      <c r="Z90" s="6">
        <f>IF(AD90=0,J90,0)</f>
        <v>0</v>
      </c>
      <c r="AA90" s="6">
        <f>IF(AD90=15,J90,0)</f>
        <v>0</v>
      </c>
      <c r="AB90" s="6">
        <f>IF(AD90=21,J90,0)</f>
        <v>0</v>
      </c>
      <c r="AD90" s="7">
        <v>21</v>
      </c>
      <c r="AE90" s="7">
        <f>G90*0.0849964780464898</f>
        <v>0</v>
      </c>
      <c r="AF90" s="7">
        <f>G90*(1-0.0849964780464898)</f>
        <v>0</v>
      </c>
      <c r="AM90" s="7">
        <f>F90*AE90</f>
        <v>0</v>
      </c>
      <c r="AN90" s="7">
        <f>F90*AF90</f>
        <v>0</v>
      </c>
      <c r="AO90" s="8" t="s">
        <v>68</v>
      </c>
      <c r="AP90" s="8" t="s">
        <v>69</v>
      </c>
      <c r="AQ90" s="4" t="s">
        <v>56</v>
      </c>
    </row>
    <row r="91" spans="1:43" x14ac:dyDescent="0.2">
      <c r="A91" s="42"/>
      <c r="B91" s="42"/>
      <c r="C91" s="42"/>
      <c r="D91" s="34" t="s">
        <v>166</v>
      </c>
      <c r="E91" s="42"/>
      <c r="F91" s="35">
        <v>94.496200000000002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1:43" x14ac:dyDescent="0.2">
      <c r="A92" s="42"/>
      <c r="B92" s="42"/>
      <c r="C92" s="42"/>
      <c r="D92" s="34" t="s">
        <v>167</v>
      </c>
      <c r="E92" s="42"/>
      <c r="F92" s="35">
        <v>813.47424999999998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43" x14ac:dyDescent="0.2">
      <c r="A93" s="31" t="s">
        <v>168</v>
      </c>
      <c r="B93" s="31"/>
      <c r="C93" s="31" t="s">
        <v>169</v>
      </c>
      <c r="D93" s="31" t="s">
        <v>170</v>
      </c>
      <c r="E93" s="31" t="s">
        <v>52</v>
      </c>
      <c r="F93" s="32">
        <v>907.97</v>
      </c>
      <c r="G93" s="32">
        <v>0</v>
      </c>
      <c r="H93" s="32">
        <f>F93*AE93</f>
        <v>0</v>
      </c>
      <c r="I93" s="32">
        <f>J93-H93</f>
        <v>0</v>
      </c>
      <c r="J93" s="32">
        <f>F93*G93</f>
        <v>0</v>
      </c>
      <c r="K93" s="32">
        <v>2.001E-2</v>
      </c>
      <c r="L93" s="32">
        <f>F93*K93</f>
        <v>18.168479699999999</v>
      </c>
      <c r="M93" s="33" t="s">
        <v>53</v>
      </c>
      <c r="N93" s="33" t="s">
        <v>49</v>
      </c>
      <c r="O93" s="32">
        <f>IF(N93="5",I93,0)</f>
        <v>0</v>
      </c>
      <c r="P93" s="42"/>
      <c r="Q93" s="42"/>
      <c r="R93" s="42"/>
      <c r="S93" s="42"/>
      <c r="T93" s="42"/>
      <c r="U93" s="42"/>
      <c r="V93" s="42"/>
      <c r="W93" s="42"/>
      <c r="X93" s="42"/>
      <c r="Z93" s="6">
        <f>IF(AD93=0,J93,0)</f>
        <v>0</v>
      </c>
      <c r="AA93" s="6">
        <f>IF(AD93=15,J93,0)</f>
        <v>0</v>
      </c>
      <c r="AB93" s="6">
        <f>IF(AD93=21,J93,0)</f>
        <v>0</v>
      </c>
      <c r="AD93" s="7">
        <v>21</v>
      </c>
      <c r="AE93" s="7">
        <f>G93*0.295473251028807</f>
        <v>0</v>
      </c>
      <c r="AF93" s="7">
        <f>G93*(1-0.295473251028807)</f>
        <v>0</v>
      </c>
      <c r="AM93" s="7">
        <f>F93*AE93</f>
        <v>0</v>
      </c>
      <c r="AN93" s="7">
        <f>F93*AF93</f>
        <v>0</v>
      </c>
      <c r="AO93" s="8" t="s">
        <v>68</v>
      </c>
      <c r="AP93" s="8" t="s">
        <v>69</v>
      </c>
      <c r="AQ93" s="4" t="s">
        <v>56</v>
      </c>
    </row>
    <row r="94" spans="1:43" x14ac:dyDescent="0.2">
      <c r="A94" s="42"/>
      <c r="B94" s="42"/>
      <c r="C94" s="42"/>
      <c r="D94" s="34" t="s">
        <v>171</v>
      </c>
      <c r="E94" s="42"/>
      <c r="F94" s="35">
        <v>907.97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1:43" x14ac:dyDescent="0.2">
      <c r="A95" s="31" t="s">
        <v>172</v>
      </c>
      <c r="B95" s="31"/>
      <c r="C95" s="31" t="s">
        <v>173</v>
      </c>
      <c r="D95" s="31" t="s">
        <v>174</v>
      </c>
      <c r="E95" s="31" t="s">
        <v>52</v>
      </c>
      <c r="F95" s="32">
        <v>314.97899999999998</v>
      </c>
      <c r="G95" s="32">
        <v>0</v>
      </c>
      <c r="H95" s="32">
        <f>F95*AE95</f>
        <v>0</v>
      </c>
      <c r="I95" s="32">
        <f>J95-H95</f>
        <v>0</v>
      </c>
      <c r="J95" s="32">
        <f>F95*G95</f>
        <v>0</v>
      </c>
      <c r="K95" s="32">
        <v>4.8999999999999998E-4</v>
      </c>
      <c r="L95" s="32">
        <f>F95*K95</f>
        <v>0.15433970999999999</v>
      </c>
      <c r="M95" s="33" t="s">
        <v>53</v>
      </c>
      <c r="N95" s="33" t="s">
        <v>49</v>
      </c>
      <c r="O95" s="32">
        <f>IF(N95="5",I95,0)</f>
        <v>0</v>
      </c>
      <c r="P95" s="42"/>
      <c r="Q95" s="42"/>
      <c r="R95" s="42"/>
      <c r="S95" s="42"/>
      <c r="T95" s="42"/>
      <c r="U95" s="42"/>
      <c r="V95" s="42"/>
      <c r="W95" s="42"/>
      <c r="X95" s="42"/>
      <c r="Z95" s="6">
        <f>IF(AD95=0,J95,0)</f>
        <v>0</v>
      </c>
      <c r="AA95" s="6">
        <f>IF(AD95=15,J95,0)</f>
        <v>0</v>
      </c>
      <c r="AB95" s="6">
        <f>IF(AD95=21,J95,0)</f>
        <v>0</v>
      </c>
      <c r="AD95" s="7">
        <v>21</v>
      </c>
      <c r="AE95" s="7">
        <f>G95*0.282478632478632</f>
        <v>0</v>
      </c>
      <c r="AF95" s="7">
        <f>G95*(1-0.282478632478632)</f>
        <v>0</v>
      </c>
      <c r="AM95" s="7">
        <f>F95*AE95</f>
        <v>0</v>
      </c>
      <c r="AN95" s="7">
        <f>F95*AF95</f>
        <v>0</v>
      </c>
      <c r="AO95" s="8" t="s">
        <v>68</v>
      </c>
      <c r="AP95" s="8" t="s">
        <v>69</v>
      </c>
      <c r="AQ95" s="4" t="s">
        <v>56</v>
      </c>
    </row>
    <row r="96" spans="1:43" x14ac:dyDescent="0.2">
      <c r="A96" s="42"/>
      <c r="B96" s="42"/>
      <c r="C96" s="42"/>
      <c r="D96" s="34" t="s">
        <v>175</v>
      </c>
      <c r="E96" s="42"/>
      <c r="F96" s="35">
        <v>314.97899999999998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43" x14ac:dyDescent="0.2">
      <c r="A97" s="31"/>
      <c r="B97" s="49"/>
      <c r="C97" s="49" t="s">
        <v>176</v>
      </c>
      <c r="D97" s="68" t="s">
        <v>177</v>
      </c>
      <c r="E97" s="69"/>
      <c r="F97" s="69"/>
      <c r="G97" s="69"/>
      <c r="H97" s="48">
        <f>SUM(H98:H98)</f>
        <v>0</v>
      </c>
      <c r="I97" s="48">
        <f>SUM(I98:I98)</f>
        <v>0</v>
      </c>
      <c r="J97" s="48">
        <f>H97+I97</f>
        <v>0</v>
      </c>
      <c r="K97" s="43"/>
      <c r="L97" s="48">
        <f>SUM(L98:L98)</f>
        <v>1.1429999999999999E-3</v>
      </c>
      <c r="M97" s="43"/>
      <c r="N97" s="42"/>
      <c r="O97" s="42"/>
      <c r="P97" s="48">
        <f>IF(Q97="PR",J97,SUM(O98:O98))</f>
        <v>0</v>
      </c>
      <c r="Q97" s="43" t="s">
        <v>178</v>
      </c>
      <c r="R97" s="48">
        <f>IF(Q97="HS",H97,0)</f>
        <v>0</v>
      </c>
      <c r="S97" s="48">
        <f>IF(Q97="HS",I97-P97,0)</f>
        <v>0</v>
      </c>
      <c r="T97" s="48">
        <f>IF(Q97="PS",H97,0)</f>
        <v>0</v>
      </c>
      <c r="U97" s="48">
        <f>IF(Q97="PS",I97-P97,0)</f>
        <v>0</v>
      </c>
      <c r="V97" s="48">
        <f>IF(Q97="MP",H97,0)</f>
        <v>0</v>
      </c>
      <c r="W97" s="48">
        <f>IF(Q97="MP",I97-P97,0)</f>
        <v>0</v>
      </c>
      <c r="X97" s="48">
        <f>IF(Q97="OM",H97,0)</f>
        <v>0</v>
      </c>
      <c r="Y97" s="4"/>
      <c r="AI97" s="5">
        <f>SUM(Z98:Z98)</f>
        <v>0</v>
      </c>
      <c r="AJ97" s="5">
        <f>SUM(AA98:AA98)</f>
        <v>0</v>
      </c>
      <c r="AK97" s="5">
        <f>SUM(AB98:AB98)</f>
        <v>0</v>
      </c>
    </row>
    <row r="98" spans="1:43" x14ac:dyDescent="0.2">
      <c r="A98" s="31" t="s">
        <v>179</v>
      </c>
      <c r="B98" s="31"/>
      <c r="C98" s="31" t="s">
        <v>180</v>
      </c>
      <c r="D98" s="31" t="s">
        <v>181</v>
      </c>
      <c r="E98" s="31" t="s">
        <v>52</v>
      </c>
      <c r="F98" s="32">
        <v>7.62</v>
      </c>
      <c r="G98" s="32">
        <v>0</v>
      </c>
      <c r="H98" s="32">
        <f>F98*AE98</f>
        <v>0</v>
      </c>
      <c r="I98" s="32">
        <f>J98-H98</f>
        <v>0</v>
      </c>
      <c r="J98" s="32">
        <f>F98*G98</f>
        <v>0</v>
      </c>
      <c r="K98" s="32">
        <v>1.4999999999999999E-4</v>
      </c>
      <c r="L98" s="32">
        <f>F98*K98</f>
        <v>1.1429999999999999E-3</v>
      </c>
      <c r="M98" s="33" t="s">
        <v>53</v>
      </c>
      <c r="N98" s="33" t="s">
        <v>49</v>
      </c>
      <c r="O98" s="32">
        <f>IF(N98="5",I98,0)</f>
        <v>0</v>
      </c>
      <c r="P98" s="42"/>
      <c r="Q98" s="42"/>
      <c r="R98" s="42"/>
      <c r="S98" s="42"/>
      <c r="T98" s="42"/>
      <c r="U98" s="42"/>
      <c r="V98" s="42"/>
      <c r="W98" s="42"/>
      <c r="X98" s="42"/>
      <c r="Z98" s="6">
        <f>IF(AD98=0,J98,0)</f>
        <v>0</v>
      </c>
      <c r="AA98" s="6">
        <f>IF(AD98=15,J98,0)</f>
        <v>0</v>
      </c>
      <c r="AB98" s="6">
        <f>IF(AD98=21,J98,0)</f>
        <v>0</v>
      </c>
      <c r="AD98" s="7">
        <v>21</v>
      </c>
      <c r="AE98" s="7">
        <f>G98*0.344774011299435</f>
        <v>0</v>
      </c>
      <c r="AF98" s="7">
        <f>G98*(1-0.344774011299435)</f>
        <v>0</v>
      </c>
      <c r="AM98" s="7">
        <f>F98*AE98</f>
        <v>0</v>
      </c>
      <c r="AN98" s="7">
        <f>F98*AF98</f>
        <v>0</v>
      </c>
      <c r="AO98" s="8" t="s">
        <v>182</v>
      </c>
      <c r="AP98" s="8" t="s">
        <v>183</v>
      </c>
      <c r="AQ98" s="4" t="s">
        <v>56</v>
      </c>
    </row>
    <row r="99" spans="1:43" x14ac:dyDescent="0.2">
      <c r="A99" s="42"/>
      <c r="B99" s="42"/>
      <c r="C99" s="42"/>
      <c r="D99" s="34" t="s">
        <v>184</v>
      </c>
      <c r="E99" s="42"/>
      <c r="F99" s="35">
        <v>7.62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:43" x14ac:dyDescent="0.2">
      <c r="A100" s="31"/>
      <c r="B100" s="49"/>
      <c r="C100" s="49" t="s">
        <v>185</v>
      </c>
      <c r="D100" s="68" t="s">
        <v>186</v>
      </c>
      <c r="E100" s="69"/>
      <c r="F100" s="69"/>
      <c r="G100" s="69"/>
      <c r="H100" s="48">
        <f>SUM(H101:H109)</f>
        <v>0</v>
      </c>
      <c r="I100" s="48">
        <f>SUM(I101:I109)</f>
        <v>0</v>
      </c>
      <c r="J100" s="48">
        <f>H100+I100</f>
        <v>0</v>
      </c>
      <c r="K100" s="43"/>
      <c r="L100" s="48">
        <f>SUM(L101:L109)</f>
        <v>1.1732429999999998</v>
      </c>
      <c r="M100" s="43"/>
      <c r="N100" s="42"/>
      <c r="O100" s="42"/>
      <c r="P100" s="48">
        <f>IF(Q100="PR",J100,SUM(O101:O109))</f>
        <v>0</v>
      </c>
      <c r="Q100" s="43" t="s">
        <v>178</v>
      </c>
      <c r="R100" s="48">
        <f>IF(Q100="HS",H100,0)</f>
        <v>0</v>
      </c>
      <c r="S100" s="48">
        <f>IF(Q100="HS",I100-P100,0)</f>
        <v>0</v>
      </c>
      <c r="T100" s="48">
        <f>IF(Q100="PS",H100,0)</f>
        <v>0</v>
      </c>
      <c r="U100" s="48">
        <f>IF(Q100="PS",I100-P100,0)</f>
        <v>0</v>
      </c>
      <c r="V100" s="48">
        <f>IF(Q100="MP",H100,0)</f>
        <v>0</v>
      </c>
      <c r="W100" s="48">
        <f>IF(Q100="MP",I100-P100,0)</f>
        <v>0</v>
      </c>
      <c r="X100" s="48">
        <f>IF(Q100="OM",H100,0)</f>
        <v>0</v>
      </c>
      <c r="Y100" s="4"/>
      <c r="AI100" s="5">
        <f>SUM(Z101:Z109)</f>
        <v>0</v>
      </c>
      <c r="AJ100" s="5">
        <f>SUM(AA101:AA109)</f>
        <v>0</v>
      </c>
      <c r="AK100" s="5">
        <f>SUM(AB101:AB109)</f>
        <v>0</v>
      </c>
    </row>
    <row r="101" spans="1:43" x14ac:dyDescent="0.2">
      <c r="A101" s="31" t="s">
        <v>187</v>
      </c>
      <c r="B101" s="31"/>
      <c r="C101" s="31" t="s">
        <v>188</v>
      </c>
      <c r="D101" s="31" t="s">
        <v>189</v>
      </c>
      <c r="E101" s="31" t="s">
        <v>102</v>
      </c>
      <c r="F101" s="32">
        <v>121.6</v>
      </c>
      <c r="G101" s="32">
        <v>0</v>
      </c>
      <c r="H101" s="32">
        <f>F101*AE101</f>
        <v>0</v>
      </c>
      <c r="I101" s="32">
        <f>J101-H101</f>
        <v>0</v>
      </c>
      <c r="J101" s="32">
        <f>F101*G101</f>
        <v>0</v>
      </c>
      <c r="K101" s="32">
        <v>1.81E-3</v>
      </c>
      <c r="L101" s="32">
        <f>F101*K101</f>
        <v>0.22009599999999999</v>
      </c>
      <c r="M101" s="33" t="s">
        <v>53</v>
      </c>
      <c r="N101" s="33" t="s">
        <v>65</v>
      </c>
      <c r="O101" s="32">
        <f>IF(N101="5",I101,0)</f>
        <v>0</v>
      </c>
      <c r="P101" s="42"/>
      <c r="Q101" s="42"/>
      <c r="R101" s="42"/>
      <c r="S101" s="42"/>
      <c r="T101" s="42"/>
      <c r="U101" s="42"/>
      <c r="V101" s="42"/>
      <c r="W101" s="42"/>
      <c r="X101" s="42"/>
      <c r="Z101" s="6">
        <f>IF(AD101=0,J101,0)</f>
        <v>0</v>
      </c>
      <c r="AA101" s="6">
        <f>IF(AD101=15,J101,0)</f>
        <v>0</v>
      </c>
      <c r="AB101" s="6">
        <f>IF(AD101=21,J101,0)</f>
        <v>0</v>
      </c>
      <c r="AD101" s="7">
        <v>21</v>
      </c>
      <c r="AE101" s="7">
        <f>G101*0</f>
        <v>0</v>
      </c>
      <c r="AF101" s="7">
        <f>G101*(1-0)</f>
        <v>0</v>
      </c>
      <c r="AM101" s="7">
        <f>F101*AE101</f>
        <v>0</v>
      </c>
      <c r="AN101" s="7">
        <f>F101*AF101</f>
        <v>0</v>
      </c>
      <c r="AO101" s="8" t="s">
        <v>190</v>
      </c>
      <c r="AP101" s="8" t="s">
        <v>191</v>
      </c>
      <c r="AQ101" s="4" t="s">
        <v>56</v>
      </c>
    </row>
    <row r="102" spans="1:43" x14ac:dyDescent="0.2">
      <c r="A102" s="42"/>
      <c r="B102" s="42"/>
      <c r="C102" s="42"/>
      <c r="D102" s="34" t="s">
        <v>192</v>
      </c>
      <c r="E102" s="42"/>
      <c r="F102" s="35">
        <v>84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43" x14ac:dyDescent="0.2">
      <c r="A103" s="42"/>
      <c r="B103" s="42"/>
      <c r="C103" s="42"/>
      <c r="D103" s="34" t="s">
        <v>193</v>
      </c>
      <c r="E103" s="42"/>
      <c r="F103" s="35">
        <v>33.6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:43" x14ac:dyDescent="0.2">
      <c r="A104" s="42"/>
      <c r="B104" s="42"/>
      <c r="C104" s="42"/>
      <c r="D104" s="34" t="s">
        <v>194</v>
      </c>
      <c r="E104" s="42"/>
      <c r="F104" s="35">
        <v>4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1:43" x14ac:dyDescent="0.2">
      <c r="A105" s="31" t="s">
        <v>195</v>
      </c>
      <c r="B105" s="31"/>
      <c r="C105" s="31" t="s">
        <v>196</v>
      </c>
      <c r="D105" s="31" t="s">
        <v>197</v>
      </c>
      <c r="E105" s="31" t="s">
        <v>102</v>
      </c>
      <c r="F105" s="32">
        <v>121.6</v>
      </c>
      <c r="G105" s="32">
        <v>0</v>
      </c>
      <c r="H105" s="32">
        <f>F105*AE105</f>
        <v>0</v>
      </c>
      <c r="I105" s="32">
        <f>J105-H105</f>
        <v>0</v>
      </c>
      <c r="J105" s="32">
        <f>F105*G105</f>
        <v>0</v>
      </c>
      <c r="K105" s="32">
        <v>2.4199999999999998E-3</v>
      </c>
      <c r="L105" s="32">
        <f>F105*K105</f>
        <v>0.29427199999999998</v>
      </c>
      <c r="M105" s="33" t="s">
        <v>53</v>
      </c>
      <c r="N105" s="33" t="s">
        <v>65</v>
      </c>
      <c r="O105" s="32">
        <f>IF(N105="5",I105,0)</f>
        <v>0</v>
      </c>
      <c r="P105" s="42"/>
      <c r="Q105" s="42"/>
      <c r="R105" s="42"/>
      <c r="S105" s="42"/>
      <c r="T105" s="42"/>
      <c r="U105" s="42"/>
      <c r="V105" s="42"/>
      <c r="W105" s="42"/>
      <c r="X105" s="42"/>
      <c r="Z105" s="6">
        <f>IF(AD105=0,J105,0)</f>
        <v>0</v>
      </c>
      <c r="AA105" s="6">
        <f>IF(AD105=15,J105,0)</f>
        <v>0</v>
      </c>
      <c r="AB105" s="6">
        <f>IF(AD105=21,J105,0)</f>
        <v>0</v>
      </c>
      <c r="AD105" s="7">
        <v>21</v>
      </c>
      <c r="AE105" s="7">
        <f>G105*0.232118380933732</f>
        <v>0</v>
      </c>
      <c r="AF105" s="7">
        <f>G105*(1-0.232118380933732)</f>
        <v>0</v>
      </c>
      <c r="AM105" s="7">
        <f>F105*AE105</f>
        <v>0</v>
      </c>
      <c r="AN105" s="7">
        <f>F105*AF105</f>
        <v>0</v>
      </c>
      <c r="AO105" s="8" t="s">
        <v>190</v>
      </c>
      <c r="AP105" s="8" t="s">
        <v>191</v>
      </c>
      <c r="AQ105" s="4" t="s">
        <v>56</v>
      </c>
    </row>
    <row r="106" spans="1:43" x14ac:dyDescent="0.2">
      <c r="A106" s="42"/>
      <c r="B106" s="42"/>
      <c r="C106" s="42"/>
      <c r="D106" s="34" t="s">
        <v>198</v>
      </c>
      <c r="E106" s="42"/>
      <c r="F106" s="35">
        <v>84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1:43" x14ac:dyDescent="0.2">
      <c r="A107" s="42"/>
      <c r="B107" s="42"/>
      <c r="C107" s="42"/>
      <c r="D107" s="34" t="s">
        <v>199</v>
      </c>
      <c r="E107" s="42"/>
      <c r="F107" s="35">
        <v>33.6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1:43" x14ac:dyDescent="0.2">
      <c r="A108" s="42"/>
      <c r="B108" s="42"/>
      <c r="C108" s="42"/>
      <c r="D108" s="34" t="s">
        <v>200</v>
      </c>
      <c r="E108" s="42"/>
      <c r="F108" s="35">
        <v>4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:43" x14ac:dyDescent="0.2">
      <c r="A109" s="31" t="s">
        <v>201</v>
      </c>
      <c r="B109" s="49"/>
      <c r="C109" s="49" t="s">
        <v>202</v>
      </c>
      <c r="D109" s="68" t="s">
        <v>203</v>
      </c>
      <c r="E109" s="69" t="s">
        <v>102</v>
      </c>
      <c r="F109" s="69">
        <v>175.7</v>
      </c>
      <c r="G109" s="69">
        <v>0</v>
      </c>
      <c r="H109" s="48">
        <f>F109*AE109</f>
        <v>0</v>
      </c>
      <c r="I109" s="48">
        <f>J109-H109</f>
        <v>0</v>
      </c>
      <c r="J109" s="48">
        <f>F109*G109</f>
        <v>0</v>
      </c>
      <c r="K109" s="43">
        <v>3.7499999999999999E-3</v>
      </c>
      <c r="L109" s="48">
        <f>F109*K109</f>
        <v>0.65887499999999999</v>
      </c>
      <c r="M109" s="43"/>
      <c r="N109" s="42" t="s">
        <v>49</v>
      </c>
      <c r="O109" s="42">
        <f>IF(N109="5",I109,0)</f>
        <v>0</v>
      </c>
      <c r="P109" s="48"/>
      <c r="Q109" s="43"/>
      <c r="R109" s="48"/>
      <c r="S109" s="48"/>
      <c r="T109" s="48"/>
      <c r="U109" s="48"/>
      <c r="V109" s="48"/>
      <c r="W109" s="48"/>
      <c r="X109" s="48"/>
      <c r="Y109" s="4"/>
      <c r="Z109" s="1">
        <f>IF(AD109=0,J109,0)</f>
        <v>0</v>
      </c>
      <c r="AA109" s="1">
        <f>IF(AD109=15,J109,0)</f>
        <v>0</v>
      </c>
      <c r="AB109" s="1">
        <f>IF(AD109=21,J109,0)</f>
        <v>0</v>
      </c>
      <c r="AD109" s="1">
        <v>21</v>
      </c>
      <c r="AE109" s="1">
        <f>G109*0.459791835830811</f>
        <v>0</v>
      </c>
      <c r="AF109" s="1">
        <f>G109*(1-0.459791835830811)</f>
        <v>0</v>
      </c>
      <c r="AI109" s="5"/>
      <c r="AJ109" s="5"/>
      <c r="AK109" s="5"/>
      <c r="AM109" s="1">
        <f>F109*AE109</f>
        <v>0</v>
      </c>
      <c r="AN109" s="1">
        <f>F109*AF109</f>
        <v>0</v>
      </c>
      <c r="AO109" s="1" t="s">
        <v>190</v>
      </c>
      <c r="AP109" s="1" t="s">
        <v>191</v>
      </c>
      <c r="AQ109" s="1" t="s">
        <v>56</v>
      </c>
    </row>
    <row r="110" spans="1:43" x14ac:dyDescent="0.2">
      <c r="A110" s="31"/>
      <c r="B110" s="31"/>
      <c r="C110" s="31"/>
      <c r="D110" s="31" t="s">
        <v>204</v>
      </c>
      <c r="E110" s="31"/>
      <c r="F110" s="32">
        <v>15.3</v>
      </c>
      <c r="G110" s="32"/>
      <c r="H110" s="32"/>
      <c r="I110" s="32"/>
      <c r="J110" s="32"/>
      <c r="K110" s="32"/>
      <c r="L110" s="32"/>
      <c r="M110" s="33"/>
      <c r="N110" s="33"/>
      <c r="O110" s="32"/>
      <c r="P110" s="42"/>
      <c r="Q110" s="42"/>
      <c r="R110" s="42"/>
      <c r="S110" s="42"/>
      <c r="T110" s="42"/>
      <c r="U110" s="42"/>
      <c r="V110" s="42"/>
      <c r="W110" s="42"/>
      <c r="X110" s="42"/>
      <c r="Z110" s="6"/>
      <c r="AA110" s="6"/>
      <c r="AB110" s="6"/>
      <c r="AD110" s="7"/>
      <c r="AE110" s="7"/>
      <c r="AF110" s="7"/>
      <c r="AM110" s="7"/>
      <c r="AN110" s="7"/>
      <c r="AO110" s="8"/>
      <c r="AP110" s="8"/>
      <c r="AQ110" s="4"/>
    </row>
    <row r="111" spans="1:43" x14ac:dyDescent="0.2">
      <c r="A111" s="42"/>
      <c r="B111" s="42"/>
      <c r="C111" s="42"/>
      <c r="D111" s="34" t="s">
        <v>205</v>
      </c>
      <c r="E111" s="42"/>
      <c r="F111" s="35">
        <v>38.5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:43" x14ac:dyDescent="0.2">
      <c r="A112" s="42"/>
      <c r="B112" s="42"/>
      <c r="C112" s="42"/>
      <c r="D112" s="34" t="s">
        <v>206</v>
      </c>
      <c r="E112" s="42"/>
      <c r="F112" s="35">
        <v>15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43" x14ac:dyDescent="0.2">
      <c r="A113" s="31"/>
      <c r="B113" s="31"/>
      <c r="C113" s="31"/>
      <c r="D113" s="31" t="s">
        <v>207</v>
      </c>
      <c r="E113" s="31"/>
      <c r="F113" s="32">
        <v>15.3</v>
      </c>
      <c r="G113" s="32"/>
      <c r="H113" s="32"/>
      <c r="I113" s="32"/>
      <c r="J113" s="32"/>
      <c r="K113" s="32"/>
      <c r="L113" s="32"/>
      <c r="M113" s="33"/>
      <c r="N113" s="33"/>
      <c r="O113" s="32"/>
      <c r="P113" s="42"/>
      <c r="Q113" s="42"/>
      <c r="R113" s="42"/>
      <c r="S113" s="42"/>
      <c r="T113" s="42"/>
      <c r="U113" s="42"/>
      <c r="V113" s="42"/>
      <c r="W113" s="42"/>
      <c r="X113" s="42"/>
      <c r="Z113" s="9"/>
      <c r="AA113" s="9"/>
      <c r="AB113" s="9"/>
      <c r="AD113" s="7"/>
      <c r="AE113" s="7"/>
      <c r="AF113" s="7"/>
      <c r="AM113" s="7"/>
      <c r="AN113" s="7"/>
      <c r="AO113" s="8"/>
      <c r="AP113" s="8"/>
      <c r="AQ113" s="4"/>
    </row>
    <row r="114" spans="1:43" x14ac:dyDescent="0.2">
      <c r="A114" s="42"/>
      <c r="B114" s="42"/>
      <c r="C114" s="42"/>
      <c r="D114" s="34" t="s">
        <v>208</v>
      </c>
      <c r="E114" s="42"/>
      <c r="F114" s="35">
        <v>24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:43" x14ac:dyDescent="0.2">
      <c r="A115" s="31"/>
      <c r="B115" s="31"/>
      <c r="C115" s="31"/>
      <c r="D115" s="31" t="s">
        <v>209</v>
      </c>
      <c r="E115" s="31"/>
      <c r="F115" s="32">
        <v>15</v>
      </c>
      <c r="G115" s="32"/>
      <c r="H115" s="32"/>
      <c r="I115" s="32"/>
      <c r="J115" s="32"/>
      <c r="K115" s="32"/>
      <c r="L115" s="32"/>
      <c r="M115" s="33"/>
      <c r="N115" s="33"/>
      <c r="O115" s="32"/>
      <c r="P115" s="42"/>
      <c r="Q115" s="42"/>
      <c r="R115" s="42"/>
      <c r="S115" s="42"/>
      <c r="T115" s="42"/>
      <c r="U115" s="42"/>
      <c r="V115" s="42"/>
      <c r="W115" s="42"/>
      <c r="X115" s="42"/>
      <c r="Z115" s="9"/>
      <c r="AA115" s="9"/>
      <c r="AB115" s="9"/>
      <c r="AD115" s="7"/>
      <c r="AE115" s="7"/>
      <c r="AF115" s="7"/>
      <c r="AM115" s="7"/>
      <c r="AN115" s="7"/>
      <c r="AO115" s="8"/>
      <c r="AP115" s="8"/>
      <c r="AQ115" s="4"/>
    </row>
    <row r="116" spans="1:43" x14ac:dyDescent="0.2">
      <c r="A116" s="42"/>
      <c r="B116" s="42"/>
      <c r="C116" s="42"/>
      <c r="D116" s="34" t="s">
        <v>210</v>
      </c>
      <c r="E116" s="42"/>
      <c r="F116" s="35">
        <v>38.5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:43" x14ac:dyDescent="0.2">
      <c r="A117" s="31"/>
      <c r="B117" s="49"/>
      <c r="C117" s="49"/>
      <c r="D117" s="68" t="s">
        <v>211</v>
      </c>
      <c r="E117" s="69"/>
      <c r="F117" s="69">
        <v>14.1</v>
      </c>
      <c r="G117" s="69"/>
      <c r="H117" s="48"/>
      <c r="I117" s="48"/>
      <c r="J117" s="48"/>
      <c r="K117" s="43"/>
      <c r="L117" s="48"/>
      <c r="M117" s="43"/>
      <c r="N117" s="42"/>
      <c r="O117" s="42"/>
      <c r="P117" s="48"/>
      <c r="Q117" s="43"/>
      <c r="R117" s="48"/>
      <c r="S117" s="48"/>
      <c r="T117" s="48"/>
      <c r="U117" s="48"/>
      <c r="V117" s="48"/>
      <c r="W117" s="48"/>
      <c r="X117" s="48"/>
      <c r="Y117" s="4"/>
      <c r="AI117" s="5"/>
      <c r="AJ117" s="5"/>
      <c r="AK117" s="5"/>
    </row>
    <row r="118" spans="1:43" x14ac:dyDescent="0.2">
      <c r="A118" s="31"/>
      <c r="B118" s="31"/>
      <c r="C118" s="31" t="s">
        <v>212</v>
      </c>
      <c r="D118" s="31" t="s">
        <v>213</v>
      </c>
      <c r="E118" s="31"/>
      <c r="F118" s="32"/>
      <c r="G118" s="32"/>
      <c r="H118" s="32">
        <f>SUM(H119:H124)</f>
        <v>0</v>
      </c>
      <c r="I118" s="32">
        <f>SUM(I119:I124)</f>
        <v>0</v>
      </c>
      <c r="J118" s="32">
        <f>H118+I118</f>
        <v>0</v>
      </c>
      <c r="K118" s="32"/>
      <c r="L118" s="32">
        <f>SUM(L119:L124)</f>
        <v>0.14335999999999999</v>
      </c>
      <c r="M118" s="33"/>
      <c r="N118" s="33"/>
      <c r="O118" s="32"/>
      <c r="P118" s="42">
        <f>IF(Q118="PR",J118,SUM(O119:O124))</f>
        <v>0</v>
      </c>
      <c r="Q118" s="42" t="s">
        <v>178</v>
      </c>
      <c r="R118" s="42">
        <f>IF(Q118="HS",H118,0)</f>
        <v>0</v>
      </c>
      <c r="S118" s="42">
        <f>IF(Q118="HS",I118-P118,0)</f>
        <v>0</v>
      </c>
      <c r="T118" s="42">
        <f>IF(Q118="PS",H118,0)</f>
        <v>0</v>
      </c>
      <c r="U118" s="42">
        <f>IF(Q118="PS",I118-P118,0)</f>
        <v>0</v>
      </c>
      <c r="V118" s="42">
        <f>IF(Q118="MP",H118,0)</f>
        <v>0</v>
      </c>
      <c r="W118" s="42">
        <f>IF(Q118="MP",I118-P118,0)</f>
        <v>0</v>
      </c>
      <c r="X118" s="42">
        <f>IF(Q118="OM",H118,0)</f>
        <v>0</v>
      </c>
      <c r="Z118" s="6"/>
      <c r="AA118" s="6"/>
      <c r="AB118" s="6"/>
      <c r="AD118" s="7"/>
      <c r="AE118" s="7"/>
      <c r="AF118" s="7"/>
      <c r="AI118" s="1">
        <f>SUM(Z119:Z124)</f>
        <v>0</v>
      </c>
      <c r="AJ118" s="1">
        <f>SUM(AA119:AA124)</f>
        <v>0</v>
      </c>
      <c r="AK118" s="1">
        <f>SUM(AB119:AB124)</f>
        <v>0</v>
      </c>
      <c r="AM118" s="7"/>
      <c r="AN118" s="7"/>
      <c r="AO118" s="8"/>
      <c r="AP118" s="8"/>
      <c r="AQ118" s="4"/>
    </row>
    <row r="119" spans="1:43" x14ac:dyDescent="0.2">
      <c r="A119" s="42" t="s">
        <v>214</v>
      </c>
      <c r="B119" s="42"/>
      <c r="C119" s="42" t="s">
        <v>215</v>
      </c>
      <c r="D119" s="34" t="s">
        <v>216</v>
      </c>
      <c r="E119" s="42" t="s">
        <v>217</v>
      </c>
      <c r="F119" s="35">
        <v>2</v>
      </c>
      <c r="G119" s="42">
        <v>0</v>
      </c>
      <c r="H119" s="42">
        <f>F119*AE119</f>
        <v>0</v>
      </c>
      <c r="I119" s="42">
        <f>J119-H119</f>
        <v>0</v>
      </c>
      <c r="J119" s="42">
        <f>F119*G119</f>
        <v>0</v>
      </c>
      <c r="K119" s="42">
        <v>1.6800000000000001E-3</v>
      </c>
      <c r="L119" s="42">
        <f>F119*K119</f>
        <v>3.3600000000000001E-3</v>
      </c>
      <c r="M119" s="42" t="s">
        <v>53</v>
      </c>
      <c r="N119" s="42" t="s">
        <v>49</v>
      </c>
      <c r="O119" s="42">
        <f>IF(N119="5",I119,0)</f>
        <v>0</v>
      </c>
      <c r="P119" s="42"/>
      <c r="Q119" s="42"/>
      <c r="R119" s="42"/>
      <c r="S119" s="42"/>
      <c r="T119" s="42"/>
      <c r="U119" s="42"/>
      <c r="V119" s="42"/>
      <c r="W119" s="42"/>
      <c r="X119" s="42"/>
      <c r="Z119" s="1">
        <f>IF(AD119=0,J119,0)</f>
        <v>0</v>
      </c>
      <c r="AA119" s="1">
        <f>IF(AD119=15,J119,0)</f>
        <v>0</v>
      </c>
      <c r="AB119" s="1">
        <f>IF(AD119=21,J119,0)</f>
        <v>0</v>
      </c>
      <c r="AD119" s="1">
        <v>21</v>
      </c>
      <c r="AE119" s="1">
        <f>G119*0.174115674769489</f>
        <v>0</v>
      </c>
      <c r="AF119" s="1">
        <f>G119*(1-0.174115674769489)</f>
        <v>0</v>
      </c>
      <c r="AM119" s="1">
        <f>F119*AE119</f>
        <v>0</v>
      </c>
      <c r="AN119" s="1">
        <f>F119*AF119</f>
        <v>0</v>
      </c>
      <c r="AO119" s="1" t="s">
        <v>218</v>
      </c>
      <c r="AP119" s="1" t="s">
        <v>191</v>
      </c>
      <c r="AQ119" s="1" t="s">
        <v>56</v>
      </c>
    </row>
    <row r="120" spans="1:43" x14ac:dyDescent="0.2">
      <c r="A120" s="31"/>
      <c r="B120" s="31"/>
      <c r="C120" s="31"/>
      <c r="D120" s="31" t="s">
        <v>219</v>
      </c>
      <c r="E120" s="31"/>
      <c r="F120" s="32">
        <v>1</v>
      </c>
      <c r="G120" s="32"/>
      <c r="H120" s="32"/>
      <c r="I120" s="32"/>
      <c r="J120" s="32"/>
      <c r="K120" s="32"/>
      <c r="L120" s="32"/>
      <c r="M120" s="33"/>
      <c r="N120" s="33"/>
      <c r="O120" s="32"/>
      <c r="P120" s="42"/>
      <c r="Q120" s="42"/>
      <c r="R120" s="42"/>
      <c r="S120" s="42"/>
      <c r="T120" s="42"/>
      <c r="U120" s="42"/>
      <c r="V120" s="42"/>
      <c r="W120" s="42"/>
      <c r="X120" s="42"/>
      <c r="Z120" s="6"/>
      <c r="AA120" s="6"/>
      <c r="AB120" s="6"/>
      <c r="AD120" s="7"/>
      <c r="AE120" s="7"/>
      <c r="AF120" s="7"/>
      <c r="AM120" s="7"/>
      <c r="AN120" s="7"/>
      <c r="AO120" s="8"/>
      <c r="AP120" s="8"/>
      <c r="AQ120" s="4"/>
    </row>
    <row r="121" spans="1:43" x14ac:dyDescent="0.2">
      <c r="A121" s="42"/>
      <c r="B121" s="42"/>
      <c r="C121" s="42"/>
      <c r="D121" s="34" t="s">
        <v>220</v>
      </c>
      <c r="E121" s="42"/>
      <c r="F121" s="35">
        <v>1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:43" x14ac:dyDescent="0.2">
      <c r="A122" s="31" t="s">
        <v>221</v>
      </c>
      <c r="B122" s="49"/>
      <c r="C122" s="49" t="s">
        <v>222</v>
      </c>
      <c r="D122" s="68" t="s">
        <v>223</v>
      </c>
      <c r="E122" s="69" t="s">
        <v>217</v>
      </c>
      <c r="F122" s="69">
        <v>1</v>
      </c>
      <c r="G122" s="69">
        <v>0</v>
      </c>
      <c r="H122" s="48">
        <f>F122*AE122</f>
        <v>0</v>
      </c>
      <c r="I122" s="48">
        <f>J122-H122</f>
        <v>0</v>
      </c>
      <c r="J122" s="48">
        <f>F122*G122</f>
        <v>0</v>
      </c>
      <c r="K122" s="43">
        <v>0.05</v>
      </c>
      <c r="L122" s="48">
        <f>F122*K122</f>
        <v>0.05</v>
      </c>
      <c r="M122" s="43"/>
      <c r="N122" s="42" t="s">
        <v>224</v>
      </c>
      <c r="O122" s="42">
        <f>IF(N122="5",I122,0)</f>
        <v>0</v>
      </c>
      <c r="P122" s="48"/>
      <c r="Q122" s="43"/>
      <c r="R122" s="48"/>
      <c r="S122" s="48"/>
      <c r="T122" s="48"/>
      <c r="U122" s="48"/>
      <c r="V122" s="48"/>
      <c r="W122" s="48"/>
      <c r="X122" s="48"/>
      <c r="Y122" s="4"/>
      <c r="Z122" s="1">
        <f>IF(AD122=0,J122,0)</f>
        <v>0</v>
      </c>
      <c r="AA122" s="1">
        <f>IF(AD122=15,J122,0)</f>
        <v>0</v>
      </c>
      <c r="AB122" s="1">
        <f>IF(AD122=21,J122,0)</f>
        <v>0</v>
      </c>
      <c r="AD122" s="1">
        <v>21</v>
      </c>
      <c r="AE122" s="1">
        <f>G122*1</f>
        <v>0</v>
      </c>
      <c r="AF122" s="1">
        <f>G122*(1-1)</f>
        <v>0</v>
      </c>
      <c r="AI122" s="5"/>
      <c r="AJ122" s="5"/>
      <c r="AK122" s="5"/>
      <c r="AM122" s="1">
        <f>F122*AE122</f>
        <v>0</v>
      </c>
      <c r="AN122" s="1">
        <f>F122*AF122</f>
        <v>0</v>
      </c>
      <c r="AO122" s="1" t="s">
        <v>218</v>
      </c>
      <c r="AP122" s="1" t="s">
        <v>191</v>
      </c>
      <c r="AQ122" s="1" t="s">
        <v>56</v>
      </c>
    </row>
    <row r="123" spans="1:43" x14ac:dyDescent="0.2">
      <c r="A123" s="31"/>
      <c r="B123" s="31"/>
      <c r="C123" s="31"/>
      <c r="D123" s="31" t="s">
        <v>219</v>
      </c>
      <c r="E123" s="31"/>
      <c r="F123" s="32">
        <v>1</v>
      </c>
      <c r="G123" s="32"/>
      <c r="H123" s="32"/>
      <c r="I123" s="32"/>
      <c r="J123" s="32"/>
      <c r="K123" s="32"/>
      <c r="L123" s="32"/>
      <c r="M123" s="33"/>
      <c r="N123" s="33"/>
      <c r="O123" s="32"/>
      <c r="P123" s="42"/>
      <c r="Q123" s="42"/>
      <c r="R123" s="42"/>
      <c r="S123" s="42"/>
      <c r="T123" s="42"/>
      <c r="U123" s="42"/>
      <c r="V123" s="42"/>
      <c r="W123" s="42"/>
      <c r="X123" s="42"/>
      <c r="Z123" s="6"/>
      <c r="AA123" s="6"/>
      <c r="AB123" s="6"/>
      <c r="AD123" s="7"/>
      <c r="AE123" s="7"/>
      <c r="AF123" s="7"/>
      <c r="AM123" s="7"/>
      <c r="AN123" s="7"/>
      <c r="AO123" s="8"/>
      <c r="AP123" s="8"/>
      <c r="AQ123" s="4"/>
    </row>
    <row r="124" spans="1:43" x14ac:dyDescent="0.2">
      <c r="A124" s="42" t="s">
        <v>225</v>
      </c>
      <c r="B124" s="42"/>
      <c r="C124" s="42" t="s">
        <v>226</v>
      </c>
      <c r="D124" s="34" t="s">
        <v>227</v>
      </c>
      <c r="E124" s="42" t="s">
        <v>217</v>
      </c>
      <c r="F124" s="35">
        <v>1</v>
      </c>
      <c r="G124" s="42">
        <v>0</v>
      </c>
      <c r="H124" s="42">
        <f>F124*AE124</f>
        <v>0</v>
      </c>
      <c r="I124" s="42">
        <f>J124-H124</f>
        <v>0</v>
      </c>
      <c r="J124" s="42">
        <f>F124*G124</f>
        <v>0</v>
      </c>
      <c r="K124" s="42">
        <v>0.09</v>
      </c>
      <c r="L124" s="42">
        <f>F124*K124</f>
        <v>0.09</v>
      </c>
      <c r="M124" s="42"/>
      <c r="N124" s="42" t="s">
        <v>224</v>
      </c>
      <c r="O124" s="42">
        <f>IF(N124="5",I124,0)</f>
        <v>0</v>
      </c>
      <c r="P124" s="42"/>
      <c r="Q124" s="42"/>
      <c r="R124" s="42"/>
      <c r="S124" s="42"/>
      <c r="T124" s="42"/>
      <c r="U124" s="42"/>
      <c r="V124" s="42"/>
      <c r="W124" s="42"/>
      <c r="X124" s="42"/>
      <c r="Z124" s="1">
        <f>IF(AD124=0,J124,0)</f>
        <v>0</v>
      </c>
      <c r="AA124" s="1">
        <f>IF(AD124=15,J124,0)</f>
        <v>0</v>
      </c>
      <c r="AB124" s="1">
        <f>IF(AD124=21,J124,0)</f>
        <v>0</v>
      </c>
      <c r="AD124" s="1">
        <v>21</v>
      </c>
      <c r="AE124" s="1">
        <f>G124*1</f>
        <v>0</v>
      </c>
      <c r="AF124" s="1">
        <f>G124*(1-1)</f>
        <v>0</v>
      </c>
      <c r="AM124" s="1">
        <f>F124*AE124</f>
        <v>0</v>
      </c>
      <c r="AN124" s="1">
        <f>F124*AF124</f>
        <v>0</v>
      </c>
      <c r="AO124" s="1" t="s">
        <v>218</v>
      </c>
      <c r="AP124" s="1" t="s">
        <v>191</v>
      </c>
      <c r="AQ124" s="1" t="s">
        <v>56</v>
      </c>
    </row>
    <row r="125" spans="1:43" x14ac:dyDescent="0.2">
      <c r="A125" s="31"/>
      <c r="B125" s="49"/>
      <c r="C125" s="49"/>
      <c r="D125" s="68" t="s">
        <v>220</v>
      </c>
      <c r="E125" s="69"/>
      <c r="F125" s="69">
        <v>1</v>
      </c>
      <c r="G125" s="69"/>
      <c r="H125" s="48"/>
      <c r="I125" s="48"/>
      <c r="J125" s="48"/>
      <c r="K125" s="43"/>
      <c r="L125" s="48"/>
      <c r="M125" s="43"/>
      <c r="N125" s="42"/>
      <c r="O125" s="42"/>
      <c r="P125" s="48"/>
      <c r="Q125" s="43"/>
      <c r="R125" s="48"/>
      <c r="S125" s="48"/>
      <c r="T125" s="48"/>
      <c r="U125" s="48"/>
      <c r="V125" s="48"/>
      <c r="W125" s="48"/>
      <c r="X125" s="48"/>
      <c r="Y125" s="4"/>
      <c r="AI125" s="5"/>
      <c r="AJ125" s="5"/>
      <c r="AK125" s="5"/>
    </row>
    <row r="126" spans="1:43" x14ac:dyDescent="0.2">
      <c r="A126" s="31"/>
      <c r="B126" s="31"/>
      <c r="C126" s="31" t="s">
        <v>228</v>
      </c>
      <c r="D126" s="31" t="s">
        <v>229</v>
      </c>
      <c r="E126" s="31"/>
      <c r="F126" s="32"/>
      <c r="G126" s="32"/>
      <c r="H126" s="32">
        <f>SUM(H127:H129)</f>
        <v>0</v>
      </c>
      <c r="I126" s="32">
        <f>SUM(I127:I129)</f>
        <v>0</v>
      </c>
      <c r="J126" s="32">
        <f>H126+I126</f>
        <v>0</v>
      </c>
      <c r="K126" s="32"/>
      <c r="L126" s="32">
        <f>SUM(L127:L129)</f>
        <v>0</v>
      </c>
      <c r="M126" s="33"/>
      <c r="N126" s="33"/>
      <c r="O126" s="32"/>
      <c r="P126" s="42">
        <f>IF(Q126="PR",J126,SUM(O127:O129))</f>
        <v>0</v>
      </c>
      <c r="Q126" s="42" t="s">
        <v>178</v>
      </c>
      <c r="R126" s="42">
        <f>IF(Q126="HS",H126,0)</f>
        <v>0</v>
      </c>
      <c r="S126" s="42">
        <f>IF(Q126="HS",I126-P126,0)</f>
        <v>0</v>
      </c>
      <c r="T126" s="42">
        <f>IF(Q126="PS",H126,0)</f>
        <v>0</v>
      </c>
      <c r="U126" s="42">
        <f>IF(Q126="PS",I126-P126,0)</f>
        <v>0</v>
      </c>
      <c r="V126" s="42">
        <f>IF(Q126="MP",H126,0)</f>
        <v>0</v>
      </c>
      <c r="W126" s="42">
        <f>IF(Q126="MP",I126-P126,0)</f>
        <v>0</v>
      </c>
      <c r="X126" s="42">
        <f>IF(Q126="OM",H126,0)</f>
        <v>0</v>
      </c>
      <c r="Z126" s="6"/>
      <c r="AA126" s="6"/>
      <c r="AB126" s="6"/>
      <c r="AD126" s="7"/>
      <c r="AE126" s="7"/>
      <c r="AF126" s="7"/>
      <c r="AI126" s="1">
        <f>SUM(Z127:Z129)</f>
        <v>0</v>
      </c>
      <c r="AJ126" s="1">
        <f>SUM(AA127:AA129)</f>
        <v>0</v>
      </c>
      <c r="AK126" s="1">
        <f>SUM(AB127:AB129)</f>
        <v>0</v>
      </c>
      <c r="AM126" s="7"/>
      <c r="AN126" s="7"/>
      <c r="AO126" s="8"/>
      <c r="AP126" s="8"/>
      <c r="AQ126" s="4"/>
    </row>
    <row r="127" spans="1:43" x14ac:dyDescent="0.2">
      <c r="A127" s="42" t="s">
        <v>230</v>
      </c>
      <c r="B127" s="42"/>
      <c r="C127" s="42" t="s">
        <v>231</v>
      </c>
      <c r="D127" s="34" t="s">
        <v>232</v>
      </c>
      <c r="E127" s="42" t="s">
        <v>217</v>
      </c>
      <c r="F127" s="35">
        <v>1</v>
      </c>
      <c r="G127" s="42">
        <v>0</v>
      </c>
      <c r="H127" s="42">
        <f>F127*AE127</f>
        <v>0</v>
      </c>
      <c r="I127" s="42">
        <f>J127-H127</f>
        <v>0</v>
      </c>
      <c r="J127" s="42">
        <f>F127*G127</f>
        <v>0</v>
      </c>
      <c r="K127" s="42">
        <v>0</v>
      </c>
      <c r="L127" s="42">
        <f>F127*K127</f>
        <v>0</v>
      </c>
      <c r="M127" s="42"/>
      <c r="N127" s="42" t="s">
        <v>49</v>
      </c>
      <c r="O127" s="42">
        <f>IF(N127="5",I127,0)</f>
        <v>0</v>
      </c>
      <c r="P127" s="42"/>
      <c r="Q127" s="42"/>
      <c r="R127" s="42"/>
      <c r="S127" s="42"/>
      <c r="T127" s="42"/>
      <c r="U127" s="42"/>
      <c r="V127" s="42"/>
      <c r="W127" s="42"/>
      <c r="X127" s="42"/>
      <c r="Z127" s="1">
        <f>IF(AD127=0,J127,0)</f>
        <v>0</v>
      </c>
      <c r="AA127" s="1">
        <f>IF(AD127=15,J127,0)</f>
        <v>0</v>
      </c>
      <c r="AB127" s="1">
        <f>IF(AD127=21,J127,0)</f>
        <v>0</v>
      </c>
      <c r="AD127" s="1">
        <v>21</v>
      </c>
      <c r="AE127" s="1">
        <f>G127*0</f>
        <v>0</v>
      </c>
      <c r="AF127" s="1">
        <f>G127*(1-0)</f>
        <v>0</v>
      </c>
      <c r="AM127" s="1">
        <f>F127*AE127</f>
        <v>0</v>
      </c>
      <c r="AN127" s="1">
        <f>F127*AF127</f>
        <v>0</v>
      </c>
      <c r="AO127" s="1" t="s">
        <v>233</v>
      </c>
      <c r="AP127" s="1" t="s">
        <v>191</v>
      </c>
      <c r="AQ127" s="1" t="s">
        <v>56</v>
      </c>
    </row>
    <row r="128" spans="1:43" x14ac:dyDescent="0.2">
      <c r="A128" s="31"/>
      <c r="B128" s="31"/>
      <c r="C128" s="31"/>
      <c r="D128" s="31" t="s">
        <v>234</v>
      </c>
      <c r="E128" s="31"/>
      <c r="F128" s="32">
        <v>1</v>
      </c>
      <c r="G128" s="32"/>
      <c r="H128" s="32"/>
      <c r="I128" s="32"/>
      <c r="J128" s="32"/>
      <c r="K128" s="32"/>
      <c r="L128" s="32"/>
      <c r="M128" s="33"/>
      <c r="N128" s="33"/>
      <c r="O128" s="32"/>
      <c r="P128" s="42"/>
      <c r="Q128" s="42"/>
      <c r="R128" s="42"/>
      <c r="S128" s="42"/>
      <c r="T128" s="42"/>
      <c r="U128" s="42"/>
      <c r="V128" s="42"/>
      <c r="W128" s="42"/>
      <c r="X128" s="42"/>
      <c r="Z128" s="6"/>
      <c r="AA128" s="6"/>
      <c r="AB128" s="6"/>
      <c r="AD128" s="7"/>
      <c r="AE128" s="7"/>
      <c r="AF128" s="7"/>
      <c r="AM128" s="7"/>
      <c r="AN128" s="7"/>
      <c r="AO128" s="8"/>
      <c r="AP128" s="8"/>
      <c r="AQ128" s="4"/>
    </row>
    <row r="129" spans="1:43" x14ac:dyDescent="0.2">
      <c r="A129" s="42" t="s">
        <v>235</v>
      </c>
      <c r="B129" s="42"/>
      <c r="C129" s="42" t="s">
        <v>236</v>
      </c>
      <c r="D129" s="34" t="s">
        <v>237</v>
      </c>
      <c r="E129" s="42" t="s">
        <v>217</v>
      </c>
      <c r="F129" s="35">
        <v>1</v>
      </c>
      <c r="G129" s="42">
        <v>0</v>
      </c>
      <c r="H129" s="42">
        <f>F129*AE129</f>
        <v>0</v>
      </c>
      <c r="I129" s="42">
        <f>J129-H129</f>
        <v>0</v>
      </c>
      <c r="J129" s="42">
        <f>F129*G129</f>
        <v>0</v>
      </c>
      <c r="K129" s="42">
        <v>0</v>
      </c>
      <c r="L129" s="42">
        <f>F129*K129</f>
        <v>0</v>
      </c>
      <c r="M129" s="42"/>
      <c r="N129" s="42" t="s">
        <v>49</v>
      </c>
      <c r="O129" s="42">
        <f>IF(N129="5",I129,0)</f>
        <v>0</v>
      </c>
      <c r="P129" s="42"/>
      <c r="Q129" s="42"/>
      <c r="R129" s="42"/>
      <c r="S129" s="42"/>
      <c r="T129" s="42"/>
      <c r="U129" s="42"/>
      <c r="V129" s="42"/>
      <c r="W129" s="42"/>
      <c r="X129" s="42"/>
      <c r="Z129" s="1">
        <f>IF(AD129=0,J129,0)</f>
        <v>0</v>
      </c>
      <c r="AA129" s="1">
        <f>IF(AD129=15,J129,0)</f>
        <v>0</v>
      </c>
      <c r="AB129" s="1">
        <f>IF(AD129=21,J129,0)</f>
        <v>0</v>
      </c>
      <c r="AD129" s="1">
        <v>21</v>
      </c>
      <c r="AE129" s="1">
        <f>G129*0.625</f>
        <v>0</v>
      </c>
      <c r="AF129" s="1">
        <f>G129*(1-0.625)</f>
        <v>0</v>
      </c>
      <c r="AM129" s="1">
        <f>F129*AE129</f>
        <v>0</v>
      </c>
      <c r="AN129" s="1">
        <f>F129*AF129</f>
        <v>0</v>
      </c>
      <c r="AO129" s="1" t="s">
        <v>233</v>
      </c>
      <c r="AP129" s="1" t="s">
        <v>191</v>
      </c>
      <c r="AQ129" s="1" t="s">
        <v>56</v>
      </c>
    </row>
    <row r="130" spans="1:43" x14ac:dyDescent="0.2">
      <c r="A130" s="42"/>
      <c r="B130" s="42"/>
      <c r="C130" s="42"/>
      <c r="D130" s="34" t="s">
        <v>238</v>
      </c>
      <c r="E130" s="42"/>
      <c r="F130" s="35">
        <v>1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:43" x14ac:dyDescent="0.2">
      <c r="A131" s="42"/>
      <c r="B131" s="42"/>
      <c r="C131" s="42" t="s">
        <v>239</v>
      </c>
      <c r="D131" s="34" t="s">
        <v>240</v>
      </c>
      <c r="E131" s="42"/>
      <c r="F131" s="35"/>
      <c r="G131" s="42"/>
      <c r="H131" s="42">
        <f>SUM(H132:H132)</f>
        <v>0</v>
      </c>
      <c r="I131" s="42">
        <f>SUM(I132:I132)</f>
        <v>0</v>
      </c>
      <c r="J131" s="42">
        <f>H131+I131</f>
        <v>0</v>
      </c>
      <c r="K131" s="42"/>
      <c r="L131" s="42">
        <f>SUM(L132:L132)</f>
        <v>1.815E-3</v>
      </c>
      <c r="M131" s="42"/>
      <c r="N131" s="42"/>
      <c r="O131" s="42"/>
      <c r="P131" s="42">
        <f>IF(Q131="PR",J131,SUM(O132:O132))</f>
        <v>0</v>
      </c>
      <c r="Q131" s="42" t="s">
        <v>178</v>
      </c>
      <c r="R131" s="42">
        <f>IF(Q131="HS",H131,0)</f>
        <v>0</v>
      </c>
      <c r="S131" s="42">
        <f>IF(Q131="HS",I131-P131,0)</f>
        <v>0</v>
      </c>
      <c r="T131" s="42">
        <f>IF(Q131="PS",H131,0)</f>
        <v>0</v>
      </c>
      <c r="U131" s="42">
        <f>IF(Q131="PS",I131-P131,0)</f>
        <v>0</v>
      </c>
      <c r="V131" s="42">
        <f>IF(Q131="MP",H131,0)</f>
        <v>0</v>
      </c>
      <c r="W131" s="42">
        <f>IF(Q131="MP",I131-P131,0)</f>
        <v>0</v>
      </c>
      <c r="X131" s="42">
        <f>IF(Q131="OM",H131,0)</f>
        <v>0</v>
      </c>
      <c r="AI131" s="1">
        <f>SUM(Z132:Z132)</f>
        <v>0</v>
      </c>
      <c r="AJ131" s="1">
        <f>SUM(AA132:AA132)</f>
        <v>0</v>
      </c>
      <c r="AK131" s="1">
        <f>SUM(AB132:AB132)</f>
        <v>0</v>
      </c>
    </row>
    <row r="132" spans="1:43" x14ac:dyDescent="0.2">
      <c r="A132" s="42" t="s">
        <v>241</v>
      </c>
      <c r="B132" s="42"/>
      <c r="C132" s="42" t="s">
        <v>242</v>
      </c>
      <c r="D132" s="34" t="s">
        <v>243</v>
      </c>
      <c r="E132" s="42" t="s">
        <v>52</v>
      </c>
      <c r="F132" s="35">
        <v>7.26</v>
      </c>
      <c r="G132" s="42">
        <v>0</v>
      </c>
      <c r="H132" s="42">
        <f>F132*AE132</f>
        <v>0</v>
      </c>
      <c r="I132" s="42">
        <f>J132-H132</f>
        <v>0</v>
      </c>
      <c r="J132" s="42">
        <f>F132*G132</f>
        <v>0</v>
      </c>
      <c r="K132" s="42">
        <v>2.5000000000000001E-4</v>
      </c>
      <c r="L132" s="42">
        <f>F132*K132</f>
        <v>1.815E-3</v>
      </c>
      <c r="M132" s="42" t="s">
        <v>53</v>
      </c>
      <c r="N132" s="42" t="s">
        <v>49</v>
      </c>
      <c r="O132" s="42">
        <f>IF(N132="5",I132,0)</f>
        <v>0</v>
      </c>
      <c r="P132" s="42"/>
      <c r="Q132" s="42"/>
      <c r="R132" s="42"/>
      <c r="S132" s="42"/>
      <c r="T132" s="42"/>
      <c r="U132" s="42"/>
      <c r="V132" s="42"/>
      <c r="W132" s="42"/>
      <c r="X132" s="42"/>
      <c r="Z132" s="1">
        <f>IF(AD132=0,J132,0)</f>
        <v>0</v>
      </c>
      <c r="AA132" s="1">
        <f>IF(AD132=15,J132,0)</f>
        <v>0</v>
      </c>
      <c r="AB132" s="1">
        <f>IF(AD132=21,J132,0)</f>
        <v>0</v>
      </c>
      <c r="AD132" s="1">
        <v>21</v>
      </c>
      <c r="AE132" s="1">
        <f>G132*0.225427872860636</f>
        <v>0</v>
      </c>
      <c r="AF132" s="1">
        <f>G132*(1-0.225427872860636)</f>
        <v>0</v>
      </c>
      <c r="AM132" s="1">
        <f>F132*AE132</f>
        <v>0</v>
      </c>
      <c r="AN132" s="1">
        <f>F132*AF132</f>
        <v>0</v>
      </c>
      <c r="AO132" s="1" t="s">
        <v>244</v>
      </c>
      <c r="AP132" s="1" t="s">
        <v>245</v>
      </c>
      <c r="AQ132" s="1" t="s">
        <v>56</v>
      </c>
    </row>
    <row r="133" spans="1:43" x14ac:dyDescent="0.2">
      <c r="A133" s="42"/>
      <c r="B133" s="42"/>
      <c r="C133" s="42"/>
      <c r="D133" s="34" t="s">
        <v>246</v>
      </c>
      <c r="E133" s="42"/>
      <c r="F133" s="35">
        <v>7.26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:43" x14ac:dyDescent="0.2">
      <c r="A134" s="42"/>
      <c r="B134" s="42"/>
      <c r="C134" s="42" t="s">
        <v>247</v>
      </c>
      <c r="D134" s="34" t="s">
        <v>248</v>
      </c>
      <c r="E134" s="42"/>
      <c r="F134" s="35"/>
      <c r="G134" s="42"/>
      <c r="H134" s="42">
        <f>SUM(H135:H150)</f>
        <v>0</v>
      </c>
      <c r="I134" s="42">
        <f>SUM(I135:I150)</f>
        <v>0</v>
      </c>
      <c r="J134" s="42">
        <f>H134+I134</f>
        <v>0</v>
      </c>
      <c r="K134" s="42"/>
      <c r="L134" s="42">
        <f>SUM(L135:L150)</f>
        <v>22.404740800000006</v>
      </c>
      <c r="M134" s="42"/>
      <c r="N134" s="42"/>
      <c r="O134" s="42"/>
      <c r="P134" s="42">
        <f>IF(Q134="PR",J134,SUM(O135:O150))</f>
        <v>0</v>
      </c>
      <c r="Q134" s="42" t="s">
        <v>48</v>
      </c>
      <c r="R134" s="42">
        <f>IF(Q134="HS",H134,0)</f>
        <v>0</v>
      </c>
      <c r="S134" s="42">
        <f>IF(Q134="HS",I134-P134,0)</f>
        <v>0</v>
      </c>
      <c r="T134" s="42">
        <f>IF(Q134="PS",H134,0)</f>
        <v>0</v>
      </c>
      <c r="U134" s="42">
        <f>IF(Q134="PS",I134-P134,0)</f>
        <v>0</v>
      </c>
      <c r="V134" s="42">
        <f>IF(Q134="MP",H134,0)</f>
        <v>0</v>
      </c>
      <c r="W134" s="42">
        <f>IF(Q134="MP",I134-P134,0)</f>
        <v>0</v>
      </c>
      <c r="X134" s="42">
        <f>IF(Q134="OM",H134,0)</f>
        <v>0</v>
      </c>
      <c r="AI134" s="1">
        <f>SUM(Z135:Z150)</f>
        <v>0</v>
      </c>
      <c r="AJ134" s="1">
        <f>SUM(AA135:AA150)</f>
        <v>0</v>
      </c>
      <c r="AK134" s="1">
        <f>SUM(AB135:AB150)</f>
        <v>0</v>
      </c>
    </row>
    <row r="135" spans="1:43" x14ac:dyDescent="0.2">
      <c r="A135" s="42" t="s">
        <v>249</v>
      </c>
      <c r="B135" s="42"/>
      <c r="C135" s="42" t="s">
        <v>250</v>
      </c>
      <c r="D135" s="34" t="s">
        <v>251</v>
      </c>
      <c r="E135" s="42" t="s">
        <v>52</v>
      </c>
      <c r="F135" s="35">
        <v>2</v>
      </c>
      <c r="G135" s="42">
        <v>0</v>
      </c>
      <c r="H135" s="42">
        <f>F135*AE135</f>
        <v>0</v>
      </c>
      <c r="I135" s="42">
        <f>J135-H135</f>
        <v>0</v>
      </c>
      <c r="J135" s="42">
        <f>F135*G135</f>
        <v>0</v>
      </c>
      <c r="K135" s="42">
        <v>1.58E-3</v>
      </c>
      <c r="L135" s="42">
        <f>F135*K135</f>
        <v>3.16E-3</v>
      </c>
      <c r="M135" s="42" t="s">
        <v>53</v>
      </c>
      <c r="N135" s="42" t="s">
        <v>49</v>
      </c>
      <c r="O135" s="42">
        <f>IF(N135="5",I135,0)</f>
        <v>0</v>
      </c>
      <c r="P135" s="42"/>
      <c r="Q135" s="42"/>
      <c r="R135" s="42"/>
      <c r="S135" s="42"/>
      <c r="T135" s="42"/>
      <c r="U135" s="42"/>
      <c r="V135" s="42"/>
      <c r="W135" s="42"/>
      <c r="X135" s="42"/>
      <c r="Z135" s="1">
        <f>IF(AD135=0,J135,0)</f>
        <v>0</v>
      </c>
      <c r="AA135" s="1">
        <f>IF(AD135=15,J135,0)</f>
        <v>0</v>
      </c>
      <c r="AB135" s="1">
        <f>IF(AD135=21,J135,0)</f>
        <v>0</v>
      </c>
      <c r="AD135" s="1">
        <v>21</v>
      </c>
      <c r="AE135" s="1">
        <f>G135*0.455303820267324</f>
        <v>0</v>
      </c>
      <c r="AF135" s="1">
        <f>G135*(1-0.455303820267324)</f>
        <v>0</v>
      </c>
      <c r="AM135" s="1">
        <f>F135*AE135</f>
        <v>0</v>
      </c>
      <c r="AN135" s="1">
        <f>F135*AF135</f>
        <v>0</v>
      </c>
      <c r="AO135" s="1" t="s">
        <v>252</v>
      </c>
      <c r="AP135" s="1" t="s">
        <v>253</v>
      </c>
      <c r="AQ135" s="1" t="s">
        <v>56</v>
      </c>
    </row>
    <row r="136" spans="1:43" x14ac:dyDescent="0.2">
      <c r="A136" s="42"/>
      <c r="B136" s="42"/>
      <c r="C136" s="42"/>
      <c r="D136" s="34" t="s">
        <v>254</v>
      </c>
      <c r="E136" s="42"/>
      <c r="F136" s="35">
        <v>2</v>
      </c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1:43" x14ac:dyDescent="0.2">
      <c r="A137" s="31" t="s">
        <v>255</v>
      </c>
      <c r="B137" s="31"/>
      <c r="C137" s="31" t="s">
        <v>256</v>
      </c>
      <c r="D137" s="31" t="s">
        <v>257</v>
      </c>
      <c r="E137" s="31" t="s">
        <v>52</v>
      </c>
      <c r="F137" s="32">
        <v>1102.44</v>
      </c>
      <c r="G137" s="32">
        <v>0</v>
      </c>
      <c r="H137" s="32">
        <f>F137*AE137</f>
        <v>0</v>
      </c>
      <c r="I137" s="32">
        <f>J137-H137</f>
        <v>0</v>
      </c>
      <c r="J137" s="32">
        <f>F137*G137</f>
        <v>0</v>
      </c>
      <c r="K137" s="32">
        <v>1.8380000000000001E-2</v>
      </c>
      <c r="L137" s="32">
        <f>F137*K137</f>
        <v>20.262847200000003</v>
      </c>
      <c r="M137" s="33" t="s">
        <v>53</v>
      </c>
      <c r="N137" s="33" t="s">
        <v>49</v>
      </c>
      <c r="O137" s="32">
        <f>IF(N137="5",I137,0)</f>
        <v>0</v>
      </c>
      <c r="P137" s="42"/>
      <c r="Q137" s="42"/>
      <c r="R137" s="42"/>
      <c r="S137" s="42"/>
      <c r="T137" s="42"/>
      <c r="U137" s="42"/>
      <c r="V137" s="42"/>
      <c r="W137" s="42"/>
      <c r="X137" s="42"/>
      <c r="Z137" s="6">
        <f>IF(AD137=0,J137,0)</f>
        <v>0</v>
      </c>
      <c r="AA137" s="6">
        <f>IF(AD137=15,J137,0)</f>
        <v>0</v>
      </c>
      <c r="AB137" s="6">
        <f>IF(AD137=21,J137,0)</f>
        <v>0</v>
      </c>
      <c r="AD137" s="7">
        <v>21</v>
      </c>
      <c r="AE137" s="7">
        <f>G137*0.000623700623700624</f>
        <v>0</v>
      </c>
      <c r="AF137" s="7">
        <f>G137*(1-0.000623700623700624)</f>
        <v>0</v>
      </c>
      <c r="AM137" s="7">
        <f>F137*AE137</f>
        <v>0</v>
      </c>
      <c r="AN137" s="7">
        <f>F137*AF137</f>
        <v>0</v>
      </c>
      <c r="AO137" s="8" t="s">
        <v>252</v>
      </c>
      <c r="AP137" s="8" t="s">
        <v>253</v>
      </c>
      <c r="AQ137" s="4" t="s">
        <v>56</v>
      </c>
    </row>
    <row r="138" spans="1:43" x14ac:dyDescent="0.2">
      <c r="A138" s="42"/>
      <c r="B138" s="42"/>
      <c r="C138" s="42"/>
      <c r="D138" s="34" t="s">
        <v>258</v>
      </c>
      <c r="E138" s="42"/>
      <c r="F138" s="35">
        <v>327.14</v>
      </c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</row>
    <row r="139" spans="1:43" x14ac:dyDescent="0.2">
      <c r="A139" s="31"/>
      <c r="B139" s="31"/>
      <c r="C139" s="31"/>
      <c r="D139" s="31" t="s">
        <v>259</v>
      </c>
      <c r="E139" s="31"/>
      <c r="F139" s="32">
        <v>76.400000000000006</v>
      </c>
      <c r="G139" s="32"/>
      <c r="H139" s="32"/>
      <c r="I139" s="32"/>
      <c r="J139" s="32"/>
      <c r="K139" s="32"/>
      <c r="L139" s="32"/>
      <c r="M139" s="33"/>
      <c r="N139" s="33"/>
      <c r="O139" s="32"/>
      <c r="P139" s="42"/>
      <c r="Q139" s="42"/>
      <c r="R139" s="42"/>
      <c r="S139" s="42"/>
      <c r="T139" s="42"/>
      <c r="U139" s="42"/>
      <c r="V139" s="42"/>
      <c r="W139" s="42"/>
      <c r="X139" s="42"/>
      <c r="Z139" s="6"/>
      <c r="AA139" s="6"/>
      <c r="AB139" s="6"/>
      <c r="AD139" s="7"/>
      <c r="AE139" s="7"/>
      <c r="AF139" s="7"/>
      <c r="AM139" s="7"/>
      <c r="AN139" s="7"/>
      <c r="AO139" s="8"/>
      <c r="AP139" s="8"/>
      <c r="AQ139" s="4"/>
    </row>
    <row r="140" spans="1:43" x14ac:dyDescent="0.2">
      <c r="A140" s="42"/>
      <c r="B140" s="42"/>
      <c r="C140" s="42"/>
      <c r="D140" s="34" t="s">
        <v>260</v>
      </c>
      <c r="E140" s="42"/>
      <c r="F140" s="35">
        <v>129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</row>
    <row r="141" spans="1:43" x14ac:dyDescent="0.2">
      <c r="A141" s="31"/>
      <c r="B141" s="31"/>
      <c r="C141" s="31"/>
      <c r="D141" s="31" t="s">
        <v>261</v>
      </c>
      <c r="E141" s="31"/>
      <c r="F141" s="32">
        <v>45.58</v>
      </c>
      <c r="G141" s="32"/>
      <c r="H141" s="32"/>
      <c r="I141" s="32"/>
      <c r="J141" s="32"/>
      <c r="K141" s="32"/>
      <c r="L141" s="32"/>
      <c r="M141" s="33"/>
      <c r="N141" s="33"/>
      <c r="O141" s="32"/>
      <c r="P141" s="42"/>
      <c r="Q141" s="42"/>
      <c r="R141" s="42"/>
      <c r="S141" s="42"/>
      <c r="T141" s="42"/>
      <c r="U141" s="42"/>
      <c r="V141" s="42"/>
      <c r="W141" s="42"/>
      <c r="X141" s="42"/>
      <c r="Z141" s="6"/>
      <c r="AA141" s="6"/>
      <c r="AB141" s="6"/>
      <c r="AD141" s="7"/>
      <c r="AE141" s="7"/>
      <c r="AF141" s="7"/>
      <c r="AM141" s="7"/>
      <c r="AN141" s="7"/>
      <c r="AO141" s="8"/>
      <c r="AP141" s="8"/>
      <c r="AQ141" s="4"/>
    </row>
    <row r="142" spans="1:43" x14ac:dyDescent="0.2">
      <c r="A142" s="31"/>
      <c r="B142" s="49"/>
      <c r="C142" s="49"/>
      <c r="D142" s="68" t="s">
        <v>262</v>
      </c>
      <c r="E142" s="69"/>
      <c r="F142" s="69">
        <v>120.62</v>
      </c>
      <c r="G142" s="69"/>
      <c r="H142" s="48"/>
      <c r="I142" s="48"/>
      <c r="J142" s="48"/>
      <c r="K142" s="43"/>
      <c r="L142" s="48"/>
      <c r="M142" s="43"/>
      <c r="N142" s="42"/>
      <c r="O142" s="42"/>
      <c r="P142" s="48"/>
      <c r="Q142" s="43"/>
      <c r="R142" s="48"/>
      <c r="S142" s="48"/>
      <c r="T142" s="48"/>
      <c r="U142" s="48"/>
      <c r="V142" s="48"/>
      <c r="W142" s="48"/>
      <c r="X142" s="48"/>
      <c r="Y142" s="4"/>
      <c r="AI142" s="5"/>
      <c r="AJ142" s="5"/>
      <c r="AK142" s="5"/>
    </row>
    <row r="143" spans="1:43" x14ac:dyDescent="0.2">
      <c r="A143" s="31"/>
      <c r="B143" s="31"/>
      <c r="C143" s="31"/>
      <c r="D143" s="31" t="s">
        <v>263</v>
      </c>
      <c r="E143" s="31"/>
      <c r="F143" s="32">
        <v>76.5</v>
      </c>
      <c r="G143" s="32"/>
      <c r="H143" s="32"/>
      <c r="I143" s="32"/>
      <c r="J143" s="32"/>
      <c r="K143" s="32"/>
      <c r="L143" s="32"/>
      <c r="M143" s="33"/>
      <c r="N143" s="33"/>
      <c r="O143" s="32"/>
      <c r="P143" s="42"/>
      <c r="Q143" s="42"/>
      <c r="R143" s="42"/>
      <c r="S143" s="42"/>
      <c r="T143" s="42"/>
      <c r="U143" s="42"/>
      <c r="V143" s="42"/>
      <c r="W143" s="42"/>
      <c r="X143" s="42"/>
      <c r="Z143" s="6"/>
      <c r="AA143" s="6"/>
      <c r="AB143" s="6"/>
      <c r="AD143" s="7"/>
      <c r="AE143" s="7"/>
      <c r="AF143" s="7"/>
      <c r="AM143" s="7"/>
      <c r="AN143" s="7"/>
      <c r="AO143" s="8"/>
      <c r="AP143" s="8"/>
      <c r="AQ143" s="4"/>
    </row>
    <row r="144" spans="1:43" x14ac:dyDescent="0.2">
      <c r="A144" s="42"/>
      <c r="B144" s="42"/>
      <c r="C144" s="42"/>
      <c r="D144" s="34" t="s">
        <v>264</v>
      </c>
      <c r="E144" s="42"/>
      <c r="F144" s="35">
        <v>71.09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</row>
    <row r="145" spans="1:43" x14ac:dyDescent="0.2">
      <c r="A145" s="31"/>
      <c r="B145" s="31"/>
      <c r="C145" s="31"/>
      <c r="D145" s="31" t="s">
        <v>265</v>
      </c>
      <c r="E145" s="31"/>
      <c r="F145" s="32">
        <v>256.11</v>
      </c>
      <c r="G145" s="32"/>
      <c r="H145" s="32"/>
      <c r="I145" s="32"/>
      <c r="J145" s="32"/>
      <c r="K145" s="32"/>
      <c r="L145" s="32"/>
      <c r="M145" s="33"/>
      <c r="N145" s="33"/>
      <c r="O145" s="32"/>
      <c r="P145" s="42"/>
      <c r="Q145" s="42"/>
      <c r="R145" s="42"/>
      <c r="S145" s="42"/>
      <c r="T145" s="42"/>
      <c r="U145" s="42"/>
      <c r="V145" s="42"/>
      <c r="W145" s="42"/>
      <c r="X145" s="42"/>
      <c r="Z145" s="6"/>
      <c r="AA145" s="6"/>
      <c r="AB145" s="6"/>
      <c r="AD145" s="7"/>
      <c r="AE145" s="7"/>
      <c r="AF145" s="7"/>
      <c r="AM145" s="7"/>
      <c r="AN145" s="7"/>
      <c r="AO145" s="8"/>
      <c r="AP145" s="8"/>
      <c r="AQ145" s="4"/>
    </row>
    <row r="146" spans="1:43" x14ac:dyDescent="0.2">
      <c r="A146" s="42" t="s">
        <v>266</v>
      </c>
      <c r="B146" s="42"/>
      <c r="C146" s="42" t="s">
        <v>267</v>
      </c>
      <c r="D146" s="34" t="s">
        <v>268</v>
      </c>
      <c r="E146" s="42" t="s">
        <v>52</v>
      </c>
      <c r="F146" s="35">
        <v>2204.88</v>
      </c>
      <c r="G146" s="42">
        <v>0</v>
      </c>
      <c r="H146" s="42">
        <f>F146*AE146</f>
        <v>0</v>
      </c>
      <c r="I146" s="42">
        <f>J146-H146</f>
        <v>0</v>
      </c>
      <c r="J146" s="42">
        <f>F146*G146</f>
        <v>0</v>
      </c>
      <c r="K146" s="42">
        <v>9.7000000000000005E-4</v>
      </c>
      <c r="L146" s="42">
        <f>F146*K146</f>
        <v>2.1387336000000001</v>
      </c>
      <c r="M146" s="42" t="s">
        <v>53</v>
      </c>
      <c r="N146" s="42" t="s">
        <v>49</v>
      </c>
      <c r="O146" s="42">
        <f>IF(N146="5",I146,0)</f>
        <v>0</v>
      </c>
      <c r="P146" s="42"/>
      <c r="Q146" s="42"/>
      <c r="R146" s="42"/>
      <c r="S146" s="42"/>
      <c r="T146" s="42"/>
      <c r="U146" s="42"/>
      <c r="V146" s="42"/>
      <c r="W146" s="42"/>
      <c r="X146" s="42"/>
      <c r="Z146" s="1">
        <f>IF(AD146=0,J146,0)</f>
        <v>0</v>
      </c>
      <c r="AA146" s="1">
        <f>IF(AD146=15,J146,0)</f>
        <v>0</v>
      </c>
      <c r="AB146" s="1">
        <f>IF(AD146=21,J146,0)</f>
        <v>0</v>
      </c>
      <c r="AD146" s="1">
        <v>21</v>
      </c>
      <c r="AE146" s="1">
        <f>G146*0.954889324740824</f>
        <v>0</v>
      </c>
      <c r="AF146" s="1">
        <f>G146*(1-0.954889324740824)</f>
        <v>0</v>
      </c>
      <c r="AM146" s="1">
        <f>F146*AE146</f>
        <v>0</v>
      </c>
      <c r="AN146" s="1">
        <f>F146*AF146</f>
        <v>0</v>
      </c>
      <c r="AO146" s="1" t="s">
        <v>252</v>
      </c>
      <c r="AP146" s="1" t="s">
        <v>253</v>
      </c>
      <c r="AQ146" s="1" t="s">
        <v>56</v>
      </c>
    </row>
    <row r="147" spans="1:43" x14ac:dyDescent="0.2">
      <c r="A147" s="31"/>
      <c r="B147" s="49"/>
      <c r="C147" s="49"/>
      <c r="D147" s="68" t="s">
        <v>269</v>
      </c>
      <c r="E147" s="69"/>
      <c r="F147" s="69">
        <v>2204.88</v>
      </c>
      <c r="G147" s="69"/>
      <c r="H147" s="48"/>
      <c r="I147" s="48"/>
      <c r="J147" s="48"/>
      <c r="K147" s="43"/>
      <c r="L147" s="48"/>
      <c r="M147" s="43"/>
      <c r="N147" s="42"/>
      <c r="O147" s="42"/>
      <c r="P147" s="48"/>
      <c r="Q147" s="43"/>
      <c r="R147" s="48"/>
      <c r="S147" s="48"/>
      <c r="T147" s="48"/>
      <c r="U147" s="48"/>
      <c r="V147" s="48"/>
      <c r="W147" s="48"/>
      <c r="X147" s="48"/>
      <c r="Y147" s="4"/>
      <c r="AI147" s="5"/>
      <c r="AJ147" s="5"/>
      <c r="AK147" s="5"/>
    </row>
    <row r="148" spans="1:43" x14ac:dyDescent="0.2">
      <c r="A148" s="31" t="s">
        <v>270</v>
      </c>
      <c r="B148" s="31"/>
      <c r="C148" s="31" t="s">
        <v>271</v>
      </c>
      <c r="D148" s="31" t="s">
        <v>272</v>
      </c>
      <c r="E148" s="31" t="s">
        <v>52</v>
      </c>
      <c r="F148" s="32">
        <v>1102.44</v>
      </c>
      <c r="G148" s="32">
        <v>0</v>
      </c>
      <c r="H148" s="32">
        <f>F148*AE148</f>
        <v>0</v>
      </c>
      <c r="I148" s="32">
        <f>J148-H148</f>
        <v>0</v>
      </c>
      <c r="J148" s="32">
        <f>F148*G148</f>
        <v>0</v>
      </c>
      <c r="K148" s="32">
        <v>0</v>
      </c>
      <c r="L148" s="32">
        <f>F148*K148</f>
        <v>0</v>
      </c>
      <c r="M148" s="33" t="s">
        <v>53</v>
      </c>
      <c r="N148" s="33" t="s">
        <v>49</v>
      </c>
      <c r="O148" s="32">
        <f>IF(N148="5",I148,0)</f>
        <v>0</v>
      </c>
      <c r="P148" s="42"/>
      <c r="Q148" s="42"/>
      <c r="R148" s="42"/>
      <c r="S148" s="42"/>
      <c r="T148" s="42"/>
      <c r="U148" s="42"/>
      <c r="V148" s="42"/>
      <c r="W148" s="42"/>
      <c r="X148" s="42"/>
      <c r="Z148" s="6">
        <f>IF(AD148=0,J148,0)</f>
        <v>0</v>
      </c>
      <c r="AA148" s="6">
        <f>IF(AD148=15,J148,0)</f>
        <v>0</v>
      </c>
      <c r="AB148" s="6">
        <f>IF(AD148=21,J148,0)</f>
        <v>0</v>
      </c>
      <c r="AD148" s="7">
        <v>21</v>
      </c>
      <c r="AE148" s="7">
        <f>G148*0</f>
        <v>0</v>
      </c>
      <c r="AF148" s="7">
        <f>G148*(1-0)</f>
        <v>0</v>
      </c>
      <c r="AM148" s="7">
        <f>F148*AE148</f>
        <v>0</v>
      </c>
      <c r="AN148" s="7">
        <f>F148*AF148</f>
        <v>0</v>
      </c>
      <c r="AO148" s="8" t="s">
        <v>252</v>
      </c>
      <c r="AP148" s="8" t="s">
        <v>253</v>
      </c>
      <c r="AQ148" s="4" t="s">
        <v>56</v>
      </c>
    </row>
    <row r="149" spans="1:43" x14ac:dyDescent="0.2">
      <c r="A149" s="42"/>
      <c r="B149" s="42"/>
      <c r="C149" s="42"/>
      <c r="D149" s="34" t="s">
        <v>273</v>
      </c>
      <c r="E149" s="42"/>
      <c r="F149" s="35">
        <v>1102.44</v>
      </c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43" x14ac:dyDescent="0.2">
      <c r="A150" s="42" t="s">
        <v>274</v>
      </c>
      <c r="B150" s="42"/>
      <c r="C150" s="42" t="s">
        <v>275</v>
      </c>
      <c r="D150" s="34" t="s">
        <v>276</v>
      </c>
      <c r="E150" s="42" t="s">
        <v>277</v>
      </c>
      <c r="F150" s="35">
        <v>22.40474</v>
      </c>
      <c r="G150" s="42">
        <v>0</v>
      </c>
      <c r="H150" s="42">
        <f>F150*AE150</f>
        <v>0</v>
      </c>
      <c r="I150" s="42">
        <f>J150-H150</f>
        <v>0</v>
      </c>
      <c r="J150" s="42">
        <f>F150*G150</f>
        <v>0</v>
      </c>
      <c r="K150" s="42">
        <v>0</v>
      </c>
      <c r="L150" s="42">
        <f>F150*K150</f>
        <v>0</v>
      </c>
      <c r="M150" s="42" t="s">
        <v>53</v>
      </c>
      <c r="N150" s="42" t="s">
        <v>75</v>
      </c>
      <c r="O150" s="42">
        <f>IF(N150="5",I150,0)</f>
        <v>0</v>
      </c>
      <c r="P150" s="42"/>
      <c r="Q150" s="42"/>
      <c r="R150" s="42"/>
      <c r="S150" s="42"/>
      <c r="T150" s="42"/>
      <c r="U150" s="42"/>
      <c r="V150" s="42"/>
      <c r="W150" s="42"/>
      <c r="X150" s="42"/>
      <c r="Z150" s="1">
        <f>IF(AD150=0,J150,0)</f>
        <v>0</v>
      </c>
      <c r="AA150" s="1">
        <f>IF(AD150=15,J150,0)</f>
        <v>0</v>
      </c>
      <c r="AB150" s="1">
        <f>IF(AD150=21,J150,0)</f>
        <v>0</v>
      </c>
      <c r="AD150" s="1">
        <v>21</v>
      </c>
      <c r="AE150" s="1">
        <f>G150*0</f>
        <v>0</v>
      </c>
      <c r="AF150" s="1">
        <f>G150*(1-0)</f>
        <v>0</v>
      </c>
      <c r="AM150" s="1">
        <f>F150*AE150</f>
        <v>0</v>
      </c>
      <c r="AN150" s="1">
        <f>F150*AF150</f>
        <v>0</v>
      </c>
      <c r="AO150" s="1" t="s">
        <v>252</v>
      </c>
      <c r="AP150" s="1" t="s">
        <v>253</v>
      </c>
      <c r="AQ150" s="1" t="s">
        <v>56</v>
      </c>
    </row>
    <row r="151" spans="1:43" x14ac:dyDescent="0.2">
      <c r="A151" s="31"/>
      <c r="B151" s="31"/>
      <c r="C151" s="31" t="s">
        <v>278</v>
      </c>
      <c r="D151" s="31" t="s">
        <v>279</v>
      </c>
      <c r="E151" s="31"/>
      <c r="F151" s="32"/>
      <c r="G151" s="32"/>
      <c r="H151" s="32">
        <f>SUM(H152:H154)</f>
        <v>0</v>
      </c>
      <c r="I151" s="32">
        <f>SUM(I152:I154)</f>
        <v>0</v>
      </c>
      <c r="J151" s="32">
        <f>H151+I151</f>
        <v>0</v>
      </c>
      <c r="K151" s="32"/>
      <c r="L151" s="32">
        <f>SUM(L152:L154)</f>
        <v>2.7420999999999999E-3</v>
      </c>
      <c r="M151" s="33"/>
      <c r="N151" s="33"/>
      <c r="O151" s="32"/>
      <c r="P151" s="42">
        <f>IF(Q151="PR",J151,SUM(O152:O154))</f>
        <v>0</v>
      </c>
      <c r="Q151" s="42" t="s">
        <v>48</v>
      </c>
      <c r="R151" s="42">
        <f>IF(Q151="HS",H151,0)</f>
        <v>0</v>
      </c>
      <c r="S151" s="42">
        <f>IF(Q151="HS",I151-P151,0)</f>
        <v>0</v>
      </c>
      <c r="T151" s="42">
        <f>IF(Q151="PS",H151,0)</f>
        <v>0</v>
      </c>
      <c r="U151" s="42">
        <f>IF(Q151="PS",I151-P151,0)</f>
        <v>0</v>
      </c>
      <c r="V151" s="42">
        <f>IF(Q151="MP",H151,0)</f>
        <v>0</v>
      </c>
      <c r="W151" s="42">
        <f>IF(Q151="MP",I151-P151,0)</f>
        <v>0</v>
      </c>
      <c r="X151" s="42">
        <f>IF(Q151="OM",H151,0)</f>
        <v>0</v>
      </c>
      <c r="Z151" s="6"/>
      <c r="AA151" s="6"/>
      <c r="AB151" s="6"/>
      <c r="AD151" s="7"/>
      <c r="AE151" s="7"/>
      <c r="AF151" s="7"/>
      <c r="AI151" s="1">
        <f>SUM(Z152:Z154)</f>
        <v>0</v>
      </c>
      <c r="AJ151" s="1">
        <f>SUM(AA152:AA154)</f>
        <v>0</v>
      </c>
      <c r="AK151" s="1">
        <f>SUM(AB152:AB154)</f>
        <v>0</v>
      </c>
      <c r="AM151" s="7"/>
      <c r="AN151" s="7"/>
      <c r="AO151" s="8"/>
      <c r="AP151" s="8"/>
      <c r="AQ151" s="4"/>
    </row>
    <row r="152" spans="1:43" x14ac:dyDescent="0.2">
      <c r="A152" s="42" t="s">
        <v>46</v>
      </c>
      <c r="B152" s="42"/>
      <c r="C152" s="42" t="s">
        <v>280</v>
      </c>
      <c r="D152" s="34" t="s">
        <v>281</v>
      </c>
      <c r="E152" s="42" t="s">
        <v>52</v>
      </c>
      <c r="F152" s="35">
        <v>274.20999999999998</v>
      </c>
      <c r="G152" s="42">
        <v>0</v>
      </c>
      <c r="H152" s="42">
        <f>F152*AE152</f>
        <v>0</v>
      </c>
      <c r="I152" s="42">
        <f>J152-H152</f>
        <v>0</v>
      </c>
      <c r="J152" s="42">
        <f>F152*G152</f>
        <v>0</v>
      </c>
      <c r="K152" s="42">
        <v>1.0000000000000001E-5</v>
      </c>
      <c r="L152" s="42">
        <f>F152*K152</f>
        <v>2.7420999999999999E-3</v>
      </c>
      <c r="M152" s="42" t="s">
        <v>53</v>
      </c>
      <c r="N152" s="42" t="s">
        <v>49</v>
      </c>
      <c r="O152" s="42">
        <f>IF(N152="5",I152,0)</f>
        <v>0</v>
      </c>
      <c r="P152" s="42"/>
      <c r="Q152" s="42"/>
      <c r="R152" s="42"/>
      <c r="S152" s="42"/>
      <c r="T152" s="42"/>
      <c r="U152" s="42"/>
      <c r="V152" s="42"/>
      <c r="W152" s="42"/>
      <c r="X152" s="42"/>
      <c r="Z152" s="1">
        <f>IF(AD152=0,J152,0)</f>
        <v>0</v>
      </c>
      <c r="AA152" s="1">
        <f>IF(AD152=15,J152,0)</f>
        <v>0</v>
      </c>
      <c r="AB152" s="1">
        <f>IF(AD152=21,J152,0)</f>
        <v>0</v>
      </c>
      <c r="AD152" s="1">
        <v>21</v>
      </c>
      <c r="AE152" s="1">
        <f>G152*0.0288201741218853</f>
        <v>0</v>
      </c>
      <c r="AF152" s="1">
        <f>G152*(1-0.0288201741218853)</f>
        <v>0</v>
      </c>
      <c r="AM152" s="1">
        <f>F152*AE152</f>
        <v>0</v>
      </c>
      <c r="AN152" s="1">
        <f>F152*AF152</f>
        <v>0</v>
      </c>
      <c r="AO152" s="1" t="s">
        <v>282</v>
      </c>
      <c r="AP152" s="1" t="s">
        <v>253</v>
      </c>
      <c r="AQ152" s="1" t="s">
        <v>56</v>
      </c>
    </row>
    <row r="153" spans="1:43" x14ac:dyDescent="0.2">
      <c r="A153" s="31"/>
      <c r="B153" s="31"/>
      <c r="C153" s="31"/>
      <c r="D153" s="31" t="s">
        <v>283</v>
      </c>
      <c r="E153" s="31"/>
      <c r="F153" s="32">
        <v>274.20999999999998</v>
      </c>
      <c r="G153" s="32"/>
      <c r="H153" s="32"/>
      <c r="I153" s="32"/>
      <c r="J153" s="32"/>
      <c r="K153" s="32"/>
      <c r="L153" s="32"/>
      <c r="M153" s="33"/>
      <c r="N153" s="33"/>
      <c r="O153" s="32"/>
      <c r="P153" s="42"/>
      <c r="Q153" s="42"/>
      <c r="R153" s="42"/>
      <c r="S153" s="42"/>
      <c r="T153" s="42"/>
      <c r="U153" s="42"/>
      <c r="V153" s="42"/>
      <c r="W153" s="42"/>
      <c r="X153" s="42"/>
      <c r="Z153" s="6"/>
      <c r="AA153" s="6"/>
      <c r="AB153" s="6"/>
      <c r="AD153" s="7"/>
      <c r="AE153" s="7"/>
      <c r="AF153" s="7"/>
      <c r="AM153" s="7"/>
      <c r="AN153" s="7"/>
      <c r="AO153" s="8"/>
      <c r="AP153" s="8"/>
      <c r="AQ153" s="4"/>
    </row>
    <row r="154" spans="1:43" x14ac:dyDescent="0.2">
      <c r="A154" s="42" t="s">
        <v>284</v>
      </c>
      <c r="B154" s="42"/>
      <c r="C154" s="42" t="s">
        <v>285</v>
      </c>
      <c r="D154" s="34" t="s">
        <v>286</v>
      </c>
      <c r="E154" s="42" t="s">
        <v>277</v>
      </c>
      <c r="F154" s="35">
        <v>34.025060000000003</v>
      </c>
      <c r="G154" s="42">
        <v>0</v>
      </c>
      <c r="H154" s="42">
        <f>F154*AE154</f>
        <v>0</v>
      </c>
      <c r="I154" s="42">
        <f>J154-H154</f>
        <v>0</v>
      </c>
      <c r="J154" s="42">
        <f>F154*G154</f>
        <v>0</v>
      </c>
      <c r="K154" s="42">
        <v>0</v>
      </c>
      <c r="L154" s="42">
        <f>F154*K154</f>
        <v>0</v>
      </c>
      <c r="M154" s="42" t="s">
        <v>53</v>
      </c>
      <c r="N154" s="42" t="s">
        <v>75</v>
      </c>
      <c r="O154" s="42">
        <f>IF(N154="5",I154,0)</f>
        <v>0</v>
      </c>
      <c r="P154" s="42"/>
      <c r="Q154" s="42"/>
      <c r="R154" s="42"/>
      <c r="S154" s="42"/>
      <c r="T154" s="42"/>
      <c r="U154" s="42"/>
      <c r="V154" s="42"/>
      <c r="W154" s="42"/>
      <c r="X154" s="42"/>
      <c r="Z154" s="1">
        <f>IF(AD154=0,J154,0)</f>
        <v>0</v>
      </c>
      <c r="AA154" s="1">
        <f>IF(AD154=15,J154,0)</f>
        <v>0</v>
      </c>
      <c r="AB154" s="1">
        <f>IF(AD154=21,J154,0)</f>
        <v>0</v>
      </c>
      <c r="AD154" s="1">
        <v>21</v>
      </c>
      <c r="AE154" s="1">
        <f>G154*0</f>
        <v>0</v>
      </c>
      <c r="AF154" s="1">
        <f>G154*(1-0)</f>
        <v>0</v>
      </c>
      <c r="AM154" s="1">
        <f>F154*AE154</f>
        <v>0</v>
      </c>
      <c r="AN154" s="1">
        <f>F154*AF154</f>
        <v>0</v>
      </c>
      <c r="AO154" s="1" t="s">
        <v>282</v>
      </c>
      <c r="AP154" s="1" t="s">
        <v>253</v>
      </c>
      <c r="AQ154" s="1" t="s">
        <v>56</v>
      </c>
    </row>
    <row r="155" spans="1:43" x14ac:dyDescent="0.2">
      <c r="A155" s="31"/>
      <c r="B155" s="49"/>
      <c r="C155" s="49"/>
      <c r="D155" s="68" t="s">
        <v>287</v>
      </c>
      <c r="E155" s="69"/>
      <c r="F155" s="69">
        <v>34.025060000000003</v>
      </c>
      <c r="G155" s="69"/>
      <c r="H155" s="48"/>
      <c r="I155" s="48"/>
      <c r="J155" s="48"/>
      <c r="K155" s="43"/>
      <c r="L155" s="48"/>
      <c r="M155" s="43"/>
      <c r="N155" s="42"/>
      <c r="O155" s="42"/>
      <c r="P155" s="48"/>
      <c r="Q155" s="43"/>
      <c r="R155" s="48"/>
      <c r="S155" s="48"/>
      <c r="T155" s="48"/>
      <c r="U155" s="48"/>
      <c r="V155" s="48"/>
      <c r="W155" s="48"/>
      <c r="X155" s="48"/>
      <c r="Y155" s="4"/>
      <c r="AI155" s="5"/>
      <c r="AJ155" s="5"/>
      <c r="AK155" s="5"/>
    </row>
    <row r="156" spans="1:43" x14ac:dyDescent="0.2">
      <c r="A156" s="31"/>
      <c r="B156" s="31"/>
      <c r="C156" s="31" t="s">
        <v>288</v>
      </c>
      <c r="D156" s="31" t="s">
        <v>289</v>
      </c>
      <c r="E156" s="31"/>
      <c r="F156" s="32"/>
      <c r="G156" s="32"/>
      <c r="H156" s="32">
        <f>SUM(H157:H162)</f>
        <v>0</v>
      </c>
      <c r="I156" s="32">
        <f>SUM(I157:I162)</f>
        <v>0</v>
      </c>
      <c r="J156" s="32">
        <f>H156+I156</f>
        <v>0</v>
      </c>
      <c r="K156" s="32"/>
      <c r="L156" s="32">
        <f>SUM(L157:L162)</f>
        <v>0.31963841000000004</v>
      </c>
      <c r="M156" s="33"/>
      <c r="N156" s="33"/>
      <c r="O156" s="32"/>
      <c r="P156" s="42">
        <f>IF(Q156="PR",J156,SUM(O157:O162))</f>
        <v>0</v>
      </c>
      <c r="Q156" s="42" t="s">
        <v>48</v>
      </c>
      <c r="R156" s="42">
        <f>IF(Q156="HS",H156,0)</f>
        <v>0</v>
      </c>
      <c r="S156" s="42">
        <f>IF(Q156="HS",I156-P156,0)</f>
        <v>0</v>
      </c>
      <c r="T156" s="42">
        <f>IF(Q156="PS",H156,0)</f>
        <v>0</v>
      </c>
      <c r="U156" s="42">
        <f>IF(Q156="PS",I156-P156,0)</f>
        <v>0</v>
      </c>
      <c r="V156" s="42">
        <f>IF(Q156="MP",H156,0)</f>
        <v>0</v>
      </c>
      <c r="W156" s="42">
        <f>IF(Q156="MP",I156-P156,0)</f>
        <v>0</v>
      </c>
      <c r="X156" s="42">
        <f>IF(Q156="OM",H156,0)</f>
        <v>0</v>
      </c>
      <c r="Z156" s="6"/>
      <c r="AA156" s="6"/>
      <c r="AB156" s="6"/>
      <c r="AD156" s="7"/>
      <c r="AE156" s="7"/>
      <c r="AF156" s="7"/>
      <c r="AI156" s="1">
        <f>SUM(Z157:Z162)</f>
        <v>0</v>
      </c>
      <c r="AJ156" s="1">
        <f>SUM(AA157:AA162)</f>
        <v>0</v>
      </c>
      <c r="AK156" s="1">
        <f>SUM(AB157:AB162)</f>
        <v>0</v>
      </c>
      <c r="AM156" s="7"/>
      <c r="AN156" s="7"/>
      <c r="AO156" s="8"/>
      <c r="AP156" s="8"/>
      <c r="AQ156" s="4"/>
    </row>
    <row r="157" spans="1:43" x14ac:dyDescent="0.2">
      <c r="A157" s="42" t="s">
        <v>290</v>
      </c>
      <c r="B157" s="42"/>
      <c r="C157" s="42" t="s">
        <v>291</v>
      </c>
      <c r="D157" s="34" t="s">
        <v>292</v>
      </c>
      <c r="E157" s="42" t="s">
        <v>217</v>
      </c>
      <c r="F157" s="35">
        <v>3</v>
      </c>
      <c r="G157" s="42">
        <v>0</v>
      </c>
      <c r="H157" s="42">
        <f>F157*AE157</f>
        <v>0</v>
      </c>
      <c r="I157" s="42">
        <f>J157-H157</f>
        <v>0</v>
      </c>
      <c r="J157" s="42">
        <f>F157*G157</f>
        <v>0</v>
      </c>
      <c r="K157" s="42">
        <v>0</v>
      </c>
      <c r="L157" s="42">
        <f>F157*K157</f>
        <v>0</v>
      </c>
      <c r="M157" s="42" t="s">
        <v>53</v>
      </c>
      <c r="N157" s="42" t="s">
        <v>49</v>
      </c>
      <c r="O157" s="42">
        <f>IF(N157="5",I157,0)</f>
        <v>0</v>
      </c>
      <c r="P157" s="42"/>
      <c r="Q157" s="42"/>
      <c r="R157" s="42"/>
      <c r="S157" s="42"/>
      <c r="T157" s="42"/>
      <c r="U157" s="42"/>
      <c r="V157" s="42"/>
      <c r="W157" s="42"/>
      <c r="X157" s="42"/>
      <c r="Z157" s="1">
        <f>IF(AD157=0,J157,0)</f>
        <v>0</v>
      </c>
      <c r="AA157" s="1">
        <f>IF(AD157=15,J157,0)</f>
        <v>0</v>
      </c>
      <c r="AB157" s="1">
        <f>IF(AD157=21,J157,0)</f>
        <v>0</v>
      </c>
      <c r="AD157" s="1">
        <v>21</v>
      </c>
      <c r="AE157" s="1">
        <f>G157*0</f>
        <v>0</v>
      </c>
      <c r="AF157" s="1">
        <f>G157*(1-0)</f>
        <v>0</v>
      </c>
      <c r="AM157" s="1">
        <f>F157*AE157</f>
        <v>0</v>
      </c>
      <c r="AN157" s="1">
        <f>F157*AF157</f>
        <v>0</v>
      </c>
      <c r="AO157" s="1" t="s">
        <v>293</v>
      </c>
      <c r="AP157" s="1" t="s">
        <v>253</v>
      </c>
      <c r="AQ157" s="1" t="s">
        <v>56</v>
      </c>
    </row>
    <row r="158" spans="1:43" x14ac:dyDescent="0.2">
      <c r="A158" s="42"/>
      <c r="B158" s="42"/>
      <c r="C158" s="42"/>
      <c r="D158" s="34" t="s">
        <v>294</v>
      </c>
      <c r="E158" s="42"/>
      <c r="F158" s="35">
        <v>1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43" x14ac:dyDescent="0.2">
      <c r="A159" s="42"/>
      <c r="B159" s="42"/>
      <c r="C159" s="42"/>
      <c r="D159" s="34" t="s">
        <v>295</v>
      </c>
      <c r="E159" s="42"/>
      <c r="F159" s="35">
        <v>2</v>
      </c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43" x14ac:dyDescent="0.2">
      <c r="A160" s="31" t="s">
        <v>296</v>
      </c>
      <c r="B160" s="31"/>
      <c r="C160" s="31" t="s">
        <v>297</v>
      </c>
      <c r="D160" s="31" t="s">
        <v>298</v>
      </c>
      <c r="E160" s="31" t="s">
        <v>52</v>
      </c>
      <c r="F160" s="32">
        <v>1.7729999999999999</v>
      </c>
      <c r="G160" s="32">
        <v>0</v>
      </c>
      <c r="H160" s="32">
        <f>F160*AE160</f>
        <v>0</v>
      </c>
      <c r="I160" s="32">
        <f>J160-H160</f>
        <v>0</v>
      </c>
      <c r="J160" s="32">
        <f>F160*G160</f>
        <v>0</v>
      </c>
      <c r="K160" s="32">
        <v>7.7170000000000002E-2</v>
      </c>
      <c r="L160" s="32">
        <f>F160*K160</f>
        <v>0.13682241000000001</v>
      </c>
      <c r="M160" s="33" t="s">
        <v>53</v>
      </c>
      <c r="N160" s="33" t="s">
        <v>49</v>
      </c>
      <c r="O160" s="32">
        <f>IF(N160="5",I160,0)</f>
        <v>0</v>
      </c>
      <c r="P160" s="42"/>
      <c r="Q160" s="42"/>
      <c r="R160" s="42"/>
      <c r="S160" s="42"/>
      <c r="T160" s="42"/>
      <c r="U160" s="42"/>
      <c r="V160" s="42"/>
      <c r="W160" s="42"/>
      <c r="X160" s="42"/>
      <c r="Z160" s="6">
        <f>IF(AD160=0,J160,0)</f>
        <v>0</v>
      </c>
      <c r="AA160" s="6">
        <f>IF(AD160=15,J160,0)</f>
        <v>0</v>
      </c>
      <c r="AB160" s="6">
        <f>IF(AD160=21,J160,0)</f>
        <v>0</v>
      </c>
      <c r="AD160" s="7">
        <v>21</v>
      </c>
      <c r="AE160" s="7">
        <f>G160*0.105094339622642</f>
        <v>0</v>
      </c>
      <c r="AF160" s="7">
        <f>G160*(1-0.105094339622642)</f>
        <v>0</v>
      </c>
      <c r="AM160" s="7">
        <f>F160*AE160</f>
        <v>0</v>
      </c>
      <c r="AN160" s="7">
        <f>F160*AF160</f>
        <v>0</v>
      </c>
      <c r="AO160" s="8" t="s">
        <v>293</v>
      </c>
      <c r="AP160" s="8" t="s">
        <v>253</v>
      </c>
      <c r="AQ160" s="4" t="s">
        <v>56</v>
      </c>
    </row>
    <row r="161" spans="1:43" x14ac:dyDescent="0.2">
      <c r="A161" s="42"/>
      <c r="B161" s="42"/>
      <c r="C161" s="42"/>
      <c r="D161" s="34" t="s">
        <v>299</v>
      </c>
      <c r="E161" s="42"/>
      <c r="F161" s="35">
        <v>1.7729999999999999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43" x14ac:dyDescent="0.2">
      <c r="A162" s="31" t="s">
        <v>300</v>
      </c>
      <c r="B162" s="49"/>
      <c r="C162" s="49" t="s">
        <v>301</v>
      </c>
      <c r="D162" s="68" t="s">
        <v>302</v>
      </c>
      <c r="E162" s="69" t="s">
        <v>52</v>
      </c>
      <c r="F162" s="69">
        <v>2.8565</v>
      </c>
      <c r="G162" s="69">
        <v>0</v>
      </c>
      <c r="H162" s="48">
        <f>F162*AE162</f>
        <v>0</v>
      </c>
      <c r="I162" s="48">
        <f>J162-H162</f>
        <v>0</v>
      </c>
      <c r="J162" s="48">
        <f>F162*G162</f>
        <v>0</v>
      </c>
      <c r="K162" s="43">
        <v>6.4000000000000001E-2</v>
      </c>
      <c r="L162" s="48">
        <f>F162*K162</f>
        <v>0.18281600000000001</v>
      </c>
      <c r="M162" s="43" t="s">
        <v>53</v>
      </c>
      <c r="N162" s="42" t="s">
        <v>49</v>
      </c>
      <c r="O162" s="42">
        <f>IF(N162="5",I162,0)</f>
        <v>0</v>
      </c>
      <c r="P162" s="48"/>
      <c r="Q162" s="43"/>
      <c r="R162" s="48"/>
      <c r="S162" s="48"/>
      <c r="T162" s="48"/>
      <c r="U162" s="48"/>
      <c r="V162" s="48"/>
      <c r="W162" s="48"/>
      <c r="X162" s="48"/>
      <c r="Y162" s="4"/>
      <c r="Z162" s="1">
        <f>IF(AD162=0,J162,0)</f>
        <v>0</v>
      </c>
      <c r="AA162" s="1">
        <f>IF(AD162=15,J162,0)</f>
        <v>0</v>
      </c>
      <c r="AB162" s="1">
        <f>IF(AD162=21,J162,0)</f>
        <v>0</v>
      </c>
      <c r="AD162" s="1">
        <v>21</v>
      </c>
      <c r="AE162" s="1">
        <f>G162*0.115863746958637</f>
        <v>0</v>
      </c>
      <c r="AF162" s="1">
        <f>G162*(1-0.115863746958637)</f>
        <v>0</v>
      </c>
      <c r="AI162" s="5"/>
      <c r="AJ162" s="5"/>
      <c r="AK162" s="5"/>
      <c r="AM162" s="1">
        <f>F162*AE162</f>
        <v>0</v>
      </c>
      <c r="AN162" s="1">
        <f>F162*AF162</f>
        <v>0</v>
      </c>
      <c r="AO162" s="1" t="s">
        <v>293</v>
      </c>
      <c r="AP162" s="1" t="s">
        <v>253</v>
      </c>
      <c r="AQ162" s="1" t="s">
        <v>56</v>
      </c>
    </row>
    <row r="163" spans="1:43" x14ac:dyDescent="0.2">
      <c r="A163" s="31"/>
      <c r="B163" s="31"/>
      <c r="C163" s="31"/>
      <c r="D163" s="31" t="s">
        <v>303</v>
      </c>
      <c r="E163" s="31"/>
      <c r="F163" s="32">
        <v>2.8565</v>
      </c>
      <c r="G163" s="32"/>
      <c r="H163" s="32"/>
      <c r="I163" s="32"/>
      <c r="J163" s="32"/>
      <c r="K163" s="32"/>
      <c r="L163" s="32"/>
      <c r="M163" s="33"/>
      <c r="N163" s="33"/>
      <c r="O163" s="32"/>
      <c r="P163" s="42"/>
      <c r="Q163" s="42"/>
      <c r="R163" s="42"/>
      <c r="S163" s="42"/>
      <c r="T163" s="42"/>
      <c r="U163" s="42"/>
      <c r="V163" s="42"/>
      <c r="W163" s="42"/>
      <c r="X163" s="42"/>
      <c r="Z163" s="6"/>
      <c r="AA163" s="6"/>
      <c r="AB163" s="6"/>
      <c r="AD163" s="7"/>
      <c r="AE163" s="7"/>
      <c r="AF163" s="7"/>
      <c r="AM163" s="7"/>
      <c r="AN163" s="7"/>
      <c r="AO163" s="8"/>
      <c r="AP163" s="8"/>
      <c r="AQ163" s="4"/>
    </row>
    <row r="164" spans="1:43" x14ac:dyDescent="0.2">
      <c r="A164" s="31"/>
      <c r="B164" s="31"/>
      <c r="C164" s="31" t="s">
        <v>304</v>
      </c>
      <c r="D164" s="31" t="s">
        <v>305</v>
      </c>
      <c r="E164" s="31"/>
      <c r="F164" s="32"/>
      <c r="G164" s="32"/>
      <c r="H164" s="32">
        <f>SUM(H165:H169)</f>
        <v>0</v>
      </c>
      <c r="I164" s="32">
        <f>SUM(I165:I169)</f>
        <v>0</v>
      </c>
      <c r="J164" s="32">
        <f>H164+I164</f>
        <v>0</v>
      </c>
      <c r="K164" s="32"/>
      <c r="L164" s="32">
        <f>SUM(L165:L169)</f>
        <v>5.7413500000000006</v>
      </c>
      <c r="M164" s="33"/>
      <c r="N164" s="33"/>
      <c r="O164" s="32"/>
      <c r="P164" s="42">
        <f>IF(Q164="PR",J164,SUM(O165:O169))</f>
        <v>0</v>
      </c>
      <c r="Q164" s="42" t="s">
        <v>48</v>
      </c>
      <c r="R164" s="42">
        <f>IF(Q164="HS",H164,0)</f>
        <v>0</v>
      </c>
      <c r="S164" s="42">
        <f>IF(Q164="HS",I164-P164,0)</f>
        <v>0</v>
      </c>
      <c r="T164" s="42">
        <f>IF(Q164="PS",H164,0)</f>
        <v>0</v>
      </c>
      <c r="U164" s="42">
        <f>IF(Q164="PS",I164-P164,0)</f>
        <v>0</v>
      </c>
      <c r="V164" s="42">
        <f>IF(Q164="MP",H164,0)</f>
        <v>0</v>
      </c>
      <c r="W164" s="42">
        <f>IF(Q164="MP",I164-P164,0)</f>
        <v>0</v>
      </c>
      <c r="X164" s="42">
        <f>IF(Q164="OM",H164,0)</f>
        <v>0</v>
      </c>
      <c r="Z164" s="6"/>
      <c r="AA164" s="6"/>
      <c r="AB164" s="6"/>
      <c r="AD164" s="7"/>
      <c r="AE164" s="7"/>
      <c r="AF164" s="7"/>
      <c r="AI164" s="1">
        <f>SUM(Z165:Z169)</f>
        <v>0</v>
      </c>
      <c r="AJ164" s="1">
        <f>SUM(AA165:AA169)</f>
        <v>0</v>
      </c>
      <c r="AK164" s="1">
        <f>SUM(AB165:AB169)</f>
        <v>0</v>
      </c>
      <c r="AM164" s="7"/>
      <c r="AN164" s="7"/>
      <c r="AO164" s="8"/>
      <c r="AP164" s="8"/>
      <c r="AQ164" s="4"/>
    </row>
    <row r="165" spans="1:43" x14ac:dyDescent="0.2">
      <c r="A165" s="31" t="s">
        <v>306</v>
      </c>
      <c r="B165" s="31"/>
      <c r="C165" s="31" t="s">
        <v>307</v>
      </c>
      <c r="D165" s="31" t="s">
        <v>308</v>
      </c>
      <c r="E165" s="31" t="s">
        <v>52</v>
      </c>
      <c r="F165" s="32">
        <v>13.5</v>
      </c>
      <c r="G165" s="32">
        <v>0</v>
      </c>
      <c r="H165" s="32">
        <f>F165*AE165</f>
        <v>0</v>
      </c>
      <c r="I165" s="32">
        <f>J165-H165</f>
        <v>0</v>
      </c>
      <c r="J165" s="32">
        <f>F165*G165</f>
        <v>0</v>
      </c>
      <c r="K165" s="32">
        <v>8.8999999999999996E-2</v>
      </c>
      <c r="L165" s="32">
        <f>F165*K165</f>
        <v>1.2015</v>
      </c>
      <c r="M165" s="33" t="s">
        <v>53</v>
      </c>
      <c r="N165" s="33" t="s">
        <v>49</v>
      </c>
      <c r="O165" s="32">
        <f>IF(N165="5",I165,0)</f>
        <v>0</v>
      </c>
      <c r="P165" s="42"/>
      <c r="Q165" s="42"/>
      <c r="R165" s="42"/>
      <c r="S165" s="42"/>
      <c r="T165" s="42"/>
      <c r="U165" s="42"/>
      <c r="V165" s="42"/>
      <c r="W165" s="42"/>
      <c r="X165" s="42"/>
      <c r="Z165" s="6">
        <f>IF(AD165=0,J165,0)</f>
        <v>0</v>
      </c>
      <c r="AA165" s="6">
        <f>IF(AD165=15,J165,0)</f>
        <v>0</v>
      </c>
      <c r="AB165" s="6">
        <f>IF(AD165=21,J165,0)</f>
        <v>0</v>
      </c>
      <c r="AD165" s="7">
        <v>21</v>
      </c>
      <c r="AE165" s="7">
        <f>G165*0</f>
        <v>0</v>
      </c>
      <c r="AF165" s="7">
        <f>G165*(1-0)</f>
        <v>0</v>
      </c>
      <c r="AM165" s="7">
        <f>F165*AE165</f>
        <v>0</v>
      </c>
      <c r="AN165" s="7">
        <f>F165*AF165</f>
        <v>0</v>
      </c>
      <c r="AO165" s="8" t="s">
        <v>309</v>
      </c>
      <c r="AP165" s="8" t="s">
        <v>253</v>
      </c>
      <c r="AQ165" s="4" t="s">
        <v>56</v>
      </c>
    </row>
    <row r="166" spans="1:43" x14ac:dyDescent="0.2">
      <c r="A166" s="31"/>
      <c r="B166" s="31"/>
      <c r="C166" s="31"/>
      <c r="D166" s="31" t="s">
        <v>310</v>
      </c>
      <c r="E166" s="31"/>
      <c r="F166" s="32">
        <v>10</v>
      </c>
      <c r="G166" s="32"/>
      <c r="H166" s="32"/>
      <c r="I166" s="32"/>
      <c r="J166" s="32"/>
      <c r="K166" s="32"/>
      <c r="L166" s="32"/>
      <c r="M166" s="33"/>
      <c r="N166" s="33"/>
      <c r="O166" s="32"/>
      <c r="P166" s="42"/>
      <c r="Q166" s="42"/>
      <c r="R166" s="42"/>
      <c r="S166" s="42"/>
      <c r="T166" s="42"/>
      <c r="U166" s="42"/>
      <c r="V166" s="42"/>
      <c r="W166" s="42"/>
      <c r="X166" s="42"/>
      <c r="Z166" s="6"/>
      <c r="AA166" s="6"/>
      <c r="AB166" s="6"/>
      <c r="AD166" s="7"/>
      <c r="AE166" s="7"/>
      <c r="AF166" s="7"/>
      <c r="AM166" s="7"/>
      <c r="AN166" s="7"/>
      <c r="AO166" s="8"/>
      <c r="AP166" s="8"/>
      <c r="AQ166" s="4"/>
    </row>
    <row r="167" spans="1:43" x14ac:dyDescent="0.2">
      <c r="A167" s="42"/>
      <c r="B167" s="42"/>
      <c r="C167" s="42"/>
      <c r="D167" s="34" t="s">
        <v>311</v>
      </c>
      <c r="E167" s="42"/>
      <c r="F167" s="35">
        <v>3.5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43" x14ac:dyDescent="0.2">
      <c r="A168" s="36"/>
      <c r="B168" s="36"/>
      <c r="C168" s="36"/>
      <c r="D168" s="36" t="s">
        <v>312</v>
      </c>
      <c r="E168" s="36"/>
      <c r="F168" s="37">
        <v>0</v>
      </c>
      <c r="G168" s="37"/>
      <c r="H168" s="37"/>
      <c r="I168" s="37"/>
      <c r="J168" s="37"/>
      <c r="K168" s="37"/>
      <c r="L168" s="37"/>
      <c r="M168" s="38"/>
      <c r="N168" s="33"/>
      <c r="O168" s="32"/>
      <c r="P168" s="42"/>
      <c r="Q168" s="42"/>
      <c r="R168" s="42"/>
      <c r="S168" s="42"/>
      <c r="T168" s="42"/>
      <c r="U168" s="42"/>
      <c r="V168" s="42"/>
      <c r="W168" s="42"/>
      <c r="X168" s="42"/>
      <c r="Z168" s="6"/>
      <c r="AA168" s="6"/>
      <c r="AB168" s="6"/>
      <c r="AD168" s="7"/>
      <c r="AE168" s="7"/>
      <c r="AF168" s="7"/>
      <c r="AM168" s="7"/>
      <c r="AN168" s="7"/>
      <c r="AO168" s="8"/>
      <c r="AP168" s="8"/>
      <c r="AQ168" s="4"/>
    </row>
    <row r="169" spans="1:43" x14ac:dyDescent="0.2">
      <c r="A169" s="39" t="s">
        <v>313</v>
      </c>
      <c r="B169" s="39"/>
      <c r="C169" s="39" t="s">
        <v>314</v>
      </c>
      <c r="D169" s="39" t="s">
        <v>315</v>
      </c>
      <c r="E169" s="39" t="s">
        <v>52</v>
      </c>
      <c r="F169" s="39">
        <v>907.97</v>
      </c>
      <c r="G169" s="39">
        <v>0</v>
      </c>
      <c r="H169" s="70">
        <f>F169*AE169</f>
        <v>0</v>
      </c>
      <c r="I169" s="71">
        <f>J169-H169</f>
        <v>0</v>
      </c>
      <c r="J169" s="40">
        <f>F169*G169</f>
        <v>0</v>
      </c>
      <c r="K169" s="39">
        <v>5.0000000000000001E-3</v>
      </c>
      <c r="L169" s="39">
        <f>F169*K169</f>
        <v>4.5398500000000004</v>
      </c>
      <c r="M169" s="39" t="s">
        <v>53</v>
      </c>
      <c r="N169" s="42" t="s">
        <v>49</v>
      </c>
      <c r="O169" s="42">
        <f>IF(N169="5",I169,0)</f>
        <v>0</v>
      </c>
      <c r="P169" s="42"/>
      <c r="Q169" s="42"/>
      <c r="R169" s="42"/>
      <c r="S169" s="42"/>
      <c r="T169" s="42"/>
      <c r="U169" s="42"/>
      <c r="V169" s="42"/>
      <c r="W169" s="42"/>
      <c r="X169" s="42"/>
      <c r="Z169" s="12">
        <f>IF(AD169=0,J169,0)</f>
        <v>0</v>
      </c>
      <c r="AA169" s="12">
        <f>IF(AD169=15,J169,0)</f>
        <v>0</v>
      </c>
      <c r="AB169" s="12">
        <f>IF(AD169=21,J169,0)</f>
        <v>0</v>
      </c>
      <c r="AD169" s="1">
        <v>21</v>
      </c>
      <c r="AE169" s="1">
        <f>G169*0</f>
        <v>0</v>
      </c>
      <c r="AF169" s="1">
        <f>G169*(1-0)</f>
        <v>0</v>
      </c>
      <c r="AM169" s="1">
        <f>F169*AE169</f>
        <v>0</v>
      </c>
      <c r="AN169" s="1">
        <f>F169*AF169</f>
        <v>0</v>
      </c>
      <c r="AO169" s="1" t="s">
        <v>309</v>
      </c>
      <c r="AP169" s="1" t="s">
        <v>253</v>
      </c>
      <c r="AQ169" s="1" t="s">
        <v>56</v>
      </c>
    </row>
    <row r="170" spans="1:43" ht="11.25" customHeight="1" x14ac:dyDescent="0.2">
      <c r="A170" s="41"/>
      <c r="B170" s="42"/>
      <c r="C170" s="42"/>
      <c r="D170" s="42" t="s">
        <v>171</v>
      </c>
      <c r="E170" s="42"/>
      <c r="F170" s="42">
        <v>907.97</v>
      </c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43" ht="409.6" hidden="1" customHeight="1" x14ac:dyDescent="0.2">
      <c r="A171" s="74"/>
      <c r="B171" s="75"/>
      <c r="C171" s="75" t="s">
        <v>316</v>
      </c>
      <c r="D171" s="75" t="s">
        <v>317</v>
      </c>
      <c r="E171" s="75"/>
      <c r="F171" s="75"/>
      <c r="G171" s="75"/>
      <c r="H171" s="75">
        <f>SUM(H172:H172)</f>
        <v>0</v>
      </c>
      <c r="I171" s="75">
        <f>SUM(I172:I172)</f>
        <v>0</v>
      </c>
      <c r="J171" s="75">
        <f>H171+I171</f>
        <v>0</v>
      </c>
      <c r="K171" s="75"/>
      <c r="L171" s="75">
        <f>SUM(L172:L172)</f>
        <v>0.12292</v>
      </c>
      <c r="M171" s="75"/>
      <c r="N171" s="42"/>
      <c r="O171" s="42"/>
      <c r="P171" s="42">
        <f>IF(Q171="PR",J171,SUM(O172:O172))</f>
        <v>0</v>
      </c>
      <c r="Q171" s="42" t="s">
        <v>318</v>
      </c>
      <c r="R171" s="42">
        <f>IF(Q171="HS",H171,0)</f>
        <v>0</v>
      </c>
      <c r="S171" s="42">
        <f>IF(Q171="HS",I171-P171,0)</f>
        <v>0</v>
      </c>
      <c r="T171" s="42">
        <f>IF(Q171="PS",H171,0)</f>
        <v>0</v>
      </c>
      <c r="U171" s="42">
        <f>IF(Q171="PS",I171-P171,0)</f>
        <v>0</v>
      </c>
      <c r="V171" s="42">
        <f>IF(Q171="MP",H171,0)</f>
        <v>0</v>
      </c>
      <c r="W171" s="42">
        <f>IF(Q171="MP",I171-P171,0)</f>
        <v>0</v>
      </c>
      <c r="X171" s="42">
        <f>IF(Q171="OM",H171,0)</f>
        <v>0</v>
      </c>
      <c r="AI171" s="1">
        <f>SUM(Z172:Z172)</f>
        <v>0</v>
      </c>
      <c r="AJ171" s="1">
        <f>SUM(AA172:AA172)</f>
        <v>0</v>
      </c>
      <c r="AK171" s="1">
        <f>SUM(AB172:AB172)</f>
        <v>0</v>
      </c>
    </row>
    <row r="172" spans="1:43" x14ac:dyDescent="0.2">
      <c r="A172" s="42" t="s">
        <v>319</v>
      </c>
      <c r="B172" s="42"/>
      <c r="C172" s="42" t="s">
        <v>320</v>
      </c>
      <c r="D172" s="42" t="s">
        <v>321</v>
      </c>
      <c r="E172" s="42" t="s">
        <v>322</v>
      </c>
      <c r="F172" s="42">
        <v>1</v>
      </c>
      <c r="G172" s="42">
        <v>0</v>
      </c>
      <c r="H172" s="42">
        <f>F172*AE172</f>
        <v>0</v>
      </c>
      <c r="I172" s="42">
        <f>J172-H172</f>
        <v>0</v>
      </c>
      <c r="J172" s="42">
        <f>F172*G172</f>
        <v>0</v>
      </c>
      <c r="K172" s="42">
        <v>0.12292</v>
      </c>
      <c r="L172" s="42">
        <f>F172*K172</f>
        <v>0.12292</v>
      </c>
      <c r="M172" s="42"/>
      <c r="N172" s="42" t="s">
        <v>65</v>
      </c>
      <c r="O172" s="42">
        <f>IF(N172="5",I172,0)</f>
        <v>0</v>
      </c>
      <c r="P172" s="42"/>
      <c r="Q172" s="42"/>
      <c r="R172" s="42"/>
      <c r="S172" s="42"/>
      <c r="T172" s="42"/>
      <c r="U172" s="42"/>
      <c r="V172" s="42"/>
      <c r="W172" s="42"/>
      <c r="X172" s="42"/>
      <c r="Z172" s="1">
        <f>IF(AD172=0,J172,0)</f>
        <v>0</v>
      </c>
      <c r="AA172" s="1">
        <f>IF(AD172=15,J172,0)</f>
        <v>0</v>
      </c>
      <c r="AB172" s="1">
        <f>IF(AD172=21,J172,0)</f>
        <v>0</v>
      </c>
      <c r="AD172" s="1">
        <v>21</v>
      </c>
      <c r="AE172" s="1">
        <f>G172*0.188761</f>
        <v>0</v>
      </c>
      <c r="AF172" s="1">
        <f>G172*(1-0.188761)</f>
        <v>0</v>
      </c>
      <c r="AM172" s="1">
        <f>F172*AE172</f>
        <v>0</v>
      </c>
      <c r="AN172" s="1">
        <f>F172*AF172</f>
        <v>0</v>
      </c>
      <c r="AO172" s="1" t="s">
        <v>323</v>
      </c>
      <c r="AP172" s="1" t="s">
        <v>253</v>
      </c>
      <c r="AQ172" s="1" t="s">
        <v>56</v>
      </c>
    </row>
    <row r="173" spans="1:43" x14ac:dyDescent="0.2">
      <c r="A173" s="42"/>
      <c r="B173" s="42"/>
      <c r="C173" s="42"/>
      <c r="D173" s="42" t="s">
        <v>324</v>
      </c>
      <c r="E173" s="42"/>
      <c r="F173" s="42">
        <v>1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43" x14ac:dyDescent="0.2">
      <c r="A174" s="42"/>
      <c r="B174" s="42"/>
      <c r="C174" s="42" t="s">
        <v>325</v>
      </c>
      <c r="D174" s="42" t="s">
        <v>326</v>
      </c>
      <c r="E174" s="42"/>
      <c r="F174" s="42"/>
      <c r="G174" s="42"/>
      <c r="H174" s="42">
        <f>SUM(H175:H180)</f>
        <v>0</v>
      </c>
      <c r="I174" s="42">
        <f>SUM(I175:I180)</f>
        <v>0</v>
      </c>
      <c r="J174" s="42">
        <f>H174+I174</f>
        <v>0</v>
      </c>
      <c r="K174" s="42"/>
      <c r="L174" s="42">
        <f>SUM(L175:L180)</f>
        <v>0</v>
      </c>
      <c r="M174" s="42"/>
      <c r="N174" s="42"/>
      <c r="O174" s="42"/>
      <c r="P174" s="42">
        <f>IF(Q174="PR",J174,SUM(O175:O180))</f>
        <v>0</v>
      </c>
      <c r="Q174" s="42" t="s">
        <v>48</v>
      </c>
      <c r="R174" s="42">
        <f>IF(Q174="HS",H174,0)</f>
        <v>0</v>
      </c>
      <c r="S174" s="42">
        <f>IF(Q174="HS",I174-P174,0)</f>
        <v>0</v>
      </c>
      <c r="T174" s="42">
        <f>IF(Q174="PS",H174,0)</f>
        <v>0</v>
      </c>
      <c r="U174" s="42">
        <f>IF(Q174="PS",I174-P174,0)</f>
        <v>0</v>
      </c>
      <c r="V174" s="42">
        <f>IF(Q174="MP",H174,0)</f>
        <v>0</v>
      </c>
      <c r="W174" s="42">
        <f>IF(Q174="MP",I174-P174,0)</f>
        <v>0</v>
      </c>
      <c r="X174" s="42">
        <f>IF(Q174="OM",H174,0)</f>
        <v>0</v>
      </c>
      <c r="AI174" s="1">
        <f>SUM(Z175:Z180)</f>
        <v>0</v>
      </c>
      <c r="AJ174" s="1">
        <f>SUM(AA175:AA180)</f>
        <v>0</v>
      </c>
      <c r="AK174" s="1">
        <f>SUM(AB175:AB180)</f>
        <v>0</v>
      </c>
    </row>
    <row r="175" spans="1:43" x14ac:dyDescent="0.2">
      <c r="A175" s="42" t="s">
        <v>327</v>
      </c>
      <c r="B175" s="42"/>
      <c r="C175" s="42" t="s">
        <v>328</v>
      </c>
      <c r="D175" s="42" t="s">
        <v>329</v>
      </c>
      <c r="E175" s="42" t="s">
        <v>277</v>
      </c>
      <c r="F175" s="42">
        <v>6.2810800000000002</v>
      </c>
      <c r="G175" s="42">
        <v>0</v>
      </c>
      <c r="H175" s="42">
        <f>F175*AE175</f>
        <v>0</v>
      </c>
      <c r="I175" s="42">
        <f>J175-H175</f>
        <v>0</v>
      </c>
      <c r="J175" s="42">
        <f>F175*G175</f>
        <v>0</v>
      </c>
      <c r="K175" s="42">
        <v>0</v>
      </c>
      <c r="L175" s="42">
        <f>F175*K175</f>
        <v>0</v>
      </c>
      <c r="M175" s="42" t="s">
        <v>53</v>
      </c>
      <c r="N175" s="42" t="s">
        <v>75</v>
      </c>
      <c r="O175" s="42">
        <f>IF(N175="5",I175,0)</f>
        <v>0</v>
      </c>
      <c r="P175" s="42"/>
      <c r="Q175" s="42"/>
      <c r="R175" s="42"/>
      <c r="S175" s="42"/>
      <c r="T175" s="42"/>
      <c r="U175" s="42"/>
      <c r="V175" s="42"/>
      <c r="W175" s="42"/>
      <c r="X175" s="42"/>
      <c r="Z175" s="1">
        <f>IF(AD175=0,J175,0)</f>
        <v>0</v>
      </c>
      <c r="AA175" s="1">
        <f>IF(AD175=15,J175,0)</f>
        <v>0</v>
      </c>
      <c r="AB175" s="1">
        <f>IF(AD175=21,J175,0)</f>
        <v>0</v>
      </c>
      <c r="AD175" s="1">
        <v>21</v>
      </c>
      <c r="AE175" s="1">
        <f>G175*0</f>
        <v>0</v>
      </c>
      <c r="AF175" s="1">
        <f>G175*(1-0)</f>
        <v>0</v>
      </c>
      <c r="AM175" s="1">
        <f>F175*AE175</f>
        <v>0</v>
      </c>
      <c r="AN175" s="1">
        <f>F175*AF175</f>
        <v>0</v>
      </c>
      <c r="AO175" s="1" t="s">
        <v>330</v>
      </c>
      <c r="AP175" s="1" t="s">
        <v>253</v>
      </c>
      <c r="AQ175" s="1" t="s">
        <v>56</v>
      </c>
    </row>
    <row r="176" spans="1:43" x14ac:dyDescent="0.2">
      <c r="A176" s="42" t="s">
        <v>331</v>
      </c>
      <c r="B176" s="42"/>
      <c r="C176" s="42" t="s">
        <v>332</v>
      </c>
      <c r="D176" s="42" t="s">
        <v>333</v>
      </c>
      <c r="E176" s="42" t="s">
        <v>277</v>
      </c>
      <c r="F176" s="42">
        <v>6.2810800000000002</v>
      </c>
      <c r="G176" s="42">
        <v>0</v>
      </c>
      <c r="H176" s="42">
        <f>F176*AE176</f>
        <v>0</v>
      </c>
      <c r="I176" s="42">
        <f>J176-H176</f>
        <v>0</v>
      </c>
      <c r="J176" s="42">
        <f>F176*G176</f>
        <v>0</v>
      </c>
      <c r="K176" s="42">
        <v>0</v>
      </c>
      <c r="L176" s="42">
        <f>F176*K176</f>
        <v>0</v>
      </c>
      <c r="M176" s="42" t="s">
        <v>53</v>
      </c>
      <c r="N176" s="42" t="s">
        <v>75</v>
      </c>
      <c r="O176" s="42">
        <f>IF(N176="5",I176,0)</f>
        <v>0</v>
      </c>
      <c r="P176" s="42"/>
      <c r="Q176" s="42"/>
      <c r="R176" s="42"/>
      <c r="S176" s="42"/>
      <c r="T176" s="42"/>
      <c r="U176" s="42"/>
      <c r="V176" s="42"/>
      <c r="W176" s="42"/>
      <c r="X176" s="42"/>
      <c r="Z176" s="1">
        <f>IF(AD176=0,J176,0)</f>
        <v>0</v>
      </c>
      <c r="AA176" s="1">
        <f>IF(AD176=15,J176,0)</f>
        <v>0</v>
      </c>
      <c r="AB176" s="1">
        <f>IF(AD176=21,J176,0)</f>
        <v>0</v>
      </c>
      <c r="AD176" s="1">
        <v>21</v>
      </c>
      <c r="AE176" s="1">
        <f>G176*0</f>
        <v>0</v>
      </c>
      <c r="AF176" s="1">
        <f>G176*(1-0)</f>
        <v>0</v>
      </c>
      <c r="AM176" s="1">
        <f>F176*AE176</f>
        <v>0</v>
      </c>
      <c r="AN176" s="1">
        <f>F176*AF176</f>
        <v>0</v>
      </c>
      <c r="AO176" s="1" t="s">
        <v>330</v>
      </c>
      <c r="AP176" s="1" t="s">
        <v>253</v>
      </c>
      <c r="AQ176" s="1" t="s">
        <v>56</v>
      </c>
    </row>
    <row r="177" spans="1:43" x14ac:dyDescent="0.2">
      <c r="A177" s="42" t="s">
        <v>334</v>
      </c>
      <c r="B177" s="42"/>
      <c r="C177" s="42" t="s">
        <v>335</v>
      </c>
      <c r="D177" s="42" t="s">
        <v>336</v>
      </c>
      <c r="E177" s="42" t="s">
        <v>277</v>
      </c>
      <c r="F177" s="42">
        <v>6.2810800000000002</v>
      </c>
      <c r="G177" s="42">
        <v>0</v>
      </c>
      <c r="H177" s="42">
        <f>F177*AE177</f>
        <v>0</v>
      </c>
      <c r="I177" s="42">
        <f>J177-H177</f>
        <v>0</v>
      </c>
      <c r="J177" s="42">
        <f>F177*G177</f>
        <v>0</v>
      </c>
      <c r="K177" s="42">
        <v>0</v>
      </c>
      <c r="L177" s="42">
        <f>F177*K177</f>
        <v>0</v>
      </c>
      <c r="M177" s="42" t="s">
        <v>53</v>
      </c>
      <c r="N177" s="42" t="s">
        <v>75</v>
      </c>
      <c r="O177" s="42">
        <f>IF(N177="5",I177,0)</f>
        <v>0</v>
      </c>
      <c r="P177" s="42"/>
      <c r="Q177" s="42"/>
      <c r="R177" s="42"/>
      <c r="S177" s="42"/>
      <c r="T177" s="42"/>
      <c r="U177" s="42"/>
      <c r="V177" s="42"/>
      <c r="W177" s="42"/>
      <c r="X177" s="42"/>
      <c r="Z177" s="1">
        <f>IF(AD177=0,J177,0)</f>
        <v>0</v>
      </c>
      <c r="AA177" s="1">
        <f>IF(AD177=15,J177,0)</f>
        <v>0</v>
      </c>
      <c r="AB177" s="1">
        <f>IF(AD177=21,J177,0)</f>
        <v>0</v>
      </c>
      <c r="AD177" s="1">
        <v>21</v>
      </c>
      <c r="AE177" s="1">
        <f>G177*0</f>
        <v>0</v>
      </c>
      <c r="AF177" s="1">
        <f>G177*(1-0)</f>
        <v>0</v>
      </c>
      <c r="AM177" s="1">
        <f>F177*AE177</f>
        <v>0</v>
      </c>
      <c r="AN177" s="1">
        <f>F177*AF177</f>
        <v>0</v>
      </c>
      <c r="AO177" s="1" t="s">
        <v>330</v>
      </c>
      <c r="AP177" s="1" t="s">
        <v>253</v>
      </c>
      <c r="AQ177" s="1" t="s">
        <v>56</v>
      </c>
    </row>
    <row r="178" spans="1:43" x14ac:dyDescent="0.2">
      <c r="A178" s="42" t="s">
        <v>337</v>
      </c>
      <c r="B178" s="42"/>
      <c r="C178" s="42" t="s">
        <v>338</v>
      </c>
      <c r="D178" s="42" t="s">
        <v>339</v>
      </c>
      <c r="E178" s="42" t="s">
        <v>277</v>
      </c>
      <c r="F178" s="42">
        <v>119.34052</v>
      </c>
      <c r="G178" s="42">
        <v>0</v>
      </c>
      <c r="H178" s="42">
        <f>F178*AE178</f>
        <v>0</v>
      </c>
      <c r="I178" s="42">
        <f>J178-H178</f>
        <v>0</v>
      </c>
      <c r="J178" s="42">
        <f>F178*G178</f>
        <v>0</v>
      </c>
      <c r="K178" s="42">
        <v>0</v>
      </c>
      <c r="L178" s="42">
        <f>F178*K178</f>
        <v>0</v>
      </c>
      <c r="M178" s="42" t="s">
        <v>53</v>
      </c>
      <c r="N178" s="42" t="s">
        <v>75</v>
      </c>
      <c r="O178" s="42">
        <f>IF(N178="5",I178,0)</f>
        <v>0</v>
      </c>
      <c r="P178" s="42"/>
      <c r="Q178" s="42"/>
      <c r="R178" s="42"/>
      <c r="S178" s="42"/>
      <c r="T178" s="42"/>
      <c r="U178" s="42"/>
      <c r="V178" s="42"/>
      <c r="W178" s="42"/>
      <c r="X178" s="42"/>
      <c r="Z178" s="1">
        <f>IF(AD178=0,J178,0)</f>
        <v>0</v>
      </c>
      <c r="AA178" s="1">
        <f>IF(AD178=15,J178,0)</f>
        <v>0</v>
      </c>
      <c r="AB178" s="1">
        <f>IF(AD178=21,J178,0)</f>
        <v>0</v>
      </c>
      <c r="AD178" s="1">
        <v>21</v>
      </c>
      <c r="AE178" s="1">
        <f>G178*0</f>
        <v>0</v>
      </c>
      <c r="AF178" s="1">
        <f>G178*(1-0)</f>
        <v>0</v>
      </c>
      <c r="AM178" s="1">
        <f>F178*AE178</f>
        <v>0</v>
      </c>
      <c r="AN178" s="1">
        <f>F178*AF178</f>
        <v>0</v>
      </c>
      <c r="AO178" s="1" t="s">
        <v>330</v>
      </c>
      <c r="AP178" s="1" t="s">
        <v>253</v>
      </c>
      <c r="AQ178" s="1" t="s">
        <v>56</v>
      </c>
    </row>
    <row r="179" spans="1:43" x14ac:dyDescent="0.2">
      <c r="A179" s="42"/>
      <c r="B179" s="42"/>
      <c r="C179" s="42"/>
      <c r="D179" s="42" t="s">
        <v>340</v>
      </c>
      <c r="E179" s="42"/>
      <c r="F179" s="42">
        <v>119.34052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43" s="14" customFormat="1" x14ac:dyDescent="0.2">
      <c r="A180" s="36" t="s">
        <v>341</v>
      </c>
      <c r="B180" s="36"/>
      <c r="C180" s="36" t="s">
        <v>342</v>
      </c>
      <c r="D180" s="36" t="s">
        <v>343</v>
      </c>
      <c r="E180" s="36" t="s">
        <v>277</v>
      </c>
      <c r="F180" s="37">
        <v>6.2810800000000002</v>
      </c>
      <c r="G180" s="37">
        <v>0</v>
      </c>
      <c r="H180" s="37">
        <f>F180*AE180</f>
        <v>0</v>
      </c>
      <c r="I180" s="37">
        <f>J180-H180</f>
        <v>0</v>
      </c>
      <c r="J180" s="37">
        <f>F180*G180</f>
        <v>0</v>
      </c>
      <c r="K180" s="37">
        <v>0</v>
      </c>
      <c r="L180" s="37">
        <f>F180*K180</f>
        <v>0</v>
      </c>
      <c r="M180" s="38" t="s">
        <v>53</v>
      </c>
      <c r="N180" s="33" t="s">
        <v>75</v>
      </c>
      <c r="O180" s="32">
        <f>IF(N180="5",I180,0)</f>
        <v>0</v>
      </c>
      <c r="Z180" s="32">
        <f>IF(AD180=0,J180,0)</f>
        <v>0</v>
      </c>
      <c r="AA180" s="32">
        <f>IF(AD180=15,J180,0)</f>
        <v>0</v>
      </c>
      <c r="AB180" s="32">
        <f>IF(AD180=21,J180,0)</f>
        <v>0</v>
      </c>
      <c r="AD180" s="32">
        <v>21</v>
      </c>
      <c r="AE180" s="32">
        <f>G180*0</f>
        <v>0</v>
      </c>
      <c r="AF180" s="32">
        <f>G180*(1-0)</f>
        <v>0</v>
      </c>
      <c r="AM180" s="32">
        <f>F180*AE180</f>
        <v>0</v>
      </c>
      <c r="AN180" s="32">
        <f>F180*AF180</f>
        <v>0</v>
      </c>
      <c r="AO180" s="33" t="s">
        <v>330</v>
      </c>
      <c r="AP180" s="33" t="s">
        <v>253</v>
      </c>
      <c r="AQ180" s="30" t="s">
        <v>56</v>
      </c>
    </row>
    <row r="181" spans="1:43" x14ac:dyDescent="0.2">
      <c r="A181" s="10"/>
      <c r="B181" s="10"/>
      <c r="C181" s="10"/>
      <c r="D181" s="10"/>
      <c r="E181" s="10"/>
      <c r="F181" s="10"/>
      <c r="G181" s="10"/>
      <c r="H181" s="72" t="s">
        <v>344</v>
      </c>
      <c r="I181" s="73"/>
      <c r="J181" s="11">
        <f>J12+J18+J97+J100+J118+J126+J131+J134+J151+J156+J164+J171+J174</f>
        <v>0</v>
      </c>
      <c r="K181" s="10"/>
      <c r="L181" s="10"/>
      <c r="M181" s="10"/>
      <c r="Z181" s="12">
        <f>SUM(Z13:Z180)</f>
        <v>0</v>
      </c>
      <c r="AA181" s="12">
        <f>SUM(AA13:AA180)</f>
        <v>0</v>
      </c>
      <c r="AB181" s="12">
        <f>SUM(AB13:AB180)</f>
        <v>0</v>
      </c>
    </row>
    <row r="182" spans="1:43" ht="11.25" customHeight="1" x14ac:dyDescent="0.2">
      <c r="A182" s="13" t="s">
        <v>345</v>
      </c>
    </row>
  </sheetData>
  <mergeCells count="42"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8:M9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H181:I181"/>
    <mergeCell ref="A171:M171"/>
    <mergeCell ref="H10:J10"/>
    <mergeCell ref="K10:L10"/>
    <mergeCell ref="D12:G12"/>
    <mergeCell ref="D18:G18"/>
    <mergeCell ref="D97:G97"/>
    <mergeCell ref="D100:G100"/>
    <mergeCell ref="D109:G109"/>
    <mergeCell ref="D117:G117"/>
    <mergeCell ref="D122:G122"/>
    <mergeCell ref="D125:G125"/>
    <mergeCell ref="D142:G142"/>
    <mergeCell ref="D147:G147"/>
    <mergeCell ref="D155:G155"/>
    <mergeCell ref="D162:G162"/>
    <mergeCell ref="H169:I169"/>
  </mergeCells>
  <pageMargins left="0.39400000000000007" right="0.39400000000000007" top="0.59099999999999997" bottom="0.59099999999999997" header="0.5" footer="0.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L21" sqref="L21"/>
    </sheetView>
  </sheetViews>
  <sheetFormatPr defaultColWidth="11.5703125" defaultRowHeight="12.75" x14ac:dyDescent="0.2"/>
  <cols>
    <col min="1" max="1" width="9.140625" style="1" customWidth="1"/>
    <col min="2" max="2" width="12.85546875" style="1" customWidth="1"/>
    <col min="3" max="3" width="22.85546875" style="1" customWidth="1"/>
    <col min="4" max="4" width="10" style="1" customWidth="1"/>
    <col min="5" max="5" width="14" style="1" customWidth="1"/>
    <col min="6" max="6" width="22.85546875" style="1" customWidth="1"/>
    <col min="7" max="7" width="9.140625" style="1" customWidth="1"/>
    <col min="8" max="8" width="12.85546875" style="1" customWidth="1"/>
    <col min="9" max="9" width="22.85546875" style="1" customWidth="1"/>
    <col min="10" max="256" width="11.5703125" style="1"/>
    <col min="257" max="257" width="9.140625" style="1" customWidth="1"/>
    <col min="258" max="258" width="12.85546875" style="1" customWidth="1"/>
    <col min="259" max="259" width="22.85546875" style="1" customWidth="1"/>
    <col min="260" max="260" width="10" style="1" customWidth="1"/>
    <col min="261" max="261" width="14" style="1" customWidth="1"/>
    <col min="262" max="262" width="22.85546875" style="1" customWidth="1"/>
    <col min="263" max="263" width="9.140625" style="1" customWidth="1"/>
    <col min="264" max="264" width="12.85546875" style="1" customWidth="1"/>
    <col min="265" max="265" width="22.85546875" style="1" customWidth="1"/>
    <col min="266" max="512" width="11.5703125" style="1"/>
    <col min="513" max="513" width="9.140625" style="1" customWidth="1"/>
    <col min="514" max="514" width="12.85546875" style="1" customWidth="1"/>
    <col min="515" max="515" width="22.85546875" style="1" customWidth="1"/>
    <col min="516" max="516" width="10" style="1" customWidth="1"/>
    <col min="517" max="517" width="14" style="1" customWidth="1"/>
    <col min="518" max="518" width="22.85546875" style="1" customWidth="1"/>
    <col min="519" max="519" width="9.140625" style="1" customWidth="1"/>
    <col min="520" max="520" width="12.85546875" style="1" customWidth="1"/>
    <col min="521" max="521" width="22.85546875" style="1" customWidth="1"/>
    <col min="522" max="768" width="11.5703125" style="1"/>
    <col min="769" max="769" width="9.140625" style="1" customWidth="1"/>
    <col min="770" max="770" width="12.85546875" style="1" customWidth="1"/>
    <col min="771" max="771" width="22.85546875" style="1" customWidth="1"/>
    <col min="772" max="772" width="10" style="1" customWidth="1"/>
    <col min="773" max="773" width="14" style="1" customWidth="1"/>
    <col min="774" max="774" width="22.85546875" style="1" customWidth="1"/>
    <col min="775" max="775" width="9.140625" style="1" customWidth="1"/>
    <col min="776" max="776" width="12.85546875" style="1" customWidth="1"/>
    <col min="777" max="777" width="22.85546875" style="1" customWidth="1"/>
    <col min="778" max="1024" width="11.5703125" style="1"/>
    <col min="1025" max="1025" width="9.140625" style="1" customWidth="1"/>
    <col min="1026" max="1026" width="12.85546875" style="1" customWidth="1"/>
    <col min="1027" max="1027" width="22.85546875" style="1" customWidth="1"/>
    <col min="1028" max="1028" width="10" style="1" customWidth="1"/>
    <col min="1029" max="1029" width="14" style="1" customWidth="1"/>
    <col min="1030" max="1030" width="22.85546875" style="1" customWidth="1"/>
    <col min="1031" max="1031" width="9.140625" style="1" customWidth="1"/>
    <col min="1032" max="1032" width="12.85546875" style="1" customWidth="1"/>
    <col min="1033" max="1033" width="22.85546875" style="1" customWidth="1"/>
    <col min="1034" max="1280" width="11.5703125" style="1"/>
    <col min="1281" max="1281" width="9.140625" style="1" customWidth="1"/>
    <col min="1282" max="1282" width="12.85546875" style="1" customWidth="1"/>
    <col min="1283" max="1283" width="22.85546875" style="1" customWidth="1"/>
    <col min="1284" max="1284" width="10" style="1" customWidth="1"/>
    <col min="1285" max="1285" width="14" style="1" customWidth="1"/>
    <col min="1286" max="1286" width="22.85546875" style="1" customWidth="1"/>
    <col min="1287" max="1287" width="9.140625" style="1" customWidth="1"/>
    <col min="1288" max="1288" width="12.85546875" style="1" customWidth="1"/>
    <col min="1289" max="1289" width="22.85546875" style="1" customWidth="1"/>
    <col min="1290" max="1536" width="11.5703125" style="1"/>
    <col min="1537" max="1537" width="9.140625" style="1" customWidth="1"/>
    <col min="1538" max="1538" width="12.85546875" style="1" customWidth="1"/>
    <col min="1539" max="1539" width="22.85546875" style="1" customWidth="1"/>
    <col min="1540" max="1540" width="10" style="1" customWidth="1"/>
    <col min="1541" max="1541" width="14" style="1" customWidth="1"/>
    <col min="1542" max="1542" width="22.85546875" style="1" customWidth="1"/>
    <col min="1543" max="1543" width="9.140625" style="1" customWidth="1"/>
    <col min="1544" max="1544" width="12.85546875" style="1" customWidth="1"/>
    <col min="1545" max="1545" width="22.85546875" style="1" customWidth="1"/>
    <col min="1546" max="1792" width="11.5703125" style="1"/>
    <col min="1793" max="1793" width="9.140625" style="1" customWidth="1"/>
    <col min="1794" max="1794" width="12.85546875" style="1" customWidth="1"/>
    <col min="1795" max="1795" width="22.85546875" style="1" customWidth="1"/>
    <col min="1796" max="1796" width="10" style="1" customWidth="1"/>
    <col min="1797" max="1797" width="14" style="1" customWidth="1"/>
    <col min="1798" max="1798" width="22.85546875" style="1" customWidth="1"/>
    <col min="1799" max="1799" width="9.140625" style="1" customWidth="1"/>
    <col min="1800" max="1800" width="12.85546875" style="1" customWidth="1"/>
    <col min="1801" max="1801" width="22.85546875" style="1" customWidth="1"/>
    <col min="1802" max="2048" width="11.5703125" style="1"/>
    <col min="2049" max="2049" width="9.140625" style="1" customWidth="1"/>
    <col min="2050" max="2050" width="12.85546875" style="1" customWidth="1"/>
    <col min="2051" max="2051" width="22.85546875" style="1" customWidth="1"/>
    <col min="2052" max="2052" width="10" style="1" customWidth="1"/>
    <col min="2053" max="2053" width="14" style="1" customWidth="1"/>
    <col min="2054" max="2054" width="22.85546875" style="1" customWidth="1"/>
    <col min="2055" max="2055" width="9.140625" style="1" customWidth="1"/>
    <col min="2056" max="2056" width="12.85546875" style="1" customWidth="1"/>
    <col min="2057" max="2057" width="22.85546875" style="1" customWidth="1"/>
    <col min="2058" max="2304" width="11.5703125" style="1"/>
    <col min="2305" max="2305" width="9.140625" style="1" customWidth="1"/>
    <col min="2306" max="2306" width="12.85546875" style="1" customWidth="1"/>
    <col min="2307" max="2307" width="22.85546875" style="1" customWidth="1"/>
    <col min="2308" max="2308" width="10" style="1" customWidth="1"/>
    <col min="2309" max="2309" width="14" style="1" customWidth="1"/>
    <col min="2310" max="2310" width="22.85546875" style="1" customWidth="1"/>
    <col min="2311" max="2311" width="9.140625" style="1" customWidth="1"/>
    <col min="2312" max="2312" width="12.85546875" style="1" customWidth="1"/>
    <col min="2313" max="2313" width="22.85546875" style="1" customWidth="1"/>
    <col min="2314" max="2560" width="11.5703125" style="1"/>
    <col min="2561" max="2561" width="9.140625" style="1" customWidth="1"/>
    <col min="2562" max="2562" width="12.85546875" style="1" customWidth="1"/>
    <col min="2563" max="2563" width="22.85546875" style="1" customWidth="1"/>
    <col min="2564" max="2564" width="10" style="1" customWidth="1"/>
    <col min="2565" max="2565" width="14" style="1" customWidth="1"/>
    <col min="2566" max="2566" width="22.85546875" style="1" customWidth="1"/>
    <col min="2567" max="2567" width="9.140625" style="1" customWidth="1"/>
    <col min="2568" max="2568" width="12.85546875" style="1" customWidth="1"/>
    <col min="2569" max="2569" width="22.85546875" style="1" customWidth="1"/>
    <col min="2570" max="2816" width="11.5703125" style="1"/>
    <col min="2817" max="2817" width="9.140625" style="1" customWidth="1"/>
    <col min="2818" max="2818" width="12.85546875" style="1" customWidth="1"/>
    <col min="2819" max="2819" width="22.85546875" style="1" customWidth="1"/>
    <col min="2820" max="2820" width="10" style="1" customWidth="1"/>
    <col min="2821" max="2821" width="14" style="1" customWidth="1"/>
    <col min="2822" max="2822" width="22.85546875" style="1" customWidth="1"/>
    <col min="2823" max="2823" width="9.140625" style="1" customWidth="1"/>
    <col min="2824" max="2824" width="12.85546875" style="1" customWidth="1"/>
    <col min="2825" max="2825" width="22.85546875" style="1" customWidth="1"/>
    <col min="2826" max="3072" width="11.5703125" style="1"/>
    <col min="3073" max="3073" width="9.140625" style="1" customWidth="1"/>
    <col min="3074" max="3074" width="12.85546875" style="1" customWidth="1"/>
    <col min="3075" max="3075" width="22.85546875" style="1" customWidth="1"/>
    <col min="3076" max="3076" width="10" style="1" customWidth="1"/>
    <col min="3077" max="3077" width="14" style="1" customWidth="1"/>
    <col min="3078" max="3078" width="22.85546875" style="1" customWidth="1"/>
    <col min="3079" max="3079" width="9.140625" style="1" customWidth="1"/>
    <col min="3080" max="3080" width="12.85546875" style="1" customWidth="1"/>
    <col min="3081" max="3081" width="22.85546875" style="1" customWidth="1"/>
    <col min="3082" max="3328" width="11.5703125" style="1"/>
    <col min="3329" max="3329" width="9.140625" style="1" customWidth="1"/>
    <col min="3330" max="3330" width="12.85546875" style="1" customWidth="1"/>
    <col min="3331" max="3331" width="22.85546875" style="1" customWidth="1"/>
    <col min="3332" max="3332" width="10" style="1" customWidth="1"/>
    <col min="3333" max="3333" width="14" style="1" customWidth="1"/>
    <col min="3334" max="3334" width="22.85546875" style="1" customWidth="1"/>
    <col min="3335" max="3335" width="9.140625" style="1" customWidth="1"/>
    <col min="3336" max="3336" width="12.85546875" style="1" customWidth="1"/>
    <col min="3337" max="3337" width="22.85546875" style="1" customWidth="1"/>
    <col min="3338" max="3584" width="11.5703125" style="1"/>
    <col min="3585" max="3585" width="9.140625" style="1" customWidth="1"/>
    <col min="3586" max="3586" width="12.85546875" style="1" customWidth="1"/>
    <col min="3587" max="3587" width="22.85546875" style="1" customWidth="1"/>
    <col min="3588" max="3588" width="10" style="1" customWidth="1"/>
    <col min="3589" max="3589" width="14" style="1" customWidth="1"/>
    <col min="3590" max="3590" width="22.85546875" style="1" customWidth="1"/>
    <col min="3591" max="3591" width="9.140625" style="1" customWidth="1"/>
    <col min="3592" max="3592" width="12.85546875" style="1" customWidth="1"/>
    <col min="3593" max="3593" width="22.85546875" style="1" customWidth="1"/>
    <col min="3594" max="3840" width="11.5703125" style="1"/>
    <col min="3841" max="3841" width="9.140625" style="1" customWidth="1"/>
    <col min="3842" max="3842" width="12.85546875" style="1" customWidth="1"/>
    <col min="3843" max="3843" width="22.85546875" style="1" customWidth="1"/>
    <col min="3844" max="3844" width="10" style="1" customWidth="1"/>
    <col min="3845" max="3845" width="14" style="1" customWidth="1"/>
    <col min="3846" max="3846" width="22.85546875" style="1" customWidth="1"/>
    <col min="3847" max="3847" width="9.140625" style="1" customWidth="1"/>
    <col min="3848" max="3848" width="12.85546875" style="1" customWidth="1"/>
    <col min="3849" max="3849" width="22.85546875" style="1" customWidth="1"/>
    <col min="3850" max="4096" width="11.5703125" style="1"/>
    <col min="4097" max="4097" width="9.140625" style="1" customWidth="1"/>
    <col min="4098" max="4098" width="12.85546875" style="1" customWidth="1"/>
    <col min="4099" max="4099" width="22.85546875" style="1" customWidth="1"/>
    <col min="4100" max="4100" width="10" style="1" customWidth="1"/>
    <col min="4101" max="4101" width="14" style="1" customWidth="1"/>
    <col min="4102" max="4102" width="22.85546875" style="1" customWidth="1"/>
    <col min="4103" max="4103" width="9.140625" style="1" customWidth="1"/>
    <col min="4104" max="4104" width="12.85546875" style="1" customWidth="1"/>
    <col min="4105" max="4105" width="22.85546875" style="1" customWidth="1"/>
    <col min="4106" max="4352" width="11.5703125" style="1"/>
    <col min="4353" max="4353" width="9.140625" style="1" customWidth="1"/>
    <col min="4354" max="4354" width="12.85546875" style="1" customWidth="1"/>
    <col min="4355" max="4355" width="22.85546875" style="1" customWidth="1"/>
    <col min="4356" max="4356" width="10" style="1" customWidth="1"/>
    <col min="4357" max="4357" width="14" style="1" customWidth="1"/>
    <col min="4358" max="4358" width="22.85546875" style="1" customWidth="1"/>
    <col min="4359" max="4359" width="9.140625" style="1" customWidth="1"/>
    <col min="4360" max="4360" width="12.85546875" style="1" customWidth="1"/>
    <col min="4361" max="4361" width="22.85546875" style="1" customWidth="1"/>
    <col min="4362" max="4608" width="11.5703125" style="1"/>
    <col min="4609" max="4609" width="9.140625" style="1" customWidth="1"/>
    <col min="4610" max="4610" width="12.85546875" style="1" customWidth="1"/>
    <col min="4611" max="4611" width="22.85546875" style="1" customWidth="1"/>
    <col min="4612" max="4612" width="10" style="1" customWidth="1"/>
    <col min="4613" max="4613" width="14" style="1" customWidth="1"/>
    <col min="4614" max="4614" width="22.85546875" style="1" customWidth="1"/>
    <col min="4615" max="4615" width="9.140625" style="1" customWidth="1"/>
    <col min="4616" max="4616" width="12.85546875" style="1" customWidth="1"/>
    <col min="4617" max="4617" width="22.85546875" style="1" customWidth="1"/>
    <col min="4618" max="4864" width="11.5703125" style="1"/>
    <col min="4865" max="4865" width="9.140625" style="1" customWidth="1"/>
    <col min="4866" max="4866" width="12.85546875" style="1" customWidth="1"/>
    <col min="4867" max="4867" width="22.85546875" style="1" customWidth="1"/>
    <col min="4868" max="4868" width="10" style="1" customWidth="1"/>
    <col min="4869" max="4869" width="14" style="1" customWidth="1"/>
    <col min="4870" max="4870" width="22.85546875" style="1" customWidth="1"/>
    <col min="4871" max="4871" width="9.140625" style="1" customWidth="1"/>
    <col min="4872" max="4872" width="12.85546875" style="1" customWidth="1"/>
    <col min="4873" max="4873" width="22.85546875" style="1" customWidth="1"/>
    <col min="4874" max="5120" width="11.5703125" style="1"/>
    <col min="5121" max="5121" width="9.140625" style="1" customWidth="1"/>
    <col min="5122" max="5122" width="12.85546875" style="1" customWidth="1"/>
    <col min="5123" max="5123" width="22.85546875" style="1" customWidth="1"/>
    <col min="5124" max="5124" width="10" style="1" customWidth="1"/>
    <col min="5125" max="5125" width="14" style="1" customWidth="1"/>
    <col min="5126" max="5126" width="22.85546875" style="1" customWidth="1"/>
    <col min="5127" max="5127" width="9.140625" style="1" customWidth="1"/>
    <col min="5128" max="5128" width="12.85546875" style="1" customWidth="1"/>
    <col min="5129" max="5129" width="22.85546875" style="1" customWidth="1"/>
    <col min="5130" max="5376" width="11.5703125" style="1"/>
    <col min="5377" max="5377" width="9.140625" style="1" customWidth="1"/>
    <col min="5378" max="5378" width="12.85546875" style="1" customWidth="1"/>
    <col min="5379" max="5379" width="22.85546875" style="1" customWidth="1"/>
    <col min="5380" max="5380" width="10" style="1" customWidth="1"/>
    <col min="5381" max="5381" width="14" style="1" customWidth="1"/>
    <col min="5382" max="5382" width="22.85546875" style="1" customWidth="1"/>
    <col min="5383" max="5383" width="9.140625" style="1" customWidth="1"/>
    <col min="5384" max="5384" width="12.85546875" style="1" customWidth="1"/>
    <col min="5385" max="5385" width="22.85546875" style="1" customWidth="1"/>
    <col min="5386" max="5632" width="11.5703125" style="1"/>
    <col min="5633" max="5633" width="9.140625" style="1" customWidth="1"/>
    <col min="5634" max="5634" width="12.85546875" style="1" customWidth="1"/>
    <col min="5635" max="5635" width="22.85546875" style="1" customWidth="1"/>
    <col min="5636" max="5636" width="10" style="1" customWidth="1"/>
    <col min="5637" max="5637" width="14" style="1" customWidth="1"/>
    <col min="5638" max="5638" width="22.85546875" style="1" customWidth="1"/>
    <col min="5639" max="5639" width="9.140625" style="1" customWidth="1"/>
    <col min="5640" max="5640" width="12.85546875" style="1" customWidth="1"/>
    <col min="5641" max="5641" width="22.85546875" style="1" customWidth="1"/>
    <col min="5642" max="5888" width="11.5703125" style="1"/>
    <col min="5889" max="5889" width="9.140625" style="1" customWidth="1"/>
    <col min="5890" max="5890" width="12.85546875" style="1" customWidth="1"/>
    <col min="5891" max="5891" width="22.85546875" style="1" customWidth="1"/>
    <col min="5892" max="5892" width="10" style="1" customWidth="1"/>
    <col min="5893" max="5893" width="14" style="1" customWidth="1"/>
    <col min="5894" max="5894" width="22.85546875" style="1" customWidth="1"/>
    <col min="5895" max="5895" width="9.140625" style="1" customWidth="1"/>
    <col min="5896" max="5896" width="12.85546875" style="1" customWidth="1"/>
    <col min="5897" max="5897" width="22.85546875" style="1" customWidth="1"/>
    <col min="5898" max="6144" width="11.5703125" style="1"/>
    <col min="6145" max="6145" width="9.140625" style="1" customWidth="1"/>
    <col min="6146" max="6146" width="12.85546875" style="1" customWidth="1"/>
    <col min="6147" max="6147" width="22.85546875" style="1" customWidth="1"/>
    <col min="6148" max="6148" width="10" style="1" customWidth="1"/>
    <col min="6149" max="6149" width="14" style="1" customWidth="1"/>
    <col min="6150" max="6150" width="22.85546875" style="1" customWidth="1"/>
    <col min="6151" max="6151" width="9.140625" style="1" customWidth="1"/>
    <col min="6152" max="6152" width="12.85546875" style="1" customWidth="1"/>
    <col min="6153" max="6153" width="22.85546875" style="1" customWidth="1"/>
    <col min="6154" max="6400" width="11.5703125" style="1"/>
    <col min="6401" max="6401" width="9.140625" style="1" customWidth="1"/>
    <col min="6402" max="6402" width="12.85546875" style="1" customWidth="1"/>
    <col min="6403" max="6403" width="22.85546875" style="1" customWidth="1"/>
    <col min="6404" max="6404" width="10" style="1" customWidth="1"/>
    <col min="6405" max="6405" width="14" style="1" customWidth="1"/>
    <col min="6406" max="6406" width="22.85546875" style="1" customWidth="1"/>
    <col min="6407" max="6407" width="9.140625" style="1" customWidth="1"/>
    <col min="6408" max="6408" width="12.85546875" style="1" customWidth="1"/>
    <col min="6409" max="6409" width="22.85546875" style="1" customWidth="1"/>
    <col min="6410" max="6656" width="11.5703125" style="1"/>
    <col min="6657" max="6657" width="9.140625" style="1" customWidth="1"/>
    <col min="6658" max="6658" width="12.85546875" style="1" customWidth="1"/>
    <col min="6659" max="6659" width="22.85546875" style="1" customWidth="1"/>
    <col min="6660" max="6660" width="10" style="1" customWidth="1"/>
    <col min="6661" max="6661" width="14" style="1" customWidth="1"/>
    <col min="6662" max="6662" width="22.85546875" style="1" customWidth="1"/>
    <col min="6663" max="6663" width="9.140625" style="1" customWidth="1"/>
    <col min="6664" max="6664" width="12.85546875" style="1" customWidth="1"/>
    <col min="6665" max="6665" width="22.85546875" style="1" customWidth="1"/>
    <col min="6666" max="6912" width="11.5703125" style="1"/>
    <col min="6913" max="6913" width="9.140625" style="1" customWidth="1"/>
    <col min="6914" max="6914" width="12.85546875" style="1" customWidth="1"/>
    <col min="6915" max="6915" width="22.85546875" style="1" customWidth="1"/>
    <col min="6916" max="6916" width="10" style="1" customWidth="1"/>
    <col min="6917" max="6917" width="14" style="1" customWidth="1"/>
    <col min="6918" max="6918" width="22.85546875" style="1" customWidth="1"/>
    <col min="6919" max="6919" width="9.140625" style="1" customWidth="1"/>
    <col min="6920" max="6920" width="12.85546875" style="1" customWidth="1"/>
    <col min="6921" max="6921" width="22.85546875" style="1" customWidth="1"/>
    <col min="6922" max="7168" width="11.5703125" style="1"/>
    <col min="7169" max="7169" width="9.140625" style="1" customWidth="1"/>
    <col min="7170" max="7170" width="12.85546875" style="1" customWidth="1"/>
    <col min="7171" max="7171" width="22.85546875" style="1" customWidth="1"/>
    <col min="7172" max="7172" width="10" style="1" customWidth="1"/>
    <col min="7173" max="7173" width="14" style="1" customWidth="1"/>
    <col min="7174" max="7174" width="22.85546875" style="1" customWidth="1"/>
    <col min="7175" max="7175" width="9.140625" style="1" customWidth="1"/>
    <col min="7176" max="7176" width="12.85546875" style="1" customWidth="1"/>
    <col min="7177" max="7177" width="22.85546875" style="1" customWidth="1"/>
    <col min="7178" max="7424" width="11.5703125" style="1"/>
    <col min="7425" max="7425" width="9.140625" style="1" customWidth="1"/>
    <col min="7426" max="7426" width="12.85546875" style="1" customWidth="1"/>
    <col min="7427" max="7427" width="22.85546875" style="1" customWidth="1"/>
    <col min="7428" max="7428" width="10" style="1" customWidth="1"/>
    <col min="7429" max="7429" width="14" style="1" customWidth="1"/>
    <col min="7430" max="7430" width="22.85546875" style="1" customWidth="1"/>
    <col min="7431" max="7431" width="9.140625" style="1" customWidth="1"/>
    <col min="7432" max="7432" width="12.85546875" style="1" customWidth="1"/>
    <col min="7433" max="7433" width="22.85546875" style="1" customWidth="1"/>
    <col min="7434" max="7680" width="11.5703125" style="1"/>
    <col min="7681" max="7681" width="9.140625" style="1" customWidth="1"/>
    <col min="7682" max="7682" width="12.85546875" style="1" customWidth="1"/>
    <col min="7683" max="7683" width="22.85546875" style="1" customWidth="1"/>
    <col min="7684" max="7684" width="10" style="1" customWidth="1"/>
    <col min="7685" max="7685" width="14" style="1" customWidth="1"/>
    <col min="7686" max="7686" width="22.85546875" style="1" customWidth="1"/>
    <col min="7687" max="7687" width="9.140625" style="1" customWidth="1"/>
    <col min="7688" max="7688" width="12.85546875" style="1" customWidth="1"/>
    <col min="7689" max="7689" width="22.85546875" style="1" customWidth="1"/>
    <col min="7690" max="7936" width="11.5703125" style="1"/>
    <col min="7937" max="7937" width="9.140625" style="1" customWidth="1"/>
    <col min="7938" max="7938" width="12.85546875" style="1" customWidth="1"/>
    <col min="7939" max="7939" width="22.85546875" style="1" customWidth="1"/>
    <col min="7940" max="7940" width="10" style="1" customWidth="1"/>
    <col min="7941" max="7941" width="14" style="1" customWidth="1"/>
    <col min="7942" max="7942" width="22.85546875" style="1" customWidth="1"/>
    <col min="7943" max="7943" width="9.140625" style="1" customWidth="1"/>
    <col min="7944" max="7944" width="12.85546875" style="1" customWidth="1"/>
    <col min="7945" max="7945" width="22.85546875" style="1" customWidth="1"/>
    <col min="7946" max="8192" width="11.5703125" style="1"/>
    <col min="8193" max="8193" width="9.140625" style="1" customWidth="1"/>
    <col min="8194" max="8194" width="12.85546875" style="1" customWidth="1"/>
    <col min="8195" max="8195" width="22.85546875" style="1" customWidth="1"/>
    <col min="8196" max="8196" width="10" style="1" customWidth="1"/>
    <col min="8197" max="8197" width="14" style="1" customWidth="1"/>
    <col min="8198" max="8198" width="22.85546875" style="1" customWidth="1"/>
    <col min="8199" max="8199" width="9.140625" style="1" customWidth="1"/>
    <col min="8200" max="8200" width="12.85546875" style="1" customWidth="1"/>
    <col min="8201" max="8201" width="22.85546875" style="1" customWidth="1"/>
    <col min="8202" max="8448" width="11.5703125" style="1"/>
    <col min="8449" max="8449" width="9.140625" style="1" customWidth="1"/>
    <col min="8450" max="8450" width="12.85546875" style="1" customWidth="1"/>
    <col min="8451" max="8451" width="22.85546875" style="1" customWidth="1"/>
    <col min="8452" max="8452" width="10" style="1" customWidth="1"/>
    <col min="8453" max="8453" width="14" style="1" customWidth="1"/>
    <col min="8454" max="8454" width="22.85546875" style="1" customWidth="1"/>
    <col min="8455" max="8455" width="9.140625" style="1" customWidth="1"/>
    <col min="8456" max="8456" width="12.85546875" style="1" customWidth="1"/>
    <col min="8457" max="8457" width="22.85546875" style="1" customWidth="1"/>
    <col min="8458" max="8704" width="11.5703125" style="1"/>
    <col min="8705" max="8705" width="9.140625" style="1" customWidth="1"/>
    <col min="8706" max="8706" width="12.85546875" style="1" customWidth="1"/>
    <col min="8707" max="8707" width="22.85546875" style="1" customWidth="1"/>
    <col min="8708" max="8708" width="10" style="1" customWidth="1"/>
    <col min="8709" max="8709" width="14" style="1" customWidth="1"/>
    <col min="8710" max="8710" width="22.85546875" style="1" customWidth="1"/>
    <col min="8711" max="8711" width="9.140625" style="1" customWidth="1"/>
    <col min="8712" max="8712" width="12.85546875" style="1" customWidth="1"/>
    <col min="8713" max="8713" width="22.85546875" style="1" customWidth="1"/>
    <col min="8714" max="8960" width="11.5703125" style="1"/>
    <col min="8961" max="8961" width="9.140625" style="1" customWidth="1"/>
    <col min="8962" max="8962" width="12.85546875" style="1" customWidth="1"/>
    <col min="8963" max="8963" width="22.85546875" style="1" customWidth="1"/>
    <col min="8964" max="8964" width="10" style="1" customWidth="1"/>
    <col min="8965" max="8965" width="14" style="1" customWidth="1"/>
    <col min="8966" max="8966" width="22.85546875" style="1" customWidth="1"/>
    <col min="8967" max="8967" width="9.140625" style="1" customWidth="1"/>
    <col min="8968" max="8968" width="12.85546875" style="1" customWidth="1"/>
    <col min="8969" max="8969" width="22.85546875" style="1" customWidth="1"/>
    <col min="8970" max="9216" width="11.5703125" style="1"/>
    <col min="9217" max="9217" width="9.140625" style="1" customWidth="1"/>
    <col min="9218" max="9218" width="12.85546875" style="1" customWidth="1"/>
    <col min="9219" max="9219" width="22.85546875" style="1" customWidth="1"/>
    <col min="9220" max="9220" width="10" style="1" customWidth="1"/>
    <col min="9221" max="9221" width="14" style="1" customWidth="1"/>
    <col min="9222" max="9222" width="22.85546875" style="1" customWidth="1"/>
    <col min="9223" max="9223" width="9.140625" style="1" customWidth="1"/>
    <col min="9224" max="9224" width="12.85546875" style="1" customWidth="1"/>
    <col min="9225" max="9225" width="22.85546875" style="1" customWidth="1"/>
    <col min="9226" max="9472" width="11.5703125" style="1"/>
    <col min="9473" max="9473" width="9.140625" style="1" customWidth="1"/>
    <col min="9474" max="9474" width="12.85546875" style="1" customWidth="1"/>
    <col min="9475" max="9475" width="22.85546875" style="1" customWidth="1"/>
    <col min="9476" max="9476" width="10" style="1" customWidth="1"/>
    <col min="9477" max="9477" width="14" style="1" customWidth="1"/>
    <col min="9478" max="9478" width="22.85546875" style="1" customWidth="1"/>
    <col min="9479" max="9479" width="9.140625" style="1" customWidth="1"/>
    <col min="9480" max="9480" width="12.85546875" style="1" customWidth="1"/>
    <col min="9481" max="9481" width="22.85546875" style="1" customWidth="1"/>
    <col min="9482" max="9728" width="11.5703125" style="1"/>
    <col min="9729" max="9729" width="9.140625" style="1" customWidth="1"/>
    <col min="9730" max="9730" width="12.85546875" style="1" customWidth="1"/>
    <col min="9731" max="9731" width="22.85546875" style="1" customWidth="1"/>
    <col min="9732" max="9732" width="10" style="1" customWidth="1"/>
    <col min="9733" max="9733" width="14" style="1" customWidth="1"/>
    <col min="9734" max="9734" width="22.85546875" style="1" customWidth="1"/>
    <col min="9735" max="9735" width="9.140625" style="1" customWidth="1"/>
    <col min="9736" max="9736" width="12.85546875" style="1" customWidth="1"/>
    <col min="9737" max="9737" width="22.85546875" style="1" customWidth="1"/>
    <col min="9738" max="9984" width="11.5703125" style="1"/>
    <col min="9985" max="9985" width="9.140625" style="1" customWidth="1"/>
    <col min="9986" max="9986" width="12.85546875" style="1" customWidth="1"/>
    <col min="9987" max="9987" width="22.85546875" style="1" customWidth="1"/>
    <col min="9988" max="9988" width="10" style="1" customWidth="1"/>
    <col min="9989" max="9989" width="14" style="1" customWidth="1"/>
    <col min="9990" max="9990" width="22.85546875" style="1" customWidth="1"/>
    <col min="9991" max="9991" width="9.140625" style="1" customWidth="1"/>
    <col min="9992" max="9992" width="12.85546875" style="1" customWidth="1"/>
    <col min="9993" max="9993" width="22.85546875" style="1" customWidth="1"/>
    <col min="9994" max="10240" width="11.5703125" style="1"/>
    <col min="10241" max="10241" width="9.140625" style="1" customWidth="1"/>
    <col min="10242" max="10242" width="12.85546875" style="1" customWidth="1"/>
    <col min="10243" max="10243" width="22.85546875" style="1" customWidth="1"/>
    <col min="10244" max="10244" width="10" style="1" customWidth="1"/>
    <col min="10245" max="10245" width="14" style="1" customWidth="1"/>
    <col min="10246" max="10246" width="22.85546875" style="1" customWidth="1"/>
    <col min="10247" max="10247" width="9.140625" style="1" customWidth="1"/>
    <col min="10248" max="10248" width="12.85546875" style="1" customWidth="1"/>
    <col min="10249" max="10249" width="22.85546875" style="1" customWidth="1"/>
    <col min="10250" max="10496" width="11.5703125" style="1"/>
    <col min="10497" max="10497" width="9.140625" style="1" customWidth="1"/>
    <col min="10498" max="10498" width="12.85546875" style="1" customWidth="1"/>
    <col min="10499" max="10499" width="22.85546875" style="1" customWidth="1"/>
    <col min="10500" max="10500" width="10" style="1" customWidth="1"/>
    <col min="10501" max="10501" width="14" style="1" customWidth="1"/>
    <col min="10502" max="10502" width="22.85546875" style="1" customWidth="1"/>
    <col min="10503" max="10503" width="9.140625" style="1" customWidth="1"/>
    <col min="10504" max="10504" width="12.85546875" style="1" customWidth="1"/>
    <col min="10505" max="10505" width="22.85546875" style="1" customWidth="1"/>
    <col min="10506" max="10752" width="11.5703125" style="1"/>
    <col min="10753" max="10753" width="9.140625" style="1" customWidth="1"/>
    <col min="10754" max="10754" width="12.85546875" style="1" customWidth="1"/>
    <col min="10755" max="10755" width="22.85546875" style="1" customWidth="1"/>
    <col min="10756" max="10756" width="10" style="1" customWidth="1"/>
    <col min="10757" max="10757" width="14" style="1" customWidth="1"/>
    <col min="10758" max="10758" width="22.85546875" style="1" customWidth="1"/>
    <col min="10759" max="10759" width="9.140625" style="1" customWidth="1"/>
    <col min="10760" max="10760" width="12.85546875" style="1" customWidth="1"/>
    <col min="10761" max="10761" width="22.85546875" style="1" customWidth="1"/>
    <col min="10762" max="11008" width="11.5703125" style="1"/>
    <col min="11009" max="11009" width="9.140625" style="1" customWidth="1"/>
    <col min="11010" max="11010" width="12.85546875" style="1" customWidth="1"/>
    <col min="11011" max="11011" width="22.85546875" style="1" customWidth="1"/>
    <col min="11012" max="11012" width="10" style="1" customWidth="1"/>
    <col min="11013" max="11013" width="14" style="1" customWidth="1"/>
    <col min="11014" max="11014" width="22.85546875" style="1" customWidth="1"/>
    <col min="11015" max="11015" width="9.140625" style="1" customWidth="1"/>
    <col min="11016" max="11016" width="12.85546875" style="1" customWidth="1"/>
    <col min="11017" max="11017" width="22.85546875" style="1" customWidth="1"/>
    <col min="11018" max="11264" width="11.5703125" style="1"/>
    <col min="11265" max="11265" width="9.140625" style="1" customWidth="1"/>
    <col min="11266" max="11266" width="12.85546875" style="1" customWidth="1"/>
    <col min="11267" max="11267" width="22.85546875" style="1" customWidth="1"/>
    <col min="11268" max="11268" width="10" style="1" customWidth="1"/>
    <col min="11269" max="11269" width="14" style="1" customWidth="1"/>
    <col min="11270" max="11270" width="22.85546875" style="1" customWidth="1"/>
    <col min="11271" max="11271" width="9.140625" style="1" customWidth="1"/>
    <col min="11272" max="11272" width="12.85546875" style="1" customWidth="1"/>
    <col min="11273" max="11273" width="22.85546875" style="1" customWidth="1"/>
    <col min="11274" max="11520" width="11.5703125" style="1"/>
    <col min="11521" max="11521" width="9.140625" style="1" customWidth="1"/>
    <col min="11522" max="11522" width="12.85546875" style="1" customWidth="1"/>
    <col min="11523" max="11523" width="22.85546875" style="1" customWidth="1"/>
    <col min="11524" max="11524" width="10" style="1" customWidth="1"/>
    <col min="11525" max="11525" width="14" style="1" customWidth="1"/>
    <col min="11526" max="11526" width="22.85546875" style="1" customWidth="1"/>
    <col min="11527" max="11527" width="9.140625" style="1" customWidth="1"/>
    <col min="11528" max="11528" width="12.85546875" style="1" customWidth="1"/>
    <col min="11529" max="11529" width="22.85546875" style="1" customWidth="1"/>
    <col min="11530" max="11776" width="11.5703125" style="1"/>
    <col min="11777" max="11777" width="9.140625" style="1" customWidth="1"/>
    <col min="11778" max="11778" width="12.85546875" style="1" customWidth="1"/>
    <col min="11779" max="11779" width="22.85546875" style="1" customWidth="1"/>
    <col min="11780" max="11780" width="10" style="1" customWidth="1"/>
    <col min="11781" max="11781" width="14" style="1" customWidth="1"/>
    <col min="11782" max="11782" width="22.85546875" style="1" customWidth="1"/>
    <col min="11783" max="11783" width="9.140625" style="1" customWidth="1"/>
    <col min="11784" max="11784" width="12.85546875" style="1" customWidth="1"/>
    <col min="11785" max="11785" width="22.85546875" style="1" customWidth="1"/>
    <col min="11786" max="12032" width="11.5703125" style="1"/>
    <col min="12033" max="12033" width="9.140625" style="1" customWidth="1"/>
    <col min="12034" max="12034" width="12.85546875" style="1" customWidth="1"/>
    <col min="12035" max="12035" width="22.85546875" style="1" customWidth="1"/>
    <col min="12036" max="12036" width="10" style="1" customWidth="1"/>
    <col min="12037" max="12037" width="14" style="1" customWidth="1"/>
    <col min="12038" max="12038" width="22.85546875" style="1" customWidth="1"/>
    <col min="12039" max="12039" width="9.140625" style="1" customWidth="1"/>
    <col min="12040" max="12040" width="12.85546875" style="1" customWidth="1"/>
    <col min="12041" max="12041" width="22.85546875" style="1" customWidth="1"/>
    <col min="12042" max="12288" width="11.5703125" style="1"/>
    <col min="12289" max="12289" width="9.140625" style="1" customWidth="1"/>
    <col min="12290" max="12290" width="12.85546875" style="1" customWidth="1"/>
    <col min="12291" max="12291" width="22.85546875" style="1" customWidth="1"/>
    <col min="12292" max="12292" width="10" style="1" customWidth="1"/>
    <col min="12293" max="12293" width="14" style="1" customWidth="1"/>
    <col min="12294" max="12294" width="22.85546875" style="1" customWidth="1"/>
    <col min="12295" max="12295" width="9.140625" style="1" customWidth="1"/>
    <col min="12296" max="12296" width="12.85546875" style="1" customWidth="1"/>
    <col min="12297" max="12297" width="22.85546875" style="1" customWidth="1"/>
    <col min="12298" max="12544" width="11.5703125" style="1"/>
    <col min="12545" max="12545" width="9.140625" style="1" customWidth="1"/>
    <col min="12546" max="12546" width="12.85546875" style="1" customWidth="1"/>
    <col min="12547" max="12547" width="22.85546875" style="1" customWidth="1"/>
    <col min="12548" max="12548" width="10" style="1" customWidth="1"/>
    <col min="12549" max="12549" width="14" style="1" customWidth="1"/>
    <col min="12550" max="12550" width="22.85546875" style="1" customWidth="1"/>
    <col min="12551" max="12551" width="9.140625" style="1" customWidth="1"/>
    <col min="12552" max="12552" width="12.85546875" style="1" customWidth="1"/>
    <col min="12553" max="12553" width="22.85546875" style="1" customWidth="1"/>
    <col min="12554" max="12800" width="11.5703125" style="1"/>
    <col min="12801" max="12801" width="9.140625" style="1" customWidth="1"/>
    <col min="12802" max="12802" width="12.85546875" style="1" customWidth="1"/>
    <col min="12803" max="12803" width="22.85546875" style="1" customWidth="1"/>
    <col min="12804" max="12804" width="10" style="1" customWidth="1"/>
    <col min="12805" max="12805" width="14" style="1" customWidth="1"/>
    <col min="12806" max="12806" width="22.85546875" style="1" customWidth="1"/>
    <col min="12807" max="12807" width="9.140625" style="1" customWidth="1"/>
    <col min="12808" max="12808" width="12.85546875" style="1" customWidth="1"/>
    <col min="12809" max="12809" width="22.85546875" style="1" customWidth="1"/>
    <col min="12810" max="13056" width="11.5703125" style="1"/>
    <col min="13057" max="13057" width="9.140625" style="1" customWidth="1"/>
    <col min="13058" max="13058" width="12.85546875" style="1" customWidth="1"/>
    <col min="13059" max="13059" width="22.85546875" style="1" customWidth="1"/>
    <col min="13060" max="13060" width="10" style="1" customWidth="1"/>
    <col min="13061" max="13061" width="14" style="1" customWidth="1"/>
    <col min="13062" max="13062" width="22.85546875" style="1" customWidth="1"/>
    <col min="13063" max="13063" width="9.140625" style="1" customWidth="1"/>
    <col min="13064" max="13064" width="12.85546875" style="1" customWidth="1"/>
    <col min="13065" max="13065" width="22.85546875" style="1" customWidth="1"/>
    <col min="13066" max="13312" width="11.5703125" style="1"/>
    <col min="13313" max="13313" width="9.140625" style="1" customWidth="1"/>
    <col min="13314" max="13314" width="12.85546875" style="1" customWidth="1"/>
    <col min="13315" max="13315" width="22.85546875" style="1" customWidth="1"/>
    <col min="13316" max="13316" width="10" style="1" customWidth="1"/>
    <col min="13317" max="13317" width="14" style="1" customWidth="1"/>
    <col min="13318" max="13318" width="22.85546875" style="1" customWidth="1"/>
    <col min="13319" max="13319" width="9.140625" style="1" customWidth="1"/>
    <col min="13320" max="13320" width="12.85546875" style="1" customWidth="1"/>
    <col min="13321" max="13321" width="22.85546875" style="1" customWidth="1"/>
    <col min="13322" max="13568" width="11.5703125" style="1"/>
    <col min="13569" max="13569" width="9.140625" style="1" customWidth="1"/>
    <col min="13570" max="13570" width="12.85546875" style="1" customWidth="1"/>
    <col min="13571" max="13571" width="22.85546875" style="1" customWidth="1"/>
    <col min="13572" max="13572" width="10" style="1" customWidth="1"/>
    <col min="13573" max="13573" width="14" style="1" customWidth="1"/>
    <col min="13574" max="13574" width="22.85546875" style="1" customWidth="1"/>
    <col min="13575" max="13575" width="9.140625" style="1" customWidth="1"/>
    <col min="13576" max="13576" width="12.85546875" style="1" customWidth="1"/>
    <col min="13577" max="13577" width="22.85546875" style="1" customWidth="1"/>
    <col min="13578" max="13824" width="11.5703125" style="1"/>
    <col min="13825" max="13825" width="9.140625" style="1" customWidth="1"/>
    <col min="13826" max="13826" width="12.85546875" style="1" customWidth="1"/>
    <col min="13827" max="13827" width="22.85546875" style="1" customWidth="1"/>
    <col min="13828" max="13828" width="10" style="1" customWidth="1"/>
    <col min="13829" max="13829" width="14" style="1" customWidth="1"/>
    <col min="13830" max="13830" width="22.85546875" style="1" customWidth="1"/>
    <col min="13831" max="13831" width="9.140625" style="1" customWidth="1"/>
    <col min="13832" max="13832" width="12.85546875" style="1" customWidth="1"/>
    <col min="13833" max="13833" width="22.85546875" style="1" customWidth="1"/>
    <col min="13834" max="14080" width="11.5703125" style="1"/>
    <col min="14081" max="14081" width="9.140625" style="1" customWidth="1"/>
    <col min="14082" max="14082" width="12.85546875" style="1" customWidth="1"/>
    <col min="14083" max="14083" width="22.85546875" style="1" customWidth="1"/>
    <col min="14084" max="14084" width="10" style="1" customWidth="1"/>
    <col min="14085" max="14085" width="14" style="1" customWidth="1"/>
    <col min="14086" max="14086" width="22.85546875" style="1" customWidth="1"/>
    <col min="14087" max="14087" width="9.140625" style="1" customWidth="1"/>
    <col min="14088" max="14088" width="12.85546875" style="1" customWidth="1"/>
    <col min="14089" max="14089" width="22.85546875" style="1" customWidth="1"/>
    <col min="14090" max="14336" width="11.5703125" style="1"/>
    <col min="14337" max="14337" width="9.140625" style="1" customWidth="1"/>
    <col min="14338" max="14338" width="12.85546875" style="1" customWidth="1"/>
    <col min="14339" max="14339" width="22.85546875" style="1" customWidth="1"/>
    <col min="14340" max="14340" width="10" style="1" customWidth="1"/>
    <col min="14341" max="14341" width="14" style="1" customWidth="1"/>
    <col min="14342" max="14342" width="22.85546875" style="1" customWidth="1"/>
    <col min="14343" max="14343" width="9.140625" style="1" customWidth="1"/>
    <col min="14344" max="14344" width="12.85546875" style="1" customWidth="1"/>
    <col min="14345" max="14345" width="22.85546875" style="1" customWidth="1"/>
    <col min="14346" max="14592" width="11.5703125" style="1"/>
    <col min="14593" max="14593" width="9.140625" style="1" customWidth="1"/>
    <col min="14594" max="14594" width="12.85546875" style="1" customWidth="1"/>
    <col min="14595" max="14595" width="22.85546875" style="1" customWidth="1"/>
    <col min="14596" max="14596" width="10" style="1" customWidth="1"/>
    <col min="14597" max="14597" width="14" style="1" customWidth="1"/>
    <col min="14598" max="14598" width="22.85546875" style="1" customWidth="1"/>
    <col min="14599" max="14599" width="9.140625" style="1" customWidth="1"/>
    <col min="14600" max="14600" width="12.85546875" style="1" customWidth="1"/>
    <col min="14601" max="14601" width="22.85546875" style="1" customWidth="1"/>
    <col min="14602" max="14848" width="11.5703125" style="1"/>
    <col min="14849" max="14849" width="9.140625" style="1" customWidth="1"/>
    <col min="14850" max="14850" width="12.85546875" style="1" customWidth="1"/>
    <col min="14851" max="14851" width="22.85546875" style="1" customWidth="1"/>
    <col min="14852" max="14852" width="10" style="1" customWidth="1"/>
    <col min="14853" max="14853" width="14" style="1" customWidth="1"/>
    <col min="14854" max="14854" width="22.85546875" style="1" customWidth="1"/>
    <col min="14855" max="14855" width="9.140625" style="1" customWidth="1"/>
    <col min="14856" max="14856" width="12.85546875" style="1" customWidth="1"/>
    <col min="14857" max="14857" width="22.85546875" style="1" customWidth="1"/>
    <col min="14858" max="15104" width="11.5703125" style="1"/>
    <col min="15105" max="15105" width="9.140625" style="1" customWidth="1"/>
    <col min="15106" max="15106" width="12.85546875" style="1" customWidth="1"/>
    <col min="15107" max="15107" width="22.85546875" style="1" customWidth="1"/>
    <col min="15108" max="15108" width="10" style="1" customWidth="1"/>
    <col min="15109" max="15109" width="14" style="1" customWidth="1"/>
    <col min="15110" max="15110" width="22.85546875" style="1" customWidth="1"/>
    <col min="15111" max="15111" width="9.140625" style="1" customWidth="1"/>
    <col min="15112" max="15112" width="12.85546875" style="1" customWidth="1"/>
    <col min="15113" max="15113" width="22.85546875" style="1" customWidth="1"/>
    <col min="15114" max="15360" width="11.5703125" style="1"/>
    <col min="15361" max="15361" width="9.140625" style="1" customWidth="1"/>
    <col min="15362" max="15362" width="12.85546875" style="1" customWidth="1"/>
    <col min="15363" max="15363" width="22.85546875" style="1" customWidth="1"/>
    <col min="15364" max="15364" width="10" style="1" customWidth="1"/>
    <col min="15365" max="15365" width="14" style="1" customWidth="1"/>
    <col min="15366" max="15366" width="22.85546875" style="1" customWidth="1"/>
    <col min="15367" max="15367" width="9.140625" style="1" customWidth="1"/>
    <col min="15368" max="15368" width="12.85546875" style="1" customWidth="1"/>
    <col min="15369" max="15369" width="22.85546875" style="1" customWidth="1"/>
    <col min="15370" max="15616" width="11.5703125" style="1"/>
    <col min="15617" max="15617" width="9.140625" style="1" customWidth="1"/>
    <col min="15618" max="15618" width="12.85546875" style="1" customWidth="1"/>
    <col min="15619" max="15619" width="22.85546875" style="1" customWidth="1"/>
    <col min="15620" max="15620" width="10" style="1" customWidth="1"/>
    <col min="15621" max="15621" width="14" style="1" customWidth="1"/>
    <col min="15622" max="15622" width="22.85546875" style="1" customWidth="1"/>
    <col min="15623" max="15623" width="9.140625" style="1" customWidth="1"/>
    <col min="15624" max="15624" width="12.85546875" style="1" customWidth="1"/>
    <col min="15625" max="15625" width="22.85546875" style="1" customWidth="1"/>
    <col min="15626" max="15872" width="11.5703125" style="1"/>
    <col min="15873" max="15873" width="9.140625" style="1" customWidth="1"/>
    <col min="15874" max="15874" width="12.85546875" style="1" customWidth="1"/>
    <col min="15875" max="15875" width="22.85546875" style="1" customWidth="1"/>
    <col min="15876" max="15876" width="10" style="1" customWidth="1"/>
    <col min="15877" max="15877" width="14" style="1" customWidth="1"/>
    <col min="15878" max="15878" width="22.85546875" style="1" customWidth="1"/>
    <col min="15879" max="15879" width="9.140625" style="1" customWidth="1"/>
    <col min="15880" max="15880" width="12.85546875" style="1" customWidth="1"/>
    <col min="15881" max="15881" width="22.85546875" style="1" customWidth="1"/>
    <col min="15882" max="16128" width="11.5703125" style="1"/>
    <col min="16129" max="16129" width="9.140625" style="1" customWidth="1"/>
    <col min="16130" max="16130" width="12.85546875" style="1" customWidth="1"/>
    <col min="16131" max="16131" width="22.85546875" style="1" customWidth="1"/>
    <col min="16132" max="16132" width="10" style="1" customWidth="1"/>
    <col min="16133" max="16133" width="14" style="1" customWidth="1"/>
    <col min="16134" max="16134" width="22.85546875" style="1" customWidth="1"/>
    <col min="16135" max="16135" width="9.140625" style="1" customWidth="1"/>
    <col min="16136" max="16136" width="12.85546875" style="1" customWidth="1"/>
    <col min="16137" max="16137" width="22.85546875" style="1" customWidth="1"/>
    <col min="16138" max="16384" width="11.5703125" style="1"/>
  </cols>
  <sheetData>
    <row r="1" spans="1:10" ht="36.6" customHeight="1" x14ac:dyDescent="0.2">
      <c r="A1" s="50"/>
      <c r="B1" s="51"/>
      <c r="C1" s="127" t="s">
        <v>346</v>
      </c>
      <c r="D1" s="128"/>
      <c r="E1" s="128"/>
      <c r="F1" s="128"/>
      <c r="G1" s="128"/>
      <c r="H1" s="128"/>
      <c r="I1" s="128"/>
    </row>
    <row r="2" spans="1:10" x14ac:dyDescent="0.2">
      <c r="A2" s="129" t="s">
        <v>1</v>
      </c>
      <c r="B2" s="130"/>
      <c r="C2" s="131" t="s">
        <v>2</v>
      </c>
      <c r="D2" s="73"/>
      <c r="E2" s="133" t="s">
        <v>4</v>
      </c>
      <c r="F2" s="133" t="s">
        <v>5</v>
      </c>
      <c r="G2" s="130"/>
      <c r="H2" s="133" t="s">
        <v>347</v>
      </c>
      <c r="I2" s="134"/>
      <c r="J2" s="2"/>
    </row>
    <row r="3" spans="1:10" ht="25.7" customHeight="1" x14ac:dyDescent="0.2">
      <c r="A3" s="121"/>
      <c r="B3" s="98"/>
      <c r="C3" s="132"/>
      <c r="D3" s="132"/>
      <c r="E3" s="98"/>
      <c r="F3" s="98"/>
      <c r="G3" s="98"/>
      <c r="H3" s="98"/>
      <c r="I3" s="124"/>
      <c r="J3" s="2"/>
    </row>
    <row r="4" spans="1:10" x14ac:dyDescent="0.2">
      <c r="A4" s="120" t="s">
        <v>6</v>
      </c>
      <c r="B4" s="98"/>
      <c r="C4" s="97" t="s">
        <v>7</v>
      </c>
      <c r="D4" s="98"/>
      <c r="E4" s="97" t="s">
        <v>10</v>
      </c>
      <c r="F4" s="97" t="s">
        <v>11</v>
      </c>
      <c r="G4" s="98"/>
      <c r="H4" s="97" t="s">
        <v>347</v>
      </c>
      <c r="I4" s="123"/>
      <c r="J4" s="2"/>
    </row>
    <row r="5" spans="1:10" x14ac:dyDescent="0.2">
      <c r="A5" s="121"/>
      <c r="B5" s="98"/>
      <c r="C5" s="98"/>
      <c r="D5" s="98"/>
      <c r="E5" s="98"/>
      <c r="F5" s="98"/>
      <c r="G5" s="98"/>
      <c r="H5" s="98"/>
      <c r="I5" s="124"/>
      <c r="J5" s="2"/>
    </row>
    <row r="6" spans="1:10" x14ac:dyDescent="0.2">
      <c r="A6" s="120" t="s">
        <v>12</v>
      </c>
      <c r="B6" s="98"/>
      <c r="C6" s="97" t="s">
        <v>13</v>
      </c>
      <c r="D6" s="98"/>
      <c r="E6" s="97" t="s">
        <v>15</v>
      </c>
      <c r="F6" s="97" t="s">
        <v>16</v>
      </c>
      <c r="G6" s="98"/>
      <c r="H6" s="97" t="s">
        <v>347</v>
      </c>
      <c r="I6" s="123"/>
      <c r="J6" s="2"/>
    </row>
    <row r="7" spans="1:10" x14ac:dyDescent="0.2">
      <c r="A7" s="121"/>
      <c r="B7" s="98"/>
      <c r="C7" s="98"/>
      <c r="D7" s="98"/>
      <c r="E7" s="98"/>
      <c r="F7" s="98"/>
      <c r="G7" s="98"/>
      <c r="H7" s="98"/>
      <c r="I7" s="124"/>
      <c r="J7" s="2"/>
    </row>
    <row r="8" spans="1:10" x14ac:dyDescent="0.2">
      <c r="A8" s="120" t="s">
        <v>8</v>
      </c>
      <c r="B8" s="98"/>
      <c r="C8" s="122" t="s">
        <v>9</v>
      </c>
      <c r="D8" s="98"/>
      <c r="E8" s="97" t="s">
        <v>14</v>
      </c>
      <c r="F8" s="98"/>
      <c r="G8" s="98"/>
      <c r="H8" s="122" t="s">
        <v>348</v>
      </c>
      <c r="I8" s="123" t="s">
        <v>341</v>
      </c>
      <c r="J8" s="2"/>
    </row>
    <row r="9" spans="1:10" x14ac:dyDescent="0.2">
      <c r="A9" s="121"/>
      <c r="B9" s="98"/>
      <c r="C9" s="98"/>
      <c r="D9" s="98"/>
      <c r="E9" s="98"/>
      <c r="F9" s="98"/>
      <c r="G9" s="98"/>
      <c r="H9" s="98"/>
      <c r="I9" s="124"/>
      <c r="J9" s="2"/>
    </row>
    <row r="10" spans="1:10" x14ac:dyDescent="0.2">
      <c r="A10" s="120" t="s">
        <v>17</v>
      </c>
      <c r="B10" s="98"/>
      <c r="C10" s="97"/>
      <c r="D10" s="98"/>
      <c r="E10" s="97" t="s">
        <v>19</v>
      </c>
      <c r="F10" s="97" t="s">
        <v>20</v>
      </c>
      <c r="G10" s="98"/>
      <c r="H10" s="122" t="s">
        <v>349</v>
      </c>
      <c r="I10" s="118">
        <v>42634</v>
      </c>
      <c r="J10" s="2"/>
    </row>
    <row r="11" spans="1:10" x14ac:dyDescent="0.2">
      <c r="A11" s="125"/>
      <c r="B11" s="126"/>
      <c r="C11" s="126"/>
      <c r="D11" s="126"/>
      <c r="E11" s="126"/>
      <c r="F11" s="126"/>
      <c r="G11" s="126"/>
      <c r="H11" s="126"/>
      <c r="I11" s="119"/>
      <c r="J11" s="2"/>
    </row>
    <row r="12" spans="1:10" ht="23.45" customHeight="1" x14ac:dyDescent="0.2">
      <c r="A12" s="114" t="s">
        <v>350</v>
      </c>
      <c r="B12" s="115"/>
      <c r="C12" s="115"/>
      <c r="D12" s="115"/>
      <c r="E12" s="115"/>
      <c r="F12" s="115"/>
      <c r="G12" s="115"/>
      <c r="H12" s="115"/>
      <c r="I12" s="115"/>
    </row>
    <row r="13" spans="1:10" ht="26.45" customHeight="1" x14ac:dyDescent="0.2">
      <c r="A13" s="52" t="s">
        <v>351</v>
      </c>
      <c r="B13" s="116" t="s">
        <v>352</v>
      </c>
      <c r="C13" s="117"/>
      <c r="D13" s="52" t="s">
        <v>353</v>
      </c>
      <c r="E13" s="116" t="s">
        <v>354</v>
      </c>
      <c r="F13" s="117"/>
      <c r="G13" s="52" t="s">
        <v>355</v>
      </c>
      <c r="H13" s="116" t="s">
        <v>356</v>
      </c>
      <c r="I13" s="117"/>
      <c r="J13" s="2"/>
    </row>
    <row r="14" spans="1:10" ht="15.2" customHeight="1" x14ac:dyDescent="0.2">
      <c r="A14" s="53" t="s">
        <v>357</v>
      </c>
      <c r="B14" s="54" t="s">
        <v>358</v>
      </c>
      <c r="C14" s="55">
        <f>SUM(Stavební_rozpočet!R12:R180)</f>
        <v>0</v>
      </c>
      <c r="D14" s="112" t="s">
        <v>359</v>
      </c>
      <c r="E14" s="113"/>
      <c r="F14" s="55">
        <v>0</v>
      </c>
      <c r="G14" s="112" t="s">
        <v>360</v>
      </c>
      <c r="H14" s="113"/>
      <c r="I14" s="55">
        <v>0</v>
      </c>
      <c r="J14" s="2"/>
    </row>
    <row r="15" spans="1:10" ht="15.2" customHeight="1" x14ac:dyDescent="0.2">
      <c r="A15" s="56"/>
      <c r="B15" s="54" t="s">
        <v>34</v>
      </c>
      <c r="C15" s="55">
        <f>SUM(Stavební_rozpočet!S12:S180)</f>
        <v>0</v>
      </c>
      <c r="D15" s="112" t="s">
        <v>361</v>
      </c>
      <c r="E15" s="113"/>
      <c r="F15" s="55">
        <v>0</v>
      </c>
      <c r="G15" s="112" t="s">
        <v>362</v>
      </c>
      <c r="H15" s="113"/>
      <c r="I15" s="55">
        <v>0</v>
      </c>
      <c r="J15" s="2"/>
    </row>
    <row r="16" spans="1:10" ht="15.2" customHeight="1" x14ac:dyDescent="0.2">
      <c r="A16" s="53" t="s">
        <v>363</v>
      </c>
      <c r="B16" s="54" t="s">
        <v>358</v>
      </c>
      <c r="C16" s="55">
        <f>SUM(Stavební_rozpočet!T12:T180)</f>
        <v>0</v>
      </c>
      <c r="D16" s="112" t="s">
        <v>364</v>
      </c>
      <c r="E16" s="113"/>
      <c r="F16" s="55">
        <v>0</v>
      </c>
      <c r="G16" s="112" t="s">
        <v>365</v>
      </c>
      <c r="H16" s="113"/>
      <c r="I16" s="55">
        <v>0</v>
      </c>
      <c r="J16" s="2"/>
    </row>
    <row r="17" spans="1:10" ht="15.2" customHeight="1" x14ac:dyDescent="0.2">
      <c r="A17" s="56"/>
      <c r="B17" s="54" t="s">
        <v>34</v>
      </c>
      <c r="C17" s="55">
        <f>SUM(Stavební_rozpočet!U12:U180)</f>
        <v>0</v>
      </c>
      <c r="D17" s="112"/>
      <c r="E17" s="113"/>
      <c r="F17" s="57"/>
      <c r="G17" s="112" t="s">
        <v>366</v>
      </c>
      <c r="H17" s="113"/>
      <c r="I17" s="55">
        <v>0</v>
      </c>
      <c r="J17" s="2"/>
    </row>
    <row r="18" spans="1:10" ht="15.2" customHeight="1" x14ac:dyDescent="0.2">
      <c r="A18" s="53" t="s">
        <v>367</v>
      </c>
      <c r="B18" s="54" t="s">
        <v>358</v>
      </c>
      <c r="C18" s="55">
        <f>SUM(Stavební_rozpočet!V12:V180)</f>
        <v>0</v>
      </c>
      <c r="D18" s="112"/>
      <c r="E18" s="113"/>
      <c r="F18" s="57"/>
      <c r="G18" s="112" t="s">
        <v>368</v>
      </c>
      <c r="H18" s="113"/>
      <c r="I18" s="55">
        <v>0</v>
      </c>
      <c r="J18" s="2"/>
    </row>
    <row r="19" spans="1:10" ht="15.2" customHeight="1" x14ac:dyDescent="0.2">
      <c r="A19" s="56"/>
      <c r="B19" s="54" t="s">
        <v>34</v>
      </c>
      <c r="C19" s="55">
        <f>SUM(Stavební_rozpočet!W12:W180)</f>
        <v>0</v>
      </c>
      <c r="D19" s="112"/>
      <c r="E19" s="113"/>
      <c r="F19" s="57"/>
      <c r="G19" s="112" t="s">
        <v>369</v>
      </c>
      <c r="H19" s="113"/>
      <c r="I19" s="55">
        <v>0</v>
      </c>
      <c r="J19" s="2"/>
    </row>
    <row r="20" spans="1:10" ht="15.2" customHeight="1" x14ac:dyDescent="0.2">
      <c r="A20" s="110" t="s">
        <v>370</v>
      </c>
      <c r="B20" s="111"/>
      <c r="C20" s="55">
        <f>SUM(Stavební_rozpočet!X12:X180)</f>
        <v>0</v>
      </c>
      <c r="D20" s="112"/>
      <c r="E20" s="113"/>
      <c r="F20" s="57"/>
      <c r="G20" s="112"/>
      <c r="H20" s="113"/>
      <c r="I20" s="57"/>
      <c r="J20" s="2"/>
    </row>
    <row r="21" spans="1:10" ht="15.2" customHeight="1" x14ac:dyDescent="0.2">
      <c r="A21" s="110" t="s">
        <v>371</v>
      </c>
      <c r="B21" s="111"/>
      <c r="C21" s="55">
        <f>SUM(Stavební_rozpočet!P12:P180)</f>
        <v>0</v>
      </c>
      <c r="D21" s="112"/>
      <c r="E21" s="113"/>
      <c r="F21" s="57"/>
      <c r="G21" s="112"/>
      <c r="H21" s="113"/>
      <c r="I21" s="57"/>
      <c r="J21" s="2"/>
    </row>
    <row r="22" spans="1:10" ht="16.7" customHeight="1" x14ac:dyDescent="0.2">
      <c r="A22" s="110" t="s">
        <v>372</v>
      </c>
      <c r="B22" s="111"/>
      <c r="C22" s="55">
        <f>SUM(C14:C21)</f>
        <v>0</v>
      </c>
      <c r="D22" s="110" t="s">
        <v>373</v>
      </c>
      <c r="E22" s="111"/>
      <c r="F22" s="55">
        <f>SUM(F14:F21)</f>
        <v>0</v>
      </c>
      <c r="G22" s="110" t="s">
        <v>374</v>
      </c>
      <c r="H22" s="111"/>
      <c r="I22" s="55">
        <f>SUM(I14:I21)</f>
        <v>0</v>
      </c>
      <c r="J22" s="2"/>
    </row>
    <row r="23" spans="1:10" ht="15.2" customHeight="1" thickBot="1" x14ac:dyDescent="0.25">
      <c r="A23" s="10"/>
      <c r="B23" s="10"/>
      <c r="C23" s="58"/>
      <c r="D23" s="110" t="s">
        <v>375</v>
      </c>
      <c r="E23" s="111"/>
      <c r="F23" s="59">
        <v>0</v>
      </c>
      <c r="G23" s="110" t="s">
        <v>376</v>
      </c>
      <c r="H23" s="111"/>
      <c r="I23" s="55">
        <v>0</v>
      </c>
      <c r="J23" s="2"/>
    </row>
    <row r="24" spans="1:10" ht="15.2" customHeight="1" x14ac:dyDescent="0.2">
      <c r="D24" s="10"/>
      <c r="E24" s="10"/>
      <c r="F24" s="60"/>
      <c r="G24" s="110" t="s">
        <v>377</v>
      </c>
      <c r="H24" s="111"/>
      <c r="I24" s="61"/>
    </row>
    <row r="25" spans="1:10" ht="15.2" customHeight="1" x14ac:dyDescent="0.2">
      <c r="F25" s="62"/>
      <c r="G25" s="110" t="s">
        <v>378</v>
      </c>
      <c r="H25" s="111"/>
      <c r="I25" s="55">
        <v>0</v>
      </c>
      <c r="J25" s="2"/>
    </row>
    <row r="26" spans="1:10" x14ac:dyDescent="0.2">
      <c r="A26" s="51"/>
      <c r="B26" s="51"/>
      <c r="C26" s="51"/>
      <c r="G26" s="10"/>
      <c r="H26" s="10"/>
      <c r="I26" s="10"/>
    </row>
    <row r="27" spans="1:10" ht="15.2" customHeight="1" x14ac:dyDescent="0.2">
      <c r="A27" s="105" t="s">
        <v>379</v>
      </c>
      <c r="B27" s="106"/>
      <c r="C27" s="63">
        <f>SUM(Stavební_rozpočet!Z12:Z180)</f>
        <v>0</v>
      </c>
      <c r="D27" s="64"/>
      <c r="E27" s="51"/>
      <c r="F27" s="51"/>
      <c r="G27" s="51"/>
      <c r="H27" s="51"/>
      <c r="I27" s="51"/>
    </row>
    <row r="28" spans="1:10" ht="15.2" customHeight="1" x14ac:dyDescent="0.2">
      <c r="A28" s="105" t="s">
        <v>380</v>
      </c>
      <c r="B28" s="106"/>
      <c r="C28" s="63">
        <f>SUM(Stavební_rozpočet!AA12:AA180)</f>
        <v>0</v>
      </c>
      <c r="D28" s="105" t="s">
        <v>381</v>
      </c>
      <c r="E28" s="106"/>
      <c r="F28" s="63">
        <f>ROUND(C28*(15/100),2)</f>
        <v>0</v>
      </c>
      <c r="G28" s="105" t="s">
        <v>382</v>
      </c>
      <c r="H28" s="106"/>
      <c r="I28" s="63">
        <f>SUM(C27:C29)</f>
        <v>0</v>
      </c>
      <c r="J28" s="2"/>
    </row>
    <row r="29" spans="1:10" ht="15.2" customHeight="1" x14ac:dyDescent="0.2">
      <c r="A29" s="105" t="s">
        <v>383</v>
      </c>
      <c r="B29" s="106"/>
      <c r="C29" s="63">
        <f>SUM(Stavební_rozpočet!AB12:AB180)+(F22+I22+F23+I23+I24+I25)</f>
        <v>0</v>
      </c>
      <c r="D29" s="105" t="s">
        <v>384</v>
      </c>
      <c r="E29" s="106"/>
      <c r="F29" s="63">
        <f>ROUND(C29*(21/100),2)</f>
        <v>0</v>
      </c>
      <c r="G29" s="105" t="s">
        <v>385</v>
      </c>
      <c r="H29" s="106"/>
      <c r="I29" s="63">
        <f>SUM(F28:F29)+I28</f>
        <v>0</v>
      </c>
      <c r="J29" s="2"/>
    </row>
    <row r="30" spans="1:10" ht="13.5" thickBot="1" x14ac:dyDescent="0.25">
      <c r="A30" s="65"/>
      <c r="B30" s="65"/>
      <c r="C30" s="65"/>
      <c r="D30" s="65"/>
      <c r="E30" s="65"/>
      <c r="F30" s="65"/>
      <c r="G30" s="65"/>
      <c r="H30" s="65"/>
      <c r="I30" s="65"/>
    </row>
    <row r="31" spans="1:10" ht="14.45" customHeight="1" x14ac:dyDescent="0.2">
      <c r="A31" s="107" t="s">
        <v>386</v>
      </c>
      <c r="B31" s="108"/>
      <c r="C31" s="109"/>
      <c r="D31" s="107" t="s">
        <v>387</v>
      </c>
      <c r="E31" s="108"/>
      <c r="F31" s="109"/>
      <c r="G31" s="107" t="s">
        <v>388</v>
      </c>
      <c r="H31" s="108"/>
      <c r="I31" s="109"/>
      <c r="J31" s="3"/>
    </row>
    <row r="32" spans="1:10" ht="14.45" customHeight="1" x14ac:dyDescent="0.2">
      <c r="A32" s="99"/>
      <c r="B32" s="100"/>
      <c r="C32" s="101"/>
      <c r="D32" s="99"/>
      <c r="E32" s="100"/>
      <c r="F32" s="101"/>
      <c r="G32" s="99"/>
      <c r="H32" s="100"/>
      <c r="I32" s="101"/>
      <c r="J32" s="3"/>
    </row>
    <row r="33" spans="1:10" ht="14.45" customHeight="1" x14ac:dyDescent="0.2">
      <c r="A33" s="99"/>
      <c r="B33" s="100"/>
      <c r="C33" s="101"/>
      <c r="D33" s="99"/>
      <c r="E33" s="100"/>
      <c r="F33" s="101"/>
      <c r="G33" s="99"/>
      <c r="H33" s="100"/>
      <c r="I33" s="101"/>
      <c r="J33" s="3"/>
    </row>
    <row r="34" spans="1:10" ht="14.45" customHeight="1" x14ac:dyDescent="0.2">
      <c r="A34" s="99"/>
      <c r="B34" s="100"/>
      <c r="C34" s="101"/>
      <c r="D34" s="99"/>
      <c r="E34" s="100"/>
      <c r="F34" s="101"/>
      <c r="G34" s="99"/>
      <c r="H34" s="100"/>
      <c r="I34" s="101"/>
      <c r="J34" s="3"/>
    </row>
    <row r="35" spans="1:10" ht="14.45" customHeight="1" thickBot="1" x14ac:dyDescent="0.25">
      <c r="A35" s="102" t="s">
        <v>389</v>
      </c>
      <c r="B35" s="103"/>
      <c r="C35" s="104"/>
      <c r="D35" s="102" t="s">
        <v>389</v>
      </c>
      <c r="E35" s="103"/>
      <c r="F35" s="104"/>
      <c r="G35" s="102" t="s">
        <v>389</v>
      </c>
      <c r="H35" s="103"/>
      <c r="I35" s="104"/>
      <c r="J35" s="3"/>
    </row>
    <row r="36" spans="1:10" ht="11.25" customHeight="1" x14ac:dyDescent="0.2">
      <c r="A36" s="66" t="s">
        <v>345</v>
      </c>
      <c r="B36" s="67"/>
      <c r="C36" s="67"/>
      <c r="D36" s="67"/>
      <c r="E36" s="67"/>
      <c r="F36" s="67"/>
      <c r="G36" s="67"/>
      <c r="H36" s="67"/>
      <c r="I36" s="67"/>
    </row>
    <row r="37" spans="1:10" ht="409.6" hidden="1" customHeight="1" x14ac:dyDescent="0.2">
      <c r="A37" s="97"/>
      <c r="B37" s="98"/>
      <c r="C37" s="98"/>
      <c r="D37" s="98"/>
      <c r="E37" s="98"/>
      <c r="F37" s="98"/>
      <c r="G37" s="98"/>
      <c r="H37" s="98"/>
      <c r="I37" s="98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7" right="0.39400000000000007" top="0.59099999999999997" bottom="0.59099999999999997" header="0.5" footer="0.5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Stavební_rozpočet</vt:lpstr>
      <vt:lpstr>Krycí_list_rozpočtu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SUW</cp:lastModifiedBy>
  <dcterms:created xsi:type="dcterms:W3CDTF">2016-09-21T13:53:04Z</dcterms:created>
  <dcterms:modified xsi:type="dcterms:W3CDTF">2017-06-23T10:27:57Z</dcterms:modified>
</cp:coreProperties>
</file>