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<sst xmlns="http://schemas.openxmlformats.org/spreadsheetml/2006/main" count="450" uniqueCount="250">
  <si>
    <t>KRYCÍ LIST ROZPOČTU</t>
  </si>
  <si>
    <t>Název stavby</t>
  </si>
  <si>
    <t>JKSO</t>
  </si>
  <si>
    <t xml:space="preserve"> </t>
  </si>
  <si>
    <t>Kód stavby</t>
  </si>
  <si>
    <t>216</t>
  </si>
  <si>
    <t>Název objektu</t>
  </si>
  <si>
    <t>EČO</t>
  </si>
  <si>
    <t>Kód objektu</t>
  </si>
  <si>
    <t>Název části</t>
  </si>
  <si>
    <t>Místo</t>
  </si>
  <si>
    <t>Lobkovice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</si>
  <si>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</si>
  <si>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</si>
  <si>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</si>
  <si>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</si>
  <si>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</si>
  <si>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</si>
  <si>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</si>
  <si>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</si>
  <si>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</si>
  <si>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</si>
  <si>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</si>
  <si>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</si>
  <si>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</si>
  <si>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</si>
  <si>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</si>
  <si>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</si>
  <si>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</si>
  <si>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</si>
  <si>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</si>
  <si>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</si>
  <si>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</si>
  <si>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</si>
  <si>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</si>
  <si>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</si>
  <si>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</si>
  <si>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</si>
  <si>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</si>
  <si>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</si>
  <si>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</si>
  <si>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</si>
  <si>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</si>
  <si>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</si>
  <si>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</si>
  <si>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</si>
  <si>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</si>
  <si>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</si>
  <si>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</si>
  <si>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</si>
  <si>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</si>
  <si>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</si>
  <si>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</si>
  <si>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</si>
  <si>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</si>
  <si>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</si>
  <si>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</si>
  <si>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</si>
  <si>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</si>
  <si>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</si>
  <si>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</si>
  <si>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</si>
  <si>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</si>
  <si>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</si>
  <si>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</si>
  <si>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</si>
  <si>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</si>
  <si>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</si>
  <si>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</si>
  <si>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</si>
  <si>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</si>
  <si>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</si>
  <si>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</si>
  <si>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</si>
  <si>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</si>
  <si>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</si>
  <si>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</si>
  <si>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</si>
  <si>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</si>
  <si>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</si>
  <si>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</si>
  <si>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</si>
  <si>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</si>
  <si>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</si>
  <si>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</si>
  <si>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</si>
  <si>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</si>
  <si>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</si>
  <si>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</si>
  <si>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</si>
  <si>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</si>
  <si>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</si>
  <si>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</si>
  <si>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</si>
  <si>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</si>
  <si>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</si>
  <si>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</si>
  <si>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</si>
  <si>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</si>
  <si>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</si>
  <si>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</si>
  <si>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</si>
  <si>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</si>
  <si>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</si>
  <si>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</si>
  <si>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</si>
  <si>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132301401</t>
  </si>
  <si>
    <t>Hloubená vykopávka pod základy v hornině tř. 4 - vrata pojezd + patky</t>
  </si>
  <si>
    <t>m3</t>
  </si>
  <si>
    <t>2</t>
  </si>
  <si>
    <t>162701105</t>
  </si>
  <si>
    <t>Vodorovné přemístění do 10000 m výkopku/sypaniny z horniny tř. 1 až 4</t>
  </si>
  <si>
    <t>3</t>
  </si>
  <si>
    <t>167101101</t>
  </si>
  <si>
    <t>Nakládání výkopku z hornin tř. 1 až 4 do 100 m3</t>
  </si>
  <si>
    <t>4</t>
  </si>
  <si>
    <t>171201201</t>
  </si>
  <si>
    <t>Uložení sypaniny na skládky</t>
  </si>
  <si>
    <t>5</t>
  </si>
  <si>
    <t>171201211</t>
  </si>
  <si>
    <t>Poplatek za uložení odpadu ze sypaniny na skládce (skládkovné)</t>
  </si>
  <si>
    <t>t</t>
  </si>
  <si>
    <t>Zakládání</t>
  </si>
  <si>
    <t>6</t>
  </si>
  <si>
    <t>011</t>
  </si>
  <si>
    <t>274313811</t>
  </si>
  <si>
    <t>Základové pásy z betonu tř. C 25/30 - beton pro pojezd</t>
  </si>
  <si>
    <t>7</t>
  </si>
  <si>
    <t>275313811</t>
  </si>
  <si>
    <t>Základové patky z betonu tř. C 25/30</t>
  </si>
  <si>
    <t>8</t>
  </si>
  <si>
    <t>312</t>
  </si>
  <si>
    <t>275351111</t>
  </si>
  <si>
    <t>Bednění základových bloků tradiční oboustranné</t>
  </si>
  <si>
    <t>m2</t>
  </si>
  <si>
    <t>997</t>
  </si>
  <si>
    <t>Přesun sutě</t>
  </si>
  <si>
    <t>9</t>
  </si>
  <si>
    <t>013</t>
  </si>
  <si>
    <t>997013501</t>
  </si>
  <si>
    <t>Odvoz suti na skládku a vybouraných hmot nebo meziskládku do 1 km se složením</t>
  </si>
  <si>
    <t>10</t>
  </si>
  <si>
    <t>997013509</t>
  </si>
  <si>
    <t>Příplatek k odvozu suti a vybouraných hmot na skládku ZKD 1 km přes 1 km</t>
  </si>
  <si>
    <t>11</t>
  </si>
  <si>
    <t>997013831</t>
  </si>
  <si>
    <t>Poplatek za uložení stavebního směsného odpadu na skládce (skládkovné)</t>
  </si>
  <si>
    <t>Práce a dodávky PSV</t>
  </si>
  <si>
    <t>766</t>
  </si>
  <si>
    <t>Konstrukce truhlářské</t>
  </si>
  <si>
    <t>12</t>
  </si>
  <si>
    <t>766698112</t>
  </si>
  <si>
    <t>Montáž výplně vrat posuvných a vrátek</t>
  </si>
  <si>
    <t>13</t>
  </si>
  <si>
    <t>M</t>
  </si>
  <si>
    <t>MAT</t>
  </si>
  <si>
    <t>605561000</t>
  </si>
  <si>
    <t>řezivo dubové sušené tl. 30 mm</t>
  </si>
  <si>
    <t>14</t>
  </si>
  <si>
    <t>998766101</t>
  </si>
  <si>
    <t>Přesun hmot tonážní pro konstrukce truhlářské v objektech v do 6 m</t>
  </si>
  <si>
    <t>767</t>
  </si>
  <si>
    <t>Konstrukce zámečnické</t>
  </si>
  <si>
    <t>15</t>
  </si>
  <si>
    <t>767712812</t>
  </si>
  <si>
    <t>Demontáž vrat  svařovaných</t>
  </si>
  <si>
    <t>16</t>
  </si>
  <si>
    <t>767995111</t>
  </si>
  <si>
    <t xml:space="preserve">Montáž atypických zámečnických konstrukcí </t>
  </si>
  <si>
    <t>kg</t>
  </si>
  <si>
    <t>17</t>
  </si>
  <si>
    <t>553458780</t>
  </si>
  <si>
    <t>příslušenství vrat - pohon  elektrický nad 6 m2 vč.dálkových ovladačů 4 ks</t>
  </si>
  <si>
    <t>kus</t>
  </si>
  <si>
    <t>18</t>
  </si>
  <si>
    <t>130104400</t>
  </si>
  <si>
    <t>úhelník ocelový rovnostranný, v jakosti 11 375, 100 x 100 x 8 mm</t>
  </si>
  <si>
    <t>19</t>
  </si>
  <si>
    <t>130104200</t>
  </si>
  <si>
    <t>úhelník ocelový rovnostranný, v jakosti 11 375, 50 x 50 x 5 mm</t>
  </si>
  <si>
    <t>20</t>
  </si>
  <si>
    <t>130104140</t>
  </si>
  <si>
    <t>úhelník ocelový rovnostranný, v jakosti 11 375, 40 x 40 x 4 mm</t>
  </si>
  <si>
    <t>21</t>
  </si>
  <si>
    <t>767995112</t>
  </si>
  <si>
    <t>Montáž atypických zámečnických konstrukcí hmotnosti do 10 kg - hroty na vratech</t>
  </si>
  <si>
    <t>22</t>
  </si>
  <si>
    <t>553812100</t>
  </si>
  <si>
    <t xml:space="preserve"> hroty na vrata</t>
  </si>
  <si>
    <t>23</t>
  </si>
  <si>
    <t>998767101</t>
  </si>
  <si>
    <t>Přesun hmot tonážní pro zámečnické konstrukce v objektech v do 6 m</t>
  </si>
  <si>
    <t>783</t>
  </si>
  <si>
    <t>Dokončovací práce - nátěry</t>
  </si>
  <si>
    <t>24</t>
  </si>
  <si>
    <t>783615300</t>
  </si>
  <si>
    <t>Nátěry olejové truhlářských konstrukcí dvojnásobné, 2x email a 2x tmel</t>
  </si>
  <si>
    <t>Práce a dodávky M</t>
  </si>
  <si>
    <t>21-M</t>
  </si>
  <si>
    <t>Elektromontáže</t>
  </si>
  <si>
    <t>25</t>
  </si>
  <si>
    <t>921</t>
  </si>
  <si>
    <t>210040552</t>
  </si>
  <si>
    <t>Montáž a položení kabelu vč dodávky kabelu</t>
  </si>
  <si>
    <t>m</t>
  </si>
  <si>
    <t>26</t>
  </si>
  <si>
    <t>210220001</t>
  </si>
  <si>
    <t>Montáž uzemňovacího vedení vodičů FeZn pomocí svorek na povrchu páskou do 120 mm2</t>
  </si>
  <si>
    <t>25-M</t>
  </si>
  <si>
    <t>Povrchová úprava strojů a zařízení</t>
  </si>
  <si>
    <t>27</t>
  </si>
  <si>
    <t>925</t>
  </si>
  <si>
    <t>250040106</t>
  </si>
  <si>
    <t>Žárové stříkání technologických zařízení nečlenitých zinkem tl 120 µm mimo uzavřených nádob</t>
  </si>
  <si>
    <t>46-M</t>
  </si>
  <si>
    <t>Zemní práce při extr.mont.pracích</t>
  </si>
  <si>
    <t>28</t>
  </si>
  <si>
    <t>946</t>
  </si>
  <si>
    <t>460202034</t>
  </si>
  <si>
    <t>Hloubení kabelových nezapažených rýh strojně š 40 cm, hl 50 cm, v hornině tř 4</t>
  </si>
  <si>
    <t>29</t>
  </si>
  <si>
    <t>460421012</t>
  </si>
  <si>
    <t>Lože kabelů z písku nebo štěrkopísku tl 5 cm nad kabel, zakryté cihlami, š lože do 30 cm</t>
  </si>
  <si>
    <t>30</t>
  </si>
  <si>
    <t>460470011</t>
  </si>
  <si>
    <t>Provizorní zajištění kabelů ve výkopech při jejich křížení</t>
  </si>
  <si>
    <t>31</t>
  </si>
  <si>
    <t>460560034</t>
  </si>
  <si>
    <t>Zásyp rýh ručně šířky 40 cm, hloubky 50 cm, z horniny třídy 4</t>
  </si>
  <si>
    <t>32</t>
  </si>
  <si>
    <t>460620007</t>
  </si>
  <si>
    <t>Zatravnění včetně zalití vodou na rovině</t>
  </si>
  <si>
    <t>VRN</t>
  </si>
  <si>
    <t>VRN4</t>
  </si>
  <si>
    <t>Inženýrská činnost</t>
  </si>
  <si>
    <t>33</t>
  </si>
  <si>
    <t>000</t>
  </si>
  <si>
    <t>044002000</t>
  </si>
  <si>
    <t>Revize</t>
  </si>
  <si>
    <t>Kč</t>
  </si>
  <si>
    <t>VRN9</t>
  </si>
  <si>
    <t>34</t>
  </si>
  <si>
    <t>091002000</t>
  </si>
  <si>
    <t>Ostatní nepředvídatelné práce</t>
  </si>
  <si>
    <t>Ostatní -  doprava</t>
  </si>
  <si>
    <t>15.01.2019</t>
  </si>
  <si>
    <t>VD Lobkovice, modernizace vjezdových vrat</t>
  </si>
  <si>
    <t>Povodí Labe, státní podnik</t>
  </si>
  <si>
    <t xml:space="preserve"> Plavební komora Lobkovice</t>
  </si>
  <si>
    <t>ing.arch.Jiří Dvořák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</si>
</sst>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[$-405]dddd\ 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14" fontId="0" fillId="0" borderId="0" xfId="0" applyNumberForma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L30" sqref="L30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1" t="s">
        <v>246</v>
      </c>
      <c r="F5" s="182"/>
      <c r="G5" s="182"/>
      <c r="H5" s="182"/>
      <c r="I5" s="182"/>
      <c r="J5" s="183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4" t="s">
        <v>248</v>
      </c>
      <c r="F7" s="185"/>
      <c r="G7" s="185"/>
      <c r="H7" s="185"/>
      <c r="I7" s="185"/>
      <c r="J7" s="186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87" t="s">
        <v>3</v>
      </c>
      <c r="F9" s="188"/>
      <c r="G9" s="188"/>
      <c r="H9" s="188"/>
      <c r="I9" s="188"/>
      <c r="J9" s="189"/>
      <c r="K9" s="14"/>
      <c r="L9" s="14"/>
      <c r="M9" s="14"/>
      <c r="N9" s="14"/>
      <c r="O9" s="14" t="s">
        <v>10</v>
      </c>
      <c r="P9" s="190" t="s">
        <v>11</v>
      </c>
      <c r="Q9" s="188"/>
      <c r="R9" s="189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247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 t="s">
        <v>249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19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245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24</v>
      </c>
      <c r="B34" s="49"/>
      <c r="C34" s="49"/>
      <c r="D34" s="50"/>
      <c r="E34" s="51" t="s">
        <v>25</v>
      </c>
      <c r="F34" s="50"/>
      <c r="G34" s="51" t="s">
        <v>26</v>
      </c>
      <c r="H34" s="49"/>
      <c r="I34" s="50"/>
      <c r="J34" s="51" t="s">
        <v>27</v>
      </c>
      <c r="K34" s="49"/>
      <c r="L34" s="51" t="s">
        <v>28</v>
      </c>
      <c r="M34" s="49"/>
      <c r="N34" s="49"/>
      <c r="O34" s="50"/>
      <c r="P34" s="51" t="s">
        <v>29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30</v>
      </c>
      <c r="F36" s="45"/>
      <c r="G36" s="45"/>
      <c r="H36" s="45"/>
      <c r="I36" s="45"/>
      <c r="J36" s="62" t="s">
        <v>31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32</v>
      </c>
      <c r="B37" s="64"/>
      <c r="C37" s="65" t="s">
        <v>33</v>
      </c>
      <c r="D37" s="66"/>
      <c r="E37" s="66"/>
      <c r="F37" s="67"/>
      <c r="G37" s="63" t="s">
        <v>34</v>
      </c>
      <c r="H37" s="68"/>
      <c r="I37" s="65" t="s">
        <v>35</v>
      </c>
      <c r="J37" s="66"/>
      <c r="K37" s="66"/>
      <c r="L37" s="63" t="s">
        <v>36</v>
      </c>
      <c r="M37" s="68"/>
      <c r="N37" s="65" t="s">
        <v>37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38</v>
      </c>
      <c r="C38" s="17"/>
      <c r="D38" s="71" t="s">
        <v>39</v>
      </c>
      <c r="E38" s="72">
        <f>SUMIF(Rozpocet!O5:O63,8,Rozpocet!I5:I63)</f>
        <v>0</v>
      </c>
      <c r="F38" s="73"/>
      <c r="G38" s="69">
        <v>8</v>
      </c>
      <c r="H38" s="74" t="s">
        <v>40</v>
      </c>
      <c r="I38" s="31"/>
      <c r="J38" s="75">
        <v>0</v>
      </c>
      <c r="K38" s="76"/>
      <c r="L38" s="69">
        <v>13</v>
      </c>
      <c r="M38" s="29" t="s">
        <v>41</v>
      </c>
      <c r="N38" s="37"/>
      <c r="O38" s="37"/>
      <c r="P38" s="77">
        <f>M49</f>
        <v>21</v>
      </c>
      <c r="Q38" s="78" t="s">
        <v>42</v>
      </c>
      <c r="R38" s="72">
        <f>E44*0.02</f>
        <v>0</v>
      </c>
      <c r="S38" s="73"/>
    </row>
    <row r="39" spans="1:19" ht="20.25" customHeight="1">
      <c r="A39" s="69">
        <v>2</v>
      </c>
      <c r="B39" s="79"/>
      <c r="C39" s="34"/>
      <c r="D39" s="71" t="s">
        <v>43</v>
      </c>
      <c r="E39" s="72">
        <f>SUMIF(Rozpocet!O10:O63,4,Rozpocet!I10:I63)</f>
        <v>0</v>
      </c>
      <c r="F39" s="73"/>
      <c r="G39" s="69">
        <v>9</v>
      </c>
      <c r="H39" s="14" t="s">
        <v>44</v>
      </c>
      <c r="I39" s="71"/>
      <c r="J39" s="75">
        <v>0</v>
      </c>
      <c r="K39" s="76"/>
      <c r="L39" s="69">
        <v>14</v>
      </c>
      <c r="M39" s="29" t="s">
        <v>45</v>
      </c>
      <c r="N39" s="37"/>
      <c r="O39" s="37"/>
      <c r="P39" s="77">
        <f>M49</f>
        <v>21</v>
      </c>
      <c r="Q39" s="78" t="s">
        <v>42</v>
      </c>
      <c r="R39" s="72">
        <v>0</v>
      </c>
      <c r="S39" s="73"/>
    </row>
    <row r="40" spans="1:19" ht="20.25" customHeight="1">
      <c r="A40" s="69">
        <v>3</v>
      </c>
      <c r="B40" s="70" t="s">
        <v>46</v>
      </c>
      <c r="C40" s="17"/>
      <c r="D40" s="71" t="s">
        <v>39</v>
      </c>
      <c r="E40" s="72">
        <f>SUMIF(Rozpocet!O11:O63,32,Rozpocet!I11:I63)</f>
        <v>0</v>
      </c>
      <c r="F40" s="73"/>
      <c r="G40" s="69">
        <v>10</v>
      </c>
      <c r="H40" s="74" t="s">
        <v>47</v>
      </c>
      <c r="I40" s="31"/>
      <c r="J40" s="75">
        <v>0</v>
      </c>
      <c r="K40" s="76"/>
      <c r="L40" s="69">
        <v>15</v>
      </c>
      <c r="M40" s="29" t="s">
        <v>48</v>
      </c>
      <c r="N40" s="37"/>
      <c r="O40" s="37"/>
      <c r="P40" s="77">
        <f>M49</f>
        <v>21</v>
      </c>
      <c r="Q40" s="78" t="s">
        <v>42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43</v>
      </c>
      <c r="E41" s="72">
        <f>SUMIF(Rozpocet!O12:O63,16,Rozpocet!I12:I63)+SUMIF(Rozpocet!O12:O63,128,Rozpocet!I12:I63)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49</v>
      </c>
      <c r="N41" s="37"/>
      <c r="O41" s="37"/>
      <c r="P41" s="77">
        <f>M49</f>
        <v>21</v>
      </c>
      <c r="Q41" s="78" t="s">
        <v>42</v>
      </c>
      <c r="R41" s="72">
        <v>0</v>
      </c>
      <c r="S41" s="73"/>
    </row>
    <row r="42" spans="1:19" ht="20.25" customHeight="1">
      <c r="A42" s="69">
        <v>5</v>
      </c>
      <c r="B42" s="70" t="s">
        <v>50</v>
      </c>
      <c r="C42" s="17"/>
      <c r="D42" s="71" t="s">
        <v>39</v>
      </c>
      <c r="E42" s="72">
        <f>SUMIF(Rozpocet!O13:O63,256,Rozpocet!I13:I63)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244</v>
      </c>
      <c r="N42" s="37"/>
      <c r="O42" s="37"/>
      <c r="P42" s="77">
        <f>M49</f>
        <v>21</v>
      </c>
      <c r="Q42" s="78" t="s">
        <v>42</v>
      </c>
      <c r="R42" s="72">
        <f>E44*0.03</f>
        <v>0</v>
      </c>
      <c r="S42" s="73"/>
    </row>
    <row r="43" spans="1:19" ht="20.25" customHeight="1">
      <c r="A43" s="69">
        <v>6</v>
      </c>
      <c r="B43" s="79"/>
      <c r="C43" s="34"/>
      <c r="D43" s="71" t="s">
        <v>43</v>
      </c>
      <c r="E43" s="72">
        <f>SUMIF(Rozpocet!O14:O63,64,Rozpocet!I14:I63)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51</v>
      </c>
      <c r="N43" s="37"/>
      <c r="O43" s="37"/>
      <c r="P43" s="37"/>
      <c r="Q43" s="31"/>
      <c r="R43" s="72">
        <f>SUMIF(Rozpocet!O14:O63,1024,Rozpocet!I14:I63)</f>
        <v>0</v>
      </c>
      <c r="S43" s="73"/>
    </row>
    <row r="44" spans="1:19" ht="20.25" customHeight="1">
      <c r="A44" s="69">
        <v>7</v>
      </c>
      <c r="B44" s="82" t="s">
        <v>52</v>
      </c>
      <c r="C44" s="37"/>
      <c r="D44" s="31"/>
      <c r="E44" s="83">
        <f>SUM(E38:E43)</f>
        <v>0</v>
      </c>
      <c r="F44" s="47"/>
      <c r="G44" s="69">
        <v>12</v>
      </c>
      <c r="H44" s="82" t="s">
        <v>53</v>
      </c>
      <c r="I44" s="31"/>
      <c r="J44" s="84">
        <f>SUM(J38:J41)</f>
        <v>0</v>
      </c>
      <c r="K44" s="85"/>
      <c r="L44" s="69">
        <v>19</v>
      </c>
      <c r="M44" s="70" t="s">
        <v>54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55</v>
      </c>
      <c r="C45" s="89"/>
      <c r="D45" s="90"/>
      <c r="E45" s="91">
        <f>SUMIF(Rozpocet!O14:O63,512,Rozpocet!I14:I63)</f>
        <v>0</v>
      </c>
      <c r="F45" s="43"/>
      <c r="G45" s="87">
        <v>21</v>
      </c>
      <c r="H45" s="88" t="s">
        <v>56</v>
      </c>
      <c r="I45" s="90"/>
      <c r="J45" s="92">
        <v>0</v>
      </c>
      <c r="K45" s="93">
        <f>M49</f>
        <v>21</v>
      </c>
      <c r="L45" s="87">
        <v>22</v>
      </c>
      <c r="M45" s="88" t="s">
        <v>57</v>
      </c>
      <c r="N45" s="89"/>
      <c r="O45" s="89"/>
      <c r="P45" s="89"/>
      <c r="Q45" s="90"/>
      <c r="R45" s="91">
        <f>SUMIF(Rozpocet!O14:O63,"&lt;4",Rozpocet!I14:I63)+SUMIF(Rozpocet!O14:O63,"&gt;1024",Rozpocet!I14:I63)</f>
        <v>0</v>
      </c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58</v>
      </c>
      <c r="M46" s="50"/>
      <c r="N46" s="65" t="s">
        <v>59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60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61</v>
      </c>
      <c r="B48" s="33"/>
      <c r="C48" s="33"/>
      <c r="D48" s="33"/>
      <c r="E48" s="33"/>
      <c r="F48" s="34"/>
      <c r="G48" s="100" t="s">
        <v>62</v>
      </c>
      <c r="H48" s="33"/>
      <c r="I48" s="33"/>
      <c r="J48" s="33"/>
      <c r="K48" s="33"/>
      <c r="L48" s="69">
        <v>24</v>
      </c>
      <c r="M48" s="101">
        <v>15</v>
      </c>
      <c r="N48" s="34" t="s">
        <v>42</v>
      </c>
      <c r="O48" s="102">
        <f>R47-O49</f>
        <v>0</v>
      </c>
      <c r="P48" s="37" t="s">
        <v>63</v>
      </c>
      <c r="Q48" s="31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17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42</v>
      </c>
      <c r="O49" s="102">
        <f>ROUND(SUMIF(Rozpocet!N14:N63,M49,Rozpocet!I14:I63)+SUMIF(P38:P42,M49,R38:R42)+IF(K45=M49,J45,0),2)</f>
        <v>0</v>
      </c>
      <c r="P49" s="37" t="s">
        <v>63</v>
      </c>
      <c r="Q49" s="31"/>
      <c r="R49" s="72">
        <f>ROUND(O49*M49/100,2)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64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61</v>
      </c>
      <c r="B51" s="33"/>
      <c r="C51" s="33"/>
      <c r="D51" s="33"/>
      <c r="E51" s="33"/>
      <c r="F51" s="34"/>
      <c r="G51" s="100" t="s">
        <v>62</v>
      </c>
      <c r="H51" s="33"/>
      <c r="I51" s="33"/>
      <c r="J51" s="33"/>
      <c r="K51" s="33"/>
      <c r="L51" s="63" t="s">
        <v>65</v>
      </c>
      <c r="M51" s="50"/>
      <c r="N51" s="65" t="s">
        <v>66</v>
      </c>
      <c r="O51" s="49"/>
      <c r="P51" s="49"/>
      <c r="Q51" s="49"/>
      <c r="R51" s="113"/>
      <c r="S51" s="52"/>
    </row>
    <row r="52" spans="1:19" ht="20.25" customHeight="1">
      <c r="A52" s="105" t="s">
        <v>19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67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68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61</v>
      </c>
      <c r="B54" s="42"/>
      <c r="C54" s="42"/>
      <c r="D54" s="42"/>
      <c r="E54" s="42"/>
      <c r="F54" s="115"/>
      <c r="G54" s="116" t="s">
        <v>62</v>
      </c>
      <c r="H54" s="42"/>
      <c r="I54" s="42"/>
      <c r="J54" s="42"/>
      <c r="K54" s="42"/>
      <c r="L54" s="87">
        <v>29</v>
      </c>
      <c r="M54" s="88" t="s">
        <v>69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L22" sqref="L2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70</v>
      </c>
      <c r="B1" s="119"/>
      <c r="C1" s="119"/>
      <c r="D1" s="119"/>
      <c r="E1" s="119"/>
    </row>
    <row r="2" spans="1:5" ht="12" customHeight="1">
      <c r="A2" s="120" t="s">
        <v>71</v>
      </c>
      <c r="B2" s="121" t="str">
        <f>'Krycí list'!E5</f>
        <v>VD Lobkovice, modernizace vjezdových vrat</v>
      </c>
      <c r="C2" s="122"/>
      <c r="D2" s="122"/>
      <c r="E2" s="122"/>
    </row>
    <row r="3" spans="1:5" ht="12" customHeight="1">
      <c r="A3" s="120" t="s">
        <v>72</v>
      </c>
      <c r="B3" s="121" t="str">
        <f>'Krycí list'!E7</f>
        <v> Plavební komora Lobkovice</v>
      </c>
      <c r="C3" s="123"/>
      <c r="D3" s="121"/>
      <c r="E3" s="124"/>
    </row>
    <row r="4" spans="1:5" ht="12" customHeight="1">
      <c r="A4" s="120" t="s">
        <v>73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74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75</v>
      </c>
      <c r="B7" s="121" t="str">
        <f>'Krycí list'!E26</f>
        <v>Povodí Labe, státní podnik</v>
      </c>
      <c r="C7" s="123"/>
      <c r="D7" s="121"/>
      <c r="E7" s="124"/>
    </row>
    <row r="8" spans="1:5" ht="12" customHeight="1">
      <c r="A8" s="121" t="s">
        <v>76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77</v>
      </c>
      <c r="B9" s="180">
        <v>43480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78</v>
      </c>
      <c r="B11" s="126" t="s">
        <v>79</v>
      </c>
      <c r="C11" s="127" t="s">
        <v>80</v>
      </c>
      <c r="D11" s="128" t="s">
        <v>81</v>
      </c>
      <c r="E11" s="127" t="s">
        <v>82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1.4039185500000002</v>
      </c>
      <c r="E14" s="140">
        <f>Rozpocet!M14</f>
        <v>0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Rozpocet!D21</f>
        <v>2</v>
      </c>
      <c r="B16" s="142" t="str">
        <f>Rozpocet!E21</f>
        <v>Zakládání</v>
      </c>
      <c r="C16" s="143">
        <f>Rozpocet!I21</f>
        <v>0</v>
      </c>
      <c r="D16" s="144">
        <f>Rozpocet!K21</f>
        <v>1.4039185500000002</v>
      </c>
      <c r="E16" s="144">
        <f>Rozpocet!M21</f>
        <v>0</v>
      </c>
    </row>
    <row r="17" spans="1:5" s="136" customFormat="1" ht="12.75" customHeight="1">
      <c r="A17" s="141" t="str">
        <f>Rozpocet!D25</f>
        <v>997</v>
      </c>
      <c r="B17" s="142" t="str">
        <f>Rozpocet!E25</f>
        <v>Přesun sutě</v>
      </c>
      <c r="C17" s="143">
        <f>Rozpocet!I25</f>
        <v>0</v>
      </c>
      <c r="D17" s="144">
        <f>Rozpocet!K25</f>
        <v>0</v>
      </c>
      <c r="E17" s="144">
        <f>Rozpocet!M25</f>
        <v>0</v>
      </c>
    </row>
    <row r="18" spans="1:5" s="136" customFormat="1" ht="12.75" customHeight="1">
      <c r="A18" s="137" t="str">
        <f>Rozpocet!D29</f>
        <v>PSV</v>
      </c>
      <c r="B18" s="138" t="str">
        <f>Rozpocet!E29</f>
        <v>Práce a dodávky PSV</v>
      </c>
      <c r="C18" s="139">
        <f>Rozpocet!I29</f>
        <v>0</v>
      </c>
      <c r="D18" s="140">
        <f>Rozpocet!K29</f>
        <v>5.318642710000001</v>
      </c>
      <c r="E18" s="140">
        <f>Rozpocet!M29</f>
        <v>0.243</v>
      </c>
    </row>
    <row r="19" spans="1:5" s="136" customFormat="1" ht="12.75" customHeight="1">
      <c r="A19" s="141" t="str">
        <f>Rozpocet!D30</f>
        <v>766</v>
      </c>
      <c r="B19" s="142" t="str">
        <f>Rozpocet!E30</f>
        <v>Konstrukce truhlářské</v>
      </c>
      <c r="C19" s="143">
        <f>Rozpocet!I30</f>
        <v>0</v>
      </c>
      <c r="D19" s="144">
        <f>Rozpocet!K30</f>
        <v>4.95</v>
      </c>
      <c r="E19" s="144">
        <f>Rozpocet!M30</f>
        <v>0</v>
      </c>
    </row>
    <row r="20" spans="1:5" s="136" customFormat="1" ht="12.75" customHeight="1">
      <c r="A20" s="141" t="str">
        <f>Rozpocet!D34</f>
        <v>767</v>
      </c>
      <c r="B20" s="142" t="str">
        <f>Rozpocet!E34</f>
        <v>Konstrukce zámečnické</v>
      </c>
      <c r="C20" s="143">
        <f>Rozpocet!I34</f>
        <v>0</v>
      </c>
      <c r="D20" s="144">
        <f>Rozpocet!K34</f>
        <v>0.35973271</v>
      </c>
      <c r="E20" s="144">
        <f>Rozpocet!M34</f>
        <v>0.243</v>
      </c>
    </row>
    <row r="21" spans="1:5" s="136" customFormat="1" ht="12.75" customHeight="1">
      <c r="A21" s="141" t="str">
        <f>Rozpocet!D44</f>
        <v>783</v>
      </c>
      <c r="B21" s="142" t="str">
        <f>Rozpocet!E44</f>
        <v>Dokončovací práce - nátěry</v>
      </c>
      <c r="C21" s="143">
        <f>Rozpocet!I44</f>
        <v>0</v>
      </c>
      <c r="D21" s="144">
        <f>Rozpocet!K44</f>
        <v>0.00891</v>
      </c>
      <c r="E21" s="144">
        <f>Rozpocet!M44</f>
        <v>0</v>
      </c>
    </row>
    <row r="22" spans="1:5" s="136" customFormat="1" ht="12.75" customHeight="1">
      <c r="A22" s="137" t="str">
        <f>Rozpocet!D46</f>
        <v>M</v>
      </c>
      <c r="B22" s="138" t="str">
        <f>Rozpocet!E46</f>
        <v>Práce a dodávky M</v>
      </c>
      <c r="C22" s="139">
        <f>Rozpocet!I46</f>
        <v>0</v>
      </c>
      <c r="D22" s="140">
        <f>Rozpocet!K46</f>
        <v>6.200842680000001</v>
      </c>
      <c r="E22" s="140">
        <f>Rozpocet!M46</f>
        <v>0</v>
      </c>
    </row>
    <row r="23" spans="1:5" s="136" customFormat="1" ht="12.75" customHeight="1">
      <c r="A23" s="141" t="str">
        <f>Rozpocet!D47</f>
        <v>21-M</v>
      </c>
      <c r="B23" s="142" t="str">
        <f>Rozpocet!E47</f>
        <v>Elektromontáže</v>
      </c>
      <c r="C23" s="143">
        <f>Rozpocet!I47</f>
        <v>0</v>
      </c>
      <c r="D23" s="144">
        <f>Rozpocet!K47</f>
        <v>0</v>
      </c>
      <c r="E23" s="144">
        <f>Rozpocet!M47</f>
        <v>0</v>
      </c>
    </row>
    <row r="24" spans="1:5" s="136" customFormat="1" ht="12.75" customHeight="1">
      <c r="A24" s="141" t="str">
        <f>Rozpocet!D50</f>
        <v>25-M</v>
      </c>
      <c r="B24" s="142" t="str">
        <f>Rozpocet!E50</f>
        <v>Povrchová úprava strojů a zařízení</v>
      </c>
      <c r="C24" s="143">
        <f>Rozpocet!I50</f>
        <v>0</v>
      </c>
      <c r="D24" s="144">
        <f>Rozpocet!K50</f>
        <v>0.00754268</v>
      </c>
      <c r="E24" s="144">
        <f>Rozpocet!M50</f>
        <v>0</v>
      </c>
    </row>
    <row r="25" spans="1:5" s="136" customFormat="1" ht="12.75" customHeight="1">
      <c r="A25" s="141" t="str">
        <f>Rozpocet!D52</f>
        <v>46-M</v>
      </c>
      <c r="B25" s="142" t="str">
        <f>Rozpocet!E52</f>
        <v>Zemní práce při extr.mont.pracích</v>
      </c>
      <c r="C25" s="143">
        <f>Rozpocet!I52</f>
        <v>0</v>
      </c>
      <c r="D25" s="144">
        <f>Rozpocet!K52</f>
        <v>6.193300000000001</v>
      </c>
      <c r="E25" s="144">
        <f>Rozpocet!M52</f>
        <v>0</v>
      </c>
    </row>
    <row r="26" spans="1:5" s="136" customFormat="1" ht="12.75" customHeight="1">
      <c r="A26" s="137" t="str">
        <f>Rozpocet!D58</f>
        <v>VRN</v>
      </c>
      <c r="B26" s="138" t="str">
        <f>Rozpocet!E58</f>
        <v>Vedlejší rozpočtové náklady</v>
      </c>
      <c r="C26" s="139">
        <f>Rozpocet!I58</f>
        <v>0</v>
      </c>
      <c r="D26" s="140">
        <f>Rozpocet!K58</f>
        <v>0</v>
      </c>
      <c r="E26" s="140">
        <f>Rozpocet!M58</f>
        <v>0</v>
      </c>
    </row>
    <row r="27" spans="1:5" s="136" customFormat="1" ht="12.75" customHeight="1">
      <c r="A27" s="141" t="str">
        <f>Rozpocet!D59</f>
        <v>VRN4</v>
      </c>
      <c r="B27" s="142" t="str">
        <f>Rozpocet!E59</f>
        <v>Inženýrská činnost</v>
      </c>
      <c r="C27" s="143">
        <f>Rozpocet!I59</f>
        <v>0</v>
      </c>
      <c r="D27" s="144">
        <f>Rozpocet!K59</f>
        <v>0</v>
      </c>
      <c r="E27" s="144">
        <f>Rozpocet!M59</f>
        <v>0</v>
      </c>
    </row>
    <row r="28" spans="1:5" s="136" customFormat="1" ht="12.75" customHeight="1">
      <c r="A28" s="141" t="str">
        <f>Rozpocet!D61</f>
        <v>VRN9</v>
      </c>
      <c r="B28" s="142" t="str">
        <f>Rozpocet!E61</f>
        <v>Ostatní náklady</v>
      </c>
      <c r="C28" s="143">
        <f>Rozpocet!I61</f>
        <v>0</v>
      </c>
      <c r="D28" s="144">
        <f>Rozpocet!K61</f>
        <v>0</v>
      </c>
      <c r="E28" s="144">
        <f>Rozpocet!M61</f>
        <v>0</v>
      </c>
    </row>
    <row r="29" spans="2:5" s="145" customFormat="1" ht="12.75" customHeight="1">
      <c r="B29" s="146" t="s">
        <v>83</v>
      </c>
      <c r="C29" s="147">
        <f>Rozpocet!I63</f>
        <v>0</v>
      </c>
      <c r="D29" s="148">
        <f>Rozpocet!K63</f>
        <v>12.923403940000002</v>
      </c>
      <c r="E29" s="148">
        <f>Rozpocet!M63</f>
        <v>0.243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PageLayoutView="0" workbookViewId="0" topLeftCell="A1">
      <pane ySplit="13" topLeftCell="A50" activePane="bottomLeft" state="frozen"/>
      <selection pane="topLeft" activeCell="A1" sqref="A1"/>
      <selection pane="bottomLeft" activeCell="C9" sqref="C9:D9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71</v>
      </c>
      <c r="B2" s="121"/>
      <c r="C2" s="121" t="str">
        <f>'Krycí list'!E5</f>
        <v>VD Lobkovice, modernizace vjezdových vrat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72</v>
      </c>
      <c r="B3" s="121"/>
      <c r="C3" s="121" t="str">
        <f>'Krycí list'!E7</f>
        <v> Plavební komora Lobkovice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73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85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75</v>
      </c>
      <c r="B7" s="121"/>
      <c r="C7" s="121" t="str">
        <f>'Krycí list'!E26</f>
        <v>Povodí Labe, státní podnik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76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77</v>
      </c>
      <c r="B9" s="121"/>
      <c r="C9" s="191">
        <v>43480</v>
      </c>
      <c r="D9" s="192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86</v>
      </c>
      <c r="B11" s="126" t="s">
        <v>87</v>
      </c>
      <c r="C11" s="126" t="s">
        <v>88</v>
      </c>
      <c r="D11" s="126" t="s">
        <v>89</v>
      </c>
      <c r="E11" s="126" t="s">
        <v>79</v>
      </c>
      <c r="F11" s="126" t="s">
        <v>90</v>
      </c>
      <c r="G11" s="126" t="s">
        <v>91</v>
      </c>
      <c r="H11" s="126" t="s">
        <v>92</v>
      </c>
      <c r="I11" s="126" t="s">
        <v>80</v>
      </c>
      <c r="J11" s="126" t="s">
        <v>93</v>
      </c>
      <c r="K11" s="126" t="s">
        <v>81</v>
      </c>
      <c r="L11" s="126" t="s">
        <v>94</v>
      </c>
      <c r="M11" s="126" t="s">
        <v>95</v>
      </c>
      <c r="N11" s="126" t="s">
        <v>96</v>
      </c>
      <c r="O11" s="151" t="s">
        <v>97</v>
      </c>
      <c r="P11" s="152" t="s">
        <v>98</v>
      </c>
      <c r="Q11" s="126"/>
      <c r="R11" s="126"/>
      <c r="S11" s="126"/>
      <c r="T11" s="153" t="s">
        <v>99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58</v>
      </c>
      <c r="C14" s="159"/>
      <c r="D14" s="159" t="s">
        <v>38</v>
      </c>
      <c r="E14" s="159" t="s">
        <v>100</v>
      </c>
      <c r="F14" s="159"/>
      <c r="G14" s="159"/>
      <c r="H14" s="159"/>
      <c r="I14" s="161">
        <f>I15+I21+I25</f>
        <v>0</v>
      </c>
      <c r="J14" s="159"/>
      <c r="K14" s="162">
        <f>K15+K21+K25</f>
        <v>1.4039185500000002</v>
      </c>
      <c r="L14" s="159"/>
      <c r="M14" s="162">
        <f>M15+M21+M25</f>
        <v>0</v>
      </c>
      <c r="N14" s="159"/>
      <c r="P14" s="138" t="s">
        <v>101</v>
      </c>
    </row>
    <row r="15" spans="2:16" s="136" customFormat="1" ht="12.75" customHeight="1">
      <c r="B15" s="141" t="s">
        <v>58</v>
      </c>
      <c r="D15" s="142" t="s">
        <v>102</v>
      </c>
      <c r="E15" s="142" t="s">
        <v>103</v>
      </c>
      <c r="I15" s="143">
        <f>SUM(I16:I20)</f>
        <v>0</v>
      </c>
      <c r="K15" s="144">
        <f>SUM(K16:K20)</f>
        <v>0</v>
      </c>
      <c r="M15" s="144">
        <f>SUM(M16:M20)</f>
        <v>0</v>
      </c>
      <c r="P15" s="142" t="s">
        <v>102</v>
      </c>
    </row>
    <row r="16" spans="1:16" s="14" customFormat="1" ht="13.5" customHeight="1">
      <c r="A16" s="163" t="s">
        <v>102</v>
      </c>
      <c r="B16" s="163" t="s">
        <v>104</v>
      </c>
      <c r="C16" s="163" t="s">
        <v>105</v>
      </c>
      <c r="D16" s="164" t="s">
        <v>106</v>
      </c>
      <c r="E16" s="165" t="s">
        <v>107</v>
      </c>
      <c r="F16" s="163" t="s">
        <v>108</v>
      </c>
      <c r="G16" s="166">
        <v>0.945</v>
      </c>
      <c r="H16" s="167"/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21</v>
      </c>
      <c r="O16" s="170">
        <v>4</v>
      </c>
      <c r="P16" s="14" t="s">
        <v>109</v>
      </c>
    </row>
    <row r="17" spans="1:16" s="14" customFormat="1" ht="13.5" customHeight="1">
      <c r="A17" s="163" t="s">
        <v>109</v>
      </c>
      <c r="B17" s="163" t="s">
        <v>104</v>
      </c>
      <c r="C17" s="163" t="s">
        <v>105</v>
      </c>
      <c r="D17" s="164" t="s">
        <v>110</v>
      </c>
      <c r="E17" s="165" t="s">
        <v>111</v>
      </c>
      <c r="F17" s="163" t="s">
        <v>108</v>
      </c>
      <c r="G17" s="166">
        <v>1.229</v>
      </c>
      <c r="H17" s="167"/>
      <c r="I17" s="167">
        <f>ROUND(G17*H17,2)</f>
        <v>0</v>
      </c>
      <c r="J17" s="168">
        <v>0</v>
      </c>
      <c r="K17" s="166">
        <f>G17*J17</f>
        <v>0</v>
      </c>
      <c r="L17" s="168">
        <v>0</v>
      </c>
      <c r="M17" s="166">
        <f>G17*L17</f>
        <v>0</v>
      </c>
      <c r="N17" s="169">
        <v>21</v>
      </c>
      <c r="O17" s="170">
        <v>4</v>
      </c>
      <c r="P17" s="14" t="s">
        <v>109</v>
      </c>
    </row>
    <row r="18" spans="1:16" s="14" customFormat="1" ht="13.5" customHeight="1">
      <c r="A18" s="163" t="s">
        <v>112</v>
      </c>
      <c r="B18" s="163" t="s">
        <v>104</v>
      </c>
      <c r="C18" s="163" t="s">
        <v>105</v>
      </c>
      <c r="D18" s="164" t="s">
        <v>113</v>
      </c>
      <c r="E18" s="165" t="s">
        <v>114</v>
      </c>
      <c r="F18" s="163" t="s">
        <v>108</v>
      </c>
      <c r="G18" s="166">
        <v>1.229</v>
      </c>
      <c r="H18" s="167"/>
      <c r="I18" s="167">
        <f>ROUND(G18*H18,2)</f>
        <v>0</v>
      </c>
      <c r="J18" s="168">
        <v>0</v>
      </c>
      <c r="K18" s="166">
        <f>G18*J18</f>
        <v>0</v>
      </c>
      <c r="L18" s="168">
        <v>0</v>
      </c>
      <c r="M18" s="166">
        <f>G18*L18</f>
        <v>0</v>
      </c>
      <c r="N18" s="169">
        <v>21</v>
      </c>
      <c r="O18" s="170">
        <v>4</v>
      </c>
      <c r="P18" s="14" t="s">
        <v>109</v>
      </c>
    </row>
    <row r="19" spans="1:16" s="14" customFormat="1" ht="13.5" customHeight="1">
      <c r="A19" s="163" t="s">
        <v>115</v>
      </c>
      <c r="B19" s="163" t="s">
        <v>104</v>
      </c>
      <c r="C19" s="163" t="s">
        <v>105</v>
      </c>
      <c r="D19" s="164" t="s">
        <v>116</v>
      </c>
      <c r="E19" s="165" t="s">
        <v>117</v>
      </c>
      <c r="F19" s="163" t="s">
        <v>108</v>
      </c>
      <c r="G19" s="166">
        <v>1.203</v>
      </c>
      <c r="H19" s="167"/>
      <c r="I19" s="167">
        <f>ROUND(G19*H19,2)</f>
        <v>0</v>
      </c>
      <c r="J19" s="168">
        <v>0</v>
      </c>
      <c r="K19" s="166">
        <f>G19*J19</f>
        <v>0</v>
      </c>
      <c r="L19" s="168">
        <v>0</v>
      </c>
      <c r="M19" s="166">
        <f>G19*L19</f>
        <v>0</v>
      </c>
      <c r="N19" s="169">
        <v>21</v>
      </c>
      <c r="O19" s="170">
        <v>4</v>
      </c>
      <c r="P19" s="14" t="s">
        <v>109</v>
      </c>
    </row>
    <row r="20" spans="1:16" s="14" customFormat="1" ht="13.5" customHeight="1">
      <c r="A20" s="163" t="s">
        <v>118</v>
      </c>
      <c r="B20" s="163" t="s">
        <v>104</v>
      </c>
      <c r="C20" s="163" t="s">
        <v>105</v>
      </c>
      <c r="D20" s="164" t="s">
        <v>119</v>
      </c>
      <c r="E20" s="165" t="s">
        <v>120</v>
      </c>
      <c r="F20" s="163" t="s">
        <v>121</v>
      </c>
      <c r="G20" s="166">
        <v>2.045</v>
      </c>
      <c r="H20" s="167"/>
      <c r="I20" s="167">
        <f>ROUND(G20*H20,2)</f>
        <v>0</v>
      </c>
      <c r="J20" s="168">
        <v>0</v>
      </c>
      <c r="K20" s="166">
        <f>G20*J20</f>
        <v>0</v>
      </c>
      <c r="L20" s="168">
        <v>0</v>
      </c>
      <c r="M20" s="166">
        <f>G20*L20</f>
        <v>0</v>
      </c>
      <c r="N20" s="169">
        <v>21</v>
      </c>
      <c r="O20" s="170">
        <v>4</v>
      </c>
      <c r="P20" s="14" t="s">
        <v>109</v>
      </c>
    </row>
    <row r="21" spans="2:16" s="136" customFormat="1" ht="12.75" customHeight="1">
      <c r="B21" s="141" t="s">
        <v>58</v>
      </c>
      <c r="D21" s="142" t="s">
        <v>109</v>
      </c>
      <c r="E21" s="142" t="s">
        <v>122</v>
      </c>
      <c r="I21" s="143">
        <f>SUM(I22:I24)</f>
        <v>0</v>
      </c>
      <c r="K21" s="144">
        <f>SUM(K22:K24)</f>
        <v>1.4039185500000002</v>
      </c>
      <c r="M21" s="144">
        <f>SUM(M22:M24)</f>
        <v>0</v>
      </c>
      <c r="P21" s="142" t="s">
        <v>102</v>
      </c>
    </row>
    <row r="22" spans="1:16" s="14" customFormat="1" ht="13.5" customHeight="1">
      <c r="A22" s="163" t="s">
        <v>123</v>
      </c>
      <c r="B22" s="163" t="s">
        <v>104</v>
      </c>
      <c r="C22" s="163" t="s">
        <v>124</v>
      </c>
      <c r="D22" s="164" t="s">
        <v>125</v>
      </c>
      <c r="E22" s="165" t="s">
        <v>126</v>
      </c>
      <c r="F22" s="163" t="s">
        <v>108</v>
      </c>
      <c r="G22" s="166">
        <v>0.27</v>
      </c>
      <c r="H22" s="167"/>
      <c r="I22" s="167">
        <f>ROUND(G22*H22,2)</f>
        <v>0</v>
      </c>
      <c r="J22" s="168">
        <v>2.45329</v>
      </c>
      <c r="K22" s="166">
        <f>G22*J22</f>
        <v>0.6623883</v>
      </c>
      <c r="L22" s="168">
        <v>0</v>
      </c>
      <c r="M22" s="166">
        <f>G22*L22</f>
        <v>0</v>
      </c>
      <c r="N22" s="169">
        <v>21</v>
      </c>
      <c r="O22" s="170">
        <v>4</v>
      </c>
      <c r="P22" s="14" t="s">
        <v>109</v>
      </c>
    </row>
    <row r="23" spans="1:16" s="14" customFormat="1" ht="13.5" customHeight="1">
      <c r="A23" s="163" t="s">
        <v>127</v>
      </c>
      <c r="B23" s="163" t="s">
        <v>104</v>
      </c>
      <c r="C23" s="163" t="s">
        <v>124</v>
      </c>
      <c r="D23" s="164" t="s">
        <v>128</v>
      </c>
      <c r="E23" s="165" t="s">
        <v>129</v>
      </c>
      <c r="F23" s="163" t="s">
        <v>108</v>
      </c>
      <c r="G23" s="166">
        <v>0.225</v>
      </c>
      <c r="H23" s="167"/>
      <c r="I23" s="167">
        <f>ROUND(G23*H23,2)</f>
        <v>0</v>
      </c>
      <c r="J23" s="168">
        <v>2.45329</v>
      </c>
      <c r="K23" s="166">
        <f>G23*J23</f>
        <v>0.55199025</v>
      </c>
      <c r="L23" s="168">
        <v>0</v>
      </c>
      <c r="M23" s="166">
        <f>G23*L23</f>
        <v>0</v>
      </c>
      <c r="N23" s="169">
        <v>21</v>
      </c>
      <c r="O23" s="170">
        <v>4</v>
      </c>
      <c r="P23" s="14" t="s">
        <v>109</v>
      </c>
    </row>
    <row r="24" spans="1:16" s="14" customFormat="1" ht="13.5" customHeight="1">
      <c r="A24" s="163" t="s">
        <v>130</v>
      </c>
      <c r="B24" s="163" t="s">
        <v>104</v>
      </c>
      <c r="C24" s="163" t="s">
        <v>131</v>
      </c>
      <c r="D24" s="164" t="s">
        <v>132</v>
      </c>
      <c r="E24" s="165" t="s">
        <v>133</v>
      </c>
      <c r="F24" s="163" t="s">
        <v>134</v>
      </c>
      <c r="G24" s="166">
        <v>5.4</v>
      </c>
      <c r="H24" s="167"/>
      <c r="I24" s="167">
        <f>ROUND(G24*H24,2)</f>
        <v>0</v>
      </c>
      <c r="J24" s="168">
        <v>0.0351</v>
      </c>
      <c r="K24" s="166">
        <f>G24*J24</f>
        <v>0.18954000000000001</v>
      </c>
      <c r="L24" s="168">
        <v>0</v>
      </c>
      <c r="M24" s="166">
        <f>G24*L24</f>
        <v>0</v>
      </c>
      <c r="N24" s="169">
        <v>21</v>
      </c>
      <c r="O24" s="170">
        <v>4</v>
      </c>
      <c r="P24" s="14" t="s">
        <v>109</v>
      </c>
    </row>
    <row r="25" spans="2:16" s="136" customFormat="1" ht="12.75" customHeight="1">
      <c r="B25" s="141" t="s">
        <v>58</v>
      </c>
      <c r="D25" s="142" t="s">
        <v>135</v>
      </c>
      <c r="E25" s="142" t="s">
        <v>136</v>
      </c>
      <c r="I25" s="143">
        <f>SUM(I26:I28)</f>
        <v>0</v>
      </c>
      <c r="K25" s="144">
        <f>SUM(K26:K28)</f>
        <v>0</v>
      </c>
      <c r="M25" s="144">
        <f>SUM(M26:M28)</f>
        <v>0</v>
      </c>
      <c r="P25" s="142" t="s">
        <v>102</v>
      </c>
    </row>
    <row r="26" spans="1:16" s="14" customFormat="1" ht="24" customHeight="1">
      <c r="A26" s="163" t="s">
        <v>137</v>
      </c>
      <c r="B26" s="163" t="s">
        <v>104</v>
      </c>
      <c r="C26" s="163" t="s">
        <v>138</v>
      </c>
      <c r="D26" s="164" t="s">
        <v>139</v>
      </c>
      <c r="E26" s="165" t="s">
        <v>140</v>
      </c>
      <c r="F26" s="163" t="s">
        <v>121</v>
      </c>
      <c r="G26" s="166">
        <v>0.243</v>
      </c>
      <c r="H26" s="167"/>
      <c r="I26" s="167">
        <f>ROUND(G26*H26,2)</f>
        <v>0</v>
      </c>
      <c r="J26" s="168">
        <v>0</v>
      </c>
      <c r="K26" s="166">
        <f>G26*J26</f>
        <v>0</v>
      </c>
      <c r="L26" s="168">
        <v>0</v>
      </c>
      <c r="M26" s="166">
        <f>G26*L26</f>
        <v>0</v>
      </c>
      <c r="N26" s="169">
        <v>21</v>
      </c>
      <c r="O26" s="170">
        <v>4</v>
      </c>
      <c r="P26" s="14" t="s">
        <v>109</v>
      </c>
    </row>
    <row r="27" spans="1:16" s="14" customFormat="1" ht="13.5" customHeight="1">
      <c r="A27" s="163" t="s">
        <v>141</v>
      </c>
      <c r="B27" s="163" t="s">
        <v>104</v>
      </c>
      <c r="C27" s="163" t="s">
        <v>138</v>
      </c>
      <c r="D27" s="164" t="s">
        <v>142</v>
      </c>
      <c r="E27" s="165" t="s">
        <v>143</v>
      </c>
      <c r="F27" s="163" t="s">
        <v>121</v>
      </c>
      <c r="G27" s="166">
        <v>4.617</v>
      </c>
      <c r="H27" s="167"/>
      <c r="I27" s="167">
        <f>ROUND(G27*H27,2)</f>
        <v>0</v>
      </c>
      <c r="J27" s="168">
        <v>0</v>
      </c>
      <c r="K27" s="166">
        <f>G27*J27</f>
        <v>0</v>
      </c>
      <c r="L27" s="168">
        <v>0</v>
      </c>
      <c r="M27" s="166">
        <f>G27*L27</f>
        <v>0</v>
      </c>
      <c r="N27" s="169">
        <v>21</v>
      </c>
      <c r="O27" s="170">
        <v>4</v>
      </c>
      <c r="P27" s="14" t="s">
        <v>109</v>
      </c>
    </row>
    <row r="28" spans="1:16" s="14" customFormat="1" ht="13.5" customHeight="1">
      <c r="A28" s="163" t="s">
        <v>144</v>
      </c>
      <c r="B28" s="163" t="s">
        <v>104</v>
      </c>
      <c r="C28" s="163" t="s">
        <v>138</v>
      </c>
      <c r="D28" s="164" t="s">
        <v>145</v>
      </c>
      <c r="E28" s="165" t="s">
        <v>146</v>
      </c>
      <c r="F28" s="163" t="s">
        <v>121</v>
      </c>
      <c r="G28" s="166">
        <v>0.243</v>
      </c>
      <c r="H28" s="167"/>
      <c r="I28" s="167">
        <f>ROUND(G28*H28,2)</f>
        <v>0</v>
      </c>
      <c r="J28" s="168">
        <v>0</v>
      </c>
      <c r="K28" s="166">
        <f>G28*J28</f>
        <v>0</v>
      </c>
      <c r="L28" s="168">
        <v>0</v>
      </c>
      <c r="M28" s="166">
        <f>G28*L28</f>
        <v>0</v>
      </c>
      <c r="N28" s="169">
        <v>21</v>
      </c>
      <c r="O28" s="170">
        <v>4</v>
      </c>
      <c r="P28" s="14" t="s">
        <v>109</v>
      </c>
    </row>
    <row r="29" spans="2:16" s="136" customFormat="1" ht="12.75" customHeight="1">
      <c r="B29" s="137" t="s">
        <v>58</v>
      </c>
      <c r="D29" s="138" t="s">
        <v>46</v>
      </c>
      <c r="E29" s="138" t="s">
        <v>147</v>
      </c>
      <c r="I29" s="139">
        <f>I30+I34+I44</f>
        <v>0</v>
      </c>
      <c r="K29" s="140">
        <f>K30+K34+K44</f>
        <v>5.318642710000001</v>
      </c>
      <c r="M29" s="140">
        <f>M30+M34+M44</f>
        <v>0.243</v>
      </c>
      <c r="P29" s="138" t="s">
        <v>101</v>
      </c>
    </row>
    <row r="30" spans="2:16" s="136" customFormat="1" ht="12.75" customHeight="1">
      <c r="B30" s="141" t="s">
        <v>58</v>
      </c>
      <c r="D30" s="142" t="s">
        <v>148</v>
      </c>
      <c r="E30" s="142" t="s">
        <v>149</v>
      </c>
      <c r="I30" s="143">
        <f>SUM(I31:I33)</f>
        <v>0</v>
      </c>
      <c r="K30" s="144">
        <f>SUM(K31:K33)</f>
        <v>4.95</v>
      </c>
      <c r="M30" s="144">
        <f>SUM(M31:M33)</f>
        <v>0</v>
      </c>
      <c r="P30" s="142" t="s">
        <v>102</v>
      </c>
    </row>
    <row r="31" spans="1:16" s="14" customFormat="1" ht="13.5" customHeight="1">
      <c r="A31" s="163" t="s">
        <v>150</v>
      </c>
      <c r="B31" s="163" t="s">
        <v>104</v>
      </c>
      <c r="C31" s="163" t="s">
        <v>148</v>
      </c>
      <c r="D31" s="164" t="s">
        <v>151</v>
      </c>
      <c r="E31" s="165" t="s">
        <v>152</v>
      </c>
      <c r="F31" s="163" t="s">
        <v>134</v>
      </c>
      <c r="G31" s="166">
        <v>9.9</v>
      </c>
      <c r="H31" s="167"/>
      <c r="I31" s="167">
        <f>ROUND(G31*H31,2)</f>
        <v>0</v>
      </c>
      <c r="J31" s="168">
        <v>0</v>
      </c>
      <c r="K31" s="166">
        <f>G31*J31</f>
        <v>0</v>
      </c>
      <c r="L31" s="168">
        <v>0</v>
      </c>
      <c r="M31" s="166">
        <f>G31*L31</f>
        <v>0</v>
      </c>
      <c r="N31" s="169">
        <v>21</v>
      </c>
      <c r="O31" s="170">
        <v>16</v>
      </c>
      <c r="P31" s="14" t="s">
        <v>109</v>
      </c>
    </row>
    <row r="32" spans="1:16" s="14" customFormat="1" ht="13.5" customHeight="1">
      <c r="A32" s="171" t="s">
        <v>153</v>
      </c>
      <c r="B32" s="171" t="s">
        <v>154</v>
      </c>
      <c r="C32" s="171" t="s">
        <v>155</v>
      </c>
      <c r="D32" s="172" t="s">
        <v>156</v>
      </c>
      <c r="E32" s="173" t="s">
        <v>157</v>
      </c>
      <c r="F32" s="171" t="s">
        <v>134</v>
      </c>
      <c r="G32" s="174">
        <v>9.9</v>
      </c>
      <c r="H32" s="175"/>
      <c r="I32" s="175">
        <f>ROUND(G32*H32,2)</f>
        <v>0</v>
      </c>
      <c r="J32" s="176">
        <v>0.5</v>
      </c>
      <c r="K32" s="174">
        <f>G32*J32</f>
        <v>4.95</v>
      </c>
      <c r="L32" s="176">
        <v>0</v>
      </c>
      <c r="M32" s="174">
        <f>G32*L32</f>
        <v>0</v>
      </c>
      <c r="N32" s="177">
        <v>21</v>
      </c>
      <c r="O32" s="178">
        <v>32</v>
      </c>
      <c r="P32" s="179" t="s">
        <v>109</v>
      </c>
    </row>
    <row r="33" spans="1:16" s="14" customFormat="1" ht="13.5" customHeight="1">
      <c r="A33" s="163" t="s">
        <v>158</v>
      </c>
      <c r="B33" s="163" t="s">
        <v>104</v>
      </c>
      <c r="C33" s="163" t="s">
        <v>148</v>
      </c>
      <c r="D33" s="164" t="s">
        <v>159</v>
      </c>
      <c r="E33" s="165" t="s">
        <v>160</v>
      </c>
      <c r="F33" s="163" t="s">
        <v>121</v>
      </c>
      <c r="G33" s="166">
        <v>4.95</v>
      </c>
      <c r="H33" s="167"/>
      <c r="I33" s="167">
        <f>ROUND(G33*H33,2)</f>
        <v>0</v>
      </c>
      <c r="J33" s="168">
        <v>0</v>
      </c>
      <c r="K33" s="166">
        <f>G33*J33</f>
        <v>0</v>
      </c>
      <c r="L33" s="168">
        <v>0</v>
      </c>
      <c r="M33" s="166">
        <f>G33*L33</f>
        <v>0</v>
      </c>
      <c r="N33" s="169">
        <v>21</v>
      </c>
      <c r="O33" s="170">
        <v>16</v>
      </c>
      <c r="P33" s="14" t="s">
        <v>109</v>
      </c>
    </row>
    <row r="34" spans="2:16" s="136" customFormat="1" ht="12.75" customHeight="1">
      <c r="B34" s="141" t="s">
        <v>58</v>
      </c>
      <c r="D34" s="142" t="s">
        <v>161</v>
      </c>
      <c r="E34" s="142" t="s">
        <v>162</v>
      </c>
      <c r="I34" s="143">
        <f>SUM(I35:I43)</f>
        <v>0</v>
      </c>
      <c r="K34" s="144">
        <f>SUM(K35:K43)</f>
        <v>0.35973271</v>
      </c>
      <c r="M34" s="144">
        <f>SUM(M35:M43)</f>
        <v>0.243</v>
      </c>
      <c r="P34" s="142" t="s">
        <v>102</v>
      </c>
    </row>
    <row r="35" spans="1:16" s="14" customFormat="1" ht="13.5" customHeight="1">
      <c r="A35" s="163" t="s">
        <v>163</v>
      </c>
      <c r="B35" s="163" t="s">
        <v>104</v>
      </c>
      <c r="C35" s="163" t="s">
        <v>161</v>
      </c>
      <c r="D35" s="164" t="s">
        <v>164</v>
      </c>
      <c r="E35" s="165" t="s">
        <v>165</v>
      </c>
      <c r="F35" s="163" t="s">
        <v>134</v>
      </c>
      <c r="G35" s="166">
        <v>13.5</v>
      </c>
      <c r="H35" s="167"/>
      <c r="I35" s="167">
        <f aca="true" t="shared" si="0" ref="I35:I43">ROUND(G35*H35,2)</f>
        <v>0</v>
      </c>
      <c r="J35" s="168">
        <v>0</v>
      </c>
      <c r="K35" s="166">
        <f aca="true" t="shared" si="1" ref="K35:K43">G35*J35</f>
        <v>0</v>
      </c>
      <c r="L35" s="168">
        <v>0.018</v>
      </c>
      <c r="M35" s="166">
        <f aca="true" t="shared" si="2" ref="M35:M43">G35*L35</f>
        <v>0.243</v>
      </c>
      <c r="N35" s="169">
        <v>21</v>
      </c>
      <c r="O35" s="170">
        <v>16</v>
      </c>
      <c r="P35" s="14" t="s">
        <v>109</v>
      </c>
    </row>
    <row r="36" spans="1:16" s="14" customFormat="1" ht="13.5" customHeight="1">
      <c r="A36" s="163" t="s">
        <v>166</v>
      </c>
      <c r="B36" s="163" t="s">
        <v>104</v>
      </c>
      <c r="C36" s="163" t="s">
        <v>161</v>
      </c>
      <c r="D36" s="164" t="s">
        <v>167</v>
      </c>
      <c r="E36" s="165" t="s">
        <v>168</v>
      </c>
      <c r="F36" s="163" t="s">
        <v>169</v>
      </c>
      <c r="G36" s="166">
        <v>264.753</v>
      </c>
      <c r="H36" s="167"/>
      <c r="I36" s="167">
        <f t="shared" si="0"/>
        <v>0</v>
      </c>
      <c r="J36" s="168">
        <v>7E-05</v>
      </c>
      <c r="K36" s="166">
        <f t="shared" si="1"/>
        <v>0.018532709999999997</v>
      </c>
      <c r="L36" s="168">
        <v>0</v>
      </c>
      <c r="M36" s="166">
        <f t="shared" si="2"/>
        <v>0</v>
      </c>
      <c r="N36" s="169">
        <v>21</v>
      </c>
      <c r="O36" s="170">
        <v>16</v>
      </c>
      <c r="P36" s="14" t="s">
        <v>109</v>
      </c>
    </row>
    <row r="37" spans="1:16" s="14" customFormat="1" ht="13.5" customHeight="1">
      <c r="A37" s="171" t="s">
        <v>170</v>
      </c>
      <c r="B37" s="171" t="s">
        <v>154</v>
      </c>
      <c r="C37" s="171" t="s">
        <v>155</v>
      </c>
      <c r="D37" s="172" t="s">
        <v>171</v>
      </c>
      <c r="E37" s="173" t="s">
        <v>172</v>
      </c>
      <c r="F37" s="171" t="s">
        <v>173</v>
      </c>
      <c r="G37" s="174">
        <v>1</v>
      </c>
      <c r="H37" s="175"/>
      <c r="I37" s="175">
        <f t="shared" si="0"/>
        <v>0</v>
      </c>
      <c r="J37" s="176">
        <v>0.012</v>
      </c>
      <c r="K37" s="174">
        <f t="shared" si="1"/>
        <v>0.012</v>
      </c>
      <c r="L37" s="176">
        <v>0</v>
      </c>
      <c r="M37" s="174">
        <f t="shared" si="2"/>
        <v>0</v>
      </c>
      <c r="N37" s="177">
        <v>21</v>
      </c>
      <c r="O37" s="178">
        <v>32</v>
      </c>
      <c r="P37" s="179" t="s">
        <v>109</v>
      </c>
    </row>
    <row r="38" spans="1:16" s="14" customFormat="1" ht="13.5" customHeight="1">
      <c r="A38" s="171" t="s">
        <v>174</v>
      </c>
      <c r="B38" s="171" t="s">
        <v>154</v>
      </c>
      <c r="C38" s="171" t="s">
        <v>155</v>
      </c>
      <c r="D38" s="172" t="s">
        <v>175</v>
      </c>
      <c r="E38" s="173" t="s">
        <v>176</v>
      </c>
      <c r="F38" s="171" t="s">
        <v>121</v>
      </c>
      <c r="G38" s="174">
        <v>0.129</v>
      </c>
      <c r="H38" s="175"/>
      <c r="I38" s="175">
        <f t="shared" si="0"/>
        <v>0</v>
      </c>
      <c r="J38" s="176">
        <v>1</v>
      </c>
      <c r="K38" s="174">
        <f t="shared" si="1"/>
        <v>0.129</v>
      </c>
      <c r="L38" s="176">
        <v>0</v>
      </c>
      <c r="M38" s="174">
        <f t="shared" si="2"/>
        <v>0</v>
      </c>
      <c r="N38" s="177">
        <v>21</v>
      </c>
      <c r="O38" s="178">
        <v>32</v>
      </c>
      <c r="P38" s="179" t="s">
        <v>109</v>
      </c>
    </row>
    <row r="39" spans="1:16" s="14" customFormat="1" ht="13.5" customHeight="1">
      <c r="A39" s="171" t="s">
        <v>177</v>
      </c>
      <c r="B39" s="171" t="s">
        <v>154</v>
      </c>
      <c r="C39" s="171" t="s">
        <v>155</v>
      </c>
      <c r="D39" s="172" t="s">
        <v>178</v>
      </c>
      <c r="E39" s="173" t="s">
        <v>179</v>
      </c>
      <c r="F39" s="171" t="s">
        <v>121</v>
      </c>
      <c r="G39" s="174">
        <v>0.124</v>
      </c>
      <c r="H39" s="175"/>
      <c r="I39" s="175">
        <f t="shared" si="0"/>
        <v>0</v>
      </c>
      <c r="J39" s="176">
        <v>1</v>
      </c>
      <c r="K39" s="174">
        <f t="shared" si="1"/>
        <v>0.124</v>
      </c>
      <c r="L39" s="176">
        <v>0</v>
      </c>
      <c r="M39" s="174">
        <f t="shared" si="2"/>
        <v>0</v>
      </c>
      <c r="N39" s="177">
        <v>21</v>
      </c>
      <c r="O39" s="178">
        <v>32</v>
      </c>
      <c r="P39" s="179" t="s">
        <v>109</v>
      </c>
    </row>
    <row r="40" spans="1:16" s="14" customFormat="1" ht="13.5" customHeight="1">
      <c r="A40" s="171" t="s">
        <v>180</v>
      </c>
      <c r="B40" s="171" t="s">
        <v>154</v>
      </c>
      <c r="C40" s="171" t="s">
        <v>155</v>
      </c>
      <c r="D40" s="172" t="s">
        <v>181</v>
      </c>
      <c r="E40" s="173" t="s">
        <v>182</v>
      </c>
      <c r="F40" s="171" t="s">
        <v>121</v>
      </c>
      <c r="G40" s="174">
        <v>0.03</v>
      </c>
      <c r="H40" s="175"/>
      <c r="I40" s="175">
        <f t="shared" si="0"/>
        <v>0</v>
      </c>
      <c r="J40" s="176">
        <v>1</v>
      </c>
      <c r="K40" s="174">
        <f t="shared" si="1"/>
        <v>0.03</v>
      </c>
      <c r="L40" s="176">
        <v>0</v>
      </c>
      <c r="M40" s="174">
        <f t="shared" si="2"/>
        <v>0</v>
      </c>
      <c r="N40" s="177">
        <v>21</v>
      </c>
      <c r="O40" s="178">
        <v>32</v>
      </c>
      <c r="P40" s="179" t="s">
        <v>109</v>
      </c>
    </row>
    <row r="41" spans="1:16" s="14" customFormat="1" ht="24" customHeight="1">
      <c r="A41" s="163" t="s">
        <v>183</v>
      </c>
      <c r="B41" s="163" t="s">
        <v>104</v>
      </c>
      <c r="C41" s="163" t="s">
        <v>161</v>
      </c>
      <c r="D41" s="164" t="s">
        <v>184</v>
      </c>
      <c r="E41" s="165" t="s">
        <v>185</v>
      </c>
      <c r="F41" s="163" t="s">
        <v>169</v>
      </c>
      <c r="G41" s="166">
        <v>20</v>
      </c>
      <c r="H41" s="167"/>
      <c r="I41" s="167">
        <f t="shared" si="0"/>
        <v>0</v>
      </c>
      <c r="J41" s="168">
        <v>6E-05</v>
      </c>
      <c r="K41" s="166">
        <f t="shared" si="1"/>
        <v>0.0012000000000000001</v>
      </c>
      <c r="L41" s="168">
        <v>0</v>
      </c>
      <c r="M41" s="166">
        <f t="shared" si="2"/>
        <v>0</v>
      </c>
      <c r="N41" s="169">
        <v>21</v>
      </c>
      <c r="O41" s="170">
        <v>16</v>
      </c>
      <c r="P41" s="14" t="s">
        <v>109</v>
      </c>
    </row>
    <row r="42" spans="1:16" s="14" customFormat="1" ht="13.5" customHeight="1">
      <c r="A42" s="171" t="s">
        <v>186</v>
      </c>
      <c r="B42" s="171" t="s">
        <v>154</v>
      </c>
      <c r="C42" s="171" t="s">
        <v>155</v>
      </c>
      <c r="D42" s="172" t="s">
        <v>187</v>
      </c>
      <c r="E42" s="173" t="s">
        <v>188</v>
      </c>
      <c r="F42" s="171" t="s">
        <v>173</v>
      </c>
      <c r="G42" s="174">
        <v>50</v>
      </c>
      <c r="H42" s="175"/>
      <c r="I42" s="175">
        <f t="shared" si="0"/>
        <v>0</v>
      </c>
      <c r="J42" s="176">
        <v>0.0009</v>
      </c>
      <c r="K42" s="174">
        <f t="shared" si="1"/>
        <v>0.045</v>
      </c>
      <c r="L42" s="176">
        <v>0</v>
      </c>
      <c r="M42" s="174">
        <f t="shared" si="2"/>
        <v>0</v>
      </c>
      <c r="N42" s="177">
        <v>21</v>
      </c>
      <c r="O42" s="178">
        <v>32</v>
      </c>
      <c r="P42" s="179" t="s">
        <v>109</v>
      </c>
    </row>
    <row r="43" spans="1:16" s="14" customFormat="1" ht="13.5" customHeight="1">
      <c r="A43" s="163" t="s">
        <v>189</v>
      </c>
      <c r="B43" s="163" t="s">
        <v>104</v>
      </c>
      <c r="C43" s="163" t="s">
        <v>161</v>
      </c>
      <c r="D43" s="164" t="s">
        <v>190</v>
      </c>
      <c r="E43" s="165" t="s">
        <v>191</v>
      </c>
      <c r="F43" s="163" t="s">
        <v>121</v>
      </c>
      <c r="G43" s="166">
        <v>0.36</v>
      </c>
      <c r="H43" s="167"/>
      <c r="I43" s="167">
        <f t="shared" si="0"/>
        <v>0</v>
      </c>
      <c r="J43" s="168">
        <v>0</v>
      </c>
      <c r="K43" s="166">
        <f t="shared" si="1"/>
        <v>0</v>
      </c>
      <c r="L43" s="168">
        <v>0</v>
      </c>
      <c r="M43" s="166">
        <f t="shared" si="2"/>
        <v>0</v>
      </c>
      <c r="N43" s="169">
        <v>21</v>
      </c>
      <c r="O43" s="170">
        <v>16</v>
      </c>
      <c r="P43" s="14" t="s">
        <v>109</v>
      </c>
    </row>
    <row r="44" spans="2:16" s="136" customFormat="1" ht="12.75" customHeight="1">
      <c r="B44" s="141" t="s">
        <v>58</v>
      </c>
      <c r="D44" s="142" t="s">
        <v>192</v>
      </c>
      <c r="E44" s="142" t="s">
        <v>193</v>
      </c>
      <c r="I44" s="143">
        <f>I45</f>
        <v>0</v>
      </c>
      <c r="K44" s="144">
        <f>K45</f>
        <v>0.00891</v>
      </c>
      <c r="M44" s="144">
        <f>M45</f>
        <v>0</v>
      </c>
      <c r="P44" s="142" t="s">
        <v>102</v>
      </c>
    </row>
    <row r="45" spans="1:16" s="14" customFormat="1" ht="13.5" customHeight="1">
      <c r="A45" s="163" t="s">
        <v>194</v>
      </c>
      <c r="B45" s="163" t="s">
        <v>104</v>
      </c>
      <c r="C45" s="163" t="s">
        <v>192</v>
      </c>
      <c r="D45" s="164" t="s">
        <v>195</v>
      </c>
      <c r="E45" s="165" t="s">
        <v>196</v>
      </c>
      <c r="F45" s="163" t="s">
        <v>134</v>
      </c>
      <c r="G45" s="166">
        <v>19.8</v>
      </c>
      <c r="H45" s="167"/>
      <c r="I45" s="167">
        <f>ROUND(G45*H45,2)</f>
        <v>0</v>
      </c>
      <c r="J45" s="168">
        <v>0.00045</v>
      </c>
      <c r="K45" s="166">
        <f>G45*J45</f>
        <v>0.00891</v>
      </c>
      <c r="L45" s="168">
        <v>0</v>
      </c>
      <c r="M45" s="166">
        <f>G45*L45</f>
        <v>0</v>
      </c>
      <c r="N45" s="169">
        <v>21</v>
      </c>
      <c r="O45" s="170">
        <v>16</v>
      </c>
      <c r="P45" s="14" t="s">
        <v>109</v>
      </c>
    </row>
    <row r="46" spans="2:16" s="136" customFormat="1" ht="12.75" customHeight="1">
      <c r="B46" s="137" t="s">
        <v>58</v>
      </c>
      <c r="D46" s="138" t="s">
        <v>154</v>
      </c>
      <c r="E46" s="138" t="s">
        <v>197</v>
      </c>
      <c r="I46" s="139">
        <f>I47+I50+I52</f>
        <v>0</v>
      </c>
      <c r="K46" s="140">
        <f>K47+K50+K52</f>
        <v>6.200842680000001</v>
      </c>
      <c r="M46" s="140">
        <f>M47+M50+M52</f>
        <v>0</v>
      </c>
      <c r="P46" s="138" t="s">
        <v>101</v>
      </c>
    </row>
    <row r="47" spans="2:16" s="136" customFormat="1" ht="12.75" customHeight="1">
      <c r="B47" s="141" t="s">
        <v>58</v>
      </c>
      <c r="D47" s="142" t="s">
        <v>198</v>
      </c>
      <c r="E47" s="142" t="s">
        <v>199</v>
      </c>
      <c r="I47" s="143">
        <f>SUM(I48:I49)</f>
        <v>0</v>
      </c>
      <c r="K47" s="144">
        <f>SUM(K48:K49)</f>
        <v>0</v>
      </c>
      <c r="M47" s="144">
        <f>SUM(M48:M49)</f>
        <v>0</v>
      </c>
      <c r="P47" s="142" t="s">
        <v>102</v>
      </c>
    </row>
    <row r="48" spans="1:16" s="14" customFormat="1" ht="13.5" customHeight="1">
      <c r="A48" s="163" t="s">
        <v>200</v>
      </c>
      <c r="B48" s="163" t="s">
        <v>104</v>
      </c>
      <c r="C48" s="163" t="s">
        <v>201</v>
      </c>
      <c r="D48" s="164" t="s">
        <v>202</v>
      </c>
      <c r="E48" s="165" t="s">
        <v>203</v>
      </c>
      <c r="F48" s="163" t="s">
        <v>204</v>
      </c>
      <c r="G48" s="166">
        <v>50</v>
      </c>
      <c r="H48" s="167"/>
      <c r="I48" s="167">
        <f>ROUND(G48*H48,2)</f>
        <v>0</v>
      </c>
      <c r="J48" s="168">
        <v>0</v>
      </c>
      <c r="K48" s="166">
        <f>G48*J48</f>
        <v>0</v>
      </c>
      <c r="L48" s="168">
        <v>0</v>
      </c>
      <c r="M48" s="166">
        <f>G48*L48</f>
        <v>0</v>
      </c>
      <c r="N48" s="169">
        <v>21</v>
      </c>
      <c r="O48" s="170">
        <v>64</v>
      </c>
      <c r="P48" s="14" t="s">
        <v>109</v>
      </c>
    </row>
    <row r="49" spans="1:16" s="14" customFormat="1" ht="24" customHeight="1">
      <c r="A49" s="163" t="s">
        <v>205</v>
      </c>
      <c r="B49" s="163" t="s">
        <v>104</v>
      </c>
      <c r="C49" s="163" t="s">
        <v>201</v>
      </c>
      <c r="D49" s="164" t="s">
        <v>206</v>
      </c>
      <c r="E49" s="165" t="s">
        <v>207</v>
      </c>
      <c r="F49" s="163" t="s">
        <v>204</v>
      </c>
      <c r="G49" s="166">
        <v>50</v>
      </c>
      <c r="H49" s="167"/>
      <c r="I49" s="167">
        <f>ROUND(G49*H49,2)</f>
        <v>0</v>
      </c>
      <c r="J49" s="168">
        <v>0</v>
      </c>
      <c r="K49" s="166">
        <f>G49*J49</f>
        <v>0</v>
      </c>
      <c r="L49" s="168">
        <v>0</v>
      </c>
      <c r="M49" s="166">
        <f>G49*L49</f>
        <v>0</v>
      </c>
      <c r="N49" s="169">
        <v>21</v>
      </c>
      <c r="O49" s="170">
        <v>64</v>
      </c>
      <c r="P49" s="14" t="s">
        <v>109</v>
      </c>
    </row>
    <row r="50" spans="2:16" s="136" customFormat="1" ht="12.75" customHeight="1">
      <c r="B50" s="141" t="s">
        <v>58</v>
      </c>
      <c r="D50" s="142" t="s">
        <v>208</v>
      </c>
      <c r="E50" s="142" t="s">
        <v>209</v>
      </c>
      <c r="I50" s="143">
        <f>I51</f>
        <v>0</v>
      </c>
      <c r="K50" s="144">
        <f>K51</f>
        <v>0.00754268</v>
      </c>
      <c r="M50" s="144">
        <f>M51</f>
        <v>0</v>
      </c>
      <c r="P50" s="142" t="s">
        <v>102</v>
      </c>
    </row>
    <row r="51" spans="1:16" s="14" customFormat="1" ht="24" customHeight="1">
      <c r="A51" s="163" t="s">
        <v>210</v>
      </c>
      <c r="B51" s="163" t="s">
        <v>104</v>
      </c>
      <c r="C51" s="163" t="s">
        <v>211</v>
      </c>
      <c r="D51" s="164" t="s">
        <v>212</v>
      </c>
      <c r="E51" s="165" t="s">
        <v>213</v>
      </c>
      <c r="F51" s="163" t="s">
        <v>134</v>
      </c>
      <c r="G51" s="166">
        <v>7.468</v>
      </c>
      <c r="H51" s="167"/>
      <c r="I51" s="167">
        <f>ROUND(G51*H51,2)</f>
        <v>0</v>
      </c>
      <c r="J51" s="168">
        <v>0.00101</v>
      </c>
      <c r="K51" s="166">
        <f>G51*J51</f>
        <v>0.00754268</v>
      </c>
      <c r="L51" s="168">
        <v>0</v>
      </c>
      <c r="M51" s="166">
        <f>G51*L51</f>
        <v>0</v>
      </c>
      <c r="N51" s="169">
        <v>21</v>
      </c>
      <c r="O51" s="170">
        <v>64</v>
      </c>
      <c r="P51" s="14" t="s">
        <v>109</v>
      </c>
    </row>
    <row r="52" spans="2:16" s="136" customFormat="1" ht="12.75" customHeight="1">
      <c r="B52" s="141" t="s">
        <v>58</v>
      </c>
      <c r="D52" s="142" t="s">
        <v>214</v>
      </c>
      <c r="E52" s="142" t="s">
        <v>215</v>
      </c>
      <c r="I52" s="143">
        <f>SUM(I53:I57)</f>
        <v>0</v>
      </c>
      <c r="K52" s="144">
        <f>SUM(K53:K57)</f>
        <v>6.193300000000001</v>
      </c>
      <c r="M52" s="144">
        <f>SUM(M53:M57)</f>
        <v>0</v>
      </c>
      <c r="P52" s="142" t="s">
        <v>102</v>
      </c>
    </row>
    <row r="53" spans="1:16" s="14" customFormat="1" ht="24" customHeight="1">
      <c r="A53" s="163" t="s">
        <v>216</v>
      </c>
      <c r="B53" s="163" t="s">
        <v>104</v>
      </c>
      <c r="C53" s="163" t="s">
        <v>217</v>
      </c>
      <c r="D53" s="164" t="s">
        <v>218</v>
      </c>
      <c r="E53" s="165" t="s">
        <v>219</v>
      </c>
      <c r="F53" s="163" t="s">
        <v>204</v>
      </c>
      <c r="G53" s="166">
        <v>50</v>
      </c>
      <c r="H53" s="167"/>
      <c r="I53" s="167">
        <f>ROUND(G53*H53,2)</f>
        <v>0</v>
      </c>
      <c r="J53" s="168">
        <v>0</v>
      </c>
      <c r="K53" s="166">
        <f>G53*J53</f>
        <v>0</v>
      </c>
      <c r="L53" s="168">
        <v>0</v>
      </c>
      <c r="M53" s="166">
        <f>G53*L53</f>
        <v>0</v>
      </c>
      <c r="N53" s="169">
        <v>21</v>
      </c>
      <c r="O53" s="170">
        <v>64</v>
      </c>
      <c r="P53" s="14" t="s">
        <v>109</v>
      </c>
    </row>
    <row r="54" spans="1:16" s="14" customFormat="1" ht="24" customHeight="1">
      <c r="A54" s="163" t="s">
        <v>220</v>
      </c>
      <c r="B54" s="163" t="s">
        <v>104</v>
      </c>
      <c r="C54" s="163" t="s">
        <v>217</v>
      </c>
      <c r="D54" s="164" t="s">
        <v>221</v>
      </c>
      <c r="E54" s="165" t="s">
        <v>222</v>
      </c>
      <c r="F54" s="163" t="s">
        <v>204</v>
      </c>
      <c r="G54" s="166">
        <v>50</v>
      </c>
      <c r="H54" s="167"/>
      <c r="I54" s="167">
        <f>ROUND(G54*H54,2)</f>
        <v>0</v>
      </c>
      <c r="J54" s="168">
        <v>0.12332</v>
      </c>
      <c r="K54" s="166">
        <f>G54*J54</f>
        <v>6.166</v>
      </c>
      <c r="L54" s="168">
        <v>0</v>
      </c>
      <c r="M54" s="166">
        <f>G54*L54</f>
        <v>0</v>
      </c>
      <c r="N54" s="169">
        <v>21</v>
      </c>
      <c r="O54" s="170">
        <v>64</v>
      </c>
      <c r="P54" s="14" t="s">
        <v>109</v>
      </c>
    </row>
    <row r="55" spans="1:16" s="14" customFormat="1" ht="13.5" customHeight="1">
      <c r="A55" s="163" t="s">
        <v>223</v>
      </c>
      <c r="B55" s="163" t="s">
        <v>104</v>
      </c>
      <c r="C55" s="163" t="s">
        <v>217</v>
      </c>
      <c r="D55" s="164" t="s">
        <v>224</v>
      </c>
      <c r="E55" s="165" t="s">
        <v>225</v>
      </c>
      <c r="F55" s="163" t="s">
        <v>173</v>
      </c>
      <c r="G55" s="166">
        <v>3</v>
      </c>
      <c r="H55" s="167"/>
      <c r="I55" s="167">
        <f>ROUND(G55*H55,2)</f>
        <v>0</v>
      </c>
      <c r="J55" s="168">
        <v>0.0076</v>
      </c>
      <c r="K55" s="166">
        <f>G55*J55</f>
        <v>0.0228</v>
      </c>
      <c r="L55" s="168">
        <v>0</v>
      </c>
      <c r="M55" s="166">
        <f>G55*L55</f>
        <v>0</v>
      </c>
      <c r="N55" s="169">
        <v>21</v>
      </c>
      <c r="O55" s="170">
        <v>64</v>
      </c>
      <c r="P55" s="14" t="s">
        <v>109</v>
      </c>
    </row>
    <row r="56" spans="1:16" s="14" customFormat="1" ht="13.5" customHeight="1">
      <c r="A56" s="163" t="s">
        <v>226</v>
      </c>
      <c r="B56" s="163" t="s">
        <v>104</v>
      </c>
      <c r="C56" s="163" t="s">
        <v>217</v>
      </c>
      <c r="D56" s="164" t="s">
        <v>227</v>
      </c>
      <c r="E56" s="165" t="s">
        <v>228</v>
      </c>
      <c r="F56" s="163" t="s">
        <v>204</v>
      </c>
      <c r="G56" s="166">
        <v>50</v>
      </c>
      <c r="H56" s="167"/>
      <c r="I56" s="167">
        <f>ROUND(G56*H56,2)</f>
        <v>0</v>
      </c>
      <c r="J56" s="168">
        <v>0</v>
      </c>
      <c r="K56" s="166">
        <f>G56*J56</f>
        <v>0</v>
      </c>
      <c r="L56" s="168">
        <v>0</v>
      </c>
      <c r="M56" s="166">
        <f>G56*L56</f>
        <v>0</v>
      </c>
      <c r="N56" s="169">
        <v>21</v>
      </c>
      <c r="O56" s="170">
        <v>64</v>
      </c>
      <c r="P56" s="14" t="s">
        <v>109</v>
      </c>
    </row>
    <row r="57" spans="1:16" s="14" customFormat="1" ht="13.5" customHeight="1">
      <c r="A57" s="163" t="s">
        <v>229</v>
      </c>
      <c r="B57" s="163" t="s">
        <v>104</v>
      </c>
      <c r="C57" s="163" t="s">
        <v>217</v>
      </c>
      <c r="D57" s="164" t="s">
        <v>230</v>
      </c>
      <c r="E57" s="165" t="s">
        <v>231</v>
      </c>
      <c r="F57" s="163" t="s">
        <v>134</v>
      </c>
      <c r="G57" s="166">
        <v>150</v>
      </c>
      <c r="H57" s="167"/>
      <c r="I57" s="167">
        <f>ROUND(G57*H57,2)</f>
        <v>0</v>
      </c>
      <c r="J57" s="168">
        <v>3E-05</v>
      </c>
      <c r="K57" s="166">
        <f>G57*J57</f>
        <v>0.0045000000000000005</v>
      </c>
      <c r="L57" s="168">
        <v>0</v>
      </c>
      <c r="M57" s="166">
        <f>G57*L57</f>
        <v>0</v>
      </c>
      <c r="N57" s="169">
        <v>21</v>
      </c>
      <c r="O57" s="170">
        <v>64</v>
      </c>
      <c r="P57" s="14" t="s">
        <v>109</v>
      </c>
    </row>
    <row r="58" spans="2:16" s="136" customFormat="1" ht="12.75" customHeight="1">
      <c r="B58" s="137" t="s">
        <v>58</v>
      </c>
      <c r="D58" s="138" t="s">
        <v>232</v>
      </c>
      <c r="E58" s="138" t="s">
        <v>37</v>
      </c>
      <c r="I58" s="139">
        <f>I59+I61</f>
        <v>0</v>
      </c>
      <c r="K58" s="140">
        <f>K59+K61</f>
        <v>0</v>
      </c>
      <c r="M58" s="140">
        <f>M59+M61</f>
        <v>0</v>
      </c>
      <c r="P58" s="138" t="s">
        <v>101</v>
      </c>
    </row>
    <row r="59" spans="2:16" s="136" customFormat="1" ht="12.75" customHeight="1">
      <c r="B59" s="141" t="s">
        <v>58</v>
      </c>
      <c r="D59" s="142" t="s">
        <v>233</v>
      </c>
      <c r="E59" s="142" t="s">
        <v>234</v>
      </c>
      <c r="I59" s="143">
        <f>I60</f>
        <v>0</v>
      </c>
      <c r="K59" s="144">
        <f>K60</f>
        <v>0</v>
      </c>
      <c r="M59" s="144">
        <f>M60</f>
        <v>0</v>
      </c>
      <c r="P59" s="142" t="s">
        <v>102</v>
      </c>
    </row>
    <row r="60" spans="1:16" s="14" customFormat="1" ht="13.5" customHeight="1">
      <c r="A60" s="163" t="s">
        <v>235</v>
      </c>
      <c r="B60" s="163" t="s">
        <v>104</v>
      </c>
      <c r="C60" s="163" t="s">
        <v>236</v>
      </c>
      <c r="D60" s="164" t="s">
        <v>237</v>
      </c>
      <c r="E60" s="165" t="s">
        <v>238</v>
      </c>
      <c r="F60" s="163" t="s">
        <v>239</v>
      </c>
      <c r="G60" s="166">
        <v>1</v>
      </c>
      <c r="H60" s="167"/>
      <c r="I60" s="167">
        <f>ROUND(G60*H60,2)</f>
        <v>0</v>
      </c>
      <c r="J60" s="168">
        <v>0</v>
      </c>
      <c r="K60" s="166">
        <f>G60*J60</f>
        <v>0</v>
      </c>
      <c r="L60" s="168">
        <v>0</v>
      </c>
      <c r="M60" s="166">
        <f>G60*L60</f>
        <v>0</v>
      </c>
      <c r="N60" s="169">
        <v>21</v>
      </c>
      <c r="O60" s="170">
        <v>1024</v>
      </c>
      <c r="P60" s="14" t="s">
        <v>109</v>
      </c>
    </row>
    <row r="61" spans="2:16" s="136" customFormat="1" ht="12.75" customHeight="1">
      <c r="B61" s="141" t="s">
        <v>58</v>
      </c>
      <c r="D61" s="142" t="s">
        <v>240</v>
      </c>
      <c r="E61" s="142" t="s">
        <v>57</v>
      </c>
      <c r="I61" s="143">
        <f>I62</f>
        <v>0</v>
      </c>
      <c r="K61" s="144">
        <f>K62</f>
        <v>0</v>
      </c>
      <c r="M61" s="144">
        <f>M62</f>
        <v>0</v>
      </c>
      <c r="P61" s="142" t="s">
        <v>102</v>
      </c>
    </row>
    <row r="62" spans="1:16" s="14" customFormat="1" ht="13.5" customHeight="1">
      <c r="A62" s="163" t="s">
        <v>241</v>
      </c>
      <c r="B62" s="163" t="s">
        <v>104</v>
      </c>
      <c r="C62" s="163" t="s">
        <v>236</v>
      </c>
      <c r="D62" s="164" t="s">
        <v>242</v>
      </c>
      <c r="E62" s="165" t="s">
        <v>243</v>
      </c>
      <c r="F62" s="163" t="s">
        <v>239</v>
      </c>
      <c r="G62" s="166">
        <v>1</v>
      </c>
      <c r="H62" s="167"/>
      <c r="I62" s="167">
        <f>ROUND(G62*H62,2)</f>
        <v>0</v>
      </c>
      <c r="J62" s="168">
        <v>0</v>
      </c>
      <c r="K62" s="166">
        <f>G62*J62</f>
        <v>0</v>
      </c>
      <c r="L62" s="168">
        <v>0</v>
      </c>
      <c r="M62" s="166">
        <f>G62*L62</f>
        <v>0</v>
      </c>
      <c r="N62" s="169">
        <v>21</v>
      </c>
      <c r="O62" s="170">
        <v>1024</v>
      </c>
      <c r="P62" s="14" t="s">
        <v>109</v>
      </c>
    </row>
    <row r="63" spans="5:13" s="145" customFormat="1" ht="12.75" customHeight="1">
      <c r="E63" s="146" t="s">
        <v>83</v>
      </c>
      <c r="I63" s="147">
        <f>I14+I29+I46+I58</f>
        <v>0</v>
      </c>
      <c r="K63" s="148">
        <f>K14+K29+K46+K58</f>
        <v>12.923403940000002</v>
      </c>
      <c r="M63" s="148">
        <f>M14+M29+M46+M58</f>
        <v>0.243</v>
      </c>
    </row>
  </sheetData>
  <sheetProtection/>
  <mergeCells count="1">
    <mergeCell ref="C9:D9"/>
  </mergeCells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Marek Jiří</cp:lastModifiedBy>
  <dcterms:created xsi:type="dcterms:W3CDTF">2017-07-25T11:45:33Z</dcterms:created>
  <dcterms:modified xsi:type="dcterms:W3CDTF">2019-04-17T09:17:45Z</dcterms:modified>
  <cp:category/>
  <cp:version/>
  <cp:contentType/>
  <cp:contentStatus/>
</cp:coreProperties>
</file>