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80" yWindow="2436" windowWidth="15852" windowHeight="11760" tabRatio="556" activeTab="0"/>
  </bookViews>
  <sheets>
    <sheet name="PB, LB" sheetId="1" r:id="rId1"/>
    <sheet name="SO 01" sheetId="2" r:id="rId2"/>
    <sheet name="SO 02" sheetId="3" r:id="rId3"/>
    <sheet name="SO 03" sheetId="4" r:id="rId4"/>
    <sheet name="SO 04" sheetId="5" r:id="rId5"/>
    <sheet name="SO 05" sheetId="6" r:id="rId6"/>
    <sheet name="SO 06" sheetId="7" r:id="rId7"/>
  </sheets>
  <definedNames>
    <definedName name="_xlnm.Print_Area" localSheetId="0">'PB, LB'!$B$5:$AL$129</definedName>
    <definedName name="_xlnm.Print_Area" localSheetId="1">'SO 01'!$A$1:$U$254</definedName>
  </definedNames>
  <calcPr fullCalcOnLoad="1"/>
</workbook>
</file>

<file path=xl/sharedStrings.xml><?xml version="1.0" encoding="utf-8"?>
<sst xmlns="http://schemas.openxmlformats.org/spreadsheetml/2006/main" count="1050" uniqueCount="280">
  <si>
    <t>m</t>
  </si>
  <si>
    <t>zásyp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</si>
  <si>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</si>
  <si>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</si>
  <si>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 xml:space="preserve">vzdálenost řezů </t>
  </si>
  <si>
    <t>profil</t>
  </si>
  <si>
    <t>SO 01</t>
  </si>
  <si>
    <t>nepropustná zemina na rubu zdi</t>
  </si>
  <si>
    <t>Štěrkový filtr za rubem zdi, fr 8-16</t>
  </si>
  <si>
    <t xml:space="preserve">Výkop </t>
  </si>
  <si>
    <t>LB</t>
  </si>
  <si>
    <t>SO 02</t>
  </si>
  <si>
    <t>SO 03</t>
  </si>
  <si>
    <t>m2</t>
  </si>
  <si>
    <t>m3</t>
  </si>
  <si>
    <t>ks</t>
  </si>
  <si>
    <t>plocha</t>
  </si>
  <si>
    <t>mýcení křovin</t>
  </si>
  <si>
    <t>délka zdi</t>
  </si>
  <si>
    <t>tl.</t>
  </si>
  <si>
    <t>bednění</t>
  </si>
  <si>
    <t>objem</t>
  </si>
  <si>
    <t>16A</t>
  </si>
  <si>
    <t>Sejmutí ornice tl. 0,1 m</t>
  </si>
  <si>
    <t>zpětný zásyp, hutněný</t>
  </si>
  <si>
    <t>SO 04</t>
  </si>
  <si>
    <t>délka zdí</t>
  </si>
  <si>
    <t>ŽB C30/37 XC4 XF3 XA1</t>
  </si>
  <si>
    <t>ŽB zeď</t>
  </si>
  <si>
    <t>odvodnění - PE HD DN 80</t>
  </si>
  <si>
    <t>délka celkem</t>
  </si>
  <si>
    <t>počet pracovních spár</t>
  </si>
  <si>
    <t>Bednění</t>
  </si>
  <si>
    <t>délka celkem (2 ks na spáru)</t>
  </si>
  <si>
    <t>příložné pažení</t>
  </si>
  <si>
    <t>šířka</t>
  </si>
  <si>
    <t>6a</t>
  </si>
  <si>
    <t>7b</t>
  </si>
  <si>
    <t>Očištění tlakovou vodou</t>
  </si>
  <si>
    <t>podklad štěrk 32-63 tl. 100 mm</t>
  </si>
  <si>
    <t>betonové lože tl. 300 mm C25/30 XF3 XC4</t>
  </si>
  <si>
    <t>Zához z lom. Kamene 80-200 kg,  čedič/žula</t>
  </si>
  <si>
    <t>Zához z lom. Kamene 80-200 kg, prosypáno ŠTP , čedič/žula</t>
  </si>
  <si>
    <t>ŽB C35/45 XC4 XF3 XM3</t>
  </si>
  <si>
    <t>prům. délka tr. - 1. úroveň</t>
  </si>
  <si>
    <t>prům. délka tr. - 2. úroveň</t>
  </si>
  <si>
    <t>počet v každé úrovni</t>
  </si>
  <si>
    <t>Odbourání paty zdi (zeď na MC)</t>
  </si>
  <si>
    <t>podbetonování st. Zdi C25/30</t>
  </si>
  <si>
    <t>podpěrná výdřeva (podbetonování zdi)</t>
  </si>
  <si>
    <t>tl. konstrukce</t>
  </si>
  <si>
    <t>plošná injektáž zdiva</t>
  </si>
  <si>
    <t>plocha zdiva</t>
  </si>
  <si>
    <t>rastr</t>
  </si>
  <si>
    <t>1x1</t>
  </si>
  <si>
    <t>prům. hloubka vrtu  ∅ 45 mm</t>
  </si>
  <si>
    <t>výztuž  ∅ 12 mm</t>
  </si>
  <si>
    <t>počet vrtů</t>
  </si>
  <si>
    <t>délka vrtů a výztuže</t>
  </si>
  <si>
    <t>pracovní spára - bentonitový pásek</t>
  </si>
  <si>
    <t>dilatační spára</t>
  </si>
  <si>
    <t>počet spár</t>
  </si>
  <si>
    <t>celková délka spáry - tmel</t>
  </si>
  <si>
    <t>celková plocha spáry - polystyren</t>
  </si>
  <si>
    <t>prům. plocha spáry - polystyren tl. 20 mm</t>
  </si>
  <si>
    <t>prům. délka spáry - tmel</t>
  </si>
  <si>
    <t>rozpěrná konstrukce</t>
  </si>
  <si>
    <t>celková plocha rozpěrných panelů</t>
  </si>
  <si>
    <t>délka horní rozpěry</t>
  </si>
  <si>
    <t>délka spodní rozpěry</t>
  </si>
  <si>
    <t>počet DÚ řešených současně</t>
  </si>
  <si>
    <t>celkový počet DÚ</t>
  </si>
  <si>
    <t>hmotnost rozpěrné trubky ∅89/10</t>
  </si>
  <si>
    <t>kg/m</t>
  </si>
  <si>
    <t>celková délka rozpěr - dodávka materiálu</t>
  </si>
  <si>
    <t>celková hmotnost rozpěr - dodávka materiálu</t>
  </si>
  <si>
    <t>kg</t>
  </si>
  <si>
    <t>celková hmotnost rozpěr - osazení/demontáž</t>
  </si>
  <si>
    <t>dolní dřevěný rošt - plocha</t>
  </si>
  <si>
    <t>počet obyčejných panelů na DÚ</t>
  </si>
  <si>
    <t>počet panelů s roznášecím profilem na DÚ</t>
  </si>
  <si>
    <t>obyčejný panel - počet kusů celkem</t>
  </si>
  <si>
    <t>obyčejný panel - počet kusů použitých najednou</t>
  </si>
  <si>
    <t>panel s roznášecím profilem - počet kusů celkem</t>
  </si>
  <si>
    <t>panel s roznášecím profilem - počet kusů použitých najednou</t>
  </si>
  <si>
    <t>výztuž</t>
  </si>
  <si>
    <t>8a</t>
  </si>
  <si>
    <t>15b</t>
  </si>
  <si>
    <t>Bourání zdi (zeď na MC)</t>
  </si>
  <si>
    <t>podkladní beton C12/15 X0 tl. 100 mm</t>
  </si>
  <si>
    <t>Zához z lom. Kamene 200-500 kg, prosypáno ŠTP,  čedič/žula</t>
  </si>
  <si>
    <t>Kamenný obklad "divočina" na MC 30, tl. 350 mm</t>
  </si>
  <si>
    <t>ohumusování tl 100 mm a osetí</t>
  </si>
  <si>
    <t>Kotvení obkladu</t>
  </si>
  <si>
    <t>ks/m</t>
  </si>
  <si>
    <t>ks/m2</t>
  </si>
  <si>
    <t>provizorní vodovod</t>
  </si>
  <si>
    <t>bourání septiku</t>
  </si>
  <si>
    <t>tl. zdi</t>
  </si>
  <si>
    <t>výška zdí</t>
  </si>
  <si>
    <t>18B</t>
  </si>
  <si>
    <t>obnova vodovodu</t>
  </si>
  <si>
    <t>délka</t>
  </si>
  <si>
    <t>písčité lože - šířka</t>
  </si>
  <si>
    <t>písčité lože 0-8 tl. 100 mm</t>
  </si>
  <si>
    <t>potrubí PE DN 40</t>
  </si>
  <si>
    <t>obsyp ŠTP 0-22 bez hutnění - plocha</t>
  </si>
  <si>
    <t>obsyp ŠTP 0-22 bez hutnění - objem</t>
  </si>
  <si>
    <t>výstražná folie</t>
  </si>
  <si>
    <t>vč. výkopu, uložení a zrušení po provedení stavby</t>
  </si>
  <si>
    <t>SO 05</t>
  </si>
  <si>
    <t>19A</t>
  </si>
  <si>
    <t>25B</t>
  </si>
  <si>
    <t>délka spáry - shybka</t>
  </si>
  <si>
    <t>plocha spáry shybka</t>
  </si>
  <si>
    <t>kamenné zdivo na MC30</t>
  </si>
  <si>
    <t xml:space="preserve">SO 05 </t>
  </si>
  <si>
    <t>Lešení</t>
  </si>
  <si>
    <t>dočasné oplocení staveniště</t>
  </si>
  <si>
    <t>patky 300x300x600, beton C 16/20</t>
  </si>
  <si>
    <t>počet sloupků</t>
  </si>
  <si>
    <t>objem patek celkem</t>
  </si>
  <si>
    <t>nové zábradlí na koruně zdi - zábradlí dodáno městem</t>
  </si>
  <si>
    <t>kotvení sloupků</t>
  </si>
  <si>
    <t>podkladní deska - ocel tl. 20 mm</t>
  </si>
  <si>
    <t>ks/desku</t>
  </si>
  <si>
    <t>vrty pro kotvy dl. 0,1 m</t>
  </si>
  <si>
    <t>ocelový profil čtvercový 45x3 mm</t>
  </si>
  <si>
    <t>chem. kotvy  M12 dl.0,15 m</t>
  </si>
  <si>
    <t>kotvy  M12 dl.0,155 m</t>
  </si>
  <si>
    <t>obnova komunikace stmelené</t>
  </si>
  <si>
    <t>obnova komunikace nestmelené</t>
  </si>
  <si>
    <t>odfrézování tl.90 mm</t>
  </si>
  <si>
    <t>VŠ tl. 150 mm</t>
  </si>
  <si>
    <t>ACP 16+ tl. 50 mm</t>
  </si>
  <si>
    <t>ACO 11 tl. 40 mm</t>
  </si>
  <si>
    <t>odstranění</t>
  </si>
  <si>
    <t>ŠD 0-32 tl 200 mm</t>
  </si>
  <si>
    <t>MZK tl 180 mm</t>
  </si>
  <si>
    <t>sejmutí stávajícího zábradlí (ocelové zábradlí, dvouřadé) + odvoz na ZS, kde si ho odebere město</t>
  </si>
  <si>
    <t>demontáž a zpětná montáž oplocení (pf 15)</t>
  </si>
  <si>
    <t>původní oplocení (pletivo, ocel. Sloupky)</t>
  </si>
  <si>
    <t>zpětná montáž (pletivo, ocel. Sloupky)</t>
  </si>
  <si>
    <t>nové oplocení (pletivo, ocel. Sloupky)</t>
  </si>
  <si>
    <t>počet patek</t>
  </si>
  <si>
    <t>oplocení</t>
  </si>
  <si>
    <t>zábradlí</t>
  </si>
  <si>
    <t>bourání garáže (tvárnice)</t>
  </si>
  <si>
    <t>strop</t>
  </si>
  <si>
    <t>vyčerpání septiku a likvidace materiálu</t>
  </si>
  <si>
    <t>plastmalta tl. 10 mm</t>
  </si>
  <si>
    <t>bourání - betonový panel podél domu</t>
  </si>
  <si>
    <t>objem bourání</t>
  </si>
  <si>
    <t>nové betonové dlaždice (600x600x80 mm) podél domu</t>
  </si>
  <si>
    <t>plocha podepření (na výšku 0,7 m)</t>
  </si>
  <si>
    <t>napojení</t>
  </si>
  <si>
    <t>stávající vyústění - kamenina DN 100</t>
  </si>
  <si>
    <t xml:space="preserve">odříznutí a likvidace </t>
  </si>
  <si>
    <t>stávající vyústění - ocel DN 60 (2 ks)</t>
  </si>
  <si>
    <t xml:space="preserve">stávající vyústění - PVC DN 300 </t>
  </si>
  <si>
    <t>demontáž a zpětné osazení klapky DN200 - vyústění kanalizace</t>
  </si>
  <si>
    <t>podpěrný bod NN</t>
  </si>
  <si>
    <t>vrty pro zápory</t>
  </si>
  <si>
    <t>HEB 120</t>
  </si>
  <si>
    <t>cementová zálivka piloty</t>
  </si>
  <si>
    <r>
      <t xml:space="preserve">vrty pro piloty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220 mm</t>
    </r>
  </si>
  <si>
    <t>UPN 160</t>
  </si>
  <si>
    <t>celkem UPN 120</t>
  </si>
  <si>
    <t xml:space="preserve">m </t>
  </si>
  <si>
    <t>2xUPN 120 (svařené naležato)</t>
  </si>
  <si>
    <t>ocel. Převázka 2xIPE 200</t>
  </si>
  <si>
    <t>celkem IPE 200</t>
  </si>
  <si>
    <t>rozpěry tr. 108/16</t>
  </si>
  <si>
    <t>výdřeva tl 80 mm (mezi HEB 120)</t>
  </si>
  <si>
    <t>ocelové lano vč. upevnění - objímek (jednopramencové 1x19-1,5 mm, pevnost 60 kN, pozink)</t>
  </si>
  <si>
    <t>odstranění ocelové konstrukce (UPN 120, UPN 160, IPE 200, rozpěr) a výdřevy</t>
  </si>
  <si>
    <t>HEB 120 - odříznutí vrchní části</t>
  </si>
  <si>
    <t>likvidace odřezku HEB 120</t>
  </si>
  <si>
    <t>oprava zídky</t>
  </si>
  <si>
    <t>výška zdi</t>
  </si>
  <si>
    <t>50% zdi přezdění</t>
  </si>
  <si>
    <t>50% zdi přespárování</t>
  </si>
  <si>
    <t>bourání torza budovy (zděná z cihel)</t>
  </si>
  <si>
    <t>výška budovy (odhad)</t>
  </si>
  <si>
    <t>tl. zdí</t>
  </si>
  <si>
    <t>objem zdiva</t>
  </si>
  <si>
    <t>bourání podlahy</t>
  </si>
  <si>
    <t>demontáž a zpětná montáž oplocení (pf 19)</t>
  </si>
  <si>
    <t>délka plotu</t>
  </si>
  <si>
    <t>výška</t>
  </si>
  <si>
    <t>tl. podezdívky</t>
  </si>
  <si>
    <t>výška podezdívky</t>
  </si>
  <si>
    <t>bourání plotu - u Nových</t>
  </si>
  <si>
    <t>demontáž dřevěných dílců v. 1,2 m</t>
  </si>
  <si>
    <t>nová podezdívka</t>
  </si>
  <si>
    <t>patky pro sloupek - 3 ks</t>
  </si>
  <si>
    <t>ocelový sloupek v. 1,5 m</t>
  </si>
  <si>
    <t>dřevěné plotové dílce v. 1,2 m</t>
  </si>
  <si>
    <t>přerovnání kamenné dlažby tl. 0,3 m do ŠTP</t>
  </si>
  <si>
    <t>doplnění kamenného záhozu 200-500 kg (tl. 0,5 m)</t>
  </si>
  <si>
    <t>SO 06</t>
  </si>
  <si>
    <t>SO 03 - křoviny</t>
  </si>
  <si>
    <t>SO 03 - thuje (8 ks) a cypřišek (2 ks)</t>
  </si>
  <si>
    <t>SO 05 - křoviny</t>
  </si>
  <si>
    <t>křoviny na břehu</t>
  </si>
  <si>
    <t>mýcení křovin celkem</t>
  </si>
  <si>
    <r>
      <t xml:space="preserve">slivoň švestka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250 mm (SO 03)</t>
    </r>
  </si>
  <si>
    <r>
      <t xml:space="preserve">jírovec maďala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700 mm (SO 05)</t>
    </r>
  </si>
  <si>
    <t>kácení (včetně odstranění kořenů)</t>
  </si>
  <si>
    <t>2A</t>
  </si>
  <si>
    <t>5B</t>
  </si>
  <si>
    <t>záporové pažení</t>
  </si>
  <si>
    <t>záporové pažení - výdřeva tl. 60 mm</t>
  </si>
  <si>
    <t>aktivace pažení - beton C8/10</t>
  </si>
  <si>
    <t>pískové lože a obsyp kabelu NN, tl 200 mm</t>
  </si>
  <si>
    <t>výstražná folie 300 mm - nad vedením NN</t>
  </si>
  <si>
    <t>ostatní práce</t>
  </si>
  <si>
    <t>smykové trny</t>
  </si>
  <si>
    <t>betonové lože tl 100 mm</t>
  </si>
  <si>
    <t>dilatační smykové trny</t>
  </si>
  <si>
    <t>celková délka vrtů  Ø 24 mm</t>
  </si>
  <si>
    <r>
      <t xml:space="preserve">počet vrtů </t>
    </r>
    <r>
      <rPr>
        <sz val="10"/>
        <color indexed="23"/>
        <rFont val="Calibri"/>
        <family val="2"/>
      </rPr>
      <t>Ø</t>
    </r>
    <r>
      <rPr>
        <sz val="10"/>
        <color indexed="23"/>
        <rFont val="Arial"/>
        <family val="2"/>
      </rPr>
      <t xml:space="preserve"> 24 mm, dl. 150 mm na spáru</t>
    </r>
  </si>
  <si>
    <t>počet nerez trnů Ø 20 mm, dl. 300 mm celkem</t>
  </si>
  <si>
    <r>
      <t xml:space="preserve">počet nerez trnů </t>
    </r>
    <r>
      <rPr>
        <sz val="10"/>
        <color indexed="23"/>
        <rFont val="Calibri"/>
        <family val="2"/>
      </rPr>
      <t>Ø</t>
    </r>
    <r>
      <rPr>
        <sz val="10"/>
        <color indexed="23"/>
        <rFont val="Arial"/>
        <family val="2"/>
      </rPr>
      <t xml:space="preserve"> 20 mm, dl. 300 mm na spáru</t>
    </r>
  </si>
  <si>
    <t>ŽB pas podél základů domu</t>
  </si>
  <si>
    <t>objem betonu C25/30 XC2 XF1 XD2</t>
  </si>
  <si>
    <t>urovnání základové spáry - ručně</t>
  </si>
  <si>
    <t>rozepření</t>
  </si>
  <si>
    <r>
      <t xml:space="preserve">počet nerez trnů </t>
    </r>
    <r>
      <rPr>
        <sz val="10"/>
        <color indexed="23"/>
        <rFont val="Calibri"/>
        <family val="2"/>
      </rPr>
      <t>Ø</t>
    </r>
    <r>
      <rPr>
        <sz val="10"/>
        <color indexed="23"/>
        <rFont val="Arial"/>
        <family val="2"/>
      </rPr>
      <t xml:space="preserve"> 18 mm, dl. 500 mm na spáru</t>
    </r>
  </si>
  <si>
    <t>celková délka vrtů  Ø 22 mm</t>
  </si>
  <si>
    <t>počet nerez trnů Ø 18 mm, dl. 500 mm na chem. Maltu celkem</t>
  </si>
  <si>
    <t>výztuž - viz D.16</t>
  </si>
  <si>
    <t xml:space="preserve"> Ø R12</t>
  </si>
  <si>
    <t xml:space="preserve"> Ø R18 nerez</t>
  </si>
  <si>
    <t>dřevěná kulatina Ø 200 mm (příp. ocel. Trubky) - 14 ks</t>
  </si>
  <si>
    <t>délka vrtu Ø 240 mm</t>
  </si>
  <si>
    <t>počet zápor</t>
  </si>
  <si>
    <t>délka zápory HEB 140</t>
  </si>
  <si>
    <t>délka převázky - 2xIPE 200</t>
  </si>
  <si>
    <t xml:space="preserve">stávající vyústění - 2x beton DN 500 </t>
  </si>
  <si>
    <t>napojení PVC DN 500 (2x1,5 m)</t>
  </si>
  <si>
    <t>kmeny odvezena na ZS a předány obci</t>
  </si>
  <si>
    <t>napojení PVC 100</t>
  </si>
  <si>
    <t>demontáž stávajícího plotu - pletivo (4 sloupky)</t>
  </si>
  <si>
    <t>nové sloupky</t>
  </si>
  <si>
    <t>nové pletivo</t>
  </si>
  <si>
    <t>odstranění nánosu ve dně (PB)</t>
  </si>
  <si>
    <t>délka převázky</t>
  </si>
  <si>
    <t>délka rozpěry</t>
  </si>
  <si>
    <t>počet rozpěr na DÚ</t>
  </si>
  <si>
    <t>hmotnost HEB 140</t>
  </si>
  <si>
    <t>celková délka zápor HEB 140</t>
  </si>
  <si>
    <t>celková hmotnost zápor HEB 140</t>
  </si>
  <si>
    <t>celková délka vrtů</t>
  </si>
  <si>
    <t>celková délka převázky - dodávka materiálu</t>
  </si>
  <si>
    <t>počet převázek na DÚ</t>
  </si>
  <si>
    <t>celková hmotnost převázky - osazení/demontáž</t>
  </si>
  <si>
    <t>celková hmotnost převázky - dodávka materiálu</t>
  </si>
  <si>
    <t>hmotnost převázky 2xIPE 200</t>
  </si>
  <si>
    <t>počet panelů s roznášecím profilem (2xHEB 120 dl. 1500 mm) na DÚ</t>
  </si>
  <si>
    <t>počet roštů řešených současně</t>
  </si>
  <si>
    <t>celkový počet roštů</t>
  </si>
  <si>
    <t>počet horních rozpěr na rošt</t>
  </si>
  <si>
    <t>počet dolních rozpěr na rošt</t>
  </si>
  <si>
    <t>horní dřevěný rošt - délka</t>
  </si>
  <si>
    <t>fošny 100x200 mm dl. 6,2 m</t>
  </si>
  <si>
    <t>podélné trámy 200x200 mm dl. 6,2 m</t>
  </si>
  <si>
    <t>svislé trámy 200x200 mm dl. 1,34 m</t>
  </si>
  <si>
    <t>těžké lešení (vrtání zápor)</t>
  </si>
  <si>
    <t>štěrkový podsyp 32-63 tl. 200 mm (pod panely)</t>
  </si>
  <si>
    <t>hmotnost rozpěrné trubky ∅108/16</t>
  </si>
  <si>
    <t>přísyp pro vrtání zápor</t>
  </si>
  <si>
    <t>výška přísypu</t>
  </si>
  <si>
    <t>šířka v koruně</t>
  </si>
  <si>
    <t>sklon svahu 1:</t>
  </si>
  <si>
    <t>plocha v řezu</t>
  </si>
  <si>
    <t>objem přísypu</t>
  </si>
  <si>
    <t>svahování</t>
  </si>
  <si>
    <t>chránička NN</t>
  </si>
  <si>
    <t>Ruční výkop (NN)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</si>
</sst>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#,##0.000"/>
    <numFmt numFmtId="166" formatCode="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"/>
  </numFmts>
  <fonts count="66">
    <font>
      <sz val="10"/>
      <name val="Arial"/>
      <family val="0"/>
    </font>
    <font>
      <sz val="10"/>
      <color indexed="5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23"/>
      <name val="Arial"/>
      <family val="2"/>
    </font>
    <font>
      <sz val="10"/>
      <name val="Calibri"/>
      <family val="2"/>
    </font>
    <font>
      <sz val="10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23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b/>
      <u val="single"/>
      <sz val="10"/>
      <color rgb="FFFF0000"/>
      <name val="Arial"/>
      <family val="2"/>
    </font>
    <font>
      <u val="single"/>
      <sz val="10"/>
      <color theme="0" tint="-0.4999699890613556"/>
      <name val="Arial"/>
      <family val="2"/>
    </font>
    <font>
      <b/>
      <u val="single"/>
      <sz val="10"/>
      <color theme="1"/>
      <name val="Arial"/>
      <family val="2"/>
    </font>
    <font>
      <sz val="10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medium"/>
      <right style="thin"/>
      <top style="thin">
        <color rgb="FFB2B2B2"/>
      </top>
      <bottom style="thin">
        <color rgb="FFB2B2B2"/>
      </bottom>
    </border>
    <border>
      <left style="medium"/>
      <right style="thin"/>
      <top style="thin">
        <color rgb="FFB2B2B2"/>
      </top>
      <bottom style="thin"/>
    </border>
    <border>
      <left style="medium"/>
      <right style="thin"/>
      <top style="thin">
        <color rgb="FFB2B2B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2" fillId="32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2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20" xfId="0" applyFont="1" applyFill="1" applyBorder="1" applyAlignment="1">
      <alignment/>
    </xf>
    <xf numFmtId="4" fontId="58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33" fillId="32" borderId="17" xfId="5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4" fillId="0" borderId="0" xfId="51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9" fillId="0" borderId="0" xfId="0" applyFont="1" applyBorder="1" applyAlignment="1">
      <alignment/>
    </xf>
    <xf numFmtId="4" fontId="33" fillId="32" borderId="18" xfId="51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1" fillId="0" borderId="0" xfId="0" applyFont="1" applyFill="1" applyBorder="1" applyAlignment="1">
      <alignment/>
    </xf>
    <xf numFmtId="2" fontId="61" fillId="0" borderId="0" xfId="0" applyNumberFormat="1" applyFont="1" applyFill="1" applyBorder="1" applyAlignment="1">
      <alignment/>
    </xf>
    <xf numFmtId="4" fontId="2" fillId="32" borderId="1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2" fontId="6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4" fontId="34" fillId="0" borderId="10" xfId="51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left" wrapText="1"/>
    </xf>
    <xf numFmtId="0" fontId="61" fillId="0" borderId="0" xfId="0" applyFont="1" applyFill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34" fillId="0" borderId="10" xfId="51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" fontId="0" fillId="0" borderId="24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34" fillId="0" borderId="24" xfId="51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34" fillId="0" borderId="25" xfId="51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33" fillId="0" borderId="0" xfId="51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vertical="center"/>
    </xf>
    <xf numFmtId="4" fontId="34" fillId="0" borderId="27" xfId="51" applyNumberFormat="1" applyFont="1" applyFill="1" applyBorder="1" applyAlignment="1">
      <alignment horizontal="center" vertical="center"/>
    </xf>
    <xf numFmtId="4" fontId="2" fillId="32" borderId="30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6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172" fontId="0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61" fillId="0" borderId="0" xfId="0" applyFont="1" applyAlignment="1">
      <alignment wrapText="1"/>
    </xf>
    <xf numFmtId="2" fontId="61" fillId="0" borderId="0" xfId="0" applyNumberFormat="1" applyFont="1" applyFill="1" applyAlignment="1">
      <alignment/>
    </xf>
    <xf numFmtId="0" fontId="65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34" fillId="0" borderId="16" xfId="51" applyNumberFormat="1" applyFont="1" applyFill="1" applyBorder="1" applyAlignment="1">
      <alignment horizontal="center" vertical="center"/>
    </xf>
    <xf numFmtId="4" fontId="34" fillId="0" borderId="24" xfId="51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34" fillId="0" borderId="10" xfId="51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" fontId="0" fillId="0" borderId="37" xfId="47" applyNumberFormat="1" applyFont="1" applyFill="1" applyBorder="1" applyAlignment="1">
      <alignment horizontal="center" vertical="center"/>
    </xf>
    <xf numFmtId="4" fontId="0" fillId="0" borderId="6" xfId="47" applyNumberFormat="1" applyFont="1" applyFill="1" applyAlignment="1">
      <alignment horizontal="center" vertical="center"/>
    </xf>
    <xf numFmtId="4" fontId="0" fillId="0" borderId="38" xfId="47" applyNumberFormat="1" applyFont="1" applyFill="1" applyBorder="1" applyAlignment="1">
      <alignment horizontal="center" vertical="center"/>
    </xf>
    <xf numFmtId="4" fontId="0" fillId="0" borderId="39" xfId="47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4" fontId="0" fillId="0" borderId="15" xfId="47" applyNumberFormat="1" applyFont="1" applyFill="1" applyBorder="1" applyAlignment="1">
      <alignment horizontal="center" vertical="center"/>
    </xf>
    <xf numFmtId="4" fontId="0" fillId="0" borderId="31" xfId="47" applyNumberFormat="1" applyFont="1" applyFill="1" applyBorder="1" applyAlignment="1">
      <alignment horizontal="center" vertical="center"/>
    </xf>
    <xf numFmtId="4" fontId="0" fillId="0" borderId="40" xfId="47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973"/>
  <sheetViews>
    <sheetView tabSelected="1" view="pageBreakPreview" zoomScaleNormal="55" zoomScaleSheetLayoutView="100" zoomScalePageLayoutView="0" workbookViewId="0" topLeftCell="A1">
      <pane xSplit="3" topLeftCell="D1" activePane="topRight" state="frozen"/>
      <selection pane="topLeft" activeCell="A5" sqref="A5"/>
      <selection pane="topRight" activeCell="AK32" sqref="AK32"/>
    </sheetView>
  </sheetViews>
  <sheetFormatPr defaultColWidth="2.00390625" defaultRowHeight="12.75"/>
  <cols>
    <col min="1" max="1" width="0.2890625" style="5" customWidth="1"/>
    <col min="2" max="2" width="6.421875" style="5" customWidth="1"/>
    <col min="3" max="3" width="7.57421875" style="5" customWidth="1"/>
    <col min="4" max="4" width="6.7109375" style="5" hidden="1" customWidth="1"/>
    <col min="5" max="5" width="5.28125" style="22" customWidth="1"/>
    <col min="6" max="6" width="6.7109375" style="22" customWidth="1"/>
    <col min="7" max="7" width="5.28125" style="22" customWidth="1"/>
    <col min="8" max="8" width="6.8515625" style="22" customWidth="1"/>
    <col min="9" max="9" width="5.28125" style="22" customWidth="1"/>
    <col min="10" max="10" width="6.57421875" style="22" customWidth="1"/>
    <col min="11" max="11" width="5.7109375" style="22" hidden="1" customWidth="1"/>
    <col min="12" max="12" width="5.28125" style="25" customWidth="1"/>
    <col min="13" max="13" width="6.57421875" style="25" customWidth="1"/>
    <col min="14" max="14" width="5.28125" style="25" customWidth="1"/>
    <col min="15" max="15" width="6.7109375" style="25" customWidth="1"/>
    <col min="16" max="16" width="5.28125" style="22" customWidth="1"/>
    <col min="17" max="17" width="6.57421875" style="22" customWidth="1"/>
    <col min="18" max="18" width="5.28125" style="25" customWidth="1"/>
    <col min="19" max="19" width="6.28125" style="25" customWidth="1"/>
    <col min="20" max="20" width="5.28125" style="25" customWidth="1"/>
    <col min="21" max="21" width="6.7109375" style="25" customWidth="1"/>
    <col min="22" max="22" width="5.28125" style="25" customWidth="1"/>
    <col min="23" max="23" width="6.7109375" style="25" customWidth="1"/>
    <col min="24" max="24" width="5.28125" style="25" customWidth="1"/>
    <col min="25" max="25" width="7.140625" style="25" customWidth="1"/>
    <col min="26" max="26" width="5.28125" style="25" customWidth="1"/>
    <col min="27" max="27" width="6.7109375" style="25" customWidth="1"/>
    <col min="28" max="28" width="5.28125" style="25" customWidth="1"/>
    <col min="29" max="29" width="6.7109375" style="25" customWidth="1"/>
    <col min="30" max="30" width="5.28125" style="5" customWidth="1"/>
    <col min="31" max="31" width="7.7109375" style="5" customWidth="1"/>
    <col min="32" max="32" width="6.421875" style="5" customWidth="1"/>
    <col min="33" max="33" width="6.8515625" style="5" customWidth="1"/>
    <col min="34" max="34" width="5.28125" style="5" customWidth="1"/>
    <col min="35" max="35" width="7.28125" style="22" customWidth="1"/>
    <col min="36" max="36" width="5.28125" style="22" customWidth="1"/>
    <col min="37" max="37" width="6.57421875" style="22" customWidth="1"/>
    <col min="38" max="40" width="4.140625" style="22" customWidth="1"/>
    <col min="41" max="44" width="3.421875" style="25" customWidth="1"/>
    <col min="45" max="46" width="3.421875" style="22" customWidth="1"/>
    <col min="47" max="58" width="3.421875" style="25" customWidth="1"/>
    <col min="59" max="59" width="3.421875" style="5" customWidth="1"/>
    <col min="60" max="60" width="4.140625" style="5" customWidth="1"/>
    <col min="61" max="64" width="3.421875" style="5" customWidth="1"/>
    <col min="65" max="65" width="4.140625" style="5" customWidth="1"/>
    <col min="66" max="66" width="2.57421875" style="5" customWidth="1"/>
    <col min="67" max="67" width="2.28125" style="5" customWidth="1"/>
    <col min="68" max="68" width="3.7109375" style="5" customWidth="1"/>
    <col min="69" max="69" width="3.421875" style="22" customWidth="1"/>
    <col min="70" max="70" width="4.28125" style="22" customWidth="1"/>
    <col min="71" max="74" width="3.421875" style="22" customWidth="1"/>
    <col min="75" max="78" width="3.421875" style="25" customWidth="1"/>
    <col min="79" max="80" width="3.421875" style="22" customWidth="1"/>
    <col min="81" max="83" width="3.421875" style="25" customWidth="1"/>
    <col min="84" max="84" width="4.140625" style="25" customWidth="1"/>
    <col min="85" max="92" width="3.421875" style="25" customWidth="1"/>
    <col min="93" max="94" width="3.421875" style="5" customWidth="1"/>
    <col min="95" max="95" width="2.00390625" style="5" customWidth="1"/>
    <col min="96" max="96" width="2.28125" style="5" customWidth="1"/>
    <col min="97" max="97" width="3.7109375" style="5" customWidth="1"/>
    <col min="98" max="98" width="3.421875" style="22" customWidth="1"/>
    <col min="99" max="99" width="4.28125" style="22" customWidth="1"/>
    <col min="100" max="103" width="3.421875" style="22" customWidth="1"/>
    <col min="104" max="107" width="3.421875" style="25" customWidth="1"/>
    <col min="108" max="109" width="3.421875" style="22" customWidth="1"/>
    <col min="110" max="121" width="3.421875" style="25" customWidth="1"/>
    <col min="122" max="123" width="3.421875" style="5" customWidth="1"/>
    <col min="124" max="16384" width="2.00390625" style="5" customWidth="1"/>
  </cols>
  <sheetData>
    <row r="1" spans="2:96" ht="13.5" customHeight="1" hidden="1" thickBot="1">
      <c r="B1" s="2"/>
      <c r="AG1" s="2"/>
      <c r="BO1" s="2"/>
      <c r="CR1" s="2"/>
    </row>
    <row r="2" ht="13.5" customHeight="1" hidden="1" thickBot="1"/>
    <row r="3" spans="2:96" ht="13.5" customHeight="1" hidden="1" thickBot="1">
      <c r="B3" s="16"/>
      <c r="AG3" s="16"/>
      <c r="BO3" s="16"/>
      <c r="CR3" s="16"/>
    </row>
    <row r="4" spans="2:96" ht="406.5" customHeight="1" hidden="1" thickBot="1">
      <c r="B4" s="16"/>
      <c r="AG4" s="16"/>
      <c r="BO4" s="16"/>
      <c r="CR4" s="16"/>
    </row>
    <row r="5" spans="2:121" ht="33.75" customHeight="1" thickBot="1">
      <c r="B5" s="17" t="s">
        <v>10</v>
      </c>
      <c r="C5" s="17" t="s">
        <v>6</v>
      </c>
      <c r="D5" s="17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</row>
    <row r="6" spans="2:121" ht="53.25" customHeight="1">
      <c r="B6" s="9" t="s">
        <v>5</v>
      </c>
      <c r="C6" s="10" t="s">
        <v>4</v>
      </c>
      <c r="D6" s="82"/>
      <c r="E6" s="116" t="s">
        <v>9</v>
      </c>
      <c r="F6" s="117" t="s">
        <v>1</v>
      </c>
      <c r="G6" s="116" t="s">
        <v>88</v>
      </c>
      <c r="H6" s="124"/>
      <c r="I6" s="116" t="s">
        <v>91</v>
      </c>
      <c r="J6" s="117"/>
      <c r="K6" s="62"/>
      <c r="L6" s="116" t="s">
        <v>27</v>
      </c>
      <c r="M6" s="117"/>
      <c r="N6" s="116" t="s">
        <v>39</v>
      </c>
      <c r="O6" s="117"/>
      <c r="P6" s="116"/>
      <c r="Q6" s="117"/>
      <c r="R6" s="116" t="s">
        <v>90</v>
      </c>
      <c r="S6" s="117"/>
      <c r="T6" s="116" t="s">
        <v>214</v>
      </c>
      <c r="U6" s="117"/>
      <c r="V6" s="116"/>
      <c r="W6" s="117"/>
      <c r="X6" s="116" t="s">
        <v>32</v>
      </c>
      <c r="Y6" s="117"/>
      <c r="Z6" s="116" t="s">
        <v>24</v>
      </c>
      <c r="AA6" s="117"/>
      <c r="AB6" s="116" t="s">
        <v>92</v>
      </c>
      <c r="AC6" s="117"/>
      <c r="AD6" s="116" t="s">
        <v>212</v>
      </c>
      <c r="AE6" s="117"/>
      <c r="AF6" s="116" t="s">
        <v>93</v>
      </c>
      <c r="AG6" s="117"/>
      <c r="AH6" s="116" t="s">
        <v>117</v>
      </c>
      <c r="AI6" s="117"/>
      <c r="AJ6" s="116" t="s">
        <v>279</v>
      </c>
      <c r="AK6" s="117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</row>
    <row r="7" spans="2:121" ht="18" customHeight="1">
      <c r="B7" s="7"/>
      <c r="C7" s="8" t="s">
        <v>0</v>
      </c>
      <c r="D7" s="83"/>
      <c r="E7" s="80" t="s">
        <v>3</v>
      </c>
      <c r="F7" s="81" t="s">
        <v>2</v>
      </c>
      <c r="G7" s="80" t="s">
        <v>3</v>
      </c>
      <c r="H7" s="81" t="s">
        <v>2</v>
      </c>
      <c r="I7" s="80" t="s">
        <v>3</v>
      </c>
      <c r="J7" s="81" t="s">
        <v>2</v>
      </c>
      <c r="K7" s="80" t="s">
        <v>3</v>
      </c>
      <c r="L7" s="80" t="s">
        <v>3</v>
      </c>
      <c r="M7" s="81" t="s">
        <v>2</v>
      </c>
      <c r="N7" s="80" t="s">
        <v>3</v>
      </c>
      <c r="O7" s="81" t="s">
        <v>2</v>
      </c>
      <c r="P7" s="80" t="s">
        <v>3</v>
      </c>
      <c r="Q7" s="81" t="s">
        <v>2</v>
      </c>
      <c r="R7" s="80" t="s">
        <v>3</v>
      </c>
      <c r="S7" s="81" t="s">
        <v>2</v>
      </c>
      <c r="T7" s="80" t="s">
        <v>3</v>
      </c>
      <c r="U7" s="81" t="s">
        <v>2</v>
      </c>
      <c r="V7" s="80" t="s">
        <v>3</v>
      </c>
      <c r="W7" s="81" t="s">
        <v>2</v>
      </c>
      <c r="X7" s="80" t="s">
        <v>0</v>
      </c>
      <c r="Y7" s="81" t="s">
        <v>3</v>
      </c>
      <c r="Z7" s="80" t="s">
        <v>3</v>
      </c>
      <c r="AA7" s="81" t="s">
        <v>2</v>
      </c>
      <c r="AB7" s="11" t="s">
        <v>0</v>
      </c>
      <c r="AC7" s="12" t="s">
        <v>3</v>
      </c>
      <c r="AD7" s="11" t="s">
        <v>0</v>
      </c>
      <c r="AE7" s="12" t="s">
        <v>3</v>
      </c>
      <c r="AF7" s="11" t="s">
        <v>94</v>
      </c>
      <c r="AG7" s="12" t="s">
        <v>95</v>
      </c>
      <c r="AH7" s="11" t="s">
        <v>0</v>
      </c>
      <c r="AI7" s="12" t="s">
        <v>3</v>
      </c>
      <c r="AJ7" s="80" t="s">
        <v>3</v>
      </c>
      <c r="AK7" s="81" t="s">
        <v>2</v>
      </c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</row>
    <row r="8" spans="2:121" ht="9" customHeight="1">
      <c r="B8" s="131" t="s">
        <v>209</v>
      </c>
      <c r="C8" s="6"/>
      <c r="D8" s="119">
        <f>5.21-1.47</f>
        <v>3.74</v>
      </c>
      <c r="E8" s="114">
        <f>1.1*D8+0.05*0.5</f>
        <v>4.139000000000001</v>
      </c>
      <c r="F8" s="13"/>
      <c r="G8" s="114">
        <v>2.74</v>
      </c>
      <c r="H8" s="13"/>
      <c r="I8" s="119">
        <v>1.04</v>
      </c>
      <c r="J8" s="13"/>
      <c r="K8" s="119">
        <v>3.47</v>
      </c>
      <c r="L8" s="114">
        <f>1.3*K8</f>
        <v>4.511</v>
      </c>
      <c r="M8" s="13"/>
      <c r="N8" s="134">
        <v>0.46</v>
      </c>
      <c r="O8" s="13"/>
      <c r="P8" s="119"/>
      <c r="Q8" s="13"/>
      <c r="R8" s="119">
        <v>0.48</v>
      </c>
      <c r="S8" s="13"/>
      <c r="T8" s="119">
        <v>0.16</v>
      </c>
      <c r="U8" s="13"/>
      <c r="V8" s="119"/>
      <c r="W8" s="13"/>
      <c r="X8" s="119">
        <f>0.8+2.1+0.3</f>
        <v>3.2</v>
      </c>
      <c r="Y8" s="13"/>
      <c r="Z8" s="119">
        <v>0.82</v>
      </c>
      <c r="AA8" s="13"/>
      <c r="AB8" s="119">
        <v>1.2</v>
      </c>
      <c r="AC8" s="13"/>
      <c r="AD8" s="119">
        <v>3.42</v>
      </c>
      <c r="AE8" s="13"/>
      <c r="AF8" s="119">
        <f>ROUNDDOWN(((I8/0.35)-0.35)/0.5,0)+1</f>
        <v>6</v>
      </c>
      <c r="AG8" s="72"/>
      <c r="AH8" s="118">
        <v>3.7</v>
      </c>
      <c r="AI8" s="72"/>
      <c r="AJ8" s="114">
        <v>1.47</v>
      </c>
      <c r="AK8" s="13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pans="2:121" ht="9" customHeight="1">
      <c r="B9" s="131"/>
      <c r="C9" s="130">
        <v>6.25</v>
      </c>
      <c r="D9" s="119"/>
      <c r="E9" s="115"/>
      <c r="F9" s="129">
        <f>((E8+E10)/2)*C9</f>
        <v>23.909375000000004</v>
      </c>
      <c r="G9" s="115"/>
      <c r="H9" s="110">
        <f>((G8+G10)/2)*C9</f>
        <v>16.5</v>
      </c>
      <c r="I9" s="119"/>
      <c r="J9" s="129">
        <f>((I8+I10)/2)*(C9-0.8)</f>
        <v>5.47725</v>
      </c>
      <c r="K9" s="119"/>
      <c r="L9" s="115"/>
      <c r="M9" s="120">
        <f>((L8+L10)/2)*C9</f>
        <v>27.015625</v>
      </c>
      <c r="N9" s="135"/>
      <c r="O9" s="129">
        <f>((N8+N10)/2)*C9</f>
        <v>2.875</v>
      </c>
      <c r="P9" s="119"/>
      <c r="Q9" s="129">
        <f>((P8+P10)/2)*(C9-0.8)</f>
        <v>0</v>
      </c>
      <c r="R9" s="119"/>
      <c r="S9" s="120">
        <f>((R8+R10)/2)*C9</f>
        <v>3</v>
      </c>
      <c r="T9" s="119"/>
      <c r="U9" s="120">
        <f>((T8+T10)/2)*14.8</f>
        <v>2.59</v>
      </c>
      <c r="V9" s="119"/>
      <c r="W9" s="120">
        <f>((V8+V10)/2)*C9</f>
        <v>0</v>
      </c>
      <c r="X9" s="119"/>
      <c r="Y9" s="120">
        <f>((X8+X10)/2)*C9</f>
        <v>20</v>
      </c>
      <c r="Z9" s="119"/>
      <c r="AA9" s="120">
        <f>((Z8+Z10)/2)*C9</f>
        <v>5.1875</v>
      </c>
      <c r="AB9" s="119"/>
      <c r="AC9" s="120">
        <f>((AB8+AB10)/2)*C9</f>
        <v>8.5625</v>
      </c>
      <c r="AD9" s="119"/>
      <c r="AE9" s="120">
        <f>((AD8+AD10)/2)*C9</f>
        <v>20.8125</v>
      </c>
      <c r="AF9" s="119"/>
      <c r="AG9" s="120">
        <f>((AF8+AF10)/2)*ROUND(C9/0.5,0)</f>
        <v>71.5</v>
      </c>
      <c r="AH9" s="115"/>
      <c r="AI9" s="110">
        <f>((AH8+AH10)/2)*C9</f>
        <v>22.65625</v>
      </c>
      <c r="AJ9" s="115"/>
      <c r="AK9" s="110">
        <f>((AJ8+AJ10)/2)*C9</f>
        <v>9.5625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2:121" ht="9" customHeight="1">
      <c r="B10" s="131">
        <v>3</v>
      </c>
      <c r="C10" s="130"/>
      <c r="D10" s="119">
        <f>4.76-1.59</f>
        <v>3.17</v>
      </c>
      <c r="E10" s="114">
        <f>1.1*D10+0.05*0.5</f>
        <v>3.512</v>
      </c>
      <c r="F10" s="129"/>
      <c r="G10" s="114">
        <v>2.54</v>
      </c>
      <c r="H10" s="111"/>
      <c r="I10" s="119">
        <v>0.97</v>
      </c>
      <c r="J10" s="129"/>
      <c r="K10" s="119">
        <v>3.18</v>
      </c>
      <c r="L10" s="114">
        <f>1.3*K10</f>
        <v>4.134</v>
      </c>
      <c r="M10" s="120"/>
      <c r="N10" s="134">
        <v>0.46</v>
      </c>
      <c r="O10" s="129"/>
      <c r="P10" s="119"/>
      <c r="Q10" s="129"/>
      <c r="R10" s="119">
        <v>0.48</v>
      </c>
      <c r="S10" s="120"/>
      <c r="T10" s="119">
        <v>0.19</v>
      </c>
      <c r="U10" s="120"/>
      <c r="V10" s="119"/>
      <c r="W10" s="120"/>
      <c r="X10" s="119">
        <f>0.8+2.1+0.3</f>
        <v>3.2</v>
      </c>
      <c r="Y10" s="120"/>
      <c r="Z10" s="119">
        <v>0.84</v>
      </c>
      <c r="AA10" s="120"/>
      <c r="AB10" s="119">
        <v>1.54</v>
      </c>
      <c r="AC10" s="120"/>
      <c r="AD10" s="119">
        <v>3.24</v>
      </c>
      <c r="AE10" s="120"/>
      <c r="AF10" s="119">
        <f>ROUNDDOWN(((I10/0.35)-0.35)/0.5,0)+1</f>
        <v>5</v>
      </c>
      <c r="AG10" s="120"/>
      <c r="AH10" s="114">
        <v>3.55</v>
      </c>
      <c r="AI10" s="111"/>
      <c r="AJ10" s="114">
        <v>1.59</v>
      </c>
      <c r="AK10" s="111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2:121" ht="9" customHeight="1">
      <c r="B11" s="131"/>
      <c r="C11" s="130">
        <v>6.3</v>
      </c>
      <c r="D11" s="119"/>
      <c r="E11" s="115"/>
      <c r="F11" s="129">
        <f>E10*C11</f>
        <v>22.1256</v>
      </c>
      <c r="G11" s="115"/>
      <c r="H11" s="110">
        <f>((G10+G12)/2)*C11</f>
        <v>16.002</v>
      </c>
      <c r="I11" s="119"/>
      <c r="J11" s="129">
        <f>((I10+I12)/2)*(C11-0.68)</f>
        <v>5.4514</v>
      </c>
      <c r="K11" s="119"/>
      <c r="L11" s="115"/>
      <c r="M11" s="120">
        <f>((L10+L12)/2)*C11</f>
        <v>26.0442</v>
      </c>
      <c r="N11" s="135"/>
      <c r="O11" s="129">
        <f>((N10+N12)/2)*C11</f>
        <v>2.898</v>
      </c>
      <c r="P11" s="119"/>
      <c r="Q11" s="129">
        <f>((P10+P12)/2)*(C11-0.68)</f>
        <v>0</v>
      </c>
      <c r="R11" s="119"/>
      <c r="S11" s="120">
        <f>((R10+R12)/2)*C11</f>
        <v>3.024</v>
      </c>
      <c r="T11" s="119"/>
      <c r="U11" s="120">
        <f>((T10+T12)/2)*C11</f>
        <v>0.5985</v>
      </c>
      <c r="V11" s="119"/>
      <c r="W11" s="120">
        <f>((V10+V12)/2)*C11</f>
        <v>0</v>
      </c>
      <c r="X11" s="119"/>
      <c r="Y11" s="120">
        <f>((X10+X12)/2)*C11</f>
        <v>20.16</v>
      </c>
      <c r="Z11" s="119"/>
      <c r="AA11" s="120">
        <f>((Z10+Z12)/2)*C11</f>
        <v>6.678</v>
      </c>
      <c r="AB11" s="119"/>
      <c r="AC11" s="120">
        <f>((AB10+AB12)/2)*C11</f>
        <v>9.9855</v>
      </c>
      <c r="AD11" s="119"/>
      <c r="AE11" s="120">
        <f>((AD10+AD12)/2)*C11</f>
        <v>20.474999999999998</v>
      </c>
      <c r="AF11" s="119"/>
      <c r="AG11" s="120">
        <f>((AF10+AF12)/2)*ROUND(C11/0.5,0)</f>
        <v>65</v>
      </c>
      <c r="AH11" s="115"/>
      <c r="AI11" s="110">
        <f>((AH10+AH12)/2)*C11</f>
        <v>22.427999999999997</v>
      </c>
      <c r="AJ11" s="115"/>
      <c r="AK11" s="110">
        <f>AJ10*C11</f>
        <v>10.017</v>
      </c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2:121" ht="9" customHeight="1">
      <c r="B12" s="131">
        <v>4</v>
      </c>
      <c r="C12" s="130"/>
      <c r="D12" s="119">
        <f>4.8</f>
        <v>4.8</v>
      </c>
      <c r="E12" s="114">
        <f>1.1*D12</f>
        <v>5.28</v>
      </c>
      <c r="F12" s="129"/>
      <c r="G12" s="114">
        <v>2.54</v>
      </c>
      <c r="H12" s="111"/>
      <c r="I12" s="119">
        <v>0.97</v>
      </c>
      <c r="J12" s="129"/>
      <c r="K12" s="119">
        <v>3.18</v>
      </c>
      <c r="L12" s="114">
        <f>1.3*K12</f>
        <v>4.134</v>
      </c>
      <c r="M12" s="120"/>
      <c r="N12" s="134">
        <v>0.46</v>
      </c>
      <c r="O12" s="129"/>
      <c r="P12" s="119"/>
      <c r="Q12" s="129"/>
      <c r="R12" s="119">
        <v>0.48</v>
      </c>
      <c r="S12" s="120"/>
      <c r="T12" s="119"/>
      <c r="U12" s="120"/>
      <c r="V12" s="119"/>
      <c r="W12" s="120"/>
      <c r="X12" s="119">
        <f>0.8+2.1+0.3</f>
        <v>3.2</v>
      </c>
      <c r="Y12" s="120"/>
      <c r="Z12" s="119">
        <v>1.28</v>
      </c>
      <c r="AA12" s="120"/>
      <c r="AB12" s="119">
        <v>1.63</v>
      </c>
      <c r="AC12" s="120"/>
      <c r="AD12" s="119">
        <v>3.26</v>
      </c>
      <c r="AE12" s="120"/>
      <c r="AF12" s="119">
        <f>ROUNDDOWN(((I12/0.35)-0.35)/0.5,0)+1</f>
        <v>5</v>
      </c>
      <c r="AG12" s="120"/>
      <c r="AH12" s="114">
        <v>3.57</v>
      </c>
      <c r="AI12" s="111"/>
      <c r="AJ12" s="114"/>
      <c r="AK12" s="111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2:121" ht="9" customHeight="1">
      <c r="B13" s="131"/>
      <c r="C13" s="130">
        <v>8.51</v>
      </c>
      <c r="D13" s="119"/>
      <c r="E13" s="115"/>
      <c r="F13" s="129">
        <f>((E12+E14)/2)*C13</f>
        <v>38.988565</v>
      </c>
      <c r="G13" s="115"/>
      <c r="H13" s="110">
        <f>((G12+G14)/2)*C13</f>
        <v>21.3601</v>
      </c>
      <c r="I13" s="119"/>
      <c r="J13" s="129">
        <f>((I12+I14)/2)*C13</f>
        <v>8.2547</v>
      </c>
      <c r="K13" s="119"/>
      <c r="L13" s="115"/>
      <c r="M13" s="120">
        <f>((L12+L14)/2)*C13</f>
        <v>35.18034</v>
      </c>
      <c r="N13" s="135"/>
      <c r="O13" s="129">
        <f>((N12+N14)/2)*C13</f>
        <v>3.9146</v>
      </c>
      <c r="P13" s="119"/>
      <c r="Q13" s="129">
        <f>((P12+P14)/2)*C13</f>
        <v>0</v>
      </c>
      <c r="R13" s="119"/>
      <c r="S13" s="120">
        <f>((R12+R14)/2)*C13</f>
        <v>4.0847999999999995</v>
      </c>
      <c r="T13" s="119"/>
      <c r="U13" s="120">
        <f>((T12+T14)/2)*C13</f>
        <v>0</v>
      </c>
      <c r="V13" s="119"/>
      <c r="W13" s="120">
        <f>((V12+V14)/2)*C13</f>
        <v>0</v>
      </c>
      <c r="X13" s="119"/>
      <c r="Y13" s="120">
        <f>((X12+X14)/2)*C13</f>
        <v>27.232</v>
      </c>
      <c r="Z13" s="119"/>
      <c r="AA13" s="120">
        <f>((Z12+Z14)/2)*C13</f>
        <v>8.97805</v>
      </c>
      <c r="AB13" s="119"/>
      <c r="AC13" s="120">
        <f>((AB12+AB14)/2)*C13</f>
        <v>12.5948</v>
      </c>
      <c r="AD13" s="119"/>
      <c r="AE13" s="120">
        <f>((AD12+AD14)/2)*C13</f>
        <v>27.572400000000002</v>
      </c>
      <c r="AF13" s="119"/>
      <c r="AG13" s="120">
        <f>((AF12+AF14)/2)*ROUND(C13/0.5,0)</f>
        <v>85</v>
      </c>
      <c r="AH13" s="115"/>
      <c r="AI13" s="110">
        <f>((AH12+AH14)/2)*C13</f>
        <v>30.167949999999998</v>
      </c>
      <c r="AJ13" s="115"/>
      <c r="AK13" s="110">
        <f>((AJ12+AJ14)/2)*C13</f>
        <v>0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2:121" ht="9" customHeight="1">
      <c r="B14" s="131" t="s">
        <v>210</v>
      </c>
      <c r="C14" s="130"/>
      <c r="D14" s="119">
        <v>3.53</v>
      </c>
      <c r="E14" s="114">
        <f>1.1*D14</f>
        <v>3.883</v>
      </c>
      <c r="F14" s="129"/>
      <c r="G14" s="114">
        <f>0.13+2.35</f>
        <v>2.48</v>
      </c>
      <c r="H14" s="111"/>
      <c r="I14" s="119">
        <v>0.97</v>
      </c>
      <c r="J14" s="129"/>
      <c r="K14" s="119">
        <v>3.18</v>
      </c>
      <c r="L14" s="114">
        <f>1.3*K14</f>
        <v>4.134</v>
      </c>
      <c r="M14" s="120"/>
      <c r="N14" s="134">
        <v>0.46</v>
      </c>
      <c r="O14" s="129"/>
      <c r="P14" s="119"/>
      <c r="Q14" s="129"/>
      <c r="R14" s="119">
        <v>0.48</v>
      </c>
      <c r="S14" s="120"/>
      <c r="T14" s="119"/>
      <c r="U14" s="120"/>
      <c r="V14" s="119"/>
      <c r="W14" s="120"/>
      <c r="X14" s="119">
        <f>0.8+2.1+0.3</f>
        <v>3.2</v>
      </c>
      <c r="Y14" s="120"/>
      <c r="Z14" s="119">
        <v>0.83</v>
      </c>
      <c r="AA14" s="120"/>
      <c r="AB14" s="119">
        <v>1.33</v>
      </c>
      <c r="AC14" s="120"/>
      <c r="AD14" s="119">
        <v>3.22</v>
      </c>
      <c r="AE14" s="120"/>
      <c r="AF14" s="119">
        <f>ROUNDDOWN(((I14/0.35)-0.35)/0.5,0)+1</f>
        <v>5</v>
      </c>
      <c r="AG14" s="120"/>
      <c r="AH14" s="114">
        <v>3.52</v>
      </c>
      <c r="AI14" s="111"/>
      <c r="AJ14" s="114"/>
      <c r="AK14" s="111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2:121" ht="9" customHeight="1">
      <c r="B15" s="131"/>
      <c r="C15" s="130"/>
      <c r="D15" s="119"/>
      <c r="E15" s="115"/>
      <c r="F15" s="129">
        <f>((E14+E16)/2)*C15</f>
        <v>0</v>
      </c>
      <c r="G15" s="115"/>
      <c r="H15" s="110">
        <f>((G14+G16)/2)*C15</f>
        <v>0</v>
      </c>
      <c r="I15" s="119"/>
      <c r="J15" s="129">
        <f>((I14+I16)/2)*C15</f>
        <v>0</v>
      </c>
      <c r="K15" s="119"/>
      <c r="L15" s="115"/>
      <c r="M15" s="120">
        <f>((L14+L16)/2)*C15</f>
        <v>0</v>
      </c>
      <c r="N15" s="135"/>
      <c r="O15" s="129">
        <f>((N14+N16)/2)*C15</f>
        <v>0</v>
      </c>
      <c r="P15" s="119"/>
      <c r="Q15" s="129">
        <f>((P14+P16)/2)*C15</f>
        <v>0</v>
      </c>
      <c r="R15" s="119"/>
      <c r="S15" s="120">
        <f>((R14+R16)/2)*C15</f>
        <v>0</v>
      </c>
      <c r="T15" s="119"/>
      <c r="U15" s="120">
        <f>((T14+T16)/2)*C15</f>
        <v>0</v>
      </c>
      <c r="V15" s="119"/>
      <c r="W15" s="120">
        <f>((V14+V16)/2)*C15</f>
        <v>0</v>
      </c>
      <c r="X15" s="119"/>
      <c r="Y15" s="120">
        <f>((X14+X16)/2)*C15</f>
        <v>0</v>
      </c>
      <c r="Z15" s="119"/>
      <c r="AA15" s="120">
        <f>((Z14+Z16)/2)*C15</f>
        <v>0</v>
      </c>
      <c r="AB15" s="119"/>
      <c r="AC15" s="120">
        <f>((AB14+AB16)/2)*C15</f>
        <v>0</v>
      </c>
      <c r="AD15" s="119"/>
      <c r="AE15" s="120">
        <f>((AD14+AD16)/2)*C15</f>
        <v>0</v>
      </c>
      <c r="AF15" s="119"/>
      <c r="AG15" s="120">
        <f>((AF14+AF16)/2)*ROUND(C15/0.5,0)</f>
        <v>0</v>
      </c>
      <c r="AH15" s="115"/>
      <c r="AI15" s="110">
        <f>((AH14+AH16)/2)*C15</f>
        <v>0</v>
      </c>
      <c r="AJ15" s="115"/>
      <c r="AK15" s="110">
        <f>((AJ14+AJ16)/2)*C15</f>
        <v>0</v>
      </c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2:121" ht="9" customHeight="1">
      <c r="B16" s="131"/>
      <c r="C16" s="130"/>
      <c r="D16" s="84"/>
      <c r="E16" s="119"/>
      <c r="F16" s="129"/>
      <c r="G16" s="114"/>
      <c r="H16" s="111"/>
      <c r="I16" s="119"/>
      <c r="J16" s="129"/>
      <c r="K16" s="119"/>
      <c r="L16" s="119"/>
      <c r="M16" s="120"/>
      <c r="N16" s="119"/>
      <c r="O16" s="129"/>
      <c r="P16" s="119"/>
      <c r="Q16" s="129"/>
      <c r="R16" s="119"/>
      <c r="S16" s="120"/>
      <c r="T16" s="119"/>
      <c r="U16" s="120"/>
      <c r="V16" s="119"/>
      <c r="W16" s="120"/>
      <c r="X16" s="119"/>
      <c r="Y16" s="120"/>
      <c r="Z16" s="119"/>
      <c r="AA16" s="120"/>
      <c r="AB16" s="119"/>
      <c r="AC16" s="120"/>
      <c r="AD16" s="119"/>
      <c r="AE16" s="120"/>
      <c r="AF16" s="119"/>
      <c r="AG16" s="120"/>
      <c r="AH16" s="114"/>
      <c r="AI16" s="111"/>
      <c r="AJ16" s="114"/>
      <c r="AK16" s="111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2:121" ht="9" customHeight="1">
      <c r="B17" s="131"/>
      <c r="C17" s="130"/>
      <c r="D17" s="84"/>
      <c r="E17" s="119"/>
      <c r="F17" s="129">
        <f>((E16+E18)/2)*C17</f>
        <v>0</v>
      </c>
      <c r="G17" s="115"/>
      <c r="H17" s="110">
        <f>((G16+G18)/2)*C17</f>
        <v>0</v>
      </c>
      <c r="I17" s="119"/>
      <c r="J17" s="129">
        <f>((I16+I18)/2)*C17</f>
        <v>0</v>
      </c>
      <c r="K17" s="119"/>
      <c r="L17" s="119"/>
      <c r="M17" s="120">
        <f>((L16+L18)/2)*C17</f>
        <v>0</v>
      </c>
      <c r="N17" s="119"/>
      <c r="O17" s="129">
        <f>((N16+N18)/2)*C17</f>
        <v>0</v>
      </c>
      <c r="P17" s="119"/>
      <c r="Q17" s="129">
        <f>((P16+P18)/2)*C17</f>
        <v>0</v>
      </c>
      <c r="R17" s="119"/>
      <c r="S17" s="120">
        <f>((R16+R18)/2)*C17</f>
        <v>0</v>
      </c>
      <c r="T17" s="119"/>
      <c r="U17" s="120">
        <f>((T16+T18)/2)*C17</f>
        <v>0</v>
      </c>
      <c r="V17" s="119"/>
      <c r="W17" s="120">
        <f>((V16+V18)/2)*C17</f>
        <v>0</v>
      </c>
      <c r="X17" s="119"/>
      <c r="Y17" s="120">
        <f>((X16+X18)/2)*C17</f>
        <v>0</v>
      </c>
      <c r="Z17" s="119"/>
      <c r="AA17" s="120">
        <f>((Z16+Z18)/2)*C17</f>
        <v>0</v>
      </c>
      <c r="AB17" s="119"/>
      <c r="AC17" s="120">
        <f>((AB16+AB18)/2)*C17</f>
        <v>0</v>
      </c>
      <c r="AD17" s="119"/>
      <c r="AE17" s="120">
        <f>((AD16+AD18)/2)*C17</f>
        <v>0</v>
      </c>
      <c r="AF17" s="119"/>
      <c r="AG17" s="120">
        <f>((AF16+AF18)/2)*ROUND(C17/0.5,0)</f>
        <v>0</v>
      </c>
      <c r="AH17" s="115"/>
      <c r="AI17" s="110">
        <f>((AH16+AH18)/2)*C17</f>
        <v>0</v>
      </c>
      <c r="AJ17" s="115"/>
      <c r="AK17" s="110">
        <f>((AJ16+AJ18)/2)*C17</f>
        <v>0</v>
      </c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2:121" ht="9" customHeight="1">
      <c r="B18" s="131"/>
      <c r="C18" s="130"/>
      <c r="D18" s="84"/>
      <c r="E18" s="119"/>
      <c r="F18" s="129"/>
      <c r="G18" s="114"/>
      <c r="H18" s="111"/>
      <c r="I18" s="119"/>
      <c r="J18" s="129"/>
      <c r="K18" s="89"/>
      <c r="L18" s="119"/>
      <c r="M18" s="120"/>
      <c r="N18" s="119"/>
      <c r="O18" s="129"/>
      <c r="P18" s="119"/>
      <c r="Q18" s="129"/>
      <c r="R18" s="119"/>
      <c r="S18" s="120"/>
      <c r="T18" s="119"/>
      <c r="U18" s="120"/>
      <c r="V18" s="119"/>
      <c r="W18" s="120"/>
      <c r="X18" s="119"/>
      <c r="Y18" s="120"/>
      <c r="Z18" s="119"/>
      <c r="AA18" s="120"/>
      <c r="AB18" s="119"/>
      <c r="AC18" s="120"/>
      <c r="AD18" s="119"/>
      <c r="AE18" s="120"/>
      <c r="AF18" s="119"/>
      <c r="AG18" s="120"/>
      <c r="AH18" s="114"/>
      <c r="AI18" s="111"/>
      <c r="AJ18" s="114"/>
      <c r="AK18" s="111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2:121" ht="9" customHeight="1">
      <c r="B19" s="131"/>
      <c r="C19" s="130"/>
      <c r="D19" s="84"/>
      <c r="E19" s="119"/>
      <c r="F19" s="129">
        <f>((E18+E20)/2)*C19</f>
        <v>0</v>
      </c>
      <c r="G19" s="115"/>
      <c r="H19" s="110">
        <f>((G18+G20)/2)*C19</f>
        <v>0</v>
      </c>
      <c r="I19" s="119"/>
      <c r="J19" s="129">
        <f>((I18+I20)/2)*C19</f>
        <v>0</v>
      </c>
      <c r="K19" s="89"/>
      <c r="L19" s="119"/>
      <c r="M19" s="120">
        <f>((L18+L20)/2)*C19</f>
        <v>0</v>
      </c>
      <c r="N19" s="119"/>
      <c r="O19" s="129">
        <f>((N18+N20)/2)*C19</f>
        <v>0</v>
      </c>
      <c r="P19" s="119"/>
      <c r="Q19" s="129">
        <f>((P18+P20)/2)*C19</f>
        <v>0</v>
      </c>
      <c r="R19" s="119"/>
      <c r="S19" s="120">
        <f>((R18+R20)/2)*C19</f>
        <v>0</v>
      </c>
      <c r="T19" s="119"/>
      <c r="U19" s="120">
        <f>((T18+T20)/2)*C19</f>
        <v>0</v>
      </c>
      <c r="V19" s="119"/>
      <c r="W19" s="120">
        <f>((V18+V20)/2)*C19</f>
        <v>0</v>
      </c>
      <c r="X19" s="119"/>
      <c r="Y19" s="120">
        <f>((X18+X20)/2)*C19</f>
        <v>0</v>
      </c>
      <c r="Z19" s="119"/>
      <c r="AA19" s="120">
        <f>((Z18+Z20)/2)*C19</f>
        <v>0</v>
      </c>
      <c r="AB19" s="119"/>
      <c r="AC19" s="120">
        <f>((AB18+AB20)/2)*C19</f>
        <v>0</v>
      </c>
      <c r="AD19" s="119"/>
      <c r="AE19" s="120">
        <f>((AD18+AD20)/2)*C19</f>
        <v>0</v>
      </c>
      <c r="AF19" s="119"/>
      <c r="AG19" s="120">
        <f>((AF18+AF20)/2)*ROUND(C19/0.5,0)</f>
        <v>0</v>
      </c>
      <c r="AH19" s="115"/>
      <c r="AI19" s="110">
        <f>((AH18+AH20)/2)*C19</f>
        <v>0</v>
      </c>
      <c r="AJ19" s="115"/>
      <c r="AK19" s="110">
        <f>((AJ18+AJ20)/2)*C19</f>
        <v>0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2:121" ht="9" customHeight="1">
      <c r="B20" s="131"/>
      <c r="C20" s="130"/>
      <c r="D20" s="84"/>
      <c r="E20" s="119"/>
      <c r="F20" s="129"/>
      <c r="G20" s="114"/>
      <c r="H20" s="111"/>
      <c r="I20" s="119"/>
      <c r="J20" s="129"/>
      <c r="K20" s="89"/>
      <c r="L20" s="119"/>
      <c r="M20" s="120"/>
      <c r="N20" s="119"/>
      <c r="O20" s="129"/>
      <c r="P20" s="119"/>
      <c r="Q20" s="129"/>
      <c r="R20" s="119"/>
      <c r="S20" s="120"/>
      <c r="T20" s="119"/>
      <c r="U20" s="120"/>
      <c r="V20" s="119"/>
      <c r="W20" s="120"/>
      <c r="X20" s="119"/>
      <c r="Y20" s="120"/>
      <c r="Z20" s="119"/>
      <c r="AA20" s="120"/>
      <c r="AB20" s="119"/>
      <c r="AC20" s="120"/>
      <c r="AD20" s="119"/>
      <c r="AE20" s="120"/>
      <c r="AF20" s="119"/>
      <c r="AG20" s="120"/>
      <c r="AH20" s="114"/>
      <c r="AI20" s="111"/>
      <c r="AJ20" s="114"/>
      <c r="AK20" s="111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2:121" ht="9" customHeight="1">
      <c r="B21" s="131"/>
      <c r="C21" s="130"/>
      <c r="D21" s="84"/>
      <c r="E21" s="119"/>
      <c r="F21" s="129">
        <f>((E20+E22)/2)*C21</f>
        <v>0</v>
      </c>
      <c r="G21" s="115"/>
      <c r="H21" s="110">
        <f>((G20+G22)/2)*C21</f>
        <v>0</v>
      </c>
      <c r="I21" s="119"/>
      <c r="J21" s="129">
        <f>((I20+I22)/2)*C21</f>
        <v>0</v>
      </c>
      <c r="K21" s="89"/>
      <c r="L21" s="119"/>
      <c r="M21" s="120">
        <f>((L20+L22)/2)*C21</f>
        <v>0</v>
      </c>
      <c r="N21" s="119"/>
      <c r="O21" s="129">
        <f>((N20+N22)/2)*C21</f>
        <v>0</v>
      </c>
      <c r="P21" s="119"/>
      <c r="Q21" s="129">
        <f>((P20+P22)/2)*C21</f>
        <v>0</v>
      </c>
      <c r="R21" s="119"/>
      <c r="S21" s="120">
        <f>((R20+R22)/2)*C21</f>
        <v>0</v>
      </c>
      <c r="T21" s="119"/>
      <c r="U21" s="120">
        <f>((T20+T22)/2)*C21</f>
        <v>0</v>
      </c>
      <c r="V21" s="119"/>
      <c r="W21" s="120">
        <f>((V20+V22)/2)*C21</f>
        <v>0</v>
      </c>
      <c r="X21" s="119"/>
      <c r="Y21" s="120">
        <f>((X20+X22)/2)*C21</f>
        <v>0</v>
      </c>
      <c r="Z21" s="119"/>
      <c r="AA21" s="120">
        <f>((Z20+Z22)/2)*C21</f>
        <v>0</v>
      </c>
      <c r="AB21" s="119"/>
      <c r="AC21" s="120">
        <f>((AB20+AB22)/2)*C21</f>
        <v>0</v>
      </c>
      <c r="AD21" s="119"/>
      <c r="AE21" s="120">
        <f>((AD20+AD22)/2)*C21</f>
        <v>0</v>
      </c>
      <c r="AF21" s="119"/>
      <c r="AG21" s="120">
        <f>((AF20+AF22)/2)*ROUND(C21/0.5,0)</f>
        <v>0</v>
      </c>
      <c r="AH21" s="115"/>
      <c r="AI21" s="110">
        <f>((AH20+AH22)/2)*C21</f>
        <v>0</v>
      </c>
      <c r="AJ21" s="115"/>
      <c r="AK21" s="110">
        <f>((AJ20+AJ22)/2)*C21</f>
        <v>0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2:121" ht="9" customHeight="1">
      <c r="B22" s="131"/>
      <c r="C22" s="130"/>
      <c r="D22" s="84"/>
      <c r="E22" s="119"/>
      <c r="F22" s="129"/>
      <c r="G22" s="114"/>
      <c r="H22" s="111"/>
      <c r="I22" s="119"/>
      <c r="J22" s="129"/>
      <c r="K22" s="89"/>
      <c r="L22" s="119"/>
      <c r="M22" s="120"/>
      <c r="N22" s="119"/>
      <c r="O22" s="129"/>
      <c r="P22" s="119"/>
      <c r="Q22" s="129"/>
      <c r="R22" s="119"/>
      <c r="S22" s="120"/>
      <c r="T22" s="119"/>
      <c r="U22" s="120"/>
      <c r="V22" s="119"/>
      <c r="W22" s="120"/>
      <c r="X22" s="119"/>
      <c r="Y22" s="120"/>
      <c r="Z22" s="119"/>
      <c r="AA22" s="120"/>
      <c r="AB22" s="119"/>
      <c r="AC22" s="120"/>
      <c r="AD22" s="119"/>
      <c r="AE22" s="120"/>
      <c r="AF22" s="119"/>
      <c r="AG22" s="120"/>
      <c r="AH22" s="114"/>
      <c r="AI22" s="111"/>
      <c r="AJ22" s="114"/>
      <c r="AK22" s="111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2:121" ht="9" customHeight="1">
      <c r="B23" s="131"/>
      <c r="C23" s="130"/>
      <c r="D23" s="84"/>
      <c r="E23" s="119"/>
      <c r="F23" s="129">
        <f>((E22+E24)/2)*C23</f>
        <v>0</v>
      </c>
      <c r="G23" s="115"/>
      <c r="H23" s="110">
        <f>((G22+G24)/2)*C23</f>
        <v>0</v>
      </c>
      <c r="I23" s="119"/>
      <c r="J23" s="129">
        <f>((I22+I24)/2)*C23</f>
        <v>0</v>
      </c>
      <c r="K23" s="89"/>
      <c r="L23" s="119"/>
      <c r="M23" s="120">
        <f>((L22+L24)/2)*C23</f>
        <v>0</v>
      </c>
      <c r="N23" s="119"/>
      <c r="O23" s="129">
        <f>((N22+N24)/2)*C23</f>
        <v>0</v>
      </c>
      <c r="P23" s="119"/>
      <c r="Q23" s="129">
        <f>((P22+P24)/2)*C23</f>
        <v>0</v>
      </c>
      <c r="R23" s="119"/>
      <c r="S23" s="120">
        <f>((R22+R24)/2)*C23</f>
        <v>0</v>
      </c>
      <c r="T23" s="119"/>
      <c r="U23" s="120">
        <f>((T22+T24)/2)*C23</f>
        <v>0</v>
      </c>
      <c r="V23" s="119"/>
      <c r="W23" s="120">
        <f>((V22+V24)/2)*C23</f>
        <v>0</v>
      </c>
      <c r="X23" s="119"/>
      <c r="Y23" s="120">
        <f>((X22+X24)/2)*C23</f>
        <v>0</v>
      </c>
      <c r="Z23" s="119"/>
      <c r="AA23" s="120">
        <f>((Z22+Z24)/2)*C23</f>
        <v>0</v>
      </c>
      <c r="AB23" s="119"/>
      <c r="AC23" s="120">
        <f>((AB22+AB24)/2)*C23</f>
        <v>0</v>
      </c>
      <c r="AD23" s="119"/>
      <c r="AE23" s="120">
        <f>((AD22+AD24)/2)*C23</f>
        <v>0</v>
      </c>
      <c r="AF23" s="119"/>
      <c r="AG23" s="110">
        <v>0</v>
      </c>
      <c r="AH23" s="115"/>
      <c r="AI23" s="110">
        <v>0</v>
      </c>
      <c r="AJ23" s="115"/>
      <c r="AK23" s="110">
        <f>((AJ22+AJ24)/2)*C23</f>
        <v>0</v>
      </c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2:121" ht="9" customHeight="1">
      <c r="B24" s="131"/>
      <c r="C24" s="130"/>
      <c r="D24" s="84"/>
      <c r="E24" s="119"/>
      <c r="F24" s="129"/>
      <c r="G24" s="114"/>
      <c r="H24" s="111"/>
      <c r="I24" s="119"/>
      <c r="J24" s="129"/>
      <c r="K24" s="89"/>
      <c r="L24" s="119"/>
      <c r="M24" s="120"/>
      <c r="N24" s="119"/>
      <c r="O24" s="129"/>
      <c r="P24" s="119"/>
      <c r="Q24" s="129"/>
      <c r="R24" s="119"/>
      <c r="S24" s="120"/>
      <c r="T24" s="119"/>
      <c r="U24" s="120"/>
      <c r="V24" s="119"/>
      <c r="W24" s="120"/>
      <c r="X24" s="119"/>
      <c r="Y24" s="120"/>
      <c r="Z24" s="119"/>
      <c r="AA24" s="120"/>
      <c r="AB24" s="119"/>
      <c r="AC24" s="120"/>
      <c r="AD24" s="119"/>
      <c r="AE24" s="120"/>
      <c r="AF24" s="114"/>
      <c r="AG24" s="111"/>
      <c r="AH24" s="114"/>
      <c r="AI24" s="111"/>
      <c r="AJ24" s="114"/>
      <c r="AK24" s="111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2:121" ht="9" customHeight="1">
      <c r="B25" s="131"/>
      <c r="C25" s="130"/>
      <c r="D25" s="84"/>
      <c r="E25" s="119"/>
      <c r="F25" s="129">
        <f>((E24+E26)/2)*C25</f>
        <v>0</v>
      </c>
      <c r="G25" s="115"/>
      <c r="H25" s="110">
        <f>((G24+G26)/2)*C25</f>
        <v>0</v>
      </c>
      <c r="I25" s="119"/>
      <c r="J25" s="129">
        <f>((I24+I26)/2)*C25</f>
        <v>0</v>
      </c>
      <c r="K25" s="89"/>
      <c r="L25" s="119"/>
      <c r="M25" s="120">
        <f>((L24+L26)/2)*C25</f>
        <v>0</v>
      </c>
      <c r="N25" s="119"/>
      <c r="O25" s="129">
        <f>((N24+N26)/2)*C25</f>
        <v>0</v>
      </c>
      <c r="P25" s="119"/>
      <c r="Q25" s="129">
        <f>((P24+P26)/2)*C25</f>
        <v>0</v>
      </c>
      <c r="R25" s="119"/>
      <c r="S25" s="120">
        <f>((R24+R26)/2)*C25</f>
        <v>0</v>
      </c>
      <c r="T25" s="119"/>
      <c r="U25" s="120">
        <f>((T24+T26)/2)*C25</f>
        <v>0</v>
      </c>
      <c r="V25" s="119"/>
      <c r="W25" s="120">
        <f>((V24+V26)/2)*C25</f>
        <v>0</v>
      </c>
      <c r="X25" s="119"/>
      <c r="Y25" s="120">
        <f>((X24+X26)/2)*C25</f>
        <v>0</v>
      </c>
      <c r="Z25" s="119"/>
      <c r="AA25" s="120">
        <f>((Z24+Z26)/2)*C25</f>
        <v>0</v>
      </c>
      <c r="AB25" s="119"/>
      <c r="AC25" s="120">
        <f>((AB24+AB26)/2)*C25</f>
        <v>0</v>
      </c>
      <c r="AD25" s="119"/>
      <c r="AE25" s="120">
        <f>((AD24+AD26)/2)*C25</f>
        <v>0</v>
      </c>
      <c r="AF25" s="115"/>
      <c r="AG25" s="110">
        <f>((AF24+AF26)/2)*C25</f>
        <v>0</v>
      </c>
      <c r="AH25" s="115"/>
      <c r="AI25" s="110">
        <f>((AH24+AH26)/2)*C25</f>
        <v>0</v>
      </c>
      <c r="AJ25" s="115"/>
      <c r="AK25" s="110">
        <f>((AJ24+AJ26)/2)*C25</f>
        <v>0</v>
      </c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2:121" ht="9" customHeight="1">
      <c r="B26" s="131"/>
      <c r="C26" s="130"/>
      <c r="D26" s="84"/>
      <c r="E26" s="119"/>
      <c r="F26" s="129"/>
      <c r="G26" s="114"/>
      <c r="H26" s="111"/>
      <c r="I26" s="119"/>
      <c r="J26" s="129"/>
      <c r="K26" s="89"/>
      <c r="L26" s="119"/>
      <c r="M26" s="120"/>
      <c r="N26" s="119"/>
      <c r="O26" s="129"/>
      <c r="P26" s="119"/>
      <c r="Q26" s="129"/>
      <c r="R26" s="131"/>
      <c r="S26" s="120"/>
      <c r="T26" s="119"/>
      <c r="U26" s="120"/>
      <c r="V26" s="119"/>
      <c r="W26" s="120"/>
      <c r="X26" s="119"/>
      <c r="Y26" s="120"/>
      <c r="Z26" s="119"/>
      <c r="AA26" s="120"/>
      <c r="AB26" s="119"/>
      <c r="AC26" s="120"/>
      <c r="AD26" s="119"/>
      <c r="AE26" s="120"/>
      <c r="AF26" s="114"/>
      <c r="AG26" s="111"/>
      <c r="AH26" s="114"/>
      <c r="AI26" s="111"/>
      <c r="AJ26" s="114"/>
      <c r="AK26" s="111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2:121" ht="9" customHeight="1">
      <c r="B27" s="131"/>
      <c r="C27" s="130"/>
      <c r="D27" s="84"/>
      <c r="E27" s="119"/>
      <c r="F27" s="129">
        <f>((E26+E28)/2)*C27</f>
        <v>0</v>
      </c>
      <c r="G27" s="115"/>
      <c r="H27" s="110">
        <f>((G26+G28)/2)*C27</f>
        <v>0</v>
      </c>
      <c r="I27" s="119"/>
      <c r="J27" s="129">
        <f>((I26+I28)/2)*C27</f>
        <v>0</v>
      </c>
      <c r="K27" s="89"/>
      <c r="L27" s="119"/>
      <c r="M27" s="120">
        <f>((L26+L28)/2)*C27</f>
        <v>0</v>
      </c>
      <c r="N27" s="119"/>
      <c r="O27" s="129">
        <f>((N26+N28)/2)*C27</f>
        <v>0</v>
      </c>
      <c r="P27" s="119"/>
      <c r="Q27" s="129">
        <f>((P26+P28)/2)*C27</f>
        <v>0</v>
      </c>
      <c r="R27" s="131"/>
      <c r="S27" s="120">
        <f>((R26+R28)/2)*C27</f>
        <v>0</v>
      </c>
      <c r="T27" s="119"/>
      <c r="U27" s="120">
        <f>((T26+T28)/2)*C27</f>
        <v>0</v>
      </c>
      <c r="V27" s="119"/>
      <c r="W27" s="120">
        <f>((V26+V28)/2)*C27</f>
        <v>0</v>
      </c>
      <c r="X27" s="119"/>
      <c r="Y27" s="120">
        <f>((X26+X28)/2)*C27</f>
        <v>0</v>
      </c>
      <c r="Z27" s="119"/>
      <c r="AA27" s="120">
        <f>((Z26+Z28)/2)*C27</f>
        <v>0</v>
      </c>
      <c r="AB27" s="119"/>
      <c r="AC27" s="120">
        <f>((AB26+AB28)/2)*C27</f>
        <v>0</v>
      </c>
      <c r="AD27" s="119"/>
      <c r="AE27" s="120">
        <f>((AD26+AD28)/2)*C27</f>
        <v>0</v>
      </c>
      <c r="AF27" s="115"/>
      <c r="AG27" s="110">
        <f>((AF26+AF28)/2)*C27</f>
        <v>0</v>
      </c>
      <c r="AH27" s="115"/>
      <c r="AI27" s="110">
        <f>((AH26+AH28)/2)*C27</f>
        <v>0</v>
      </c>
      <c r="AJ27" s="115"/>
      <c r="AK27" s="110">
        <f>((AJ26+AJ28)/2)*C27</f>
        <v>0</v>
      </c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2:121" ht="9" customHeight="1">
      <c r="B28" s="131"/>
      <c r="C28" s="130"/>
      <c r="D28" s="84"/>
      <c r="E28" s="119"/>
      <c r="F28" s="129"/>
      <c r="G28" s="114"/>
      <c r="H28" s="111"/>
      <c r="I28" s="119"/>
      <c r="J28" s="129"/>
      <c r="K28" s="89"/>
      <c r="L28" s="142"/>
      <c r="M28" s="120"/>
      <c r="N28" s="119"/>
      <c r="O28" s="129"/>
      <c r="P28" s="119"/>
      <c r="Q28" s="129"/>
      <c r="R28" s="131"/>
      <c r="S28" s="120"/>
      <c r="T28" s="119"/>
      <c r="U28" s="120"/>
      <c r="V28" s="119"/>
      <c r="W28" s="120"/>
      <c r="X28" s="119"/>
      <c r="Y28" s="120"/>
      <c r="Z28" s="142"/>
      <c r="AA28" s="120"/>
      <c r="AB28" s="142"/>
      <c r="AC28" s="120"/>
      <c r="AD28" s="119"/>
      <c r="AE28" s="120"/>
      <c r="AF28" s="114"/>
      <c r="AG28" s="111"/>
      <c r="AH28" s="114"/>
      <c r="AI28" s="111"/>
      <c r="AJ28" s="114"/>
      <c r="AK28" s="111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2:121" ht="9" customHeight="1">
      <c r="B29" s="131"/>
      <c r="C29" s="6"/>
      <c r="D29" s="84"/>
      <c r="E29" s="119"/>
      <c r="F29" s="69"/>
      <c r="G29" s="115"/>
      <c r="H29" s="13"/>
      <c r="I29" s="119"/>
      <c r="J29" s="69"/>
      <c r="K29" s="89"/>
      <c r="L29" s="142"/>
      <c r="M29" s="13"/>
      <c r="N29" s="119"/>
      <c r="O29" s="69"/>
      <c r="P29" s="119"/>
      <c r="Q29" s="69"/>
      <c r="R29" s="131"/>
      <c r="S29" s="13"/>
      <c r="T29" s="119"/>
      <c r="U29" s="13"/>
      <c r="V29" s="119"/>
      <c r="W29" s="13"/>
      <c r="X29" s="119"/>
      <c r="Y29" s="13"/>
      <c r="Z29" s="142"/>
      <c r="AA29" s="13"/>
      <c r="AB29" s="142"/>
      <c r="AC29" s="13"/>
      <c r="AD29" s="119"/>
      <c r="AE29" s="13"/>
      <c r="AF29" s="115"/>
      <c r="AG29" s="13"/>
      <c r="AH29" s="115"/>
      <c r="AI29" s="13"/>
      <c r="AJ29" s="115"/>
      <c r="AK29" s="13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2:121" ht="9" customHeight="1" thickBot="1">
      <c r="B30" s="29"/>
      <c r="C30" s="30"/>
      <c r="D30" s="30"/>
      <c r="E30" s="31"/>
      <c r="F30" s="32"/>
      <c r="G30" s="31"/>
      <c r="H30" s="31"/>
      <c r="I30" s="31"/>
      <c r="J30" s="32"/>
      <c r="K30" s="32"/>
      <c r="L30" s="31"/>
      <c r="M30" s="31"/>
      <c r="N30" s="31"/>
      <c r="O30" s="32"/>
      <c r="P30" s="31"/>
      <c r="Q30" s="3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I30" s="5"/>
      <c r="AJ30" s="5"/>
      <c r="AK30" s="32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2:37" s="2" customFormat="1" ht="12" customHeight="1" thickBot="1">
      <c r="B31" s="4"/>
      <c r="C31" s="20"/>
      <c r="D31" s="86"/>
      <c r="E31" s="23"/>
      <c r="F31" s="24"/>
      <c r="G31" s="23"/>
      <c r="H31" s="24"/>
      <c r="I31" s="24"/>
      <c r="J31" s="24"/>
      <c r="K31" s="24"/>
      <c r="L31" s="26"/>
      <c r="M31" s="21"/>
      <c r="N31" s="26"/>
      <c r="O31" s="21"/>
      <c r="P31" s="24"/>
      <c r="Q31" s="24"/>
      <c r="R31" s="26"/>
      <c r="S31" s="21"/>
      <c r="T31" s="26"/>
      <c r="U31" s="21"/>
      <c r="V31" s="26"/>
      <c r="W31" s="21"/>
      <c r="X31" s="26"/>
      <c r="Y31" s="21"/>
      <c r="Z31" s="23"/>
      <c r="AA31" s="24"/>
      <c r="AB31" s="26"/>
      <c r="AC31" s="21"/>
      <c r="AD31" s="26"/>
      <c r="AE31" s="21"/>
      <c r="AF31" s="26"/>
      <c r="AG31" s="21"/>
      <c r="AH31" s="26"/>
      <c r="AI31" s="21"/>
      <c r="AK31" s="24"/>
    </row>
    <row r="32" spans="2:121" ht="18" customHeight="1" thickBot="1">
      <c r="B32" s="4"/>
      <c r="C32" s="19" t="s">
        <v>6</v>
      </c>
      <c r="D32" s="87"/>
      <c r="F32" s="15">
        <f>SUM(F8:F29)</f>
        <v>85.02354</v>
      </c>
      <c r="G32" s="27"/>
      <c r="H32" s="15">
        <f>SUM(H8:H29)</f>
        <v>53.8621</v>
      </c>
      <c r="I32" s="27"/>
      <c r="J32" s="15">
        <f>SUM(J8:J29)</f>
        <v>19.183349999999997</v>
      </c>
      <c r="K32" s="90"/>
      <c r="L32" s="27"/>
      <c r="M32" s="15">
        <f>SUM(M8:M29)</f>
        <v>88.240165</v>
      </c>
      <c r="N32" s="27"/>
      <c r="O32" s="28">
        <f>SUM(O8:O29)</f>
        <v>9.6876</v>
      </c>
      <c r="P32" s="27"/>
      <c r="Q32" s="15">
        <f>SUM(Q8:Q29)</f>
        <v>0</v>
      </c>
      <c r="R32" s="27"/>
      <c r="S32" s="28">
        <f>SUM(S7:S29)</f>
        <v>10.108799999999999</v>
      </c>
      <c r="T32" s="27"/>
      <c r="U32" s="28">
        <f>SUM(U8:U29)</f>
        <v>3.1885</v>
      </c>
      <c r="V32" s="27"/>
      <c r="W32" s="28">
        <f>SUM(W8:W29)</f>
        <v>0</v>
      </c>
      <c r="X32" s="27"/>
      <c r="Y32" s="28">
        <f>SUM(Y8:Y29)</f>
        <v>67.392</v>
      </c>
      <c r="Z32" s="27"/>
      <c r="AA32" s="28">
        <f>SUM(AA8:AA29)</f>
        <v>20.84355</v>
      </c>
      <c r="AB32" s="27"/>
      <c r="AC32" s="37">
        <f>SUM(AC8:AC29)</f>
        <v>31.1428</v>
      </c>
      <c r="AE32" s="37">
        <f>SUM(AE8:AE29)</f>
        <v>68.8599</v>
      </c>
      <c r="AG32" s="37">
        <f>SUM(AG8:AG29)</f>
        <v>221.5</v>
      </c>
      <c r="AI32" s="37">
        <f>SUM(AI8:AI29)</f>
        <v>75.25219999999999</v>
      </c>
      <c r="AJ32" s="5"/>
      <c r="AK32" s="37">
        <f>SUM(AK8:AK29)</f>
        <v>19.5795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2:115" ht="12.75" customHeight="1">
      <c r="B33" s="4"/>
      <c r="R33" s="14"/>
      <c r="S33" s="14"/>
      <c r="T33" s="14"/>
      <c r="U33" s="14"/>
      <c r="V33" s="14"/>
      <c r="W33" s="14"/>
      <c r="AG33" s="4"/>
      <c r="AU33" s="14"/>
      <c r="AV33" s="14"/>
      <c r="AW33" s="14"/>
      <c r="AX33" s="14"/>
      <c r="AY33" s="14"/>
      <c r="AZ33" s="14"/>
      <c r="BO33" s="4"/>
      <c r="BX33" s="22"/>
      <c r="BZ33" s="22"/>
      <c r="CC33" s="58"/>
      <c r="CD33" s="22"/>
      <c r="CE33" s="14"/>
      <c r="CF33" s="22"/>
      <c r="CG33" s="14"/>
      <c r="CH33" s="22"/>
      <c r="CJ33" s="22"/>
      <c r="CL33" s="22"/>
      <c r="CN33" s="22"/>
      <c r="CP33" s="22"/>
      <c r="CR33" s="4"/>
      <c r="DF33" s="14"/>
      <c r="DG33" s="14"/>
      <c r="DH33" s="14"/>
      <c r="DI33" s="14"/>
      <c r="DJ33" s="14"/>
      <c r="DK33" s="14"/>
    </row>
    <row r="34" spans="2:121" ht="28.5" customHeight="1">
      <c r="B34" s="1"/>
      <c r="T34" s="14"/>
      <c r="U34" s="14"/>
      <c r="V34" s="14"/>
      <c r="W34" s="14"/>
      <c r="AG34" s="1"/>
      <c r="AH34" s="1"/>
      <c r="AW34" s="14"/>
      <c r="AX34" s="14"/>
      <c r="AY34" s="14"/>
      <c r="AZ34" s="14"/>
      <c r="BO34" s="1"/>
      <c r="BP34" s="22"/>
      <c r="BV34" s="25"/>
      <c r="BZ34" s="22"/>
      <c r="CB34" s="25"/>
      <c r="CD34" s="14"/>
      <c r="CE34" s="14"/>
      <c r="CF34" s="14"/>
      <c r="CG34" s="14"/>
      <c r="CN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2:115" ht="33.75" customHeight="1" thickBot="1">
      <c r="B35" s="17" t="s">
        <v>10</v>
      </c>
      <c r="C35" s="17" t="s">
        <v>11</v>
      </c>
      <c r="D35" s="17"/>
      <c r="AI35" s="5"/>
      <c r="AW35" s="14"/>
      <c r="AX35" s="14"/>
      <c r="AY35" s="14"/>
      <c r="AZ35" s="14"/>
      <c r="BO35" s="1"/>
      <c r="BP35" s="1"/>
      <c r="CE35" s="14"/>
      <c r="CF35" s="14"/>
      <c r="CG35" s="14"/>
      <c r="CH35" s="14"/>
      <c r="CR35" s="1"/>
      <c r="CS35" s="1"/>
      <c r="DH35" s="14"/>
      <c r="DI35" s="14"/>
      <c r="DJ35" s="14"/>
      <c r="DK35" s="14"/>
    </row>
    <row r="36" spans="2:115" ht="90" customHeight="1">
      <c r="B36" s="9" t="s">
        <v>5</v>
      </c>
      <c r="C36" s="10" t="s">
        <v>4</v>
      </c>
      <c r="D36" s="82"/>
      <c r="E36" s="116" t="s">
        <v>9</v>
      </c>
      <c r="F36" s="117" t="s">
        <v>1</v>
      </c>
      <c r="G36" s="116" t="s">
        <v>47</v>
      </c>
      <c r="H36" s="124"/>
      <c r="I36" s="116" t="s">
        <v>38</v>
      </c>
      <c r="J36" s="117"/>
      <c r="K36" s="62"/>
      <c r="L36" s="116" t="s">
        <v>43</v>
      </c>
      <c r="M36" s="117"/>
      <c r="N36" s="116" t="s">
        <v>39</v>
      </c>
      <c r="O36" s="117"/>
      <c r="P36" s="116" t="s">
        <v>40</v>
      </c>
      <c r="Q36" s="117"/>
      <c r="R36" s="116" t="s">
        <v>41</v>
      </c>
      <c r="S36" s="117"/>
      <c r="T36" s="116" t="s">
        <v>42</v>
      </c>
      <c r="U36" s="117"/>
      <c r="V36" s="116" t="s">
        <v>48</v>
      </c>
      <c r="W36" s="117"/>
      <c r="X36" s="116" t="s">
        <v>32</v>
      </c>
      <c r="Y36" s="117"/>
      <c r="Z36" s="116" t="s">
        <v>117</v>
      </c>
      <c r="AA36" s="117"/>
      <c r="AB36" s="116"/>
      <c r="AC36" s="117"/>
      <c r="AD36" s="116"/>
      <c r="AE36" s="117"/>
      <c r="AF36" s="116"/>
      <c r="AG36" s="117"/>
      <c r="AH36" s="116"/>
      <c r="AI36" s="117"/>
      <c r="AW36" s="14"/>
      <c r="AX36" s="14"/>
      <c r="AY36" s="14"/>
      <c r="AZ36" s="14"/>
      <c r="BO36" s="1"/>
      <c r="BP36" s="1"/>
      <c r="CE36" s="14"/>
      <c r="CF36" s="14"/>
      <c r="CG36" s="14"/>
      <c r="CH36" s="14"/>
      <c r="CR36" s="1"/>
      <c r="CS36" s="1"/>
      <c r="DH36" s="14"/>
      <c r="DI36" s="14"/>
      <c r="DJ36" s="14"/>
      <c r="DK36" s="14"/>
    </row>
    <row r="37" spans="2:115" ht="18" customHeight="1">
      <c r="B37" s="7"/>
      <c r="C37" s="8" t="s">
        <v>0</v>
      </c>
      <c r="D37" s="11" t="s">
        <v>3</v>
      </c>
      <c r="E37" s="11" t="s">
        <v>3</v>
      </c>
      <c r="F37" s="12" t="s">
        <v>2</v>
      </c>
      <c r="G37" s="11" t="s">
        <v>3</v>
      </c>
      <c r="H37" s="12" t="s">
        <v>2</v>
      </c>
      <c r="I37" s="11" t="s">
        <v>0</v>
      </c>
      <c r="J37" s="12" t="s">
        <v>3</v>
      </c>
      <c r="K37" s="11" t="s">
        <v>3</v>
      </c>
      <c r="L37" s="11" t="s">
        <v>3</v>
      </c>
      <c r="M37" s="12" t="s">
        <v>2</v>
      </c>
      <c r="N37" s="11" t="s">
        <v>3</v>
      </c>
      <c r="O37" s="12" t="s">
        <v>2</v>
      </c>
      <c r="P37" s="11" t="s">
        <v>0</v>
      </c>
      <c r="Q37" s="12" t="s">
        <v>3</v>
      </c>
      <c r="R37" s="11" t="s">
        <v>3</v>
      </c>
      <c r="S37" s="12" t="s">
        <v>2</v>
      </c>
      <c r="T37" s="11" t="s">
        <v>3</v>
      </c>
      <c r="U37" s="12" t="s">
        <v>2</v>
      </c>
      <c r="V37" s="11" t="s">
        <v>3</v>
      </c>
      <c r="W37" s="12" t="s">
        <v>2</v>
      </c>
      <c r="X37" s="11" t="s">
        <v>0</v>
      </c>
      <c r="Y37" s="12" t="s">
        <v>3</v>
      </c>
      <c r="Z37" s="11" t="s">
        <v>0</v>
      </c>
      <c r="AA37" s="12" t="s">
        <v>3</v>
      </c>
      <c r="AB37" s="11"/>
      <c r="AC37" s="12"/>
      <c r="AD37" s="11"/>
      <c r="AE37" s="12"/>
      <c r="AF37" s="11"/>
      <c r="AG37" s="12"/>
      <c r="AH37" s="11"/>
      <c r="AI37" s="12"/>
      <c r="AW37" s="14"/>
      <c r="AX37" s="14"/>
      <c r="AY37" s="14"/>
      <c r="AZ37" s="14"/>
      <c r="BO37" s="1"/>
      <c r="BP37" s="1"/>
      <c r="CE37" s="14"/>
      <c r="CF37" s="14"/>
      <c r="CG37" s="14"/>
      <c r="CH37" s="14"/>
      <c r="CR37" s="1"/>
      <c r="CS37" s="1"/>
      <c r="DH37" s="14"/>
      <c r="DI37" s="14"/>
      <c r="DJ37" s="14"/>
      <c r="DK37" s="14"/>
    </row>
    <row r="38" spans="2:115" ht="9" customHeight="1">
      <c r="B38" s="125" t="s">
        <v>36</v>
      </c>
      <c r="C38" s="6"/>
      <c r="D38" s="114">
        <v>3.92</v>
      </c>
      <c r="E38" s="114">
        <f>1.1*D38</f>
        <v>4.312</v>
      </c>
      <c r="F38" s="13"/>
      <c r="G38" s="114">
        <v>0.48</v>
      </c>
      <c r="H38" s="13"/>
      <c r="I38" s="114">
        <v>2.9</v>
      </c>
      <c r="J38" s="13"/>
      <c r="K38" s="114">
        <v>3.02</v>
      </c>
      <c r="L38" s="114">
        <f>1.3*K38</f>
        <v>3.926</v>
      </c>
      <c r="M38" s="13"/>
      <c r="N38" s="141">
        <v>1.18</v>
      </c>
      <c r="O38" s="13"/>
      <c r="P38" s="114">
        <v>2.3</v>
      </c>
      <c r="Q38" s="13"/>
      <c r="R38" s="114">
        <f>0.4*2.3</f>
        <v>0.9199999999999999</v>
      </c>
      <c r="S38" s="13"/>
      <c r="T38" s="114">
        <v>0.52</v>
      </c>
      <c r="U38" s="13"/>
      <c r="V38" s="114">
        <v>0.18</v>
      </c>
      <c r="W38" s="13"/>
      <c r="X38" s="114">
        <f>0.4+2.85</f>
        <v>3.25</v>
      </c>
      <c r="Y38" s="13"/>
      <c r="Z38" s="114">
        <v>3.85</v>
      </c>
      <c r="AA38" s="13"/>
      <c r="AB38" s="114"/>
      <c r="AC38" s="13"/>
      <c r="AD38" s="114"/>
      <c r="AE38" s="13"/>
      <c r="AF38" s="114"/>
      <c r="AG38" s="13"/>
      <c r="AH38" s="114"/>
      <c r="AI38" s="13"/>
      <c r="AW38" s="14"/>
      <c r="AX38" s="14"/>
      <c r="AY38" s="14"/>
      <c r="AZ38" s="14"/>
      <c r="BO38" s="1"/>
      <c r="BP38" s="1"/>
      <c r="CE38" s="14"/>
      <c r="CF38" s="14"/>
      <c r="CG38" s="14"/>
      <c r="CH38" s="14"/>
      <c r="CR38" s="1"/>
      <c r="CS38" s="1"/>
      <c r="DH38" s="14"/>
      <c r="DI38" s="14"/>
      <c r="DJ38" s="14"/>
      <c r="DK38" s="14"/>
    </row>
    <row r="39" spans="2:115" ht="9" customHeight="1">
      <c r="B39" s="126"/>
      <c r="C39" s="127">
        <v>12</v>
      </c>
      <c r="D39" s="115"/>
      <c r="E39" s="115"/>
      <c r="F39" s="112">
        <f>((E38+E40)/2)*C39</f>
        <v>52.07400000000001</v>
      </c>
      <c r="G39" s="115"/>
      <c r="H39" s="110">
        <f>((G38+G40)/2)*C39</f>
        <v>6.659999999999999</v>
      </c>
      <c r="I39" s="115"/>
      <c r="J39" s="112">
        <f>((I38+I40)/2)*C39</f>
        <v>36.3</v>
      </c>
      <c r="K39" s="115"/>
      <c r="L39" s="115"/>
      <c r="M39" s="110">
        <f>((L38+L40)/2)*C39</f>
        <v>46.644</v>
      </c>
      <c r="N39" s="140"/>
      <c r="O39" s="112">
        <f>((N38+N40)/2)*C39</f>
        <v>14.16</v>
      </c>
      <c r="P39" s="115"/>
      <c r="Q39" s="112">
        <f>((P38+P40)/2)*C39</f>
        <v>27.599999999999998</v>
      </c>
      <c r="R39" s="115"/>
      <c r="S39" s="110">
        <f>((R38+R40)/2)*C39</f>
        <v>11.04</v>
      </c>
      <c r="T39" s="115"/>
      <c r="U39" s="110">
        <f>((T38+T40)/2)*C39</f>
        <v>6.24</v>
      </c>
      <c r="V39" s="115"/>
      <c r="W39" s="110">
        <f>((V38+V40)/2)*C39</f>
        <v>2.16</v>
      </c>
      <c r="X39" s="115"/>
      <c r="Y39" s="110">
        <f>((X38+X40)/2)*C39+7*(K38+K40)/2</f>
        <v>59.93</v>
      </c>
      <c r="Z39" s="115"/>
      <c r="AA39" s="110">
        <f>((Z38+Z40)/2)*C39</f>
        <v>46.019999999999996</v>
      </c>
      <c r="AB39" s="115"/>
      <c r="AC39" s="110">
        <f>((AB38+AB40)/2)*C39</f>
        <v>0</v>
      </c>
      <c r="AD39" s="115"/>
      <c r="AE39" s="110">
        <f>((AD38+AD40)/2)*C39</f>
        <v>0</v>
      </c>
      <c r="AF39" s="115"/>
      <c r="AG39" s="110">
        <f>((AF38+AF40)/2)*C39</f>
        <v>0</v>
      </c>
      <c r="AH39" s="115"/>
      <c r="AI39" s="110">
        <f>((AH38+AH40)/2)*C39</f>
        <v>0</v>
      </c>
      <c r="AW39" s="14"/>
      <c r="AX39" s="14"/>
      <c r="AY39" s="14"/>
      <c r="AZ39" s="14"/>
      <c r="BO39" s="1"/>
      <c r="BP39" s="1"/>
      <c r="CE39" s="14"/>
      <c r="CF39" s="14"/>
      <c r="CG39" s="14"/>
      <c r="CH39" s="14"/>
      <c r="CR39" s="1"/>
      <c r="CS39" s="1"/>
      <c r="DH39" s="14"/>
      <c r="DI39" s="14"/>
      <c r="DJ39" s="14"/>
      <c r="DK39" s="14"/>
    </row>
    <row r="40" spans="2:115" ht="9" customHeight="1">
      <c r="B40" s="125" t="s">
        <v>37</v>
      </c>
      <c r="C40" s="128"/>
      <c r="D40" s="114">
        <v>3.97</v>
      </c>
      <c r="E40" s="114">
        <f>1.1*D40</f>
        <v>4.367000000000001</v>
      </c>
      <c r="F40" s="113"/>
      <c r="G40" s="114">
        <v>0.63</v>
      </c>
      <c r="H40" s="111"/>
      <c r="I40" s="114">
        <v>3.15</v>
      </c>
      <c r="J40" s="113"/>
      <c r="K40" s="114">
        <v>2.96</v>
      </c>
      <c r="L40" s="114">
        <f>1.3*K40</f>
        <v>3.848</v>
      </c>
      <c r="M40" s="111"/>
      <c r="N40" s="139">
        <v>1.18</v>
      </c>
      <c r="O40" s="113"/>
      <c r="P40" s="114">
        <v>2.3</v>
      </c>
      <c r="Q40" s="113"/>
      <c r="R40" s="114">
        <f>0.4*2.3</f>
        <v>0.9199999999999999</v>
      </c>
      <c r="S40" s="111"/>
      <c r="T40" s="114">
        <v>0.52</v>
      </c>
      <c r="U40" s="111"/>
      <c r="V40" s="114">
        <v>0.18</v>
      </c>
      <c r="W40" s="111"/>
      <c r="X40" s="114">
        <f>0.4+2.85</f>
        <v>3.25</v>
      </c>
      <c r="Y40" s="111"/>
      <c r="Z40" s="114">
        <v>3.82</v>
      </c>
      <c r="AA40" s="111"/>
      <c r="AB40" s="114"/>
      <c r="AC40" s="111"/>
      <c r="AD40" s="114"/>
      <c r="AE40" s="111"/>
      <c r="AF40" s="114"/>
      <c r="AG40" s="111"/>
      <c r="AH40" s="114"/>
      <c r="AI40" s="111"/>
      <c r="AW40" s="14"/>
      <c r="AX40" s="14"/>
      <c r="AY40" s="14"/>
      <c r="AZ40" s="14"/>
      <c r="BO40" s="1"/>
      <c r="BP40" s="1"/>
      <c r="CE40" s="14"/>
      <c r="CF40" s="14"/>
      <c r="CG40" s="14"/>
      <c r="CH40" s="14"/>
      <c r="CR40" s="1"/>
      <c r="CS40" s="1"/>
      <c r="DH40" s="14"/>
      <c r="DI40" s="14"/>
      <c r="DJ40" s="14"/>
      <c r="DK40" s="14"/>
    </row>
    <row r="41" spans="2:115" ht="9" customHeight="1">
      <c r="B41" s="126"/>
      <c r="C41" s="127"/>
      <c r="D41" s="115"/>
      <c r="E41" s="115"/>
      <c r="F41" s="112">
        <f>((E40+E42)/2)*C41</f>
        <v>0</v>
      </c>
      <c r="G41" s="115"/>
      <c r="H41" s="110">
        <f>((G40+G42)/2)*C41</f>
        <v>0</v>
      </c>
      <c r="I41" s="115"/>
      <c r="J41" s="112">
        <f>((I40+I42)/2)*C41</f>
        <v>0</v>
      </c>
      <c r="K41" s="115"/>
      <c r="L41" s="115"/>
      <c r="M41" s="110">
        <f>((L40+L42)/2)*C41</f>
        <v>0</v>
      </c>
      <c r="N41" s="140"/>
      <c r="O41" s="112">
        <f>((N40+N42)/2)*C41</f>
        <v>0</v>
      </c>
      <c r="P41" s="115"/>
      <c r="Q41" s="112">
        <f>((P40+P42)/2)*C41</f>
        <v>0</v>
      </c>
      <c r="R41" s="115"/>
      <c r="S41" s="110">
        <f>((R40+R42)/2)*C41</f>
        <v>0</v>
      </c>
      <c r="T41" s="115"/>
      <c r="U41" s="110">
        <f>((T40+T42)/2)*C41</f>
        <v>0</v>
      </c>
      <c r="V41" s="115"/>
      <c r="W41" s="110">
        <f>((V40+V42)/2)*C41</f>
        <v>0</v>
      </c>
      <c r="X41" s="115"/>
      <c r="Y41" s="110">
        <f>((X40+X42)/2)*C41</f>
        <v>0</v>
      </c>
      <c r="Z41" s="115"/>
      <c r="AA41" s="110">
        <f>((Z40+Z42)/2)*C41</f>
        <v>0</v>
      </c>
      <c r="AB41" s="115"/>
      <c r="AC41" s="110">
        <f>((AB40+AB42)/2)*C41</f>
        <v>0</v>
      </c>
      <c r="AD41" s="115"/>
      <c r="AE41" s="110">
        <f>((AD40+AD42)/2)*C41</f>
        <v>0</v>
      </c>
      <c r="AF41" s="115"/>
      <c r="AG41" s="110">
        <f>((AF40+AF42)/2)*C41</f>
        <v>0</v>
      </c>
      <c r="AH41" s="115"/>
      <c r="AI41" s="110">
        <f>((AH40+AH42)/2)*C41</f>
        <v>0</v>
      </c>
      <c r="AW41" s="14"/>
      <c r="AX41" s="14"/>
      <c r="AY41" s="14"/>
      <c r="AZ41" s="14"/>
      <c r="BO41" s="1"/>
      <c r="BP41" s="1"/>
      <c r="CE41" s="14"/>
      <c r="CF41" s="14"/>
      <c r="CG41" s="14"/>
      <c r="CH41" s="14"/>
      <c r="CR41" s="1"/>
      <c r="CS41" s="1"/>
      <c r="DH41" s="14"/>
      <c r="DI41" s="14"/>
      <c r="DJ41" s="14"/>
      <c r="DK41" s="14"/>
    </row>
    <row r="42" spans="2:115" ht="9" customHeight="1">
      <c r="B42" s="125"/>
      <c r="C42" s="128"/>
      <c r="D42" s="30"/>
      <c r="E42" s="114"/>
      <c r="F42" s="113"/>
      <c r="G42" s="114"/>
      <c r="H42" s="111"/>
      <c r="I42" s="114"/>
      <c r="J42" s="113"/>
      <c r="K42" s="114"/>
      <c r="L42" s="114"/>
      <c r="M42" s="111"/>
      <c r="N42" s="114"/>
      <c r="O42" s="113"/>
      <c r="P42" s="114"/>
      <c r="Q42" s="113"/>
      <c r="R42" s="114"/>
      <c r="S42" s="111"/>
      <c r="T42" s="114"/>
      <c r="U42" s="111"/>
      <c r="V42" s="114"/>
      <c r="W42" s="111"/>
      <c r="X42" s="114"/>
      <c r="Y42" s="111"/>
      <c r="Z42" s="114"/>
      <c r="AA42" s="111"/>
      <c r="AB42" s="114"/>
      <c r="AC42" s="111"/>
      <c r="AD42" s="114"/>
      <c r="AE42" s="111"/>
      <c r="AF42" s="114"/>
      <c r="AG42" s="111"/>
      <c r="AH42" s="114"/>
      <c r="AI42" s="111"/>
      <c r="AW42" s="14"/>
      <c r="AX42" s="14"/>
      <c r="AY42" s="14"/>
      <c r="AZ42" s="14"/>
      <c r="BO42" s="1"/>
      <c r="BP42" s="1"/>
      <c r="CE42" s="14"/>
      <c r="CF42" s="14"/>
      <c r="CG42" s="14"/>
      <c r="CH42" s="14"/>
      <c r="CR42" s="1"/>
      <c r="CS42" s="1"/>
      <c r="DH42" s="14"/>
      <c r="DI42" s="14"/>
      <c r="DJ42" s="14"/>
      <c r="DK42" s="14"/>
    </row>
    <row r="43" spans="2:115" ht="9" customHeight="1">
      <c r="B43" s="126"/>
      <c r="C43" s="127"/>
      <c r="D43" s="30"/>
      <c r="E43" s="115"/>
      <c r="F43" s="112">
        <f>((E42+E44)/2)*C43</f>
        <v>0</v>
      </c>
      <c r="G43" s="115"/>
      <c r="H43" s="110">
        <f>((G42+G44)/2)*C43</f>
        <v>0</v>
      </c>
      <c r="I43" s="115"/>
      <c r="J43" s="112">
        <f>((I42+I44)/2)*C43</f>
        <v>0</v>
      </c>
      <c r="K43" s="115"/>
      <c r="L43" s="115"/>
      <c r="M43" s="110">
        <f>((L42+L44)/2)*C43</f>
        <v>0</v>
      </c>
      <c r="N43" s="115"/>
      <c r="O43" s="112">
        <f>((N42+N44)/2)*C43</f>
        <v>0</v>
      </c>
      <c r="P43" s="115"/>
      <c r="Q43" s="112">
        <f>((P42+P44)/2)*C43</f>
        <v>0</v>
      </c>
      <c r="R43" s="115"/>
      <c r="S43" s="110">
        <f>((R42+R44)/2)*C43</f>
        <v>0</v>
      </c>
      <c r="T43" s="115"/>
      <c r="U43" s="110">
        <f>((T42+T44)/2)*C43</f>
        <v>0</v>
      </c>
      <c r="V43" s="115"/>
      <c r="W43" s="110">
        <f>((V42+V44)/2)*C43</f>
        <v>0</v>
      </c>
      <c r="X43" s="115"/>
      <c r="Y43" s="110">
        <f>((X42+X44)/2)*C43</f>
        <v>0</v>
      </c>
      <c r="Z43" s="115"/>
      <c r="AA43" s="110">
        <f>((Z42+Z44)/2)*C43</f>
        <v>0</v>
      </c>
      <c r="AB43" s="115"/>
      <c r="AC43" s="110">
        <f>((AB42+AB44)/2)*C43</f>
        <v>0</v>
      </c>
      <c r="AD43" s="115"/>
      <c r="AE43" s="110">
        <f>((AD42+AD44)/2)*C43</f>
        <v>0</v>
      </c>
      <c r="AF43" s="115"/>
      <c r="AG43" s="110">
        <f>((AF42+AF44)/2)*C43</f>
        <v>0</v>
      </c>
      <c r="AH43" s="115"/>
      <c r="AI43" s="110">
        <f>((AH42+AH44)/2)*C43</f>
        <v>0</v>
      </c>
      <c r="AW43" s="14"/>
      <c r="AX43" s="14"/>
      <c r="AY43" s="14"/>
      <c r="AZ43" s="14"/>
      <c r="BO43" s="1"/>
      <c r="BP43" s="1"/>
      <c r="CE43" s="14"/>
      <c r="CF43" s="14"/>
      <c r="CG43" s="14"/>
      <c r="CH43" s="14"/>
      <c r="CR43" s="1"/>
      <c r="CS43" s="1"/>
      <c r="DH43" s="14"/>
      <c r="DI43" s="14"/>
      <c r="DJ43" s="14"/>
      <c r="DK43" s="14"/>
    </row>
    <row r="44" spans="2:115" ht="9" customHeight="1">
      <c r="B44" s="125"/>
      <c r="C44" s="128"/>
      <c r="D44" s="30"/>
      <c r="E44" s="114"/>
      <c r="F44" s="113"/>
      <c r="G44" s="114"/>
      <c r="H44" s="111"/>
      <c r="I44" s="114"/>
      <c r="J44" s="113"/>
      <c r="K44" s="114"/>
      <c r="L44" s="114"/>
      <c r="M44" s="111"/>
      <c r="N44" s="114"/>
      <c r="O44" s="113"/>
      <c r="P44" s="114"/>
      <c r="Q44" s="113"/>
      <c r="R44" s="114"/>
      <c r="S44" s="111"/>
      <c r="T44" s="114"/>
      <c r="U44" s="111"/>
      <c r="V44" s="114"/>
      <c r="W44" s="111"/>
      <c r="X44" s="114"/>
      <c r="Y44" s="111"/>
      <c r="Z44" s="114"/>
      <c r="AA44" s="111"/>
      <c r="AB44" s="114"/>
      <c r="AC44" s="111"/>
      <c r="AD44" s="114"/>
      <c r="AE44" s="111"/>
      <c r="AF44" s="114"/>
      <c r="AG44" s="111"/>
      <c r="AH44" s="114"/>
      <c r="AI44" s="111"/>
      <c r="AW44" s="14"/>
      <c r="AX44" s="14"/>
      <c r="AY44" s="14"/>
      <c r="AZ44" s="14"/>
      <c r="BO44" s="1"/>
      <c r="BP44" s="1"/>
      <c r="CE44" s="14"/>
      <c r="CF44" s="14"/>
      <c r="CG44" s="14"/>
      <c r="CH44" s="14"/>
      <c r="CR44" s="1"/>
      <c r="CS44" s="1"/>
      <c r="DH44" s="14"/>
      <c r="DI44" s="14"/>
      <c r="DJ44" s="14"/>
      <c r="DK44" s="14"/>
    </row>
    <row r="45" spans="2:115" ht="9" customHeight="1" thickBot="1">
      <c r="B45" s="138"/>
      <c r="C45" s="75"/>
      <c r="D45" s="88"/>
      <c r="E45" s="121"/>
      <c r="F45" s="76"/>
      <c r="G45" s="121"/>
      <c r="H45" s="77"/>
      <c r="I45" s="121"/>
      <c r="J45" s="76"/>
      <c r="K45" s="121"/>
      <c r="L45" s="121"/>
      <c r="M45" s="77"/>
      <c r="N45" s="121"/>
      <c r="O45" s="76"/>
      <c r="P45" s="121"/>
      <c r="Q45" s="76"/>
      <c r="R45" s="121"/>
      <c r="S45" s="77"/>
      <c r="T45" s="121"/>
      <c r="U45" s="77"/>
      <c r="V45" s="121"/>
      <c r="W45" s="77"/>
      <c r="X45" s="121"/>
      <c r="Y45" s="77"/>
      <c r="Z45" s="121"/>
      <c r="AA45" s="77"/>
      <c r="AB45" s="121"/>
      <c r="AC45" s="77"/>
      <c r="AD45" s="121"/>
      <c r="AE45" s="77"/>
      <c r="AF45" s="121"/>
      <c r="AG45" s="77"/>
      <c r="AH45" s="121"/>
      <c r="AI45" s="77"/>
      <c r="AW45" s="14"/>
      <c r="AX45" s="14"/>
      <c r="AY45" s="14"/>
      <c r="AZ45" s="14"/>
      <c r="BO45" s="1"/>
      <c r="BP45" s="1"/>
      <c r="CE45" s="14"/>
      <c r="CF45" s="14"/>
      <c r="CG45" s="14"/>
      <c r="CH45" s="14"/>
      <c r="CR45" s="1"/>
      <c r="CS45" s="1"/>
      <c r="DH45" s="14"/>
      <c r="DI45" s="14"/>
      <c r="DJ45" s="14"/>
      <c r="DK45" s="14"/>
    </row>
    <row r="46" spans="2:115" ht="15" thickBot="1">
      <c r="B46" s="29"/>
      <c r="C46" s="30"/>
      <c r="D46" s="30"/>
      <c r="E46" s="31"/>
      <c r="F46" s="32"/>
      <c r="G46" s="31"/>
      <c r="H46" s="31"/>
      <c r="I46" s="31"/>
      <c r="J46" s="32"/>
      <c r="K46" s="32"/>
      <c r="L46" s="31"/>
      <c r="M46" s="31"/>
      <c r="N46" s="31"/>
      <c r="O46" s="32"/>
      <c r="P46" s="31"/>
      <c r="Q46" s="3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W46" s="14"/>
      <c r="AX46" s="14"/>
      <c r="AY46" s="14"/>
      <c r="AZ46" s="14"/>
      <c r="BO46" s="1"/>
      <c r="BP46" s="1"/>
      <c r="CE46" s="14"/>
      <c r="CF46" s="14"/>
      <c r="CG46" s="14"/>
      <c r="CH46" s="14"/>
      <c r="CR46" s="1"/>
      <c r="CS46" s="1"/>
      <c r="DH46" s="14"/>
      <c r="DI46" s="14"/>
      <c r="DJ46" s="14"/>
      <c r="DK46" s="14"/>
    </row>
    <row r="47" spans="2:115" ht="12.75" customHeight="1" thickBot="1">
      <c r="B47" s="4"/>
      <c r="C47" s="20"/>
      <c r="D47" s="86"/>
      <c r="E47" s="23"/>
      <c r="F47" s="24"/>
      <c r="G47" s="23"/>
      <c r="H47" s="24"/>
      <c r="I47" s="24"/>
      <c r="J47" s="24"/>
      <c r="K47" s="24"/>
      <c r="L47" s="26"/>
      <c r="M47" s="21"/>
      <c r="N47" s="26"/>
      <c r="O47" s="21"/>
      <c r="P47" s="24"/>
      <c r="Q47" s="24"/>
      <c r="R47" s="26"/>
      <c r="S47" s="21"/>
      <c r="T47" s="26"/>
      <c r="U47" s="21"/>
      <c r="V47" s="26"/>
      <c r="W47" s="21"/>
      <c r="X47" s="26"/>
      <c r="Y47" s="21"/>
      <c r="Z47" s="23"/>
      <c r="AA47" s="24"/>
      <c r="AB47" s="26"/>
      <c r="AC47" s="21"/>
      <c r="AD47" s="26"/>
      <c r="AE47" s="21"/>
      <c r="AF47" s="26"/>
      <c r="AG47" s="21"/>
      <c r="AH47" s="26"/>
      <c r="AI47" s="21"/>
      <c r="AW47" s="14"/>
      <c r="AX47" s="14"/>
      <c r="AY47" s="14"/>
      <c r="AZ47" s="14"/>
      <c r="BO47" s="1"/>
      <c r="BP47" s="1"/>
      <c r="CE47" s="14"/>
      <c r="CF47" s="14"/>
      <c r="CG47" s="14"/>
      <c r="CH47" s="14"/>
      <c r="CR47" s="1"/>
      <c r="CS47" s="1"/>
      <c r="DH47" s="14"/>
      <c r="DI47" s="14"/>
      <c r="DJ47" s="14"/>
      <c r="DK47" s="14"/>
    </row>
    <row r="48" spans="2:115" ht="12.75" customHeight="1" thickBot="1">
      <c r="B48" s="4"/>
      <c r="C48" s="19" t="s">
        <v>11</v>
      </c>
      <c r="D48" s="87"/>
      <c r="F48" s="15">
        <f>SUM(F39:F44)</f>
        <v>52.07400000000001</v>
      </c>
      <c r="G48" s="27"/>
      <c r="H48" s="15">
        <f>SUM(H39:H44)</f>
        <v>6.659999999999999</v>
      </c>
      <c r="I48" s="27"/>
      <c r="J48" s="15">
        <f>SUM(J39:J44)</f>
        <v>36.3</v>
      </c>
      <c r="K48" s="90"/>
      <c r="L48" s="27"/>
      <c r="M48" s="15">
        <f>SUM(M39:M44)</f>
        <v>46.644</v>
      </c>
      <c r="N48" s="27"/>
      <c r="O48" s="15">
        <f>SUM(O39:O44)</f>
        <v>14.16</v>
      </c>
      <c r="P48" s="27"/>
      <c r="Q48" s="15">
        <f>SUM(Q39:Q44)</f>
        <v>27.599999999999998</v>
      </c>
      <c r="R48" s="27"/>
      <c r="S48" s="15">
        <f>SUM(S39:S44)</f>
        <v>11.04</v>
      </c>
      <c r="T48" s="27"/>
      <c r="U48" s="15">
        <f>SUM(U39:U44)</f>
        <v>6.24</v>
      </c>
      <c r="V48" s="27"/>
      <c r="W48" s="15">
        <f>SUM(W39:W44)</f>
        <v>2.16</v>
      </c>
      <c r="X48" s="27"/>
      <c r="Y48" s="15">
        <f>SUM(Y39:Y44)</f>
        <v>59.93</v>
      </c>
      <c r="Z48" s="27"/>
      <c r="AA48" s="15">
        <f>SUM(AA39:AA44)</f>
        <v>46.019999999999996</v>
      </c>
      <c r="AB48" s="27"/>
      <c r="AC48" s="15">
        <f>SUM(AC39:AC44)</f>
        <v>0</v>
      </c>
      <c r="AE48" s="15">
        <f>SUM(AE39:AE44)</f>
        <v>0</v>
      </c>
      <c r="AG48" s="15">
        <f>SUM(AG39:AG44)</f>
        <v>0</v>
      </c>
      <c r="AI48" s="15">
        <f>SUM(AI39:AI44)</f>
        <v>0</v>
      </c>
      <c r="AW48" s="14"/>
      <c r="AX48" s="14"/>
      <c r="AY48" s="14"/>
      <c r="AZ48" s="14"/>
      <c r="BO48" s="1"/>
      <c r="BP48" s="1"/>
      <c r="CE48" s="14"/>
      <c r="CF48" s="14"/>
      <c r="CG48" s="14"/>
      <c r="CH48" s="14"/>
      <c r="CR48" s="1"/>
      <c r="CS48" s="1"/>
      <c r="DH48" s="14"/>
      <c r="DI48" s="14"/>
      <c r="DJ48" s="14"/>
      <c r="DK48" s="14"/>
    </row>
    <row r="49" spans="2:115" ht="12.75" customHeight="1">
      <c r="B49" s="4"/>
      <c r="C49" s="29"/>
      <c r="D49" s="29"/>
      <c r="E49" s="58"/>
      <c r="F49" s="57"/>
      <c r="G49" s="14"/>
      <c r="H49" s="57"/>
      <c r="I49" s="14"/>
      <c r="J49" s="57"/>
      <c r="K49" s="57"/>
      <c r="L49" s="14"/>
      <c r="M49" s="57"/>
      <c r="N49" s="14"/>
      <c r="O49" s="78"/>
      <c r="P49" s="14"/>
      <c r="Q49" s="57"/>
      <c r="R49" s="14"/>
      <c r="S49" s="78"/>
      <c r="T49" s="14"/>
      <c r="U49" s="78"/>
      <c r="V49" s="14"/>
      <c r="W49" s="78"/>
      <c r="X49" s="14"/>
      <c r="Y49" s="78"/>
      <c r="Z49" s="14"/>
      <c r="AA49" s="78"/>
      <c r="AB49" s="14"/>
      <c r="AC49" s="78"/>
      <c r="AD49" s="2"/>
      <c r="AE49" s="78"/>
      <c r="AF49" s="2"/>
      <c r="AG49" s="78"/>
      <c r="AH49" s="2"/>
      <c r="AI49" s="78"/>
      <c r="AW49" s="14"/>
      <c r="AX49" s="14"/>
      <c r="AY49" s="14"/>
      <c r="AZ49" s="14"/>
      <c r="BO49" s="1"/>
      <c r="BP49" s="1"/>
      <c r="CE49" s="14"/>
      <c r="CF49" s="14"/>
      <c r="CG49" s="14"/>
      <c r="CH49" s="14"/>
      <c r="CR49" s="1"/>
      <c r="CS49" s="1"/>
      <c r="DH49" s="14"/>
      <c r="DI49" s="14"/>
      <c r="DJ49" s="14"/>
      <c r="DK49" s="14"/>
    </row>
    <row r="50" spans="2:115" ht="33.75" customHeight="1" thickBot="1">
      <c r="B50" s="17" t="s">
        <v>10</v>
      </c>
      <c r="C50" s="17" t="s">
        <v>12</v>
      </c>
      <c r="D50" s="17"/>
      <c r="AI50" s="5"/>
      <c r="AW50" s="14"/>
      <c r="AX50" s="14"/>
      <c r="AY50" s="14"/>
      <c r="AZ50" s="14"/>
      <c r="BO50" s="1"/>
      <c r="BP50" s="1"/>
      <c r="CE50" s="14"/>
      <c r="CF50" s="14"/>
      <c r="CG50" s="14"/>
      <c r="CH50" s="14"/>
      <c r="CR50" s="1"/>
      <c r="CS50" s="1"/>
      <c r="DH50" s="14"/>
      <c r="DI50" s="14"/>
      <c r="DJ50" s="14"/>
      <c r="DK50" s="14"/>
    </row>
    <row r="51" spans="2:115" ht="90" customHeight="1">
      <c r="B51" s="9" t="s">
        <v>5</v>
      </c>
      <c r="C51" s="10" t="s">
        <v>4</v>
      </c>
      <c r="D51" s="82"/>
      <c r="E51" s="116" t="s">
        <v>9</v>
      </c>
      <c r="F51" s="117" t="s">
        <v>1</v>
      </c>
      <c r="G51" s="116" t="s">
        <v>88</v>
      </c>
      <c r="H51" s="124"/>
      <c r="I51" s="116" t="s">
        <v>91</v>
      </c>
      <c r="J51" s="117"/>
      <c r="K51" s="62"/>
      <c r="L51" s="116" t="s">
        <v>27</v>
      </c>
      <c r="M51" s="117"/>
      <c r="N51" s="116" t="s">
        <v>39</v>
      </c>
      <c r="O51" s="117"/>
      <c r="P51" s="116" t="s">
        <v>89</v>
      </c>
      <c r="Q51" s="117"/>
      <c r="R51" s="116" t="s">
        <v>90</v>
      </c>
      <c r="S51" s="117"/>
      <c r="T51" s="116" t="s">
        <v>7</v>
      </c>
      <c r="U51" s="117" t="s">
        <v>1</v>
      </c>
      <c r="V51" s="116" t="s">
        <v>8</v>
      </c>
      <c r="W51" s="117"/>
      <c r="X51" s="116" t="s">
        <v>32</v>
      </c>
      <c r="Y51" s="117"/>
      <c r="Z51" s="116" t="s">
        <v>24</v>
      </c>
      <c r="AA51" s="117"/>
      <c r="AB51" s="116" t="s">
        <v>92</v>
      </c>
      <c r="AC51" s="117"/>
      <c r="AD51" s="116" t="s">
        <v>34</v>
      </c>
      <c r="AE51" s="117"/>
      <c r="AF51" s="116" t="s">
        <v>93</v>
      </c>
      <c r="AG51" s="117"/>
      <c r="AH51" s="116" t="s">
        <v>117</v>
      </c>
      <c r="AI51" s="117"/>
      <c r="AW51" s="14"/>
      <c r="AX51" s="14"/>
      <c r="AY51" s="14"/>
      <c r="AZ51" s="14"/>
      <c r="BO51" s="1"/>
      <c r="BP51" s="1"/>
      <c r="CE51" s="14"/>
      <c r="CF51" s="14"/>
      <c r="CG51" s="14"/>
      <c r="CH51" s="14"/>
      <c r="CR51" s="1"/>
      <c r="CS51" s="1"/>
      <c r="DH51" s="14"/>
      <c r="DI51" s="14"/>
      <c r="DJ51" s="14"/>
      <c r="DK51" s="14"/>
    </row>
    <row r="52" spans="2:115" ht="18" customHeight="1">
      <c r="B52" s="7"/>
      <c r="C52" s="79" t="s">
        <v>0</v>
      </c>
      <c r="D52" s="80" t="s">
        <v>3</v>
      </c>
      <c r="E52" s="80" t="s">
        <v>3</v>
      </c>
      <c r="F52" s="81" t="s">
        <v>2</v>
      </c>
      <c r="G52" s="80" t="s">
        <v>3</v>
      </c>
      <c r="H52" s="81" t="s">
        <v>2</v>
      </c>
      <c r="I52" s="80" t="s">
        <v>3</v>
      </c>
      <c r="J52" s="81" t="s">
        <v>2</v>
      </c>
      <c r="K52" s="80" t="s">
        <v>3</v>
      </c>
      <c r="L52" s="80" t="s">
        <v>3</v>
      </c>
      <c r="M52" s="81" t="s">
        <v>2</v>
      </c>
      <c r="N52" s="80" t="s">
        <v>3</v>
      </c>
      <c r="O52" s="81" t="s">
        <v>2</v>
      </c>
      <c r="P52" s="80" t="s">
        <v>3</v>
      </c>
      <c r="Q52" s="81" t="s">
        <v>2</v>
      </c>
      <c r="R52" s="80" t="s">
        <v>3</v>
      </c>
      <c r="S52" s="81" t="s">
        <v>2</v>
      </c>
      <c r="T52" s="80" t="s">
        <v>3</v>
      </c>
      <c r="U52" s="81" t="s">
        <v>2</v>
      </c>
      <c r="V52" s="80" t="s">
        <v>3</v>
      </c>
      <c r="W52" s="81" t="s">
        <v>2</v>
      </c>
      <c r="X52" s="80" t="s">
        <v>0</v>
      </c>
      <c r="Y52" s="81" t="s">
        <v>3</v>
      </c>
      <c r="Z52" s="80" t="s">
        <v>3</v>
      </c>
      <c r="AA52" s="81" t="s">
        <v>2</v>
      </c>
      <c r="AB52" s="11" t="s">
        <v>0</v>
      </c>
      <c r="AC52" s="12" t="s">
        <v>3</v>
      </c>
      <c r="AD52" s="11" t="s">
        <v>0</v>
      </c>
      <c r="AE52" s="12" t="s">
        <v>3</v>
      </c>
      <c r="AF52" s="11" t="s">
        <v>94</v>
      </c>
      <c r="AG52" s="12" t="s">
        <v>95</v>
      </c>
      <c r="AH52" s="11" t="s">
        <v>0</v>
      </c>
      <c r="AI52" s="12" t="s">
        <v>3</v>
      </c>
      <c r="AW52" s="14"/>
      <c r="AX52" s="14"/>
      <c r="AY52" s="14"/>
      <c r="AZ52" s="14"/>
      <c r="BO52" s="1"/>
      <c r="BP52" s="1"/>
      <c r="CE52" s="14"/>
      <c r="CF52" s="14"/>
      <c r="CG52" s="14"/>
      <c r="CH52" s="14"/>
      <c r="CR52" s="1"/>
      <c r="CS52" s="1"/>
      <c r="DH52" s="14"/>
      <c r="DI52" s="14"/>
      <c r="DJ52" s="14"/>
      <c r="DK52" s="14"/>
    </row>
    <row r="53" spans="2:115" ht="9" customHeight="1">
      <c r="B53" s="125" t="s">
        <v>86</v>
      </c>
      <c r="C53" s="73"/>
      <c r="D53" s="118">
        <v>3.95</v>
      </c>
      <c r="E53" s="118">
        <f>1.1*D53</f>
        <v>4.345000000000001</v>
      </c>
      <c r="F53" s="74"/>
      <c r="G53" s="118">
        <f>0.4+2.71</f>
        <v>3.11</v>
      </c>
      <c r="H53" s="72"/>
      <c r="I53" s="118">
        <v>0.97</v>
      </c>
      <c r="J53" s="74"/>
      <c r="K53" s="118">
        <v>2.33</v>
      </c>
      <c r="L53" s="114">
        <f>1.3*K53</f>
        <v>3.0290000000000004</v>
      </c>
      <c r="M53" s="72"/>
      <c r="N53" s="118">
        <v>0.28</v>
      </c>
      <c r="O53" s="74"/>
      <c r="P53" s="118">
        <v>0.19</v>
      </c>
      <c r="Q53" s="74"/>
      <c r="R53" s="118">
        <v>0.48</v>
      </c>
      <c r="S53" s="72"/>
      <c r="T53" s="118">
        <v>1.44</v>
      </c>
      <c r="U53" s="72"/>
      <c r="V53" s="118">
        <f>1.16+0.25*0.3</f>
        <v>1.2349999999999999</v>
      </c>
      <c r="W53" s="72"/>
      <c r="X53" s="118">
        <f>0.8+2.1+2.9</f>
        <v>5.800000000000001</v>
      </c>
      <c r="Y53" s="72"/>
      <c r="Z53" s="118">
        <f>0.26*0.3+0.53</f>
        <v>0.608</v>
      </c>
      <c r="AA53" s="72"/>
      <c r="AB53" s="118">
        <v>1.3</v>
      </c>
      <c r="AC53" s="72"/>
      <c r="AD53" s="118">
        <v>2.15</v>
      </c>
      <c r="AE53" s="72"/>
      <c r="AF53" s="119">
        <f>ROUNDDOWN(((I53/0.35)-0.35)/0.5,0)+1</f>
        <v>5</v>
      </c>
      <c r="AG53" s="72"/>
      <c r="AH53" s="118">
        <v>3.42</v>
      </c>
      <c r="AI53" s="72"/>
      <c r="AW53" s="14"/>
      <c r="AX53" s="14"/>
      <c r="AY53" s="14"/>
      <c r="AZ53" s="14"/>
      <c r="BO53" s="1"/>
      <c r="BP53" s="1"/>
      <c r="CE53" s="14"/>
      <c r="CF53" s="14"/>
      <c r="CG53" s="14"/>
      <c r="CH53" s="14"/>
      <c r="CR53" s="1"/>
      <c r="CS53" s="1"/>
      <c r="DH53" s="14"/>
      <c r="DI53" s="14"/>
      <c r="DJ53" s="14"/>
      <c r="DK53" s="14"/>
    </row>
    <row r="54" spans="2:115" ht="9" customHeight="1">
      <c r="B54" s="126"/>
      <c r="C54" s="127">
        <v>15.14</v>
      </c>
      <c r="D54" s="115"/>
      <c r="E54" s="115"/>
      <c r="F54" s="112">
        <f>E53*C54</f>
        <v>65.78330000000001</v>
      </c>
      <c r="G54" s="115"/>
      <c r="H54" s="110">
        <f>((G53+G55)/2)*C54</f>
        <v>39.9696</v>
      </c>
      <c r="I54" s="115"/>
      <c r="J54" s="112">
        <f>((I53+I55)/2)*C54</f>
        <v>14.6858</v>
      </c>
      <c r="K54" s="115"/>
      <c r="L54" s="115"/>
      <c r="M54" s="112">
        <f>L53*C54</f>
        <v>45.85906000000001</v>
      </c>
      <c r="N54" s="115"/>
      <c r="O54" s="112">
        <f>N53*C54</f>
        <v>4.2392</v>
      </c>
      <c r="P54" s="115"/>
      <c r="Q54" s="112">
        <f>P53*C54</f>
        <v>2.8766000000000003</v>
      </c>
      <c r="R54" s="115"/>
      <c r="S54" s="112">
        <f>R53*C54</f>
        <v>7.2672</v>
      </c>
      <c r="T54" s="115"/>
      <c r="U54" s="112">
        <f>T53*C54</f>
        <v>21.8016</v>
      </c>
      <c r="V54" s="115"/>
      <c r="W54" s="110">
        <f>((V53+V55)/2)*C54</f>
        <v>17.5624</v>
      </c>
      <c r="X54" s="115"/>
      <c r="Y54" s="110">
        <f>X53*C54+2*K53</f>
        <v>92.47200000000001</v>
      </c>
      <c r="Z54" s="115"/>
      <c r="AA54" s="110">
        <f>((Z53+Z55)/2)*C54+3.25*5.5</f>
        <v>25.83864</v>
      </c>
      <c r="AB54" s="115"/>
      <c r="AC54" s="110">
        <f>((AB53+AB55)/2)*C54+17.5</f>
        <v>37.3334</v>
      </c>
      <c r="AD54" s="115"/>
      <c r="AE54" s="112">
        <f>AD53*C54</f>
        <v>32.551</v>
      </c>
      <c r="AF54" s="119"/>
      <c r="AG54" s="120">
        <f>((AF53+AF55)/2)*ROUND(C54/0.5,0)</f>
        <v>150</v>
      </c>
      <c r="AH54" s="115"/>
      <c r="AI54" s="110">
        <f>((AH53+AH55)/2)*C54</f>
        <v>44.1331</v>
      </c>
      <c r="AW54" s="14"/>
      <c r="AX54" s="14"/>
      <c r="AY54" s="14"/>
      <c r="AZ54" s="14"/>
      <c r="BO54" s="1"/>
      <c r="BP54" s="1"/>
      <c r="CE54" s="14"/>
      <c r="CF54" s="14"/>
      <c r="CG54" s="14"/>
      <c r="CH54" s="14"/>
      <c r="CR54" s="1"/>
      <c r="CS54" s="1"/>
      <c r="DH54" s="14"/>
      <c r="DI54" s="14"/>
      <c r="DJ54" s="14"/>
      <c r="DK54" s="14"/>
    </row>
    <row r="55" spans="2:115" ht="9" customHeight="1">
      <c r="B55" s="125">
        <v>9</v>
      </c>
      <c r="C55" s="128"/>
      <c r="D55" s="114">
        <v>2.18</v>
      </c>
      <c r="E55" s="118">
        <f>1.1*D55</f>
        <v>2.3980000000000006</v>
      </c>
      <c r="F55" s="113"/>
      <c r="G55" s="114">
        <v>2.17</v>
      </c>
      <c r="H55" s="111"/>
      <c r="I55" s="114">
        <v>0.97</v>
      </c>
      <c r="J55" s="113"/>
      <c r="K55" s="114">
        <v>0.97</v>
      </c>
      <c r="L55" s="114">
        <f>1.3*K55</f>
        <v>1.261</v>
      </c>
      <c r="M55" s="113"/>
      <c r="N55" s="114">
        <v>0</v>
      </c>
      <c r="O55" s="113"/>
      <c r="P55" s="118">
        <v>0.19</v>
      </c>
      <c r="Q55" s="113"/>
      <c r="R55" s="118">
        <v>0.48</v>
      </c>
      <c r="S55" s="113"/>
      <c r="T55" s="114">
        <v>0.68</v>
      </c>
      <c r="U55" s="113"/>
      <c r="V55" s="114">
        <f>1.01+0.25*0.3</f>
        <v>1.085</v>
      </c>
      <c r="W55" s="111"/>
      <c r="X55" s="114">
        <f>2.1+2.1</f>
        <v>4.2</v>
      </c>
      <c r="Y55" s="111"/>
      <c r="Z55" s="114">
        <f>0.28*0.3+0.36</f>
        <v>0.444</v>
      </c>
      <c r="AA55" s="111"/>
      <c r="AB55" s="114">
        <v>1.32</v>
      </c>
      <c r="AC55" s="111"/>
      <c r="AD55" s="114">
        <v>2.6</v>
      </c>
      <c r="AE55" s="113"/>
      <c r="AF55" s="119">
        <f>ROUNDDOWN(((I55/0.35)-0.35)/0.5,0)+1</f>
        <v>5</v>
      </c>
      <c r="AG55" s="120"/>
      <c r="AH55" s="114">
        <v>2.41</v>
      </c>
      <c r="AI55" s="111"/>
      <c r="AW55" s="14"/>
      <c r="AX55" s="14"/>
      <c r="AY55" s="14"/>
      <c r="AZ55" s="14"/>
      <c r="BO55" s="1"/>
      <c r="BP55" s="1"/>
      <c r="CE55" s="14"/>
      <c r="CF55" s="14"/>
      <c r="CG55" s="14"/>
      <c r="CH55" s="14"/>
      <c r="CR55" s="1"/>
      <c r="CS55" s="1"/>
      <c r="DH55" s="14"/>
      <c r="DI55" s="14"/>
      <c r="DJ55" s="14"/>
      <c r="DK55" s="14"/>
    </row>
    <row r="56" spans="2:115" ht="9" customHeight="1">
      <c r="B56" s="126"/>
      <c r="C56" s="127">
        <v>7</v>
      </c>
      <c r="D56" s="115"/>
      <c r="E56" s="115"/>
      <c r="F56" s="112">
        <f>E57*(C56-1.25)+E55*1.25</f>
        <v>37.59525000000001</v>
      </c>
      <c r="G56" s="115"/>
      <c r="H56" s="110">
        <f>((G55+G57)/2)*C56</f>
        <v>17.08</v>
      </c>
      <c r="I56" s="115"/>
      <c r="J56" s="112">
        <f>((I55+I57)/2)*C56</f>
        <v>6.825</v>
      </c>
      <c r="K56" s="115"/>
      <c r="L56" s="115"/>
      <c r="M56" s="112">
        <f>L57*(C56-1.25)+L55*1.25</f>
        <v>19.21725</v>
      </c>
      <c r="N56" s="115"/>
      <c r="O56" s="112">
        <f>N57*(C56-1.25)+N55*1.25</f>
        <v>1.61</v>
      </c>
      <c r="P56" s="115"/>
      <c r="Q56" s="112">
        <f>P57*(C56-1.25)+P55*1.25</f>
        <v>1.33</v>
      </c>
      <c r="R56" s="115"/>
      <c r="S56" s="112">
        <f>R57*(C56-1.25)+R55*1.25</f>
        <v>3.36</v>
      </c>
      <c r="T56" s="115"/>
      <c r="U56" s="112">
        <f>T57*(C56-1.25)+T55*1.25</f>
        <v>9.129999999999999</v>
      </c>
      <c r="V56" s="115"/>
      <c r="W56" s="110">
        <f>((V55+V57)/2)*C56</f>
        <v>8.084999999999999</v>
      </c>
      <c r="X56" s="115"/>
      <c r="Y56" s="112">
        <f>X57*(C56-1.25)+X55*1.25+K55</f>
        <v>39.857499999999995</v>
      </c>
      <c r="Z56" s="115"/>
      <c r="AA56" s="110">
        <f>((Z55+Z57)/2)*C56</f>
        <v>3.7590000000000003</v>
      </c>
      <c r="AB56" s="115"/>
      <c r="AC56" s="110">
        <f>((AB55+AB57)/2)*C56</f>
        <v>9.344999999999999</v>
      </c>
      <c r="AD56" s="115"/>
      <c r="AE56" s="112">
        <f>AD57*(C56-1.25)+AD55*1.25</f>
        <v>23.375</v>
      </c>
      <c r="AF56" s="119"/>
      <c r="AG56" s="120">
        <f>((AF55+AF57)/2)*ROUND(C56/0.5,0)</f>
        <v>70</v>
      </c>
      <c r="AH56" s="115"/>
      <c r="AI56" s="110">
        <f>((AH55+AH57)/2)*C56</f>
        <v>20.51</v>
      </c>
      <c r="AW56" s="14"/>
      <c r="AX56" s="14"/>
      <c r="AY56" s="14"/>
      <c r="AZ56" s="14"/>
      <c r="BO56" s="1"/>
      <c r="BP56" s="1"/>
      <c r="CE56" s="14"/>
      <c r="CF56" s="14"/>
      <c r="CG56" s="14"/>
      <c r="CH56" s="14"/>
      <c r="CR56" s="1"/>
      <c r="CS56" s="1"/>
      <c r="DH56" s="14"/>
      <c r="DI56" s="14"/>
      <c r="DJ56" s="14"/>
      <c r="DK56" s="14"/>
    </row>
    <row r="57" spans="2:115" ht="9" customHeight="1">
      <c r="B57" s="125">
        <v>10</v>
      </c>
      <c r="C57" s="128"/>
      <c r="D57" s="114">
        <v>5.47</v>
      </c>
      <c r="E57" s="118">
        <f>1.1*D57</f>
        <v>6.017</v>
      </c>
      <c r="F57" s="113"/>
      <c r="G57" s="114">
        <v>2.71</v>
      </c>
      <c r="H57" s="111"/>
      <c r="I57" s="114">
        <v>0.98</v>
      </c>
      <c r="J57" s="113"/>
      <c r="K57" s="114">
        <v>2.36</v>
      </c>
      <c r="L57" s="114">
        <f>1.3*K57</f>
        <v>3.068</v>
      </c>
      <c r="M57" s="113"/>
      <c r="N57" s="114">
        <v>0.28</v>
      </c>
      <c r="O57" s="113"/>
      <c r="P57" s="118">
        <v>0.19</v>
      </c>
      <c r="Q57" s="113"/>
      <c r="R57" s="118">
        <v>0.48</v>
      </c>
      <c r="S57" s="113"/>
      <c r="T57" s="114">
        <v>1.44</v>
      </c>
      <c r="U57" s="113"/>
      <c r="V57" s="114">
        <f>1.15+0.25*0.3</f>
        <v>1.2249999999999999</v>
      </c>
      <c r="W57" s="111"/>
      <c r="X57" s="114">
        <f>0.8+2.15+2.9</f>
        <v>5.85</v>
      </c>
      <c r="Y57" s="113"/>
      <c r="Z57" s="114">
        <f>0.3*0.3+0.54</f>
        <v>0.63</v>
      </c>
      <c r="AA57" s="111"/>
      <c r="AB57" s="114">
        <v>1.35</v>
      </c>
      <c r="AC57" s="111"/>
      <c r="AD57" s="114">
        <v>3.5</v>
      </c>
      <c r="AE57" s="113"/>
      <c r="AF57" s="119">
        <f>ROUNDDOWN(((I57/0.35)-0.35)/0.5,0)+1</f>
        <v>5</v>
      </c>
      <c r="AG57" s="120"/>
      <c r="AH57" s="114">
        <v>3.45</v>
      </c>
      <c r="AI57" s="111"/>
      <c r="AW57" s="14"/>
      <c r="AX57" s="14"/>
      <c r="AY57" s="14"/>
      <c r="AZ57" s="14"/>
      <c r="BO57" s="1"/>
      <c r="BP57" s="1"/>
      <c r="CE57" s="14"/>
      <c r="CF57" s="14"/>
      <c r="CG57" s="14"/>
      <c r="CH57" s="14"/>
      <c r="CR57" s="1"/>
      <c r="CS57" s="1"/>
      <c r="DH57" s="14"/>
      <c r="DI57" s="14"/>
      <c r="DJ57" s="14"/>
      <c r="DK57" s="14"/>
    </row>
    <row r="58" spans="2:115" ht="9" customHeight="1">
      <c r="B58" s="126"/>
      <c r="C58" s="127">
        <v>8</v>
      </c>
      <c r="D58" s="115"/>
      <c r="E58" s="115"/>
      <c r="F58" s="110">
        <f>E59*C58</f>
        <v>59.66400000000001</v>
      </c>
      <c r="G58" s="115"/>
      <c r="H58" s="110">
        <f>((G57+G59)/2)*C58</f>
        <v>22.28</v>
      </c>
      <c r="I58" s="115"/>
      <c r="J58" s="112">
        <f>((I57+I59)/2)*C58</f>
        <v>7.88</v>
      </c>
      <c r="K58" s="115"/>
      <c r="L58" s="115"/>
      <c r="M58" s="110">
        <f>((L57+L59)/2)*C58</f>
        <v>24.648</v>
      </c>
      <c r="N58" s="115"/>
      <c r="O58" s="112">
        <f>((N57+N59)/2)*C58</f>
        <v>2.24</v>
      </c>
      <c r="P58" s="115"/>
      <c r="Q58" s="112">
        <f>((P57+P59)/2)*C58</f>
        <v>1.52</v>
      </c>
      <c r="R58" s="115"/>
      <c r="S58" s="110">
        <f>((R57+R59)/2)*C58</f>
        <v>3.84</v>
      </c>
      <c r="T58" s="115"/>
      <c r="U58" s="110">
        <f>((T57+T59)/2)*C58</f>
        <v>11.52</v>
      </c>
      <c r="V58" s="115"/>
      <c r="W58" s="110">
        <f>V59*C58</f>
        <v>18.88</v>
      </c>
      <c r="X58" s="115"/>
      <c r="Y58" s="110">
        <f>((X57+X59)/2)*C58+K57</f>
        <v>49.56</v>
      </c>
      <c r="Z58" s="115"/>
      <c r="AA58" s="110">
        <f>Z59*C58</f>
        <v>2</v>
      </c>
      <c r="AB58" s="115"/>
      <c r="AC58" s="110">
        <f>((AB57+AB59)/2)*C58</f>
        <v>8.8</v>
      </c>
      <c r="AD58" s="115"/>
      <c r="AE58" s="110">
        <f>((AD57+AD59)/2)*C58</f>
        <v>23</v>
      </c>
      <c r="AF58" s="119"/>
      <c r="AG58" s="120">
        <f>((AF57+AF59)/2)*ROUND(C58/0.5,0)</f>
        <v>80</v>
      </c>
      <c r="AH58" s="115"/>
      <c r="AI58" s="110">
        <f>((AH57+AH59)/2)*C58</f>
        <v>27.8</v>
      </c>
      <c r="AW58" s="14"/>
      <c r="AX58" s="14"/>
      <c r="AY58" s="14"/>
      <c r="AZ58" s="14"/>
      <c r="BO58" s="1"/>
      <c r="BP58" s="1"/>
      <c r="CE58" s="14"/>
      <c r="CF58" s="14"/>
      <c r="CG58" s="14"/>
      <c r="CH58" s="14"/>
      <c r="CR58" s="1"/>
      <c r="CS58" s="1"/>
      <c r="DH58" s="14"/>
      <c r="DI58" s="14"/>
      <c r="DJ58" s="14"/>
      <c r="DK58" s="14"/>
    </row>
    <row r="59" spans="2:115" ht="9" customHeight="1">
      <c r="B59" s="125">
        <v>11</v>
      </c>
      <c r="C59" s="128"/>
      <c r="D59" s="114">
        <v>6.78</v>
      </c>
      <c r="E59" s="118">
        <f>1.1*D59</f>
        <v>7.458000000000001</v>
      </c>
      <c r="F59" s="111"/>
      <c r="G59" s="114">
        <v>2.86</v>
      </c>
      <c r="H59" s="111"/>
      <c r="I59" s="114">
        <v>0.99</v>
      </c>
      <c r="J59" s="113"/>
      <c r="K59" s="114">
        <v>2.38</v>
      </c>
      <c r="L59" s="114">
        <f>1.3*K59</f>
        <v>3.094</v>
      </c>
      <c r="M59" s="111"/>
      <c r="N59" s="114">
        <v>0.28</v>
      </c>
      <c r="O59" s="113"/>
      <c r="P59" s="118">
        <v>0.19</v>
      </c>
      <c r="Q59" s="113"/>
      <c r="R59" s="118">
        <v>0.48</v>
      </c>
      <c r="S59" s="111"/>
      <c r="T59" s="114">
        <v>1.44</v>
      </c>
      <c r="U59" s="111"/>
      <c r="V59" s="114">
        <v>2.36</v>
      </c>
      <c r="W59" s="111"/>
      <c r="X59" s="114">
        <f>0.8+2.2+2.95</f>
        <v>5.95</v>
      </c>
      <c r="Y59" s="111"/>
      <c r="Z59" s="114">
        <v>0.25</v>
      </c>
      <c r="AA59" s="111"/>
      <c r="AB59" s="114">
        <v>0.85</v>
      </c>
      <c r="AC59" s="111"/>
      <c r="AD59" s="114">
        <v>2.25</v>
      </c>
      <c r="AE59" s="111"/>
      <c r="AF59" s="119">
        <f>ROUNDDOWN(((I59/0.35)-0.35)/0.5,0)+1</f>
        <v>5</v>
      </c>
      <c r="AG59" s="120"/>
      <c r="AH59" s="114">
        <v>3.5</v>
      </c>
      <c r="AI59" s="111"/>
      <c r="AW59" s="14"/>
      <c r="AX59" s="14"/>
      <c r="AY59" s="14"/>
      <c r="AZ59" s="14"/>
      <c r="BO59" s="1"/>
      <c r="BP59" s="1"/>
      <c r="CE59" s="14"/>
      <c r="CF59" s="14"/>
      <c r="CG59" s="14"/>
      <c r="CH59" s="14"/>
      <c r="CR59" s="1"/>
      <c r="CS59" s="1"/>
      <c r="DH59" s="14"/>
      <c r="DI59" s="14"/>
      <c r="DJ59" s="14"/>
      <c r="DK59" s="14"/>
    </row>
    <row r="60" spans="2:115" ht="9" customHeight="1">
      <c r="B60" s="126"/>
      <c r="C60" s="127">
        <v>7</v>
      </c>
      <c r="D60" s="115"/>
      <c r="E60" s="115"/>
      <c r="F60" s="110">
        <f>E59*4.5+(E59+E61)/2*(C60-4.5)</f>
        <v>49.29100000000001</v>
      </c>
      <c r="G60" s="115"/>
      <c r="H60" s="110">
        <f>((G59+G61)/2)*C60</f>
        <v>22.259999999999998</v>
      </c>
      <c r="I60" s="115"/>
      <c r="J60" s="112">
        <f>((I59+I61)/2)*C60</f>
        <v>7</v>
      </c>
      <c r="K60" s="115"/>
      <c r="L60" s="115"/>
      <c r="M60" s="110">
        <f>((L59+L61)/2)*C60</f>
        <v>21.7945</v>
      </c>
      <c r="N60" s="115"/>
      <c r="O60" s="112">
        <f>((N59+N61)/2)*C60</f>
        <v>1.9600000000000002</v>
      </c>
      <c r="P60" s="115"/>
      <c r="Q60" s="112">
        <f>((P59+P61)/2)*C60</f>
        <v>1.33</v>
      </c>
      <c r="R60" s="115"/>
      <c r="S60" s="110">
        <f>((R59+R61)/2)*C60</f>
        <v>3.36</v>
      </c>
      <c r="T60" s="115"/>
      <c r="U60" s="110">
        <f>((T59+T61)/2)*C60</f>
        <v>10.08</v>
      </c>
      <c r="V60" s="115"/>
      <c r="W60" s="110">
        <f>V59*4.5+(V59+V61)/2*(C60-4.5)</f>
        <v>15.073749999999999</v>
      </c>
      <c r="X60" s="115"/>
      <c r="Y60" s="110">
        <f>((X59+X61)/2)*C60+K59</f>
        <v>44.205</v>
      </c>
      <c r="Z60" s="115"/>
      <c r="AA60" s="110">
        <f>Z59*4.5+(Z59+Z61)/2*(C60-4.5)</f>
        <v>2.1375</v>
      </c>
      <c r="AB60" s="115"/>
      <c r="AC60" s="110">
        <f>((AB59+AB61)/2)*C60</f>
        <v>6.825000000000001</v>
      </c>
      <c r="AD60" s="115"/>
      <c r="AE60" s="110">
        <f>((AD59+AD61)/2)*C60</f>
        <v>20.125</v>
      </c>
      <c r="AF60" s="119"/>
      <c r="AG60" s="120">
        <f>((AF59+AF61)/2)*ROUND(C60/0.5,0)</f>
        <v>77</v>
      </c>
      <c r="AH60" s="115"/>
      <c r="AI60" s="110">
        <f>((AH59+AH61)/2)*C60</f>
        <v>24.64</v>
      </c>
      <c r="AW60" s="14"/>
      <c r="AX60" s="14"/>
      <c r="AY60" s="14"/>
      <c r="AZ60" s="14"/>
      <c r="BO60" s="1"/>
      <c r="BP60" s="1"/>
      <c r="CE60" s="14"/>
      <c r="CF60" s="14"/>
      <c r="CG60" s="14"/>
      <c r="CH60" s="14"/>
      <c r="CR60" s="1"/>
      <c r="CS60" s="1"/>
      <c r="DH60" s="14"/>
      <c r="DI60" s="14"/>
      <c r="DJ60" s="14"/>
      <c r="DK60" s="14"/>
    </row>
    <row r="61" spans="2:115" ht="9" customHeight="1">
      <c r="B61" s="125">
        <v>12</v>
      </c>
      <c r="C61" s="128"/>
      <c r="D61" s="114">
        <v>4.66</v>
      </c>
      <c r="E61" s="118">
        <f>1.1*D61</f>
        <v>5.126</v>
      </c>
      <c r="F61" s="111"/>
      <c r="G61" s="114">
        <f>0.49+3.01</f>
        <v>3.5</v>
      </c>
      <c r="H61" s="111"/>
      <c r="I61" s="114">
        <v>1.01</v>
      </c>
      <c r="J61" s="113"/>
      <c r="K61" s="114">
        <v>2.41</v>
      </c>
      <c r="L61" s="114">
        <f>1.3*K61</f>
        <v>3.1330000000000005</v>
      </c>
      <c r="M61" s="111"/>
      <c r="N61" s="114">
        <v>0.28</v>
      </c>
      <c r="O61" s="113"/>
      <c r="P61" s="118">
        <v>0.19</v>
      </c>
      <c r="Q61" s="113"/>
      <c r="R61" s="118">
        <v>0.48</v>
      </c>
      <c r="S61" s="111"/>
      <c r="T61" s="114">
        <v>1.44</v>
      </c>
      <c r="U61" s="111"/>
      <c r="V61" s="114">
        <f>1.17+0.11*0.3</f>
        <v>1.2029999999999998</v>
      </c>
      <c r="W61" s="111"/>
      <c r="X61" s="114">
        <f>0.8+2.2+3</f>
        <v>6</v>
      </c>
      <c r="Y61" s="111"/>
      <c r="Z61" s="114">
        <f>0.4*0.3+0.44</f>
        <v>0.56</v>
      </c>
      <c r="AA61" s="111"/>
      <c r="AB61" s="114">
        <v>1.1</v>
      </c>
      <c r="AC61" s="111"/>
      <c r="AD61" s="114">
        <v>3.5</v>
      </c>
      <c r="AE61" s="111"/>
      <c r="AF61" s="119">
        <f>ROUNDDOWN(((I61/0.35)-0.35)/0.5,0)+1</f>
        <v>6</v>
      </c>
      <c r="AG61" s="120"/>
      <c r="AH61" s="114">
        <v>3.54</v>
      </c>
      <c r="AI61" s="111"/>
      <c r="AW61" s="14"/>
      <c r="AX61" s="14"/>
      <c r="AY61" s="14"/>
      <c r="AZ61" s="14"/>
      <c r="BO61" s="1"/>
      <c r="BP61" s="1"/>
      <c r="CE61" s="14"/>
      <c r="CF61" s="14"/>
      <c r="CG61" s="14"/>
      <c r="CH61" s="14"/>
      <c r="CR61" s="1"/>
      <c r="CS61" s="1"/>
      <c r="DH61" s="14"/>
      <c r="DI61" s="14"/>
      <c r="DJ61" s="14"/>
      <c r="DK61" s="14"/>
    </row>
    <row r="62" spans="2:115" ht="9" customHeight="1">
      <c r="B62" s="126"/>
      <c r="C62" s="127">
        <v>7.5</v>
      </c>
      <c r="D62" s="115"/>
      <c r="E62" s="115"/>
      <c r="F62" s="112">
        <f>((E61+E63)/2)*C62</f>
        <v>35.43375</v>
      </c>
      <c r="G62" s="115"/>
      <c r="H62" s="110">
        <f>((G61+G63)/2)*C62</f>
        <v>27.2625</v>
      </c>
      <c r="I62" s="115"/>
      <c r="J62" s="112">
        <f>((I61+I63)/2)*C62</f>
        <v>7.575</v>
      </c>
      <c r="K62" s="115"/>
      <c r="L62" s="115"/>
      <c r="M62" s="110">
        <f>((L61+L63)/2)*C62</f>
        <v>23.497500000000002</v>
      </c>
      <c r="N62" s="115"/>
      <c r="O62" s="112">
        <f>((N61+N63)/2)*C62</f>
        <v>2.1</v>
      </c>
      <c r="P62" s="115"/>
      <c r="Q62" s="112">
        <f>((P61+P63)/2)*C62</f>
        <v>1.425</v>
      </c>
      <c r="R62" s="115"/>
      <c r="S62" s="110">
        <f>((R61+R63)/2)*C62</f>
        <v>3.5999999999999996</v>
      </c>
      <c r="T62" s="115"/>
      <c r="U62" s="110">
        <f>((T61+T63)/2)*C62</f>
        <v>10.799999999999999</v>
      </c>
      <c r="V62" s="115"/>
      <c r="W62" s="110">
        <f>((V61+V63)/2)*C62</f>
        <v>9.022499999999999</v>
      </c>
      <c r="X62" s="115"/>
      <c r="Y62" s="110">
        <f>((X61+X63)/2)*C62+K61</f>
        <v>47.41</v>
      </c>
      <c r="Z62" s="115"/>
      <c r="AA62" s="110">
        <f>((Z61+Z63)/2)*C62</f>
        <v>4.725</v>
      </c>
      <c r="AB62" s="115"/>
      <c r="AC62" s="110">
        <f>((AB61+AB63)/2)*C62</f>
        <v>8.25</v>
      </c>
      <c r="AD62" s="115"/>
      <c r="AE62" s="110">
        <f>((AD61+AD63)/2)*C62</f>
        <v>26.0625</v>
      </c>
      <c r="AF62" s="119"/>
      <c r="AG62" s="120">
        <f>((AF61+AF63)/2)*ROUND(C62/0.5,0)</f>
        <v>90</v>
      </c>
      <c r="AH62" s="115"/>
      <c r="AI62" s="110">
        <f>((AH61+AH63)/2)*C62</f>
        <v>26.55</v>
      </c>
      <c r="AW62" s="14"/>
      <c r="AX62" s="14"/>
      <c r="AY62" s="14"/>
      <c r="AZ62" s="14"/>
      <c r="BO62" s="1"/>
      <c r="BP62" s="1"/>
      <c r="CE62" s="14"/>
      <c r="CF62" s="14"/>
      <c r="CG62" s="14"/>
      <c r="CH62" s="14"/>
      <c r="CR62" s="1"/>
      <c r="CS62" s="1"/>
      <c r="DH62" s="14"/>
      <c r="DI62" s="14"/>
      <c r="DJ62" s="14"/>
      <c r="DK62" s="14"/>
    </row>
    <row r="63" spans="2:115" ht="9" customHeight="1">
      <c r="B63" s="125">
        <v>13</v>
      </c>
      <c r="C63" s="128"/>
      <c r="D63" s="114">
        <v>3.93</v>
      </c>
      <c r="E63" s="118">
        <f>1.1*D63</f>
        <v>4.323</v>
      </c>
      <c r="F63" s="113"/>
      <c r="G63" s="114">
        <f>0.49+3.28</f>
        <v>3.7699999999999996</v>
      </c>
      <c r="H63" s="111"/>
      <c r="I63" s="114">
        <v>1.01</v>
      </c>
      <c r="J63" s="113"/>
      <c r="K63" s="114">
        <v>2.41</v>
      </c>
      <c r="L63" s="114">
        <f>1.3*K63</f>
        <v>3.1330000000000005</v>
      </c>
      <c r="M63" s="111"/>
      <c r="N63" s="114">
        <v>0.28</v>
      </c>
      <c r="O63" s="113"/>
      <c r="P63" s="118">
        <v>0.19</v>
      </c>
      <c r="Q63" s="113"/>
      <c r="R63" s="118">
        <v>0.48</v>
      </c>
      <c r="S63" s="111"/>
      <c r="T63" s="114">
        <v>1.44</v>
      </c>
      <c r="U63" s="111"/>
      <c r="V63" s="114">
        <f>1.17+0.11*0.3</f>
        <v>1.2029999999999998</v>
      </c>
      <c r="W63" s="111"/>
      <c r="X63" s="114">
        <f>0.8+2.2+3</f>
        <v>6</v>
      </c>
      <c r="Y63" s="111"/>
      <c r="Z63" s="114">
        <f>0.4*0.3+0.58</f>
        <v>0.7</v>
      </c>
      <c r="AA63" s="111"/>
      <c r="AB63" s="114">
        <v>1.1</v>
      </c>
      <c r="AC63" s="111"/>
      <c r="AD63" s="114">
        <v>3.45</v>
      </c>
      <c r="AE63" s="111"/>
      <c r="AF63" s="119">
        <f>ROUNDDOWN(((I63/0.35)-0.35)/0.5,0)+1</f>
        <v>6</v>
      </c>
      <c r="AG63" s="120"/>
      <c r="AH63" s="114">
        <v>3.54</v>
      </c>
      <c r="AI63" s="111"/>
      <c r="AW63" s="14"/>
      <c r="AX63" s="14"/>
      <c r="AY63" s="14"/>
      <c r="AZ63" s="14"/>
      <c r="BO63" s="1"/>
      <c r="BP63" s="1"/>
      <c r="CE63" s="14"/>
      <c r="CF63" s="14"/>
      <c r="CG63" s="14"/>
      <c r="CH63" s="14"/>
      <c r="CR63" s="1"/>
      <c r="CS63" s="1"/>
      <c r="DH63" s="14"/>
      <c r="DI63" s="14"/>
      <c r="DJ63" s="14"/>
      <c r="DK63" s="14"/>
    </row>
    <row r="64" spans="2:115" ht="9" customHeight="1">
      <c r="B64" s="126"/>
      <c r="C64" s="127">
        <v>8.8</v>
      </c>
      <c r="D64" s="115"/>
      <c r="E64" s="115"/>
      <c r="F64" s="112">
        <f>E63*(C64-3.2)+E65*3.2</f>
        <v>39.90800000000001</v>
      </c>
      <c r="G64" s="115"/>
      <c r="H64" s="110">
        <f>((G63+G65)/2)*C64</f>
        <v>30.536</v>
      </c>
      <c r="I64" s="115"/>
      <c r="J64" s="112">
        <f>((I63+I65)/2)*C64</f>
        <v>8.888000000000002</v>
      </c>
      <c r="K64" s="115"/>
      <c r="L64" s="115"/>
      <c r="M64" s="110">
        <f>((L63+L65)/2)*C64</f>
        <v>27.570400000000006</v>
      </c>
      <c r="N64" s="115"/>
      <c r="O64" s="112">
        <f>((N63+N65)/2)*C64</f>
        <v>2.4640000000000004</v>
      </c>
      <c r="P64" s="115"/>
      <c r="Q64" s="112">
        <f>((P63+P65)/2)*C64</f>
        <v>1.6720000000000002</v>
      </c>
      <c r="R64" s="115"/>
      <c r="S64" s="110">
        <f>((R63+R65)/2)*C64</f>
        <v>4.224</v>
      </c>
      <c r="T64" s="115"/>
      <c r="U64" s="110">
        <f>((T63+T65)/2)*C64</f>
        <v>12.672</v>
      </c>
      <c r="V64" s="115"/>
      <c r="W64" s="110">
        <f>((V63+V65)/2)*C64</f>
        <v>10.5864</v>
      </c>
      <c r="X64" s="115"/>
      <c r="Y64" s="110">
        <f>((X63+X65)/2)*C64+K63</f>
        <v>55.21000000000001</v>
      </c>
      <c r="Z64" s="115"/>
      <c r="AA64" s="110">
        <f>((Z63+Z65)/2)*C64</f>
        <v>5.016</v>
      </c>
      <c r="AB64" s="115"/>
      <c r="AC64" s="110">
        <f>((AB63+AB65)/2)*C64+21-1.1*4.5</f>
        <v>25.73</v>
      </c>
      <c r="AD64" s="115"/>
      <c r="AE64" s="112">
        <f>AD63*(C64-3.2)+AD65*3.2</f>
        <v>29.240000000000006</v>
      </c>
      <c r="AF64" s="119"/>
      <c r="AG64" s="120">
        <f>((AF63+AF65)/2)*ROUND(C64/0.5,0)</f>
        <v>108</v>
      </c>
      <c r="AH64" s="115"/>
      <c r="AI64" s="110">
        <f>((AH63+AH65)/2)*C64</f>
        <v>31.152000000000005</v>
      </c>
      <c r="AW64" s="14"/>
      <c r="AX64" s="14"/>
      <c r="AY64" s="14"/>
      <c r="AZ64" s="14"/>
      <c r="BO64" s="1"/>
      <c r="BP64" s="1"/>
      <c r="CE64" s="14"/>
      <c r="CF64" s="14"/>
      <c r="CG64" s="14"/>
      <c r="CH64" s="14"/>
      <c r="CR64" s="1"/>
      <c r="CS64" s="1"/>
      <c r="DH64" s="14"/>
      <c r="DI64" s="14"/>
      <c r="DJ64" s="14"/>
      <c r="DK64" s="14"/>
    </row>
    <row r="65" spans="2:115" ht="9" customHeight="1">
      <c r="B65" s="125">
        <v>14</v>
      </c>
      <c r="C65" s="128"/>
      <c r="D65" s="114">
        <v>4.46</v>
      </c>
      <c r="E65" s="118">
        <f>1.1*D65</f>
        <v>4.906000000000001</v>
      </c>
      <c r="F65" s="113"/>
      <c r="G65" s="114">
        <f>0.51+2.66</f>
        <v>3.17</v>
      </c>
      <c r="H65" s="111"/>
      <c r="I65" s="114">
        <v>1.01</v>
      </c>
      <c r="J65" s="113"/>
      <c r="K65" s="136">
        <v>2.41</v>
      </c>
      <c r="L65" s="114">
        <f>1.3*K65</f>
        <v>3.1330000000000005</v>
      </c>
      <c r="M65" s="111"/>
      <c r="N65" s="114">
        <v>0.28</v>
      </c>
      <c r="O65" s="113"/>
      <c r="P65" s="118">
        <v>0.19</v>
      </c>
      <c r="Q65" s="113"/>
      <c r="R65" s="118">
        <v>0.48</v>
      </c>
      <c r="S65" s="111"/>
      <c r="T65" s="114">
        <v>1.44</v>
      </c>
      <c r="U65" s="111"/>
      <c r="V65" s="114">
        <f>1.17+0.11*0.3</f>
        <v>1.2029999999999998</v>
      </c>
      <c r="W65" s="111"/>
      <c r="X65" s="114">
        <f>0.8+2.2+3</f>
        <v>6</v>
      </c>
      <c r="Y65" s="111"/>
      <c r="Z65" s="136">
        <f>0.4*0.3+0.32</f>
        <v>0.44</v>
      </c>
      <c r="AA65" s="111"/>
      <c r="AB65" s="136">
        <v>1.1</v>
      </c>
      <c r="AC65" s="111"/>
      <c r="AD65" s="114">
        <v>3.1</v>
      </c>
      <c r="AE65" s="113"/>
      <c r="AF65" s="119">
        <f>ROUNDDOWN(((I65/0.35)-0.35)/0.5,0)+1</f>
        <v>6</v>
      </c>
      <c r="AG65" s="120"/>
      <c r="AH65" s="114">
        <v>3.54</v>
      </c>
      <c r="AI65" s="111"/>
      <c r="AW65" s="14"/>
      <c r="AX65" s="14"/>
      <c r="AY65" s="14"/>
      <c r="AZ65" s="14"/>
      <c r="BO65" s="1"/>
      <c r="BP65" s="1"/>
      <c r="CE65" s="14"/>
      <c r="CF65" s="14"/>
      <c r="CG65" s="14"/>
      <c r="CH65" s="14"/>
      <c r="CR65" s="1"/>
      <c r="CS65" s="1"/>
      <c r="DH65" s="14"/>
      <c r="DI65" s="14"/>
      <c r="DJ65" s="14"/>
      <c r="DK65" s="14"/>
    </row>
    <row r="66" spans="2:115" ht="9" customHeight="1">
      <c r="B66" s="126"/>
      <c r="C66" s="127">
        <v>9.58</v>
      </c>
      <c r="D66" s="115"/>
      <c r="E66" s="115"/>
      <c r="F66" s="112">
        <f>E67*(C66-1.3)+E65*1.3</f>
        <v>40.62388</v>
      </c>
      <c r="G66" s="115"/>
      <c r="H66" s="110">
        <f>((G65+G67)/2)*C66</f>
        <v>31.3266</v>
      </c>
      <c r="I66" s="115"/>
      <c r="J66" s="112">
        <f>((I65+I67)/2)*C66</f>
        <v>9.6758</v>
      </c>
      <c r="K66" s="137"/>
      <c r="L66" s="115"/>
      <c r="M66" s="110">
        <f>((L65+L67)/2)*C66</f>
        <v>30.014140000000005</v>
      </c>
      <c r="N66" s="115"/>
      <c r="O66" s="112">
        <f>((N65+N67)/2)*C66</f>
        <v>2.6824000000000003</v>
      </c>
      <c r="P66" s="115"/>
      <c r="Q66" s="112">
        <f>((P65+P67)/2)*C66</f>
        <v>1.8202</v>
      </c>
      <c r="R66" s="115"/>
      <c r="S66" s="110">
        <f>((R65+R67)/2)*C66</f>
        <v>4.5984</v>
      </c>
      <c r="T66" s="115"/>
      <c r="U66" s="110">
        <f>((T65+T67)/2)*C66</f>
        <v>13.7952</v>
      </c>
      <c r="V66" s="115"/>
      <c r="W66" s="110">
        <f>((V65+V67)/2)*C66</f>
        <v>11.524739999999998</v>
      </c>
      <c r="X66" s="115"/>
      <c r="Y66" s="110">
        <f>((X65+X67)/2)*C66+K65+K67</f>
        <v>62.3</v>
      </c>
      <c r="Z66" s="137"/>
      <c r="AA66" s="110">
        <f>((Z65+Z67)/2)*C66+1.53*4.4</f>
        <v>12.1926</v>
      </c>
      <c r="AB66" s="137"/>
      <c r="AC66" s="110">
        <f>((AB65+AB67)/2)*C66</f>
        <v>10.538</v>
      </c>
      <c r="AD66" s="115"/>
      <c r="AE66" s="112">
        <f>AD67*(C66-1.3)+AD65*1.3</f>
        <v>32.596</v>
      </c>
      <c r="AF66" s="119"/>
      <c r="AG66" s="120">
        <f>((AF65+AF67)/2)*ROUND(C66/0.5,0)</f>
        <v>114</v>
      </c>
      <c r="AH66" s="115"/>
      <c r="AI66" s="110">
        <f>((AH65+AH67)/2)*C66</f>
        <v>33.7695</v>
      </c>
      <c r="AW66" s="14"/>
      <c r="AX66" s="14"/>
      <c r="AY66" s="14"/>
      <c r="AZ66" s="14"/>
      <c r="BO66" s="1"/>
      <c r="BP66" s="1"/>
      <c r="CE66" s="14"/>
      <c r="CF66" s="14"/>
      <c r="CG66" s="14"/>
      <c r="CH66" s="14"/>
      <c r="CR66" s="1"/>
      <c r="CS66" s="1"/>
      <c r="DH66" s="14"/>
      <c r="DI66" s="14"/>
      <c r="DJ66" s="14"/>
      <c r="DK66" s="14"/>
    </row>
    <row r="67" spans="2:115" ht="9" customHeight="1">
      <c r="B67" s="125" t="s">
        <v>87</v>
      </c>
      <c r="C67" s="128"/>
      <c r="D67" s="114">
        <v>3.76</v>
      </c>
      <c r="E67" s="118">
        <f>1.1*D67</f>
        <v>4.136</v>
      </c>
      <c r="F67" s="113"/>
      <c r="G67" s="114">
        <f>0.52+2.85</f>
        <v>3.37</v>
      </c>
      <c r="H67" s="111"/>
      <c r="I67" s="114">
        <v>1.01</v>
      </c>
      <c r="J67" s="113"/>
      <c r="K67" s="114">
        <v>2.41</v>
      </c>
      <c r="L67" s="114">
        <f>1.3*K67</f>
        <v>3.1330000000000005</v>
      </c>
      <c r="M67" s="111"/>
      <c r="N67" s="114">
        <v>0.28</v>
      </c>
      <c r="O67" s="113"/>
      <c r="P67" s="118">
        <v>0.19</v>
      </c>
      <c r="Q67" s="113"/>
      <c r="R67" s="118">
        <v>0.48</v>
      </c>
      <c r="S67" s="111"/>
      <c r="T67" s="114">
        <v>1.44</v>
      </c>
      <c r="U67" s="111"/>
      <c r="V67" s="114">
        <f>1.17+0.11*0.3</f>
        <v>1.2029999999999998</v>
      </c>
      <c r="W67" s="111"/>
      <c r="X67" s="114">
        <f>0.8+2.2+3</f>
        <v>6</v>
      </c>
      <c r="Y67" s="111"/>
      <c r="Z67" s="114">
        <f>0.4*0.3+0.58</f>
        <v>0.7</v>
      </c>
      <c r="AA67" s="111"/>
      <c r="AB67" s="114">
        <v>1.1</v>
      </c>
      <c r="AC67" s="111"/>
      <c r="AD67" s="114">
        <v>3.45</v>
      </c>
      <c r="AE67" s="113"/>
      <c r="AF67" s="119">
        <f>ROUNDDOWN(((I67/0.35)-0.35)/0.5,0)+1</f>
        <v>6</v>
      </c>
      <c r="AG67" s="120"/>
      <c r="AH67" s="114">
        <v>3.51</v>
      </c>
      <c r="AI67" s="111"/>
      <c r="AW67" s="14"/>
      <c r="AX67" s="14"/>
      <c r="AY67" s="14"/>
      <c r="AZ67" s="14"/>
      <c r="BO67" s="1"/>
      <c r="BP67" s="1"/>
      <c r="CE67" s="14"/>
      <c r="CF67" s="14"/>
      <c r="CG67" s="14"/>
      <c r="CH67" s="14"/>
      <c r="CR67" s="1"/>
      <c r="CS67" s="1"/>
      <c r="DH67" s="14"/>
      <c r="DI67" s="14"/>
      <c r="DJ67" s="14"/>
      <c r="DK67" s="14"/>
    </row>
    <row r="68" spans="2:115" ht="9" customHeight="1">
      <c r="B68" s="126"/>
      <c r="C68" s="127"/>
      <c r="D68" s="115"/>
      <c r="E68" s="115"/>
      <c r="F68" s="110">
        <v>0</v>
      </c>
      <c r="G68" s="115"/>
      <c r="H68" s="110">
        <v>0</v>
      </c>
      <c r="I68" s="115"/>
      <c r="J68" s="110">
        <v>0</v>
      </c>
      <c r="K68" s="115"/>
      <c r="L68" s="115"/>
      <c r="M68" s="110">
        <v>0</v>
      </c>
      <c r="N68" s="115"/>
      <c r="O68" s="110">
        <v>0</v>
      </c>
      <c r="P68" s="115"/>
      <c r="Q68" s="110">
        <v>0</v>
      </c>
      <c r="R68" s="115"/>
      <c r="S68" s="110">
        <v>0</v>
      </c>
      <c r="T68" s="115"/>
      <c r="U68" s="110">
        <v>0</v>
      </c>
      <c r="V68" s="115"/>
      <c r="W68" s="110">
        <v>0</v>
      </c>
      <c r="X68" s="115"/>
      <c r="Y68" s="110">
        <v>0</v>
      </c>
      <c r="Z68" s="115"/>
      <c r="AA68" s="110">
        <v>0</v>
      </c>
      <c r="AB68" s="115"/>
      <c r="AC68" s="110">
        <v>0</v>
      </c>
      <c r="AD68" s="115"/>
      <c r="AE68" s="112">
        <v>0</v>
      </c>
      <c r="AF68" s="119"/>
      <c r="AG68" s="110">
        <v>0</v>
      </c>
      <c r="AH68" s="115"/>
      <c r="AI68" s="110">
        <v>0</v>
      </c>
      <c r="AW68" s="14"/>
      <c r="AX68" s="14"/>
      <c r="AY68" s="14"/>
      <c r="AZ68" s="14"/>
      <c r="BO68" s="1"/>
      <c r="BP68" s="1"/>
      <c r="CE68" s="14"/>
      <c r="CF68" s="14"/>
      <c r="CG68" s="14"/>
      <c r="CH68" s="14"/>
      <c r="CR68" s="1"/>
      <c r="CS68" s="1"/>
      <c r="DH68" s="14"/>
      <c r="DI68" s="14"/>
      <c r="DJ68" s="14"/>
      <c r="DK68" s="14"/>
    </row>
    <row r="69" spans="2:115" ht="9" customHeight="1">
      <c r="B69" s="125"/>
      <c r="C69" s="128"/>
      <c r="D69" s="30"/>
      <c r="E69" s="114"/>
      <c r="F69" s="111"/>
      <c r="G69" s="114"/>
      <c r="H69" s="111"/>
      <c r="I69" s="114"/>
      <c r="J69" s="111"/>
      <c r="K69" s="32"/>
      <c r="L69" s="114"/>
      <c r="M69" s="111"/>
      <c r="N69" s="114"/>
      <c r="O69" s="111"/>
      <c r="P69" s="114"/>
      <c r="Q69" s="111"/>
      <c r="R69" s="114"/>
      <c r="S69" s="111"/>
      <c r="T69" s="114"/>
      <c r="U69" s="111"/>
      <c r="V69" s="114"/>
      <c r="W69" s="111"/>
      <c r="X69" s="114"/>
      <c r="Y69" s="111"/>
      <c r="Z69" s="114"/>
      <c r="AA69" s="111"/>
      <c r="AB69" s="114"/>
      <c r="AC69" s="111"/>
      <c r="AD69" s="114"/>
      <c r="AE69" s="113"/>
      <c r="AF69" s="114"/>
      <c r="AG69" s="111"/>
      <c r="AH69" s="114"/>
      <c r="AI69" s="111"/>
      <c r="AW69" s="14"/>
      <c r="AX69" s="14"/>
      <c r="AY69" s="14"/>
      <c r="AZ69" s="14"/>
      <c r="BO69" s="1"/>
      <c r="BP69" s="1"/>
      <c r="CE69" s="14"/>
      <c r="CF69" s="14"/>
      <c r="CG69" s="14"/>
      <c r="CH69" s="14"/>
      <c r="CR69" s="1"/>
      <c r="CS69" s="1"/>
      <c r="DH69" s="14"/>
      <c r="DI69" s="14"/>
      <c r="DJ69" s="14"/>
      <c r="DK69" s="14"/>
    </row>
    <row r="70" spans="2:115" ht="9" customHeight="1">
      <c r="B70" s="126"/>
      <c r="C70" s="127"/>
      <c r="D70" s="30"/>
      <c r="E70" s="115"/>
      <c r="F70" s="112">
        <f>((E69+E71)/2)*C70</f>
        <v>0</v>
      </c>
      <c r="G70" s="115"/>
      <c r="H70" s="110">
        <f>((G69+G71)/2)*C70</f>
        <v>0</v>
      </c>
      <c r="I70" s="115"/>
      <c r="J70" s="112">
        <f>((I69+I71)/2)*C70</f>
        <v>0</v>
      </c>
      <c r="K70" s="32"/>
      <c r="L70" s="115"/>
      <c r="M70" s="110">
        <f>((L69+L71)/2)*C70</f>
        <v>0</v>
      </c>
      <c r="N70" s="115"/>
      <c r="O70" s="112">
        <f>((N69+N71)/2)*C70</f>
        <v>0</v>
      </c>
      <c r="P70" s="115"/>
      <c r="Q70" s="112">
        <f>((P69+P71)/2)*C70</f>
        <v>0</v>
      </c>
      <c r="R70" s="115"/>
      <c r="S70" s="110">
        <f>((R69+R71)/2)*C70</f>
        <v>0</v>
      </c>
      <c r="T70" s="115"/>
      <c r="U70" s="110">
        <f>((T69+T71)/2)*C70</f>
        <v>0</v>
      </c>
      <c r="V70" s="115"/>
      <c r="W70" s="110">
        <f>((V69+V71)/2)*C70</f>
        <v>0</v>
      </c>
      <c r="X70" s="115"/>
      <c r="Y70" s="110">
        <f>((X69+X71)/2)*C70</f>
        <v>0</v>
      </c>
      <c r="Z70" s="115"/>
      <c r="AA70" s="110">
        <f>((Z69+Z71)/2)*C70</f>
        <v>0</v>
      </c>
      <c r="AB70" s="115"/>
      <c r="AC70" s="110">
        <f>((AB69+AB71)/2)*C70</f>
        <v>0</v>
      </c>
      <c r="AD70" s="115"/>
      <c r="AE70" s="110">
        <f>((AD69+AD71)/2)*C70</f>
        <v>0</v>
      </c>
      <c r="AF70" s="115"/>
      <c r="AG70" s="110">
        <f>((AF69+AF71)/2)*C70</f>
        <v>0</v>
      </c>
      <c r="AH70" s="115"/>
      <c r="AI70" s="110">
        <f>((AH69+AH71)/2)*C70</f>
        <v>0</v>
      </c>
      <c r="AW70" s="14"/>
      <c r="AX70" s="14"/>
      <c r="AY70" s="14"/>
      <c r="AZ70" s="14"/>
      <c r="BO70" s="1"/>
      <c r="BP70" s="1"/>
      <c r="CE70" s="14"/>
      <c r="CF70" s="14"/>
      <c r="CG70" s="14"/>
      <c r="CH70" s="14"/>
      <c r="CR70" s="1"/>
      <c r="CS70" s="1"/>
      <c r="DH70" s="14"/>
      <c r="DI70" s="14"/>
      <c r="DJ70" s="14"/>
      <c r="DK70" s="14"/>
    </row>
    <row r="71" spans="2:115" ht="9" customHeight="1">
      <c r="B71" s="125"/>
      <c r="C71" s="128"/>
      <c r="D71" s="30"/>
      <c r="E71" s="114"/>
      <c r="F71" s="113"/>
      <c r="G71" s="114"/>
      <c r="H71" s="111"/>
      <c r="I71" s="114"/>
      <c r="J71" s="113"/>
      <c r="K71" s="32"/>
      <c r="L71" s="114"/>
      <c r="M71" s="111"/>
      <c r="N71" s="114"/>
      <c r="O71" s="113"/>
      <c r="P71" s="114"/>
      <c r="Q71" s="113"/>
      <c r="R71" s="114"/>
      <c r="S71" s="111"/>
      <c r="T71" s="114"/>
      <c r="U71" s="111"/>
      <c r="V71" s="114"/>
      <c r="W71" s="111"/>
      <c r="X71" s="114"/>
      <c r="Y71" s="111"/>
      <c r="Z71" s="114"/>
      <c r="AA71" s="111"/>
      <c r="AB71" s="114"/>
      <c r="AC71" s="111"/>
      <c r="AD71" s="114"/>
      <c r="AE71" s="111"/>
      <c r="AF71" s="114"/>
      <c r="AG71" s="111"/>
      <c r="AH71" s="114"/>
      <c r="AI71" s="111"/>
      <c r="AW71" s="14"/>
      <c r="AX71" s="14"/>
      <c r="AY71" s="14"/>
      <c r="AZ71" s="14"/>
      <c r="BO71" s="1"/>
      <c r="BP71" s="1"/>
      <c r="CE71" s="14"/>
      <c r="CF71" s="14"/>
      <c r="CG71" s="14"/>
      <c r="CH71" s="14"/>
      <c r="CR71" s="1"/>
      <c r="CS71" s="1"/>
      <c r="DH71" s="14"/>
      <c r="DI71" s="14"/>
      <c r="DJ71" s="14"/>
      <c r="DK71" s="14"/>
    </row>
    <row r="72" spans="2:115" ht="9" customHeight="1">
      <c r="B72" s="126"/>
      <c r="C72" s="127"/>
      <c r="D72" s="30"/>
      <c r="E72" s="115"/>
      <c r="F72" s="112">
        <f>((E71+E73)/2)*C72</f>
        <v>0</v>
      </c>
      <c r="G72" s="115"/>
      <c r="H72" s="110">
        <f>((G71+G73)/2)*C72</f>
        <v>0</v>
      </c>
      <c r="I72" s="115"/>
      <c r="J72" s="112">
        <f>((I71+I73)/2)*C72</f>
        <v>0</v>
      </c>
      <c r="K72" s="32"/>
      <c r="L72" s="115"/>
      <c r="M72" s="110">
        <f>((L71+L73)/2)*C72</f>
        <v>0</v>
      </c>
      <c r="N72" s="115"/>
      <c r="O72" s="112">
        <f>((N71+N73)/2)*C72</f>
        <v>0</v>
      </c>
      <c r="P72" s="115"/>
      <c r="Q72" s="112">
        <f>((P71+P73)/2)*C72</f>
        <v>0</v>
      </c>
      <c r="R72" s="115"/>
      <c r="S72" s="110">
        <f>((R71+R73)/2)*C72</f>
        <v>0</v>
      </c>
      <c r="T72" s="115"/>
      <c r="U72" s="110">
        <f>((T71+T73)/2)*C72</f>
        <v>0</v>
      </c>
      <c r="V72" s="115"/>
      <c r="W72" s="110">
        <f>((V71+V73)/2)*C72</f>
        <v>0</v>
      </c>
      <c r="X72" s="115"/>
      <c r="Y72" s="110">
        <f>((X71+X73)/2)*C72</f>
        <v>0</v>
      </c>
      <c r="Z72" s="115"/>
      <c r="AA72" s="110">
        <f>((Z71+Z73)/2)*C72</f>
        <v>0</v>
      </c>
      <c r="AB72" s="115"/>
      <c r="AC72" s="110">
        <f>((AB71+AB73)/2)*C72</f>
        <v>0</v>
      </c>
      <c r="AD72" s="115"/>
      <c r="AE72" s="110">
        <f>((AD71+AD73)/2)*C72</f>
        <v>0</v>
      </c>
      <c r="AF72" s="115"/>
      <c r="AG72" s="110">
        <f>((AF71+AF73)/2)*C72</f>
        <v>0</v>
      </c>
      <c r="AH72" s="115"/>
      <c r="AI72" s="110">
        <f>((AH71+AH73)/2)*C72</f>
        <v>0</v>
      </c>
      <c r="AW72" s="14"/>
      <c r="AX72" s="14"/>
      <c r="AY72" s="14"/>
      <c r="AZ72" s="14"/>
      <c r="BO72" s="1"/>
      <c r="BP72" s="1"/>
      <c r="CE72" s="14"/>
      <c r="CF72" s="14"/>
      <c r="CG72" s="14"/>
      <c r="CH72" s="14"/>
      <c r="CR72" s="1"/>
      <c r="CS72" s="1"/>
      <c r="DH72" s="14"/>
      <c r="DI72" s="14"/>
      <c r="DJ72" s="14"/>
      <c r="DK72" s="14"/>
    </row>
    <row r="73" spans="2:115" ht="9" customHeight="1">
      <c r="B73" s="125"/>
      <c r="C73" s="128"/>
      <c r="D73" s="30"/>
      <c r="E73" s="114"/>
      <c r="F73" s="113"/>
      <c r="G73" s="114"/>
      <c r="H73" s="111"/>
      <c r="I73" s="114"/>
      <c r="J73" s="113"/>
      <c r="K73" s="32"/>
      <c r="L73" s="114"/>
      <c r="M73" s="111"/>
      <c r="N73" s="114"/>
      <c r="O73" s="113"/>
      <c r="P73" s="114"/>
      <c r="Q73" s="113"/>
      <c r="R73" s="114"/>
      <c r="S73" s="111"/>
      <c r="T73" s="114"/>
      <c r="U73" s="111"/>
      <c r="V73" s="114"/>
      <c r="W73" s="111"/>
      <c r="X73" s="114"/>
      <c r="Y73" s="111"/>
      <c r="Z73" s="114"/>
      <c r="AA73" s="111"/>
      <c r="AB73" s="114"/>
      <c r="AC73" s="111"/>
      <c r="AD73" s="114"/>
      <c r="AE73" s="111"/>
      <c r="AF73" s="114"/>
      <c r="AG73" s="111"/>
      <c r="AH73" s="114"/>
      <c r="AI73" s="111"/>
      <c r="AW73" s="14"/>
      <c r="AX73" s="14"/>
      <c r="AY73" s="14"/>
      <c r="AZ73" s="14"/>
      <c r="BO73" s="1"/>
      <c r="BP73" s="1"/>
      <c r="CE73" s="14"/>
      <c r="CF73" s="14"/>
      <c r="CG73" s="14"/>
      <c r="CH73" s="14"/>
      <c r="CR73" s="1"/>
      <c r="CS73" s="1"/>
      <c r="DH73" s="14"/>
      <c r="DI73" s="14"/>
      <c r="DJ73" s="14"/>
      <c r="DK73" s="14"/>
    </row>
    <row r="74" spans="2:115" ht="15" customHeight="1">
      <c r="B74" s="126"/>
      <c r="C74" s="6"/>
      <c r="D74" s="85"/>
      <c r="E74" s="115"/>
      <c r="F74" s="61"/>
      <c r="G74" s="115"/>
      <c r="H74" s="13"/>
      <c r="I74" s="115"/>
      <c r="J74" s="13"/>
      <c r="K74" s="91"/>
      <c r="L74" s="115"/>
      <c r="M74" s="13"/>
      <c r="N74" s="115"/>
      <c r="O74" s="13"/>
      <c r="P74" s="115"/>
      <c r="Q74" s="13"/>
      <c r="R74" s="115"/>
      <c r="S74" s="13"/>
      <c r="T74" s="115"/>
      <c r="U74" s="13"/>
      <c r="V74" s="115"/>
      <c r="W74" s="13"/>
      <c r="X74" s="115"/>
      <c r="Y74" s="13"/>
      <c r="Z74" s="115"/>
      <c r="AA74" s="13"/>
      <c r="AB74" s="115"/>
      <c r="AC74" s="13"/>
      <c r="AD74" s="115"/>
      <c r="AE74" s="13"/>
      <c r="AF74" s="115"/>
      <c r="AG74" s="13"/>
      <c r="AH74" s="115"/>
      <c r="AI74" s="13"/>
      <c r="AW74" s="14"/>
      <c r="AX74" s="14"/>
      <c r="AY74" s="14"/>
      <c r="AZ74" s="14"/>
      <c r="BO74" s="1"/>
      <c r="BP74" s="1"/>
      <c r="CE74" s="14"/>
      <c r="CF74" s="14"/>
      <c r="CG74" s="14"/>
      <c r="CH74" s="14"/>
      <c r="CR74" s="1"/>
      <c r="CS74" s="1"/>
      <c r="DH74" s="14"/>
      <c r="DI74" s="14"/>
      <c r="DJ74" s="14"/>
      <c r="DK74" s="14"/>
    </row>
    <row r="75" spans="2:115" ht="15" thickBot="1">
      <c r="B75" s="29"/>
      <c r="C75" s="30"/>
      <c r="D75" s="30"/>
      <c r="E75" s="31"/>
      <c r="F75" s="32"/>
      <c r="G75" s="31"/>
      <c r="H75" s="31"/>
      <c r="I75" s="31"/>
      <c r="J75" s="32"/>
      <c r="K75" s="32"/>
      <c r="L75" s="31"/>
      <c r="M75" s="31"/>
      <c r="N75" s="31"/>
      <c r="O75" s="32"/>
      <c r="P75" s="31"/>
      <c r="Q75" s="32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W75" s="14"/>
      <c r="AX75" s="14"/>
      <c r="AY75" s="14"/>
      <c r="AZ75" s="14"/>
      <c r="BO75" s="1"/>
      <c r="BP75" s="1"/>
      <c r="CE75" s="14"/>
      <c r="CF75" s="14"/>
      <c r="CG75" s="14"/>
      <c r="CH75" s="14"/>
      <c r="CR75" s="1"/>
      <c r="CS75" s="1"/>
      <c r="DH75" s="14"/>
      <c r="DI75" s="14"/>
      <c r="DJ75" s="14"/>
      <c r="DK75" s="14"/>
    </row>
    <row r="76" spans="2:115" ht="12.75" customHeight="1" thickBot="1">
      <c r="B76" s="4"/>
      <c r="C76" s="20"/>
      <c r="D76" s="86"/>
      <c r="E76" s="23"/>
      <c r="F76" s="24"/>
      <c r="G76" s="23"/>
      <c r="H76" s="24"/>
      <c r="I76" s="24"/>
      <c r="J76" s="24"/>
      <c r="K76" s="24"/>
      <c r="L76" s="26"/>
      <c r="M76" s="21"/>
      <c r="N76" s="26"/>
      <c r="O76" s="21"/>
      <c r="P76" s="24"/>
      <c r="Q76" s="24"/>
      <c r="R76" s="26"/>
      <c r="S76" s="21"/>
      <c r="T76" s="26"/>
      <c r="U76" s="21"/>
      <c r="V76" s="26"/>
      <c r="W76" s="21"/>
      <c r="X76" s="26"/>
      <c r="Y76" s="21"/>
      <c r="Z76" s="23"/>
      <c r="AA76" s="24"/>
      <c r="AB76" s="26"/>
      <c r="AC76" s="21"/>
      <c r="AD76" s="26"/>
      <c r="AE76" s="21"/>
      <c r="AF76" s="26"/>
      <c r="AG76" s="21"/>
      <c r="AH76" s="26"/>
      <c r="AI76" s="21"/>
      <c r="AW76" s="14"/>
      <c r="AX76" s="14"/>
      <c r="AY76" s="14"/>
      <c r="AZ76" s="14"/>
      <c r="BO76" s="1"/>
      <c r="BP76" s="1"/>
      <c r="CE76" s="14"/>
      <c r="CF76" s="14"/>
      <c r="CG76" s="14"/>
      <c r="CH76" s="14"/>
      <c r="CR76" s="1"/>
      <c r="CS76" s="1"/>
      <c r="DH76" s="14"/>
      <c r="DI76" s="14"/>
      <c r="DJ76" s="14"/>
      <c r="DK76" s="14"/>
    </row>
    <row r="77" spans="2:115" ht="12.75" customHeight="1" thickBot="1">
      <c r="B77" s="4"/>
      <c r="C77" s="19" t="s">
        <v>12</v>
      </c>
      <c r="D77" s="87"/>
      <c r="F77" s="15">
        <f>SUM(F54:F73)</f>
        <v>328.29918000000004</v>
      </c>
      <c r="G77" s="27"/>
      <c r="H77" s="15">
        <f>SUM(H54:H73)</f>
        <v>190.7147</v>
      </c>
      <c r="I77" s="27"/>
      <c r="J77" s="15">
        <f>SUM(J54:J73)</f>
        <v>62.52960000000001</v>
      </c>
      <c r="K77" s="90"/>
      <c r="L77" s="27"/>
      <c r="M77" s="15">
        <f>SUM(M54:M73)</f>
        <v>192.60085</v>
      </c>
      <c r="N77" s="27"/>
      <c r="O77" s="15">
        <f>SUM(O54:O73)</f>
        <v>17.295600000000004</v>
      </c>
      <c r="P77" s="27"/>
      <c r="Q77" s="15">
        <f>SUM(Q54:Q73)</f>
        <v>11.9738</v>
      </c>
      <c r="R77" s="27"/>
      <c r="S77" s="15">
        <f>SUM(S54:S73)</f>
        <v>30.2496</v>
      </c>
      <c r="T77" s="27"/>
      <c r="U77" s="15">
        <f>SUM(U54:U73)</f>
        <v>89.79879999999999</v>
      </c>
      <c r="V77" s="27"/>
      <c r="W77" s="15">
        <f>SUM(W54:W73)</f>
        <v>90.73478999999999</v>
      </c>
      <c r="X77" s="27"/>
      <c r="Y77" s="15">
        <f>SUM(Y54:Y73)</f>
        <v>391.01450000000006</v>
      </c>
      <c r="Z77" s="27"/>
      <c r="AA77" s="15">
        <f>SUM(AA54:AA73)</f>
        <v>55.66874</v>
      </c>
      <c r="AB77" s="27"/>
      <c r="AC77" s="37">
        <f>SUM(AC53:AC73)</f>
        <v>106.8214</v>
      </c>
      <c r="AE77" s="15">
        <f>SUM(AE54:AE73)</f>
        <v>186.9495</v>
      </c>
      <c r="AG77" s="15">
        <f>SUM(AG54:AG73)</f>
        <v>689</v>
      </c>
      <c r="AI77" s="15">
        <f>SUM(AI54:AI73)</f>
        <v>208.55460000000002</v>
      </c>
      <c r="AW77" s="14"/>
      <c r="AX77" s="14"/>
      <c r="AY77" s="14"/>
      <c r="AZ77" s="14"/>
      <c r="BO77" s="1"/>
      <c r="BP77" s="1"/>
      <c r="CE77" s="14"/>
      <c r="CF77" s="14"/>
      <c r="CG77" s="14"/>
      <c r="CH77" s="14"/>
      <c r="CR77" s="1"/>
      <c r="CS77" s="1"/>
      <c r="DH77" s="14"/>
      <c r="DI77" s="14"/>
      <c r="DJ77" s="14"/>
      <c r="DK77" s="14"/>
    </row>
    <row r="78" spans="2:115" ht="12.75" customHeight="1">
      <c r="B78" s="1"/>
      <c r="C78" s="1"/>
      <c r="D78" s="1"/>
      <c r="T78" s="14"/>
      <c r="U78" s="14"/>
      <c r="V78" s="14"/>
      <c r="W78" s="14"/>
      <c r="AG78" s="1"/>
      <c r="AH78" s="1"/>
      <c r="AW78" s="14"/>
      <c r="AX78" s="14"/>
      <c r="AY78" s="14"/>
      <c r="AZ78" s="14"/>
      <c r="BO78" s="1"/>
      <c r="BP78" s="1"/>
      <c r="CE78" s="14"/>
      <c r="CF78" s="14"/>
      <c r="CG78" s="14"/>
      <c r="CH78" s="14"/>
      <c r="CR78" s="1"/>
      <c r="CS78" s="1"/>
      <c r="DH78" s="14"/>
      <c r="DI78" s="14"/>
      <c r="DJ78" s="14"/>
      <c r="DK78" s="14"/>
    </row>
    <row r="79" spans="2:115" ht="12.75" customHeight="1">
      <c r="B79" s="1"/>
      <c r="C79" s="1"/>
      <c r="D79" s="1"/>
      <c r="T79" s="14"/>
      <c r="U79" s="14"/>
      <c r="V79" s="14"/>
      <c r="W79" s="14"/>
      <c r="AG79" s="1"/>
      <c r="AH79" s="1"/>
      <c r="AW79" s="14"/>
      <c r="AX79" s="14"/>
      <c r="AY79" s="14"/>
      <c r="AZ79" s="14"/>
      <c r="BO79" s="1"/>
      <c r="BP79" s="1"/>
      <c r="CE79" s="14"/>
      <c r="CF79" s="14"/>
      <c r="CG79" s="14"/>
      <c r="CH79" s="14"/>
      <c r="CR79" s="1"/>
      <c r="CS79" s="1"/>
      <c r="DH79" s="14"/>
      <c r="DI79" s="14"/>
      <c r="DJ79" s="14"/>
      <c r="DK79" s="14"/>
    </row>
    <row r="80" spans="2:115" ht="33.75" customHeight="1" thickBot="1">
      <c r="B80" s="17" t="s">
        <v>10</v>
      </c>
      <c r="C80" s="17" t="s">
        <v>25</v>
      </c>
      <c r="D80" s="17"/>
      <c r="AG80" s="1"/>
      <c r="AH80" s="1"/>
      <c r="AW80" s="14"/>
      <c r="AX80" s="14"/>
      <c r="AY80" s="14"/>
      <c r="AZ80" s="14"/>
      <c r="BO80" s="1"/>
      <c r="BP80" s="1"/>
      <c r="CE80" s="14"/>
      <c r="CF80" s="14"/>
      <c r="CG80" s="14"/>
      <c r="CH80" s="14"/>
      <c r="CR80" s="1"/>
      <c r="CS80" s="1"/>
      <c r="DH80" s="14"/>
      <c r="DI80" s="14"/>
      <c r="DJ80" s="14"/>
      <c r="DK80" s="14"/>
    </row>
    <row r="81" spans="2:115" ht="53.25" customHeight="1">
      <c r="B81" s="9" t="s">
        <v>5</v>
      </c>
      <c r="C81" s="10" t="s">
        <v>4</v>
      </c>
      <c r="D81" s="82"/>
      <c r="E81" s="116" t="s">
        <v>9</v>
      </c>
      <c r="F81" s="117" t="s">
        <v>1</v>
      </c>
      <c r="G81" s="116"/>
      <c r="H81" s="124"/>
      <c r="I81" s="116" t="s">
        <v>38</v>
      </c>
      <c r="J81" s="117"/>
      <c r="K81" s="62"/>
      <c r="L81" s="116" t="s">
        <v>43</v>
      </c>
      <c r="M81" s="117"/>
      <c r="N81" s="116" t="s">
        <v>39</v>
      </c>
      <c r="O81" s="117"/>
      <c r="P81" s="116" t="s">
        <v>40</v>
      </c>
      <c r="Q81" s="117"/>
      <c r="R81" s="116" t="s">
        <v>41</v>
      </c>
      <c r="S81" s="117"/>
      <c r="T81" s="116" t="s">
        <v>42</v>
      </c>
      <c r="U81" s="117"/>
      <c r="V81" s="116" t="s">
        <v>48</v>
      </c>
      <c r="W81" s="117"/>
      <c r="X81" s="116" t="s">
        <v>32</v>
      </c>
      <c r="Y81" s="117"/>
      <c r="Z81" s="116" t="s">
        <v>117</v>
      </c>
      <c r="AA81" s="117"/>
      <c r="AB81" s="116"/>
      <c r="AC81" s="117"/>
      <c r="AD81" s="116"/>
      <c r="AE81" s="117"/>
      <c r="AF81" s="116"/>
      <c r="AG81" s="117"/>
      <c r="AH81" s="116"/>
      <c r="AI81" s="117"/>
      <c r="AW81" s="14"/>
      <c r="AX81" s="14"/>
      <c r="AY81" s="14"/>
      <c r="AZ81" s="14"/>
      <c r="BO81" s="1"/>
      <c r="BP81" s="1"/>
      <c r="CE81" s="14"/>
      <c r="CF81" s="14"/>
      <c r="CG81" s="14"/>
      <c r="CH81" s="14"/>
      <c r="CR81" s="1"/>
      <c r="CS81" s="1"/>
      <c r="DH81" s="14"/>
      <c r="DI81" s="14"/>
      <c r="DJ81" s="14"/>
      <c r="DK81" s="14"/>
    </row>
    <row r="82" spans="2:115" ht="18" customHeight="1">
      <c r="B82" s="7"/>
      <c r="C82" s="8" t="s">
        <v>0</v>
      </c>
      <c r="D82" s="83"/>
      <c r="E82" s="11" t="s">
        <v>3</v>
      </c>
      <c r="F82" s="12" t="s">
        <v>2</v>
      </c>
      <c r="G82" s="11" t="s">
        <v>3</v>
      </c>
      <c r="H82" s="12" t="s">
        <v>2</v>
      </c>
      <c r="I82" s="11" t="s">
        <v>0</v>
      </c>
      <c r="J82" s="12" t="s">
        <v>3</v>
      </c>
      <c r="K82" s="11" t="s">
        <v>3</v>
      </c>
      <c r="L82" s="11" t="s">
        <v>3</v>
      </c>
      <c r="M82" s="12" t="s">
        <v>2</v>
      </c>
      <c r="N82" s="11" t="s">
        <v>3</v>
      </c>
      <c r="O82" s="12" t="s">
        <v>2</v>
      </c>
      <c r="P82" s="11" t="s">
        <v>0</v>
      </c>
      <c r="Q82" s="12" t="s">
        <v>3</v>
      </c>
      <c r="R82" s="11" t="s">
        <v>3</v>
      </c>
      <c r="S82" s="12" t="s">
        <v>2</v>
      </c>
      <c r="T82" s="11" t="s">
        <v>3</v>
      </c>
      <c r="U82" s="12" t="s">
        <v>2</v>
      </c>
      <c r="V82" s="11" t="s">
        <v>3</v>
      </c>
      <c r="W82" s="12" t="s">
        <v>2</v>
      </c>
      <c r="X82" s="11" t="s">
        <v>0</v>
      </c>
      <c r="Y82" s="12" t="s">
        <v>3</v>
      </c>
      <c r="Z82" s="11" t="s">
        <v>0</v>
      </c>
      <c r="AA82" s="12" t="s">
        <v>3</v>
      </c>
      <c r="AB82" s="11"/>
      <c r="AC82" s="12"/>
      <c r="AD82" s="11"/>
      <c r="AE82" s="12"/>
      <c r="AF82" s="11"/>
      <c r="AG82" s="12"/>
      <c r="AH82" s="11"/>
      <c r="AI82" s="12"/>
      <c r="AW82" s="14"/>
      <c r="AX82" s="14"/>
      <c r="AY82" s="14"/>
      <c r="AZ82" s="14"/>
      <c r="BO82" s="1"/>
      <c r="BP82" s="1"/>
      <c r="CE82" s="14"/>
      <c r="CF82" s="14"/>
      <c r="CG82" s="14"/>
      <c r="CH82" s="14"/>
      <c r="CR82" s="1"/>
      <c r="CS82" s="1"/>
      <c r="DH82" s="14"/>
      <c r="DI82" s="14"/>
      <c r="DJ82" s="14"/>
      <c r="DK82" s="14"/>
    </row>
    <row r="83" spans="2:115" ht="9" customHeight="1">
      <c r="B83" s="131" t="s">
        <v>22</v>
      </c>
      <c r="C83" s="6"/>
      <c r="D83" s="122">
        <v>4.55</v>
      </c>
      <c r="E83" s="118">
        <f>1.1*D83</f>
        <v>5.005</v>
      </c>
      <c r="F83" s="13"/>
      <c r="G83" s="119"/>
      <c r="H83" s="13"/>
      <c r="I83" s="119">
        <v>3.15</v>
      </c>
      <c r="J83" s="13"/>
      <c r="K83" s="119">
        <v>3.19</v>
      </c>
      <c r="L83" s="114">
        <f>1.3*K83</f>
        <v>4.147</v>
      </c>
      <c r="M83" s="13"/>
      <c r="N83" s="134">
        <v>1.3</v>
      </c>
      <c r="O83" s="13"/>
      <c r="P83" s="114">
        <v>2.65</v>
      </c>
      <c r="Q83" s="13"/>
      <c r="R83" s="114">
        <f>0.4*2.65</f>
        <v>1.06</v>
      </c>
      <c r="S83" s="13"/>
      <c r="T83" s="119">
        <v>0.54</v>
      </c>
      <c r="U83" s="13"/>
      <c r="V83" s="114">
        <v>0.18</v>
      </c>
      <c r="W83" s="13"/>
      <c r="X83" s="114">
        <f>0.4+3.1</f>
        <v>3.5</v>
      </c>
      <c r="Y83" s="13"/>
      <c r="Z83" s="119">
        <v>3.99</v>
      </c>
      <c r="AA83" s="13"/>
      <c r="AB83" s="119"/>
      <c r="AC83" s="13"/>
      <c r="AD83" s="119"/>
      <c r="AE83" s="13"/>
      <c r="AF83" s="114"/>
      <c r="AG83" s="13"/>
      <c r="AH83" s="114"/>
      <c r="AI83" s="13"/>
      <c r="AW83" s="14"/>
      <c r="AX83" s="14"/>
      <c r="AY83" s="14"/>
      <c r="AZ83" s="14"/>
      <c r="BO83" s="1"/>
      <c r="BP83" s="1"/>
      <c r="CE83" s="14"/>
      <c r="CF83" s="14"/>
      <c r="CG83" s="14"/>
      <c r="CH83" s="14"/>
      <c r="CR83" s="1"/>
      <c r="CS83" s="1"/>
      <c r="DH83" s="14"/>
      <c r="DI83" s="14"/>
      <c r="DJ83" s="14"/>
      <c r="DK83" s="14"/>
    </row>
    <row r="84" spans="2:115" ht="9" customHeight="1">
      <c r="B84" s="131"/>
      <c r="C84" s="130">
        <v>10.57</v>
      </c>
      <c r="D84" s="123"/>
      <c r="E84" s="115"/>
      <c r="F84" s="129">
        <f>((E83+E85)/2)*C84</f>
        <v>52.90285</v>
      </c>
      <c r="G84" s="119"/>
      <c r="H84" s="120">
        <f>((G83+G85)/2)*C84</f>
        <v>0</v>
      </c>
      <c r="I84" s="119"/>
      <c r="J84" s="129">
        <f>((I83+I85)/2)*C84</f>
        <v>33.2955</v>
      </c>
      <c r="K84" s="119"/>
      <c r="L84" s="115"/>
      <c r="M84" s="120">
        <f>((L83+L85)/2)*C84</f>
        <v>44.10861</v>
      </c>
      <c r="N84" s="135"/>
      <c r="O84" s="129">
        <f>((N83+N85)/2)*C84</f>
        <v>13.741000000000001</v>
      </c>
      <c r="P84" s="115"/>
      <c r="Q84" s="129">
        <f>((P83+P85)/2)*(C84-0.6)</f>
        <v>26.4205</v>
      </c>
      <c r="R84" s="115"/>
      <c r="S84" s="120">
        <f>((R83+R85)/2)*(C84-0.6)</f>
        <v>10.568200000000001</v>
      </c>
      <c r="T84" s="119"/>
      <c r="U84" s="120">
        <f>((T83+T85)/2)*C84</f>
        <v>5.707800000000001</v>
      </c>
      <c r="V84" s="115"/>
      <c r="W84" s="120">
        <f>((V83+V85)/2)*C84</f>
        <v>1.9026</v>
      </c>
      <c r="X84" s="115"/>
      <c r="Y84" s="120">
        <f>((X83+X85)/2)*C84</f>
        <v>37.25925</v>
      </c>
      <c r="Z84" s="119"/>
      <c r="AA84" s="120">
        <f>((Z83+Z85)/2)*C84</f>
        <v>43.072750000000006</v>
      </c>
      <c r="AB84" s="119"/>
      <c r="AC84" s="120">
        <f>((AB83+AB85)/2)*C84</f>
        <v>0</v>
      </c>
      <c r="AD84" s="119"/>
      <c r="AE84" s="120">
        <f>((AD83+AD85)/2)*C84</f>
        <v>0</v>
      </c>
      <c r="AF84" s="115"/>
      <c r="AG84" s="110">
        <f>((AF83+AF85)/2)*C84</f>
        <v>0</v>
      </c>
      <c r="AH84" s="115"/>
      <c r="AI84" s="110">
        <f>((AH83+AH85)/2)*C84</f>
        <v>0</v>
      </c>
      <c r="AW84" s="14"/>
      <c r="AX84" s="14"/>
      <c r="AY84" s="14"/>
      <c r="AZ84" s="14"/>
      <c r="BO84" s="1"/>
      <c r="BP84" s="1"/>
      <c r="CE84" s="14"/>
      <c r="CF84" s="14"/>
      <c r="CG84" s="14"/>
      <c r="CH84" s="14"/>
      <c r="CR84" s="1"/>
      <c r="CS84" s="1"/>
      <c r="DH84" s="14"/>
      <c r="DI84" s="14"/>
      <c r="DJ84" s="14"/>
      <c r="DK84" s="14"/>
    </row>
    <row r="85" spans="2:115" ht="9" customHeight="1">
      <c r="B85" s="131">
        <v>17</v>
      </c>
      <c r="C85" s="130"/>
      <c r="D85" s="122">
        <v>4.55</v>
      </c>
      <c r="E85" s="118">
        <f>1.1*D85</f>
        <v>5.005</v>
      </c>
      <c r="F85" s="129"/>
      <c r="G85" s="119"/>
      <c r="H85" s="120"/>
      <c r="I85" s="119">
        <v>3.15</v>
      </c>
      <c r="J85" s="129"/>
      <c r="K85" s="119">
        <v>3.23</v>
      </c>
      <c r="L85" s="114">
        <f>1.3*K85</f>
        <v>4.199</v>
      </c>
      <c r="M85" s="120"/>
      <c r="N85" s="132">
        <v>1.3</v>
      </c>
      <c r="O85" s="129"/>
      <c r="P85" s="114">
        <v>2.65</v>
      </c>
      <c r="Q85" s="129"/>
      <c r="R85" s="114">
        <f>0.4*2.65</f>
        <v>1.06</v>
      </c>
      <c r="S85" s="120"/>
      <c r="T85" s="119">
        <v>0.54</v>
      </c>
      <c r="U85" s="120"/>
      <c r="V85" s="114">
        <v>0.18</v>
      </c>
      <c r="W85" s="120"/>
      <c r="X85" s="114">
        <f>0.4+3.15</f>
        <v>3.55</v>
      </c>
      <c r="Y85" s="120"/>
      <c r="Z85" s="119">
        <v>4.16</v>
      </c>
      <c r="AA85" s="120"/>
      <c r="AB85" s="119"/>
      <c r="AC85" s="120"/>
      <c r="AD85" s="119"/>
      <c r="AE85" s="120"/>
      <c r="AF85" s="114"/>
      <c r="AG85" s="111"/>
      <c r="AH85" s="114"/>
      <c r="AI85" s="111"/>
      <c r="AW85" s="14"/>
      <c r="AX85" s="14"/>
      <c r="AY85" s="14"/>
      <c r="AZ85" s="14"/>
      <c r="BO85" s="1"/>
      <c r="BP85" s="1"/>
      <c r="CE85" s="14"/>
      <c r="CF85" s="14"/>
      <c r="CG85" s="14"/>
      <c r="CH85" s="14"/>
      <c r="CR85" s="1"/>
      <c r="CS85" s="1"/>
      <c r="DH85" s="14"/>
      <c r="DI85" s="14"/>
      <c r="DJ85" s="14"/>
      <c r="DK85" s="14"/>
    </row>
    <row r="86" spans="2:115" ht="9" customHeight="1">
      <c r="B86" s="131"/>
      <c r="C86" s="130">
        <v>11.43</v>
      </c>
      <c r="D86" s="123"/>
      <c r="E86" s="115"/>
      <c r="F86" s="129">
        <f>((E85+E87)/2)*C86</f>
        <v>58.02439499999999</v>
      </c>
      <c r="G86" s="119"/>
      <c r="H86" s="120">
        <f>((G85+G87)/2)*C86</f>
        <v>0</v>
      </c>
      <c r="I86" s="119"/>
      <c r="J86" s="129">
        <f>((I85+I87)/2)*C86</f>
        <v>36.576</v>
      </c>
      <c r="K86" s="119"/>
      <c r="L86" s="115"/>
      <c r="M86" s="120">
        <f>((L85+L87)/2)*C86</f>
        <v>48.29174999999999</v>
      </c>
      <c r="N86" s="133"/>
      <c r="O86" s="129">
        <f>((N85+N87)/2)*C86</f>
        <v>14.859</v>
      </c>
      <c r="P86" s="115"/>
      <c r="Q86" s="129">
        <f>((P85+P87)/2)*C86</f>
        <v>30.289499999999997</v>
      </c>
      <c r="R86" s="115"/>
      <c r="S86" s="120">
        <f>((R85+R87)/2)*C86</f>
        <v>12.1158</v>
      </c>
      <c r="T86" s="119"/>
      <c r="U86" s="120">
        <f>((T85+T87)/2)*C86</f>
        <v>6.1722</v>
      </c>
      <c r="V86" s="115"/>
      <c r="W86" s="120">
        <f>((V85+V87)/2)*C86</f>
        <v>2.0574</v>
      </c>
      <c r="X86" s="115"/>
      <c r="Y86" s="120">
        <f>((X85+X87)/2)*C86</f>
        <v>41.433749999999996</v>
      </c>
      <c r="Z86" s="119"/>
      <c r="AA86" s="120">
        <f>((Z85+Z87)/2)*C86</f>
        <v>48.52035</v>
      </c>
      <c r="AB86" s="119"/>
      <c r="AC86" s="120">
        <f>((AB85+AB87)/2)*C86</f>
        <v>0</v>
      </c>
      <c r="AD86" s="119"/>
      <c r="AE86" s="120">
        <f>((AD85+AD87)/2)*C86</f>
        <v>0</v>
      </c>
      <c r="AF86" s="115"/>
      <c r="AG86" s="110">
        <f>((AF85+AF87)/2)*C86</f>
        <v>0</v>
      </c>
      <c r="AH86" s="115"/>
      <c r="AI86" s="110">
        <f>((AH85+AH87)/2)*C86</f>
        <v>0</v>
      </c>
      <c r="AW86" s="14"/>
      <c r="AX86" s="14"/>
      <c r="AY86" s="14"/>
      <c r="AZ86" s="14"/>
      <c r="BO86" s="1"/>
      <c r="BP86" s="1"/>
      <c r="CE86" s="14"/>
      <c r="CF86" s="14"/>
      <c r="CG86" s="14"/>
      <c r="CH86" s="14"/>
      <c r="CR86" s="1"/>
      <c r="CS86" s="1"/>
      <c r="DH86" s="14"/>
      <c r="DI86" s="14"/>
      <c r="DJ86" s="14"/>
      <c r="DK86" s="14"/>
    </row>
    <row r="87" spans="2:115" ht="9" customHeight="1">
      <c r="B87" s="131" t="s">
        <v>100</v>
      </c>
      <c r="C87" s="130"/>
      <c r="D87" s="122">
        <v>4.68</v>
      </c>
      <c r="E87" s="118">
        <f>1.1*D87</f>
        <v>5.148</v>
      </c>
      <c r="F87" s="129"/>
      <c r="G87" s="119"/>
      <c r="H87" s="120"/>
      <c r="I87" s="119">
        <v>3.25</v>
      </c>
      <c r="J87" s="129"/>
      <c r="K87" s="119">
        <v>3.27</v>
      </c>
      <c r="L87" s="114">
        <f>1.3*K87</f>
        <v>4.251</v>
      </c>
      <c r="M87" s="120"/>
      <c r="N87" s="119">
        <v>1.3</v>
      </c>
      <c r="O87" s="129"/>
      <c r="P87" s="114">
        <v>2.65</v>
      </c>
      <c r="Q87" s="129"/>
      <c r="R87" s="114">
        <f>0.4*2.65</f>
        <v>1.06</v>
      </c>
      <c r="S87" s="120"/>
      <c r="T87" s="119">
        <v>0.54</v>
      </c>
      <c r="U87" s="120"/>
      <c r="V87" s="114">
        <v>0.18</v>
      </c>
      <c r="W87" s="120"/>
      <c r="X87" s="114">
        <f>0.4+3.3</f>
        <v>3.6999999999999997</v>
      </c>
      <c r="Y87" s="120"/>
      <c r="Z87" s="119">
        <v>4.33</v>
      </c>
      <c r="AA87" s="120"/>
      <c r="AB87" s="119"/>
      <c r="AC87" s="120"/>
      <c r="AD87" s="119"/>
      <c r="AE87" s="120"/>
      <c r="AF87" s="114"/>
      <c r="AG87" s="111"/>
      <c r="AH87" s="114"/>
      <c r="AI87" s="111"/>
      <c r="AW87" s="14"/>
      <c r="AX87" s="14"/>
      <c r="AY87" s="14"/>
      <c r="AZ87" s="14"/>
      <c r="BO87" s="1"/>
      <c r="BP87" s="1"/>
      <c r="CE87" s="14"/>
      <c r="CF87" s="14"/>
      <c r="CG87" s="14"/>
      <c r="CH87" s="14"/>
      <c r="CR87" s="1"/>
      <c r="CS87" s="1"/>
      <c r="DH87" s="14"/>
      <c r="DI87" s="14"/>
      <c r="DJ87" s="14"/>
      <c r="DK87" s="14"/>
    </row>
    <row r="88" spans="2:115" ht="9" customHeight="1">
      <c r="B88" s="131"/>
      <c r="C88" s="130"/>
      <c r="D88" s="123"/>
      <c r="E88" s="115"/>
      <c r="F88" s="129">
        <f>((E87+E89)/2)*C88</f>
        <v>0</v>
      </c>
      <c r="G88" s="119"/>
      <c r="H88" s="120">
        <f>((G87+G89)/2)*C88</f>
        <v>0</v>
      </c>
      <c r="I88" s="119"/>
      <c r="J88" s="129">
        <f>((I87+I89)/2)*C88</f>
        <v>0</v>
      </c>
      <c r="K88" s="119"/>
      <c r="L88" s="115"/>
      <c r="M88" s="120">
        <f>((L87+L89)/2)*C88</f>
        <v>0</v>
      </c>
      <c r="N88" s="119"/>
      <c r="O88" s="129">
        <f>((N87+N89)/2)*C88</f>
        <v>0</v>
      </c>
      <c r="P88" s="115"/>
      <c r="Q88" s="129">
        <f>((P87+P89)/2)*C88</f>
        <v>0</v>
      </c>
      <c r="R88" s="115"/>
      <c r="S88" s="120">
        <f>((R87+R89)/2)*C88</f>
        <v>0</v>
      </c>
      <c r="T88" s="119"/>
      <c r="U88" s="120">
        <f>((T87+T89)/2)*C88</f>
        <v>0</v>
      </c>
      <c r="V88" s="115"/>
      <c r="W88" s="120">
        <f>((V87+V89)/2)*C88</f>
        <v>0</v>
      </c>
      <c r="X88" s="115"/>
      <c r="Y88" s="120">
        <f>((X87+X89)/2)*C88</f>
        <v>0</v>
      </c>
      <c r="Z88" s="119"/>
      <c r="AA88" s="120">
        <f>((Z87+Z89)/2)*C88</f>
        <v>0</v>
      </c>
      <c r="AB88" s="119"/>
      <c r="AC88" s="120">
        <f>((AB87+AB89)/2)*C88</f>
        <v>0</v>
      </c>
      <c r="AD88" s="119"/>
      <c r="AE88" s="120">
        <f>((AD87+AD89)/2)*C88</f>
        <v>0</v>
      </c>
      <c r="AF88" s="115"/>
      <c r="AG88" s="110">
        <f>((AF87+AF89)/2)*C88</f>
        <v>0</v>
      </c>
      <c r="AH88" s="115"/>
      <c r="AI88" s="110">
        <f>((AH87+AH89)/2)*C88</f>
        <v>0</v>
      </c>
      <c r="AW88" s="14"/>
      <c r="AX88" s="14"/>
      <c r="AY88" s="14"/>
      <c r="AZ88" s="14"/>
      <c r="BO88" s="1"/>
      <c r="BP88" s="1"/>
      <c r="CE88" s="14"/>
      <c r="CF88" s="14"/>
      <c r="CG88" s="14"/>
      <c r="CH88" s="14"/>
      <c r="CR88" s="1"/>
      <c r="CS88" s="1"/>
      <c r="DH88" s="14"/>
      <c r="DI88" s="14"/>
      <c r="DJ88" s="14"/>
      <c r="DK88" s="14"/>
    </row>
    <row r="89" spans="2:115" ht="9" customHeight="1">
      <c r="B89" s="131"/>
      <c r="C89" s="130"/>
      <c r="D89" s="84"/>
      <c r="E89" s="119"/>
      <c r="F89" s="129"/>
      <c r="G89" s="119"/>
      <c r="H89" s="120"/>
      <c r="I89" s="119"/>
      <c r="J89" s="129"/>
      <c r="K89" s="89"/>
      <c r="L89" s="119"/>
      <c r="M89" s="120"/>
      <c r="N89" s="119"/>
      <c r="O89" s="129"/>
      <c r="P89" s="119"/>
      <c r="Q89" s="129"/>
      <c r="R89" s="119"/>
      <c r="S89" s="120"/>
      <c r="T89" s="119"/>
      <c r="U89" s="120"/>
      <c r="V89" s="119"/>
      <c r="W89" s="120"/>
      <c r="X89" s="119"/>
      <c r="Y89" s="120"/>
      <c r="Z89" s="119"/>
      <c r="AA89" s="120"/>
      <c r="AB89" s="119"/>
      <c r="AC89" s="120"/>
      <c r="AD89" s="119"/>
      <c r="AE89" s="120"/>
      <c r="AF89" s="114"/>
      <c r="AG89" s="111"/>
      <c r="AH89" s="114"/>
      <c r="AI89" s="111"/>
      <c r="AW89" s="14"/>
      <c r="AX89" s="14"/>
      <c r="AY89" s="14"/>
      <c r="AZ89" s="14"/>
      <c r="BO89" s="1"/>
      <c r="BP89" s="1"/>
      <c r="CE89" s="14"/>
      <c r="CF89" s="14"/>
      <c r="CG89" s="14"/>
      <c r="CH89" s="14"/>
      <c r="CR89" s="1"/>
      <c r="CS89" s="1"/>
      <c r="DH89" s="14"/>
      <c r="DI89" s="14"/>
      <c r="DJ89" s="14"/>
      <c r="DK89" s="14"/>
    </row>
    <row r="90" spans="2:115" ht="9" customHeight="1">
      <c r="B90" s="131"/>
      <c r="C90" s="130"/>
      <c r="D90" s="84"/>
      <c r="E90" s="119"/>
      <c r="F90" s="129">
        <f>((E89+E91)/2)*C90</f>
        <v>0</v>
      </c>
      <c r="G90" s="119"/>
      <c r="H90" s="120">
        <f>((G89+G91)/2)*C90</f>
        <v>0</v>
      </c>
      <c r="I90" s="119"/>
      <c r="J90" s="129">
        <f>((I89+I91)/2)*C90</f>
        <v>0</v>
      </c>
      <c r="K90" s="89"/>
      <c r="L90" s="119"/>
      <c r="M90" s="120">
        <f>((L89+L91)/2)*C90</f>
        <v>0</v>
      </c>
      <c r="N90" s="119"/>
      <c r="O90" s="129">
        <f>((N89+N91)/2)*C90</f>
        <v>0</v>
      </c>
      <c r="P90" s="119"/>
      <c r="Q90" s="129">
        <f>((P89+P91)/2)*C90</f>
        <v>0</v>
      </c>
      <c r="R90" s="119"/>
      <c r="S90" s="120">
        <f>((R89+R91)/2)*C90</f>
        <v>0</v>
      </c>
      <c r="T90" s="119"/>
      <c r="U90" s="120">
        <f>((T89+T91)/2)*C90</f>
        <v>0</v>
      </c>
      <c r="V90" s="119"/>
      <c r="W90" s="120">
        <f>((V89+V91)/2)*C90</f>
        <v>0</v>
      </c>
      <c r="X90" s="119"/>
      <c r="Y90" s="120">
        <f>((X89+X91)/2)*C90</f>
        <v>0</v>
      </c>
      <c r="Z90" s="119"/>
      <c r="AA90" s="120">
        <f>((Z89+Z91)/2)*C90</f>
        <v>0</v>
      </c>
      <c r="AB90" s="119"/>
      <c r="AC90" s="120">
        <f>((AB89+AB91)/2)*C90</f>
        <v>0</v>
      </c>
      <c r="AD90" s="119"/>
      <c r="AE90" s="120">
        <f>((AD89+AD91)/2)*C90</f>
        <v>0</v>
      </c>
      <c r="AF90" s="115"/>
      <c r="AG90" s="110">
        <f>((AF89+AF91)/2)*C90</f>
        <v>0</v>
      </c>
      <c r="AH90" s="115"/>
      <c r="AI90" s="110">
        <f>((AH89+AH91)/2)*C90</f>
        <v>0</v>
      </c>
      <c r="AW90" s="14"/>
      <c r="AX90" s="14"/>
      <c r="AY90" s="14"/>
      <c r="AZ90" s="14"/>
      <c r="BO90" s="1"/>
      <c r="BP90" s="1"/>
      <c r="CE90" s="14"/>
      <c r="CF90" s="14"/>
      <c r="CG90" s="14"/>
      <c r="CH90" s="14"/>
      <c r="CR90" s="1"/>
      <c r="CS90" s="1"/>
      <c r="DH90" s="14"/>
      <c r="DI90" s="14"/>
      <c r="DJ90" s="14"/>
      <c r="DK90" s="14"/>
    </row>
    <row r="91" spans="2:115" ht="9" customHeight="1">
      <c r="B91" s="131"/>
      <c r="C91" s="130"/>
      <c r="D91" s="84"/>
      <c r="E91" s="119"/>
      <c r="F91" s="129"/>
      <c r="G91" s="119"/>
      <c r="H91" s="120"/>
      <c r="I91" s="119"/>
      <c r="J91" s="129"/>
      <c r="K91" s="89"/>
      <c r="L91" s="119"/>
      <c r="M91" s="120"/>
      <c r="N91" s="119"/>
      <c r="O91" s="129"/>
      <c r="P91" s="119"/>
      <c r="Q91" s="129"/>
      <c r="R91" s="119"/>
      <c r="S91" s="120"/>
      <c r="T91" s="119"/>
      <c r="U91" s="120"/>
      <c r="V91" s="119"/>
      <c r="W91" s="120"/>
      <c r="X91" s="119"/>
      <c r="Y91" s="120"/>
      <c r="Z91" s="119"/>
      <c r="AA91" s="120"/>
      <c r="AB91" s="119"/>
      <c r="AC91" s="120"/>
      <c r="AD91" s="119"/>
      <c r="AE91" s="120"/>
      <c r="AF91" s="114"/>
      <c r="AG91" s="111"/>
      <c r="AH91" s="114"/>
      <c r="AI91" s="111"/>
      <c r="AW91" s="14"/>
      <c r="AX91" s="14"/>
      <c r="AY91" s="14"/>
      <c r="AZ91" s="14"/>
      <c r="BO91" s="1"/>
      <c r="BP91" s="1"/>
      <c r="CE91" s="14"/>
      <c r="CF91" s="14"/>
      <c r="CG91" s="14"/>
      <c r="CH91" s="14"/>
      <c r="CR91" s="1"/>
      <c r="CS91" s="1"/>
      <c r="DH91" s="14"/>
      <c r="DI91" s="14"/>
      <c r="DJ91" s="14"/>
      <c r="DK91" s="14"/>
    </row>
    <row r="92" spans="2:115" ht="9" customHeight="1">
      <c r="B92" s="131"/>
      <c r="C92" s="130"/>
      <c r="D92" s="84"/>
      <c r="E92" s="119"/>
      <c r="F92" s="129">
        <f>((E91+E93)/2)*C92</f>
        <v>0</v>
      </c>
      <c r="G92" s="119"/>
      <c r="H92" s="120">
        <f>((G91+G93)/2)*C92</f>
        <v>0</v>
      </c>
      <c r="I92" s="119"/>
      <c r="J92" s="129">
        <f>((I91+I93)/2)*C92</f>
        <v>0</v>
      </c>
      <c r="K92" s="89"/>
      <c r="L92" s="119"/>
      <c r="M92" s="120">
        <f>((L91+L93)/2)*C92</f>
        <v>0</v>
      </c>
      <c r="N92" s="119"/>
      <c r="O92" s="129">
        <f>((N91+N93)/2)*C92</f>
        <v>0</v>
      </c>
      <c r="P92" s="119"/>
      <c r="Q92" s="129">
        <f>((P91+P93)/2)*C92</f>
        <v>0</v>
      </c>
      <c r="R92" s="119"/>
      <c r="S92" s="120">
        <f>((R91+R93)/2)*C92</f>
        <v>0</v>
      </c>
      <c r="T92" s="119"/>
      <c r="U92" s="120">
        <f>((T91+T93)/2)*C92</f>
        <v>0</v>
      </c>
      <c r="V92" s="119"/>
      <c r="W92" s="120">
        <f>((V91+V93)/2)*C92</f>
        <v>0</v>
      </c>
      <c r="X92" s="119"/>
      <c r="Y92" s="120">
        <f>((X91+X93)/2)*C92</f>
        <v>0</v>
      </c>
      <c r="Z92" s="119"/>
      <c r="AA92" s="120">
        <f>((Z91+Z93)/2)*C92</f>
        <v>0</v>
      </c>
      <c r="AB92" s="119"/>
      <c r="AC92" s="120">
        <f>((AB91+AB93)/2)*C92</f>
        <v>0</v>
      </c>
      <c r="AD92" s="119"/>
      <c r="AE92" s="120">
        <f>((AD91+AD93)/2)*C92</f>
        <v>0</v>
      </c>
      <c r="AF92" s="115"/>
      <c r="AG92" s="110">
        <f>((AF91+AF93)/2)*C92</f>
        <v>0</v>
      </c>
      <c r="AH92" s="115"/>
      <c r="AI92" s="110">
        <f>((AH91+AH93)/2)*C92</f>
        <v>0</v>
      </c>
      <c r="AW92" s="14"/>
      <c r="AX92" s="14"/>
      <c r="AY92" s="14"/>
      <c r="AZ92" s="14"/>
      <c r="BO92" s="1"/>
      <c r="BP92" s="1"/>
      <c r="CE92" s="14"/>
      <c r="CF92" s="14"/>
      <c r="CG92" s="14"/>
      <c r="CH92" s="14"/>
      <c r="CR92" s="1"/>
      <c r="CS92" s="1"/>
      <c r="DH92" s="14"/>
      <c r="DI92" s="14"/>
      <c r="DJ92" s="14"/>
      <c r="DK92" s="14"/>
    </row>
    <row r="93" spans="2:115" ht="9" customHeight="1">
      <c r="B93" s="70"/>
      <c r="C93" s="130"/>
      <c r="D93" s="84"/>
      <c r="E93" s="68"/>
      <c r="F93" s="129"/>
      <c r="G93" s="68"/>
      <c r="H93" s="120"/>
      <c r="I93" s="68"/>
      <c r="J93" s="129"/>
      <c r="K93" s="89"/>
      <c r="L93" s="68"/>
      <c r="M93" s="120"/>
      <c r="N93" s="68"/>
      <c r="O93" s="129"/>
      <c r="P93" s="68"/>
      <c r="Q93" s="129"/>
      <c r="R93" s="68"/>
      <c r="S93" s="120"/>
      <c r="T93" s="68"/>
      <c r="U93" s="120"/>
      <c r="V93" s="68"/>
      <c r="W93" s="120"/>
      <c r="X93" s="68"/>
      <c r="Y93" s="120"/>
      <c r="Z93" s="68"/>
      <c r="AA93" s="120"/>
      <c r="AB93" s="68"/>
      <c r="AC93" s="120"/>
      <c r="AD93" s="68"/>
      <c r="AE93" s="120"/>
      <c r="AF93" s="67"/>
      <c r="AG93" s="111"/>
      <c r="AH93" s="67"/>
      <c r="AI93" s="111"/>
      <c r="AW93" s="14"/>
      <c r="AX93" s="14"/>
      <c r="AY93" s="14"/>
      <c r="AZ93" s="14"/>
      <c r="BO93" s="1"/>
      <c r="BP93" s="1"/>
      <c r="CE93" s="14"/>
      <c r="CF93" s="14"/>
      <c r="CG93" s="14"/>
      <c r="CH93" s="14"/>
      <c r="CR93" s="1"/>
      <c r="CS93" s="1"/>
      <c r="DH93" s="14"/>
      <c r="DI93" s="14"/>
      <c r="DJ93" s="14"/>
      <c r="DK93" s="14"/>
    </row>
    <row r="94" spans="2:115" ht="9" customHeight="1" thickBot="1">
      <c r="B94" s="29"/>
      <c r="C94" s="30"/>
      <c r="D94" s="30"/>
      <c r="E94" s="31"/>
      <c r="F94" s="32"/>
      <c r="G94" s="31"/>
      <c r="H94" s="31"/>
      <c r="I94" s="31"/>
      <c r="J94" s="32"/>
      <c r="K94" s="32"/>
      <c r="L94" s="31"/>
      <c r="M94" s="31"/>
      <c r="N94" s="31"/>
      <c r="O94" s="32"/>
      <c r="P94" s="31"/>
      <c r="Q94" s="32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W94" s="14"/>
      <c r="AX94" s="14"/>
      <c r="AY94" s="14"/>
      <c r="AZ94" s="14"/>
      <c r="BO94" s="1"/>
      <c r="BP94" s="1"/>
      <c r="CE94" s="14"/>
      <c r="CF94" s="14"/>
      <c r="CG94" s="14"/>
      <c r="CH94" s="14"/>
      <c r="CR94" s="1"/>
      <c r="CS94" s="1"/>
      <c r="DH94" s="14"/>
      <c r="DI94" s="14"/>
      <c r="DJ94" s="14"/>
      <c r="DK94" s="14"/>
    </row>
    <row r="95" spans="2:115" ht="13.5" thickBot="1">
      <c r="B95" s="4"/>
      <c r="C95" s="20"/>
      <c r="D95" s="86"/>
      <c r="E95" s="23"/>
      <c r="F95" s="24"/>
      <c r="G95" s="23"/>
      <c r="H95" s="24"/>
      <c r="I95" s="24"/>
      <c r="J95" s="24"/>
      <c r="K95" s="24"/>
      <c r="L95" s="26"/>
      <c r="M95" s="21"/>
      <c r="N95" s="26"/>
      <c r="O95" s="21"/>
      <c r="P95" s="24"/>
      <c r="Q95" s="24"/>
      <c r="R95" s="26"/>
      <c r="S95" s="21"/>
      <c r="T95" s="26"/>
      <c r="U95" s="21"/>
      <c r="V95" s="26"/>
      <c r="W95" s="21"/>
      <c r="X95" s="26"/>
      <c r="Y95" s="21"/>
      <c r="Z95" s="23"/>
      <c r="AA95" s="24"/>
      <c r="AB95" s="26"/>
      <c r="AC95" s="21"/>
      <c r="AD95" s="26"/>
      <c r="AE95" s="21"/>
      <c r="AF95" s="26"/>
      <c r="AG95" s="21"/>
      <c r="AH95" s="26"/>
      <c r="AI95" s="21"/>
      <c r="AW95" s="14"/>
      <c r="AX95" s="14"/>
      <c r="AY95" s="14"/>
      <c r="AZ95" s="14"/>
      <c r="BO95" s="1"/>
      <c r="BP95" s="1"/>
      <c r="CE95" s="14"/>
      <c r="CF95" s="14"/>
      <c r="CG95" s="14"/>
      <c r="CH95" s="14"/>
      <c r="CR95" s="1"/>
      <c r="CS95" s="1"/>
      <c r="DH95" s="14"/>
      <c r="DI95" s="14"/>
      <c r="DJ95" s="14"/>
      <c r="DK95" s="14"/>
    </row>
    <row r="96" spans="2:115" ht="13.5" thickBot="1">
      <c r="B96" s="4"/>
      <c r="C96" s="19" t="s">
        <v>25</v>
      </c>
      <c r="D96" s="87"/>
      <c r="F96" s="15">
        <f>SUM(F83:F93)</f>
        <v>110.927245</v>
      </c>
      <c r="G96" s="27"/>
      <c r="H96" s="15">
        <f>SUM(H83:H93)</f>
        <v>0</v>
      </c>
      <c r="I96" s="27"/>
      <c r="J96" s="15">
        <f>SUM(J83:J93)</f>
        <v>69.8715</v>
      </c>
      <c r="K96" s="90"/>
      <c r="L96" s="27"/>
      <c r="M96" s="15">
        <f>SUM(M83:M93)</f>
        <v>92.40035999999999</v>
      </c>
      <c r="N96" s="27"/>
      <c r="O96" s="15">
        <f>SUM(O83:O93)</f>
        <v>28.6</v>
      </c>
      <c r="P96" s="27"/>
      <c r="Q96" s="56">
        <f>SUM(Q83:Q93)</f>
        <v>56.709999999999994</v>
      </c>
      <c r="R96" s="57"/>
      <c r="S96" s="56">
        <f>SUM(S83:S93)</f>
        <v>22.684</v>
      </c>
      <c r="T96" s="27"/>
      <c r="U96" s="15">
        <f>SUM(U83:U93)</f>
        <v>11.88</v>
      </c>
      <c r="V96" s="27"/>
      <c r="W96" s="15">
        <f>SUM(W83:W93)</f>
        <v>3.96</v>
      </c>
      <c r="X96" s="27"/>
      <c r="Y96" s="15">
        <f>SUM(Y83:Y93)</f>
        <v>78.693</v>
      </c>
      <c r="Z96" s="27"/>
      <c r="AA96" s="15">
        <f>SUM(AA83:AA93)</f>
        <v>91.5931</v>
      </c>
      <c r="AB96" s="27"/>
      <c r="AC96" s="56">
        <f>SUM(AC83:AC93)</f>
        <v>0</v>
      </c>
      <c r="AE96" s="56">
        <f>SUM(AE83:AE93)</f>
        <v>0</v>
      </c>
      <c r="AG96" s="56">
        <f>SUM(AG83:AG93)</f>
        <v>0</v>
      </c>
      <c r="AI96" s="56">
        <f>SUM(AI83:AI93)</f>
        <v>0</v>
      </c>
      <c r="AW96" s="14"/>
      <c r="AX96" s="14"/>
      <c r="AY96" s="14"/>
      <c r="AZ96" s="14"/>
      <c r="BO96" s="1"/>
      <c r="BP96" s="1"/>
      <c r="CE96" s="14"/>
      <c r="CF96" s="14"/>
      <c r="CG96" s="14"/>
      <c r="CH96" s="14"/>
      <c r="CR96" s="1"/>
      <c r="CS96" s="1"/>
      <c r="DH96" s="14"/>
      <c r="DI96" s="14"/>
      <c r="DJ96" s="14"/>
      <c r="DK96" s="14"/>
    </row>
    <row r="97" spans="2:115" ht="12.75">
      <c r="B97" s="4"/>
      <c r="M97" s="22"/>
      <c r="O97" s="22"/>
      <c r="R97" s="58"/>
      <c r="S97" s="22"/>
      <c r="T97" s="14"/>
      <c r="U97" s="22"/>
      <c r="V97" s="14"/>
      <c r="W97" s="22"/>
      <c r="Y97" s="22"/>
      <c r="AA97" s="22"/>
      <c r="AC97" s="22"/>
      <c r="AE97" s="22"/>
      <c r="AG97" s="1"/>
      <c r="AH97" s="1"/>
      <c r="AW97" s="14"/>
      <c r="AX97" s="14"/>
      <c r="AY97" s="14"/>
      <c r="AZ97" s="14"/>
      <c r="BO97" s="1"/>
      <c r="BP97" s="1"/>
      <c r="CE97" s="14"/>
      <c r="CF97" s="14"/>
      <c r="CG97" s="14"/>
      <c r="CH97" s="14"/>
      <c r="CR97" s="1"/>
      <c r="CS97" s="1"/>
      <c r="DH97" s="14"/>
      <c r="DI97" s="14"/>
      <c r="DJ97" s="14"/>
      <c r="DK97" s="14"/>
    </row>
    <row r="98" spans="2:115" ht="12.75">
      <c r="B98" s="1"/>
      <c r="C98" s="1"/>
      <c r="D98" s="1"/>
      <c r="T98" s="14"/>
      <c r="U98" s="14"/>
      <c r="V98" s="14"/>
      <c r="W98" s="14"/>
      <c r="AG98" s="1"/>
      <c r="AH98" s="1"/>
      <c r="AW98" s="14"/>
      <c r="AX98" s="14"/>
      <c r="AY98" s="14"/>
      <c r="AZ98" s="14"/>
      <c r="BO98" s="1"/>
      <c r="BP98" s="1"/>
      <c r="CE98" s="14"/>
      <c r="CF98" s="14"/>
      <c r="CG98" s="14"/>
      <c r="CH98" s="14"/>
      <c r="CR98" s="1"/>
      <c r="CS98" s="1"/>
      <c r="DH98" s="14"/>
      <c r="DI98" s="14"/>
      <c r="DJ98" s="14"/>
      <c r="DK98" s="14"/>
    </row>
    <row r="99" spans="2:115" ht="18" thickBot="1">
      <c r="B99" s="17" t="s">
        <v>10</v>
      </c>
      <c r="C99" s="17" t="s">
        <v>110</v>
      </c>
      <c r="D99" s="17"/>
      <c r="AI99" s="5"/>
      <c r="AW99" s="14"/>
      <c r="AX99" s="14"/>
      <c r="AY99" s="14"/>
      <c r="AZ99" s="14"/>
      <c r="BO99" s="1"/>
      <c r="BP99" s="1"/>
      <c r="CE99" s="14"/>
      <c r="CF99" s="14"/>
      <c r="CG99" s="14"/>
      <c r="CH99" s="14"/>
      <c r="CR99" s="1"/>
      <c r="CS99" s="1"/>
      <c r="DH99" s="14"/>
      <c r="DI99" s="14"/>
      <c r="DJ99" s="14"/>
      <c r="DK99" s="14"/>
    </row>
    <row r="100" spans="2:115" ht="26.25">
      <c r="B100" s="9" t="s">
        <v>5</v>
      </c>
      <c r="C100" s="10" t="s">
        <v>4</v>
      </c>
      <c r="D100" s="82"/>
      <c r="E100" s="116" t="s">
        <v>9</v>
      </c>
      <c r="F100" s="117" t="s">
        <v>1</v>
      </c>
      <c r="G100" s="116" t="s">
        <v>88</v>
      </c>
      <c r="H100" s="124"/>
      <c r="I100" s="116" t="s">
        <v>91</v>
      </c>
      <c r="J100" s="117"/>
      <c r="K100" s="62"/>
      <c r="L100" s="116" t="s">
        <v>27</v>
      </c>
      <c r="M100" s="117"/>
      <c r="N100" s="116" t="s">
        <v>39</v>
      </c>
      <c r="O100" s="117"/>
      <c r="P100" s="116" t="s">
        <v>89</v>
      </c>
      <c r="Q100" s="117"/>
      <c r="R100" s="116" t="s">
        <v>90</v>
      </c>
      <c r="S100" s="117"/>
      <c r="T100" s="116" t="s">
        <v>7</v>
      </c>
      <c r="U100" s="117" t="s">
        <v>1</v>
      </c>
      <c r="V100" s="116" t="s">
        <v>8</v>
      </c>
      <c r="W100" s="117"/>
      <c r="X100" s="116" t="s">
        <v>32</v>
      </c>
      <c r="Y100" s="117"/>
      <c r="Z100" s="116" t="s">
        <v>24</v>
      </c>
      <c r="AA100" s="117"/>
      <c r="AB100" s="116" t="s">
        <v>92</v>
      </c>
      <c r="AC100" s="117"/>
      <c r="AD100" s="116" t="s">
        <v>34</v>
      </c>
      <c r="AE100" s="117"/>
      <c r="AF100" s="116" t="s">
        <v>93</v>
      </c>
      <c r="AG100" s="117"/>
      <c r="AH100" s="116" t="s">
        <v>115</v>
      </c>
      <c r="AI100" s="117"/>
      <c r="AJ100" s="116" t="s">
        <v>117</v>
      </c>
      <c r="AK100" s="117"/>
      <c r="AW100" s="14"/>
      <c r="AX100" s="14"/>
      <c r="AY100" s="14"/>
      <c r="AZ100" s="14"/>
      <c r="BO100" s="1"/>
      <c r="BP100" s="1"/>
      <c r="CE100" s="14"/>
      <c r="CF100" s="14"/>
      <c r="CG100" s="14"/>
      <c r="CH100" s="14"/>
      <c r="CR100" s="1"/>
      <c r="CS100" s="1"/>
      <c r="DH100" s="14"/>
      <c r="DI100" s="14"/>
      <c r="DJ100" s="14"/>
      <c r="DK100" s="14"/>
    </row>
    <row r="101" spans="2:115" ht="15">
      <c r="B101" s="7"/>
      <c r="C101" s="79" t="s">
        <v>0</v>
      </c>
      <c r="D101" s="80" t="s">
        <v>3</v>
      </c>
      <c r="E101" s="80" t="s">
        <v>3</v>
      </c>
      <c r="F101" s="81" t="s">
        <v>2</v>
      </c>
      <c r="G101" s="80" t="s">
        <v>3</v>
      </c>
      <c r="H101" s="81" t="s">
        <v>2</v>
      </c>
      <c r="I101" s="80" t="s">
        <v>3</v>
      </c>
      <c r="J101" s="81" t="s">
        <v>2</v>
      </c>
      <c r="K101" s="80" t="s">
        <v>3</v>
      </c>
      <c r="L101" s="80" t="s">
        <v>3</v>
      </c>
      <c r="M101" s="81" t="s">
        <v>2</v>
      </c>
      <c r="N101" s="80" t="s">
        <v>3</v>
      </c>
      <c r="O101" s="81" t="s">
        <v>2</v>
      </c>
      <c r="P101" s="80" t="s">
        <v>3</v>
      </c>
      <c r="Q101" s="81" t="s">
        <v>2</v>
      </c>
      <c r="R101" s="80" t="s">
        <v>3</v>
      </c>
      <c r="S101" s="81" t="s">
        <v>2</v>
      </c>
      <c r="T101" s="80" t="s">
        <v>3</v>
      </c>
      <c r="U101" s="81" t="s">
        <v>2</v>
      </c>
      <c r="V101" s="80" t="s">
        <v>3</v>
      </c>
      <c r="W101" s="81" t="s">
        <v>2</v>
      </c>
      <c r="X101" s="80" t="s">
        <v>0</v>
      </c>
      <c r="Y101" s="81" t="s">
        <v>3</v>
      </c>
      <c r="Z101" s="80" t="s">
        <v>3</v>
      </c>
      <c r="AA101" s="81" t="s">
        <v>2</v>
      </c>
      <c r="AB101" s="11" t="s">
        <v>0</v>
      </c>
      <c r="AC101" s="12" t="s">
        <v>3</v>
      </c>
      <c r="AD101" s="11" t="s">
        <v>0</v>
      </c>
      <c r="AE101" s="12" t="s">
        <v>3</v>
      </c>
      <c r="AF101" s="11" t="s">
        <v>94</v>
      </c>
      <c r="AG101" s="12" t="s">
        <v>95</v>
      </c>
      <c r="AH101" s="80" t="s">
        <v>3</v>
      </c>
      <c r="AI101" s="81" t="s">
        <v>2</v>
      </c>
      <c r="AJ101" s="11" t="s">
        <v>0</v>
      </c>
      <c r="AK101" s="12" t="s">
        <v>3</v>
      </c>
      <c r="AW101" s="14"/>
      <c r="AX101" s="14"/>
      <c r="AY101" s="14"/>
      <c r="AZ101" s="14"/>
      <c r="BO101" s="1"/>
      <c r="BP101" s="1"/>
      <c r="CE101" s="14"/>
      <c r="CF101" s="14"/>
      <c r="CG101" s="14"/>
      <c r="CH101" s="14"/>
      <c r="CR101" s="1"/>
      <c r="CS101" s="1"/>
      <c r="DH101" s="14"/>
      <c r="DI101" s="14"/>
      <c r="DJ101" s="14"/>
      <c r="DK101" s="14"/>
    </row>
    <row r="102" spans="2:115" ht="9" customHeight="1">
      <c r="B102" s="125" t="s">
        <v>111</v>
      </c>
      <c r="C102" s="73"/>
      <c r="D102" s="118">
        <v>5.69</v>
      </c>
      <c r="E102" s="118">
        <f>1.1*D102</f>
        <v>6.259000000000001</v>
      </c>
      <c r="F102" s="74"/>
      <c r="G102" s="118">
        <v>3.36</v>
      </c>
      <c r="H102" s="72"/>
      <c r="I102" s="118">
        <v>1.17</v>
      </c>
      <c r="J102" s="74"/>
      <c r="K102" s="118">
        <v>3.66</v>
      </c>
      <c r="L102" s="114">
        <f>1.3*K102</f>
        <v>4.758</v>
      </c>
      <c r="M102" s="72"/>
      <c r="N102" s="118">
        <v>0.31</v>
      </c>
      <c r="O102" s="74"/>
      <c r="P102" s="118">
        <v>0.22</v>
      </c>
      <c r="Q102" s="74"/>
      <c r="R102" s="118">
        <v>0.48</v>
      </c>
      <c r="S102" s="72"/>
      <c r="T102" s="118">
        <v>1.76</v>
      </c>
      <c r="U102" s="72"/>
      <c r="V102" s="118">
        <v>1.66</v>
      </c>
      <c r="W102" s="72"/>
      <c r="X102" s="118">
        <f>2.7+0.8+3.61</f>
        <v>7.109999999999999</v>
      </c>
      <c r="Y102" s="72"/>
      <c r="Z102" s="118">
        <v>0.58</v>
      </c>
      <c r="AA102" s="72"/>
      <c r="AB102" s="118">
        <v>1.7</v>
      </c>
      <c r="AC102" s="72"/>
      <c r="AD102" s="118">
        <v>3.79</v>
      </c>
      <c r="AE102" s="72"/>
      <c r="AF102" s="119">
        <f>ROUNDDOWN(((I102/0.35)-0.35)/0.5,0)+1</f>
        <v>6</v>
      </c>
      <c r="AG102" s="72"/>
      <c r="AH102" s="118"/>
      <c r="AI102" s="72"/>
      <c r="AJ102" s="118">
        <v>3.91</v>
      </c>
      <c r="AK102" s="72"/>
      <c r="AW102" s="14"/>
      <c r="AX102" s="14"/>
      <c r="AY102" s="14"/>
      <c r="AZ102" s="14"/>
      <c r="BO102" s="1"/>
      <c r="BP102" s="1"/>
      <c r="CE102" s="14"/>
      <c r="CF102" s="14"/>
      <c r="CG102" s="14"/>
      <c r="CH102" s="14"/>
      <c r="CR102" s="1"/>
      <c r="CS102" s="1"/>
      <c r="DH102" s="14"/>
      <c r="DI102" s="14"/>
      <c r="DJ102" s="14"/>
      <c r="DK102" s="14"/>
    </row>
    <row r="103" spans="2:115" ht="9" customHeight="1">
      <c r="B103" s="126"/>
      <c r="C103" s="127">
        <v>17.35</v>
      </c>
      <c r="D103" s="115"/>
      <c r="E103" s="115"/>
      <c r="F103" s="112">
        <f>((E102+E104)/2)*C103</f>
        <v>125.865575</v>
      </c>
      <c r="G103" s="115"/>
      <c r="H103" s="110">
        <f>((G102+G104)/2)*C103</f>
        <v>58.99</v>
      </c>
      <c r="I103" s="115"/>
      <c r="J103" s="112">
        <f>((I102+I104)/2)*C103</f>
        <v>20.82</v>
      </c>
      <c r="K103" s="115"/>
      <c r="L103" s="115"/>
      <c r="M103" s="110">
        <f>((L102+L104)/2)*C103</f>
        <v>84.80680000000001</v>
      </c>
      <c r="N103" s="115"/>
      <c r="O103" s="112">
        <f>((N102+N104)/2)*C103</f>
        <v>5.378500000000001</v>
      </c>
      <c r="P103" s="115"/>
      <c r="Q103" s="112">
        <f>((P102+P104)/2)*C103</f>
        <v>3.817</v>
      </c>
      <c r="R103" s="115"/>
      <c r="S103" s="110">
        <f>((R102+R104)/2)*C103</f>
        <v>8.328000000000001</v>
      </c>
      <c r="T103" s="115"/>
      <c r="U103" s="110">
        <f>((T102+T104)/2)*C103</f>
        <v>30.536</v>
      </c>
      <c r="V103" s="115"/>
      <c r="W103" s="110">
        <f>((V102+V104)/2)*C103</f>
        <v>28.71425</v>
      </c>
      <c r="X103" s="115"/>
      <c r="Y103" s="110">
        <f>X102*C103+2*K102</f>
        <v>130.6785</v>
      </c>
      <c r="Z103" s="115"/>
      <c r="AA103" s="110">
        <f>((Z102+Z104)/2)*C103</f>
        <v>13.3595</v>
      </c>
      <c r="AB103" s="115"/>
      <c r="AC103" s="110">
        <f>((AB102+AB104)/2)*C103+17.5</f>
        <v>47.60225</v>
      </c>
      <c r="AD103" s="115"/>
      <c r="AE103" s="112">
        <f>AD102*C103</f>
        <v>65.7565</v>
      </c>
      <c r="AF103" s="119"/>
      <c r="AG103" s="120">
        <f>((AF102+AF104)/2)*ROUND(C103/0.5,0)</f>
        <v>227.5</v>
      </c>
      <c r="AH103" s="115"/>
      <c r="AI103" s="110">
        <f>((AH102+AH104)/2)*C103</f>
        <v>0</v>
      </c>
      <c r="AJ103" s="115"/>
      <c r="AK103" s="110">
        <f>((AJ102+AJ104)/2)*E103</f>
        <v>0</v>
      </c>
      <c r="AW103" s="14"/>
      <c r="AX103" s="14"/>
      <c r="AY103" s="14"/>
      <c r="AZ103" s="14"/>
      <c r="BO103" s="1"/>
      <c r="BP103" s="1"/>
      <c r="CE103" s="14"/>
      <c r="CF103" s="14"/>
      <c r="CG103" s="14"/>
      <c r="CH103" s="14"/>
      <c r="CR103" s="1"/>
      <c r="CS103" s="1"/>
      <c r="DH103" s="14"/>
      <c r="DI103" s="14"/>
      <c r="DJ103" s="14"/>
      <c r="DK103" s="14"/>
    </row>
    <row r="104" spans="2:115" ht="9" customHeight="1">
      <c r="B104" s="125">
        <v>20</v>
      </c>
      <c r="C104" s="128"/>
      <c r="D104" s="114">
        <v>7.5</v>
      </c>
      <c r="E104" s="118">
        <f>1.1*D104</f>
        <v>8.25</v>
      </c>
      <c r="F104" s="113"/>
      <c r="G104" s="114">
        <v>3.44</v>
      </c>
      <c r="H104" s="111"/>
      <c r="I104" s="114">
        <v>1.23</v>
      </c>
      <c r="J104" s="113"/>
      <c r="K104" s="114">
        <v>3.86</v>
      </c>
      <c r="L104" s="114">
        <f>1.3*K104</f>
        <v>5.018</v>
      </c>
      <c r="M104" s="111"/>
      <c r="N104" s="118">
        <v>0.31</v>
      </c>
      <c r="O104" s="113"/>
      <c r="P104" s="118">
        <v>0.22</v>
      </c>
      <c r="Q104" s="113"/>
      <c r="R104" s="118">
        <v>0.48</v>
      </c>
      <c r="S104" s="111"/>
      <c r="T104" s="114">
        <v>1.76</v>
      </c>
      <c r="U104" s="111"/>
      <c r="V104" s="114">
        <v>1.65</v>
      </c>
      <c r="W104" s="111"/>
      <c r="X104" s="114">
        <f>2.85+0.8+3.77</f>
        <v>7.42</v>
      </c>
      <c r="Y104" s="111"/>
      <c r="Z104" s="114">
        <v>0.96</v>
      </c>
      <c r="AA104" s="111"/>
      <c r="AB104" s="114">
        <v>1.77</v>
      </c>
      <c r="AC104" s="111"/>
      <c r="AD104" s="114">
        <v>4.13</v>
      </c>
      <c r="AE104" s="113"/>
      <c r="AF104" s="119">
        <f>ROUNDDOWN(((I104/0.35)-0.35)/0.5,0)+1</f>
        <v>7</v>
      </c>
      <c r="AG104" s="120"/>
      <c r="AH104" s="114"/>
      <c r="AI104" s="111"/>
      <c r="AJ104" s="114">
        <v>4.19</v>
      </c>
      <c r="AK104" s="111"/>
      <c r="AW104" s="14"/>
      <c r="AX104" s="14"/>
      <c r="AY104" s="14"/>
      <c r="AZ104" s="14"/>
      <c r="BO104" s="1"/>
      <c r="BP104" s="1"/>
      <c r="CE104" s="14"/>
      <c r="CF104" s="14"/>
      <c r="CG104" s="14"/>
      <c r="CH104" s="14"/>
      <c r="CR104" s="1"/>
      <c r="CS104" s="1"/>
      <c r="DH104" s="14"/>
      <c r="DI104" s="14"/>
      <c r="DJ104" s="14"/>
      <c r="DK104" s="14"/>
    </row>
    <row r="105" spans="2:115" ht="9" customHeight="1">
      <c r="B105" s="126"/>
      <c r="C105" s="127">
        <v>11.35</v>
      </c>
      <c r="D105" s="115"/>
      <c r="E105" s="115"/>
      <c r="F105" s="112">
        <f>((E104+E106)/2)*C105</f>
        <v>94.886</v>
      </c>
      <c r="G105" s="115"/>
      <c r="H105" s="110">
        <f>((G104+G106)/2)*C105</f>
        <v>41.48425</v>
      </c>
      <c r="I105" s="115"/>
      <c r="J105" s="112">
        <f>((I104+I106)/2)*C105</f>
        <v>14.528</v>
      </c>
      <c r="K105" s="115"/>
      <c r="L105" s="115"/>
      <c r="M105" s="110">
        <f>((L104+L106)/2)*C105</f>
        <v>58.798675</v>
      </c>
      <c r="N105" s="115"/>
      <c r="O105" s="112">
        <f>((N104+N106)/2)*C105</f>
        <v>3.5185</v>
      </c>
      <c r="P105" s="115"/>
      <c r="Q105" s="112">
        <f>((P104+P106)/2)*C105</f>
        <v>2.497</v>
      </c>
      <c r="R105" s="115"/>
      <c r="S105" s="110">
        <f>((R104+R106)/2)*C105</f>
        <v>5.4479999999999995</v>
      </c>
      <c r="T105" s="115"/>
      <c r="U105" s="110">
        <f>((T104+T106)/2)*C105</f>
        <v>19.976</v>
      </c>
      <c r="V105" s="115"/>
      <c r="W105" s="110">
        <f>((V104+V106)/2)*C105</f>
        <v>26.615749999999995</v>
      </c>
      <c r="X105" s="115"/>
      <c r="Y105" s="112">
        <f>X106*(C105-1.25)+X104*1.25+K104</f>
        <v>93.531</v>
      </c>
      <c r="Z105" s="115"/>
      <c r="AA105" s="110">
        <f>((Z104+Z106)/2)*C105</f>
        <v>5.4479999999999995</v>
      </c>
      <c r="AB105" s="115"/>
      <c r="AC105" s="110">
        <f>((AB104+AB106)/2)*C105</f>
        <v>17.422250000000002</v>
      </c>
      <c r="AD105" s="115"/>
      <c r="AE105" s="112">
        <f>AD106*(C105-1.25)+AD104*1.25</f>
        <v>47.88550000000001</v>
      </c>
      <c r="AF105" s="119"/>
      <c r="AG105" s="120">
        <f>((AF104+AF106)/2)*ROUND(C105/0.5,0)</f>
        <v>161</v>
      </c>
      <c r="AH105" s="115"/>
      <c r="AI105" s="110">
        <f>((AH104+AH106)/2)*C105</f>
        <v>0</v>
      </c>
      <c r="AJ105" s="115"/>
      <c r="AK105" s="110">
        <f>((AJ104+AJ106)/2)*E105</f>
        <v>0</v>
      </c>
      <c r="AW105" s="14"/>
      <c r="AX105" s="14"/>
      <c r="AY105" s="14"/>
      <c r="AZ105" s="14"/>
      <c r="BO105" s="1"/>
      <c r="BP105" s="1"/>
      <c r="CE105" s="14"/>
      <c r="CF105" s="14"/>
      <c r="CG105" s="14"/>
      <c r="CH105" s="14"/>
      <c r="CR105" s="1"/>
      <c r="CS105" s="1"/>
      <c r="DH105" s="14"/>
      <c r="DI105" s="14"/>
      <c r="DJ105" s="14"/>
      <c r="DK105" s="14"/>
    </row>
    <row r="106" spans="2:115" ht="9" customHeight="1">
      <c r="B106" s="125">
        <v>21</v>
      </c>
      <c r="C106" s="128"/>
      <c r="D106" s="114">
        <v>7.7</v>
      </c>
      <c r="E106" s="118">
        <f>1.1*D106</f>
        <v>8.47</v>
      </c>
      <c r="F106" s="113"/>
      <c r="G106" s="114">
        <v>3.87</v>
      </c>
      <c r="H106" s="111"/>
      <c r="I106" s="114">
        <v>1.33</v>
      </c>
      <c r="J106" s="113"/>
      <c r="K106" s="114">
        <v>4.11</v>
      </c>
      <c r="L106" s="114">
        <f>1.3*K106</f>
        <v>5.343000000000001</v>
      </c>
      <c r="M106" s="111"/>
      <c r="N106" s="118">
        <v>0.31</v>
      </c>
      <c r="O106" s="113"/>
      <c r="P106" s="118">
        <v>0.22</v>
      </c>
      <c r="Q106" s="113"/>
      <c r="R106" s="118">
        <v>0.48</v>
      </c>
      <c r="S106" s="111"/>
      <c r="T106" s="118">
        <v>1.76</v>
      </c>
      <c r="U106" s="111"/>
      <c r="V106" s="114">
        <v>3.04</v>
      </c>
      <c r="W106" s="111"/>
      <c r="X106" s="114">
        <f>0.8+3.11+4.05</f>
        <v>7.96</v>
      </c>
      <c r="Y106" s="113"/>
      <c r="Z106" s="114">
        <v>0</v>
      </c>
      <c r="AA106" s="111"/>
      <c r="AB106" s="114">
        <v>1.3</v>
      </c>
      <c r="AC106" s="111"/>
      <c r="AD106" s="114">
        <v>4.23</v>
      </c>
      <c r="AE106" s="113"/>
      <c r="AF106" s="119">
        <f>ROUNDDOWN(((I106/0.35)-0.35)/0.5,0)+1</f>
        <v>7</v>
      </c>
      <c r="AG106" s="120"/>
      <c r="AH106" s="114"/>
      <c r="AI106" s="111"/>
      <c r="AJ106" s="114">
        <v>4.44</v>
      </c>
      <c r="AK106" s="111"/>
      <c r="AW106" s="14"/>
      <c r="AX106" s="14"/>
      <c r="AY106" s="14"/>
      <c r="AZ106" s="14"/>
      <c r="BO106" s="1"/>
      <c r="BP106" s="1"/>
      <c r="CE106" s="14"/>
      <c r="CF106" s="14"/>
      <c r="CG106" s="14"/>
      <c r="CH106" s="14"/>
      <c r="CR106" s="1"/>
      <c r="CS106" s="1"/>
      <c r="DH106" s="14"/>
      <c r="DI106" s="14"/>
      <c r="DJ106" s="14"/>
      <c r="DK106" s="14"/>
    </row>
    <row r="107" spans="2:115" ht="9" customHeight="1">
      <c r="B107" s="126"/>
      <c r="C107" s="127">
        <v>6.85</v>
      </c>
      <c r="D107" s="115"/>
      <c r="E107" s="115"/>
      <c r="F107" s="112">
        <f>((E106+E108)/2)*C107</f>
        <v>60.4307</v>
      </c>
      <c r="G107" s="115"/>
      <c r="H107" s="110">
        <f>((G106+G108)/2)*C107</f>
        <v>27.29725</v>
      </c>
      <c r="I107" s="115"/>
      <c r="J107" s="112">
        <f>((I106+I108)/2)*C107</f>
        <v>9.5215</v>
      </c>
      <c r="K107" s="115"/>
      <c r="L107" s="115"/>
      <c r="M107" s="110">
        <f>((L106+L108)/2)*C107</f>
        <v>38.20245</v>
      </c>
      <c r="N107" s="115"/>
      <c r="O107" s="112">
        <f>((N106+N108)/2)*C107</f>
        <v>2.1235</v>
      </c>
      <c r="P107" s="115"/>
      <c r="Q107" s="112">
        <f>((P106+P108)/2)*C107</f>
        <v>1.507</v>
      </c>
      <c r="R107" s="115"/>
      <c r="S107" s="110">
        <f>((R106+R108)/2)*C107</f>
        <v>3.288</v>
      </c>
      <c r="T107" s="115"/>
      <c r="U107" s="110">
        <f>((T106+T108)/2)*C107</f>
        <v>12.056</v>
      </c>
      <c r="V107" s="115"/>
      <c r="W107" s="110">
        <f>((V106+V108)/2)*C107</f>
        <v>22.36525</v>
      </c>
      <c r="X107" s="115"/>
      <c r="Y107" s="110">
        <f>((X106+X108)/2)*C107+K106</f>
        <v>61.06774999999999</v>
      </c>
      <c r="Z107" s="115"/>
      <c r="AA107" s="110">
        <f>((Z106+Z108)/2)*C107</f>
        <v>0</v>
      </c>
      <c r="AB107" s="115"/>
      <c r="AC107" s="110">
        <f>((AB106+AB108)/2)*C107</f>
        <v>6.19925</v>
      </c>
      <c r="AD107" s="115"/>
      <c r="AE107" s="110">
        <f>((AD106+AD108)/2)*C107</f>
        <v>29.249499999999994</v>
      </c>
      <c r="AF107" s="119"/>
      <c r="AG107" s="120">
        <f>((AF106+AF108)/2)*ROUND(C107/0.5,0)</f>
        <v>105</v>
      </c>
      <c r="AH107" s="115"/>
      <c r="AI107" s="110">
        <f>((AH106+AH108)/2)*C107</f>
        <v>0</v>
      </c>
      <c r="AJ107" s="115"/>
      <c r="AK107" s="110">
        <f>((AJ106+AJ108)/2)*E107</f>
        <v>0</v>
      </c>
      <c r="AW107" s="14"/>
      <c r="AX107" s="14"/>
      <c r="AY107" s="14"/>
      <c r="AZ107" s="14"/>
      <c r="BO107" s="1"/>
      <c r="BP107" s="1"/>
      <c r="CE107" s="14"/>
      <c r="CF107" s="14"/>
      <c r="CG107" s="14"/>
      <c r="CH107" s="14"/>
      <c r="CR107" s="1"/>
      <c r="CS107" s="1"/>
      <c r="DH107" s="14"/>
      <c r="DI107" s="14"/>
      <c r="DJ107" s="14"/>
      <c r="DK107" s="14"/>
    </row>
    <row r="108" spans="2:115" ht="9" customHeight="1">
      <c r="B108" s="125">
        <v>22</v>
      </c>
      <c r="C108" s="128"/>
      <c r="D108" s="114">
        <v>8.34</v>
      </c>
      <c r="E108" s="118">
        <f>1.1*D108</f>
        <v>9.174000000000001</v>
      </c>
      <c r="F108" s="113"/>
      <c r="G108" s="114">
        <v>4.1</v>
      </c>
      <c r="H108" s="111"/>
      <c r="I108" s="114">
        <v>1.45</v>
      </c>
      <c r="J108" s="113"/>
      <c r="K108" s="114">
        <v>4.47</v>
      </c>
      <c r="L108" s="114">
        <f>1.3*K108</f>
        <v>5.811</v>
      </c>
      <c r="M108" s="111"/>
      <c r="N108" s="118">
        <v>0.31</v>
      </c>
      <c r="O108" s="113"/>
      <c r="P108" s="118">
        <v>0.22</v>
      </c>
      <c r="Q108" s="113"/>
      <c r="R108" s="118">
        <v>0.48</v>
      </c>
      <c r="S108" s="111"/>
      <c r="T108" s="118">
        <v>1.76</v>
      </c>
      <c r="U108" s="111"/>
      <c r="V108" s="114">
        <v>3.49</v>
      </c>
      <c r="W108" s="111"/>
      <c r="X108" s="114">
        <f>3.48+0.8+4.39</f>
        <v>8.67</v>
      </c>
      <c r="Y108" s="111"/>
      <c r="Z108" s="114">
        <v>0</v>
      </c>
      <c r="AA108" s="111"/>
      <c r="AB108" s="114">
        <v>0.51</v>
      </c>
      <c r="AC108" s="111"/>
      <c r="AD108" s="114">
        <v>4.31</v>
      </c>
      <c r="AE108" s="111"/>
      <c r="AF108" s="119">
        <f>ROUNDDOWN(((I108/0.35)-0.35)/0.5,0)+1</f>
        <v>8</v>
      </c>
      <c r="AG108" s="120"/>
      <c r="AH108" s="114"/>
      <c r="AI108" s="111"/>
      <c r="AJ108" s="114">
        <v>4.8</v>
      </c>
      <c r="AK108" s="111"/>
      <c r="AW108" s="14"/>
      <c r="AX108" s="14"/>
      <c r="AY108" s="14"/>
      <c r="AZ108" s="14"/>
      <c r="BO108" s="1"/>
      <c r="BP108" s="1"/>
      <c r="CE108" s="14"/>
      <c r="CF108" s="14"/>
      <c r="CG108" s="14"/>
      <c r="CH108" s="14"/>
      <c r="CR108" s="1"/>
      <c r="CS108" s="1"/>
      <c r="DH108" s="14"/>
      <c r="DI108" s="14"/>
      <c r="DJ108" s="14"/>
      <c r="DK108" s="14"/>
    </row>
    <row r="109" spans="2:115" ht="9" customHeight="1">
      <c r="B109" s="126"/>
      <c r="C109" s="127">
        <v>2.65</v>
      </c>
      <c r="D109" s="115"/>
      <c r="E109" s="115"/>
      <c r="F109" s="112">
        <f>((E108+E110)/2)*C109</f>
        <v>23.11595</v>
      </c>
      <c r="G109" s="115"/>
      <c r="H109" s="110">
        <f>((G108+G110)/2)*C109</f>
        <v>11.48775</v>
      </c>
      <c r="I109" s="115"/>
      <c r="J109" s="112">
        <f>((I108+I110)/2)*C109</f>
        <v>3.8689999999999998</v>
      </c>
      <c r="K109" s="115"/>
      <c r="L109" s="115"/>
      <c r="M109" s="110">
        <f>((L108+L110)/2)*C109</f>
        <v>15.502499999999998</v>
      </c>
      <c r="N109" s="115"/>
      <c r="O109" s="112">
        <f>((N108+N110)/2)*C109</f>
        <v>0.8215</v>
      </c>
      <c r="P109" s="115"/>
      <c r="Q109" s="112">
        <f>((P108+P110)/2)*C109</f>
        <v>0.583</v>
      </c>
      <c r="R109" s="115"/>
      <c r="S109" s="110">
        <f>((R108+R110)/2)*C109</f>
        <v>1.272</v>
      </c>
      <c r="T109" s="115"/>
      <c r="U109" s="110">
        <f>((T108+T110)/2)*C109</f>
        <v>4.664</v>
      </c>
      <c r="V109" s="115"/>
      <c r="W109" s="110">
        <f>((V108+V110)/2)*C109</f>
        <v>9.195500000000001</v>
      </c>
      <c r="X109" s="115"/>
      <c r="Y109" s="110">
        <f>((X108+X110)/2)*C109+K108</f>
        <v>27.604499999999998</v>
      </c>
      <c r="Z109" s="115"/>
      <c r="AA109" s="110">
        <f>((Z108+Z110)/2)*C109</f>
        <v>0</v>
      </c>
      <c r="AB109" s="115"/>
      <c r="AC109" s="110">
        <f>((AB108+AB110)/2)*C109</f>
        <v>1.20575</v>
      </c>
      <c r="AD109" s="115"/>
      <c r="AE109" s="110">
        <f>((AD108+AD110)/2)*C109</f>
        <v>11.792499999999997</v>
      </c>
      <c r="AF109" s="119"/>
      <c r="AG109" s="120">
        <f>((AF108+AF110)/2)*ROUND(C109/0.5,0)</f>
        <v>40</v>
      </c>
      <c r="AH109" s="115"/>
      <c r="AI109" s="110">
        <f>((AH108+AH110)/2)*C109</f>
        <v>0</v>
      </c>
      <c r="AJ109" s="115"/>
      <c r="AK109" s="110">
        <f>((AJ108+AJ110)/2)*E109</f>
        <v>0</v>
      </c>
      <c r="AW109" s="14"/>
      <c r="AX109" s="14"/>
      <c r="AY109" s="14"/>
      <c r="AZ109" s="14"/>
      <c r="BO109" s="1"/>
      <c r="BP109" s="1"/>
      <c r="CE109" s="14"/>
      <c r="CF109" s="14"/>
      <c r="CG109" s="14"/>
      <c r="CH109" s="14"/>
      <c r="CR109" s="1"/>
      <c r="CS109" s="1"/>
      <c r="DH109" s="14"/>
      <c r="DI109" s="14"/>
      <c r="DJ109" s="14"/>
      <c r="DK109" s="14"/>
    </row>
    <row r="110" spans="2:115" ht="9" customHeight="1">
      <c r="B110" s="125">
        <v>23</v>
      </c>
      <c r="C110" s="128"/>
      <c r="D110" s="114">
        <v>7.52</v>
      </c>
      <c r="E110" s="118">
        <f>1.1*D110</f>
        <v>8.272</v>
      </c>
      <c r="F110" s="113"/>
      <c r="G110" s="114">
        <v>4.57</v>
      </c>
      <c r="H110" s="111"/>
      <c r="I110" s="114">
        <v>1.47</v>
      </c>
      <c r="J110" s="113"/>
      <c r="K110" s="114">
        <v>4.53</v>
      </c>
      <c r="L110" s="114">
        <f>1.3*K110</f>
        <v>5.889</v>
      </c>
      <c r="M110" s="111"/>
      <c r="N110" s="118">
        <v>0.31</v>
      </c>
      <c r="O110" s="113"/>
      <c r="P110" s="118">
        <v>0.22</v>
      </c>
      <c r="Q110" s="113"/>
      <c r="R110" s="118">
        <v>0.48</v>
      </c>
      <c r="S110" s="111"/>
      <c r="T110" s="118">
        <v>1.76</v>
      </c>
      <c r="U110" s="111"/>
      <c r="V110" s="114">
        <v>3.45</v>
      </c>
      <c r="W110" s="111"/>
      <c r="X110" s="114">
        <f>3.53+0.8+4.46</f>
        <v>8.79</v>
      </c>
      <c r="Y110" s="111"/>
      <c r="Z110" s="114">
        <v>0</v>
      </c>
      <c r="AA110" s="111"/>
      <c r="AB110" s="114">
        <v>0.4</v>
      </c>
      <c r="AC110" s="111"/>
      <c r="AD110" s="114">
        <v>4.59</v>
      </c>
      <c r="AE110" s="111"/>
      <c r="AF110" s="119">
        <f>ROUNDDOWN(((I110/0.35)-0.35)/0.5,0)+1</f>
        <v>8</v>
      </c>
      <c r="AG110" s="120"/>
      <c r="AH110" s="114"/>
      <c r="AI110" s="111"/>
      <c r="AJ110" s="114">
        <v>4.85</v>
      </c>
      <c r="AK110" s="111"/>
      <c r="AW110" s="14"/>
      <c r="AX110" s="14"/>
      <c r="AY110" s="14"/>
      <c r="AZ110" s="14"/>
      <c r="BO110" s="1"/>
      <c r="BP110" s="1"/>
      <c r="CE110" s="14"/>
      <c r="CF110" s="14"/>
      <c r="CG110" s="14"/>
      <c r="CH110" s="14"/>
      <c r="CR110" s="1"/>
      <c r="CS110" s="1"/>
      <c r="DH110" s="14"/>
      <c r="DI110" s="14"/>
      <c r="DJ110" s="14"/>
      <c r="DK110" s="14"/>
    </row>
    <row r="111" spans="2:115" ht="9" customHeight="1">
      <c r="B111" s="126"/>
      <c r="C111" s="127">
        <v>3.5</v>
      </c>
      <c r="D111" s="115"/>
      <c r="E111" s="115"/>
      <c r="F111" s="112">
        <f>((E110+E112)/2)*C111</f>
        <v>29.856749999999998</v>
      </c>
      <c r="G111" s="115"/>
      <c r="H111" s="110">
        <f>((G110+G112)/2)*C111</f>
        <v>15.8725</v>
      </c>
      <c r="I111" s="115"/>
      <c r="J111" s="112">
        <f>((I110+I112)/2)*C111</f>
        <v>5.145</v>
      </c>
      <c r="K111" s="115"/>
      <c r="L111" s="115"/>
      <c r="M111" s="110">
        <f>((L110+L112)/2)*C111</f>
        <v>20.54325</v>
      </c>
      <c r="N111" s="115"/>
      <c r="O111" s="112">
        <f>((N110+N112)/2)*C111</f>
        <v>1.085</v>
      </c>
      <c r="P111" s="115"/>
      <c r="Q111" s="112">
        <f>((P110+P112)/2)*C111</f>
        <v>0.77</v>
      </c>
      <c r="R111" s="115"/>
      <c r="S111" s="110">
        <f>((R110+R112)/2)*C111</f>
        <v>1.68</v>
      </c>
      <c r="T111" s="115"/>
      <c r="U111" s="110">
        <f>((T110+T112)/2)*C111</f>
        <v>6.16</v>
      </c>
      <c r="V111" s="115"/>
      <c r="W111" s="110">
        <f>((V110+V112)/2)*C111</f>
        <v>8.924999999999999</v>
      </c>
      <c r="X111" s="115"/>
      <c r="Y111" s="110">
        <f>((X110+X112)/2)*C111+K110</f>
        <v>35.1725</v>
      </c>
      <c r="Z111" s="115"/>
      <c r="AA111" s="110">
        <f>((Z110+Z112)/2)*C111</f>
        <v>3.9200000000000004</v>
      </c>
      <c r="AB111" s="115"/>
      <c r="AC111" s="110">
        <f>((AB110+AB112)/2)*C111</f>
        <v>4.0425</v>
      </c>
      <c r="AD111" s="115"/>
      <c r="AE111" s="110">
        <f>((AD110+AD112)/2)*C111</f>
        <v>16.52</v>
      </c>
      <c r="AF111" s="119"/>
      <c r="AG111" s="120">
        <f>((AF110+AF112)/2)*ROUND(C111/0.5,0)</f>
        <v>56</v>
      </c>
      <c r="AH111" s="115"/>
      <c r="AI111" s="110">
        <v>0</v>
      </c>
      <c r="AJ111" s="115"/>
      <c r="AK111" s="110">
        <f>((AJ110+AJ112)/2)*E111</f>
        <v>0</v>
      </c>
      <c r="AW111" s="14"/>
      <c r="AX111" s="14"/>
      <c r="AY111" s="14"/>
      <c r="AZ111" s="14"/>
      <c r="BO111" s="1"/>
      <c r="BP111" s="1"/>
      <c r="CE111" s="14"/>
      <c r="CF111" s="14"/>
      <c r="CG111" s="14"/>
      <c r="CH111" s="14"/>
      <c r="CR111" s="1"/>
      <c r="CS111" s="1"/>
      <c r="DH111" s="14"/>
      <c r="DI111" s="14"/>
      <c r="DJ111" s="14"/>
      <c r="DK111" s="14"/>
    </row>
    <row r="112" spans="2:115" ht="9" customHeight="1">
      <c r="B112" s="125">
        <v>24</v>
      </c>
      <c r="C112" s="128"/>
      <c r="D112" s="114">
        <v>7.99</v>
      </c>
      <c r="E112" s="118">
        <f>1.1*D112</f>
        <v>8.789000000000001</v>
      </c>
      <c r="F112" s="113"/>
      <c r="G112" s="114">
        <v>4.5</v>
      </c>
      <c r="H112" s="111"/>
      <c r="I112" s="114">
        <v>1.47</v>
      </c>
      <c r="J112" s="113"/>
      <c r="K112" s="114">
        <v>4.5</v>
      </c>
      <c r="L112" s="114">
        <f>1.3*K112</f>
        <v>5.8500000000000005</v>
      </c>
      <c r="M112" s="111"/>
      <c r="N112" s="118">
        <v>0.31</v>
      </c>
      <c r="O112" s="113"/>
      <c r="P112" s="118">
        <v>0.22</v>
      </c>
      <c r="Q112" s="113"/>
      <c r="R112" s="118">
        <v>0.48</v>
      </c>
      <c r="S112" s="111"/>
      <c r="T112" s="118">
        <v>1.76</v>
      </c>
      <c r="U112" s="111"/>
      <c r="V112" s="114">
        <v>1.65</v>
      </c>
      <c r="W112" s="111"/>
      <c r="X112" s="114">
        <f>3.52+4.4+0.8</f>
        <v>8.72</v>
      </c>
      <c r="Y112" s="111"/>
      <c r="Z112" s="114">
        <v>2.24</v>
      </c>
      <c r="AA112" s="111"/>
      <c r="AB112" s="114">
        <v>1.91</v>
      </c>
      <c r="AC112" s="111"/>
      <c r="AD112" s="114">
        <v>4.85</v>
      </c>
      <c r="AE112" s="111"/>
      <c r="AF112" s="119">
        <f>ROUNDDOWN(((I112/0.35)-0.35)/0.5,0)+1</f>
        <v>8</v>
      </c>
      <c r="AG112" s="120"/>
      <c r="AH112" s="114">
        <v>4.34</v>
      </c>
      <c r="AI112" s="111"/>
      <c r="AJ112" s="114">
        <v>4.84</v>
      </c>
      <c r="AK112" s="111"/>
      <c r="AW112" s="14"/>
      <c r="AX112" s="14"/>
      <c r="AY112" s="14"/>
      <c r="AZ112" s="14"/>
      <c r="BO112" s="1"/>
      <c r="BP112" s="1"/>
      <c r="CE112" s="14"/>
      <c r="CF112" s="14"/>
      <c r="CG112" s="14"/>
      <c r="CH112" s="14"/>
      <c r="CR112" s="1"/>
      <c r="CS112" s="1"/>
      <c r="DH112" s="14"/>
      <c r="DI112" s="14"/>
      <c r="DJ112" s="14"/>
      <c r="DK112" s="14"/>
    </row>
    <row r="113" spans="2:115" ht="9" customHeight="1">
      <c r="B113" s="126"/>
      <c r="C113" s="127">
        <v>13</v>
      </c>
      <c r="D113" s="115"/>
      <c r="E113" s="115"/>
      <c r="F113" s="112">
        <f>((E112+E114)/2)*C113</f>
        <v>118.26100000000002</v>
      </c>
      <c r="G113" s="115"/>
      <c r="H113" s="110">
        <f>((G112+G114)/2)*C113</f>
        <v>29.25</v>
      </c>
      <c r="I113" s="115"/>
      <c r="J113" s="112">
        <f>I112*3</f>
        <v>4.41</v>
      </c>
      <c r="K113" s="115"/>
      <c r="L113" s="115"/>
      <c r="M113" s="110">
        <f>L112*3+L114*10</f>
        <v>39.39</v>
      </c>
      <c r="N113" s="115"/>
      <c r="O113" s="112">
        <f>((N112+N114)/2)*C113</f>
        <v>4.095</v>
      </c>
      <c r="P113" s="115"/>
      <c r="Q113" s="112">
        <f>((P112+P114)/2)*C113</f>
        <v>2.86</v>
      </c>
      <c r="R113" s="115"/>
      <c r="S113" s="110">
        <f>((R112+R114)/2)*C113</f>
        <v>6.24</v>
      </c>
      <c r="T113" s="115"/>
      <c r="U113" s="110">
        <f>((T112+T114)/2)*C113</f>
        <v>21.125</v>
      </c>
      <c r="V113" s="115"/>
      <c r="W113" s="110">
        <f>V112*3+(V112+V114)/2*10</f>
        <v>13.2</v>
      </c>
      <c r="X113" s="115"/>
      <c r="Y113" s="110">
        <f>X112*3+(X112+X114)/2*10</f>
        <v>77.76</v>
      </c>
      <c r="Z113" s="115"/>
      <c r="AA113" s="110">
        <f>Z112*3+(Z112+Z114)/2*10</f>
        <v>19.72</v>
      </c>
      <c r="AB113" s="115"/>
      <c r="AC113" s="110">
        <f>AB112*3+(AB112+AB114)/2*10</f>
        <v>19.28</v>
      </c>
      <c r="AD113" s="115"/>
      <c r="AE113" s="110">
        <f>AD112*3+(AD112+AD114)/2*10</f>
        <v>52.4</v>
      </c>
      <c r="AF113" s="119"/>
      <c r="AG113" s="110">
        <f>AF112*3</f>
        <v>24</v>
      </c>
      <c r="AH113" s="115"/>
      <c r="AI113" s="110">
        <f>(AH112+AH114)/2*10</f>
        <v>43</v>
      </c>
      <c r="AJ113" s="115"/>
      <c r="AK113" s="110">
        <f>((AJ112+AJ114)/2)*E113</f>
        <v>0</v>
      </c>
      <c r="AW113" s="14"/>
      <c r="AX113" s="14"/>
      <c r="AY113" s="14"/>
      <c r="AZ113" s="14"/>
      <c r="BO113" s="1"/>
      <c r="BP113" s="1"/>
      <c r="CE113" s="14"/>
      <c r="CF113" s="14"/>
      <c r="CG113" s="14"/>
      <c r="CH113" s="14"/>
      <c r="CR113" s="1"/>
      <c r="CS113" s="1"/>
      <c r="DH113" s="14"/>
      <c r="DI113" s="14"/>
      <c r="DJ113" s="14"/>
      <c r="DK113" s="14"/>
    </row>
    <row r="114" spans="2:115" ht="9" customHeight="1">
      <c r="B114" s="125" t="s">
        <v>112</v>
      </c>
      <c r="C114" s="128"/>
      <c r="D114" s="114">
        <v>8.55</v>
      </c>
      <c r="E114" s="118">
        <f>1.1*D114</f>
        <v>9.405000000000001</v>
      </c>
      <c r="F114" s="113"/>
      <c r="G114" s="114">
        <v>0</v>
      </c>
      <c r="H114" s="111"/>
      <c r="I114" s="114">
        <v>0</v>
      </c>
      <c r="J114" s="113"/>
      <c r="K114" s="136">
        <v>1.68</v>
      </c>
      <c r="L114" s="114">
        <f>1.3*K114</f>
        <v>2.184</v>
      </c>
      <c r="M114" s="111"/>
      <c r="N114" s="114">
        <v>0.32</v>
      </c>
      <c r="O114" s="113"/>
      <c r="P114" s="118">
        <v>0.22</v>
      </c>
      <c r="Q114" s="113"/>
      <c r="R114" s="118">
        <v>0.48</v>
      </c>
      <c r="S114" s="111"/>
      <c r="T114" s="118">
        <v>1.49</v>
      </c>
      <c r="U114" s="111"/>
      <c r="V114" s="114">
        <v>0</v>
      </c>
      <c r="W114" s="111"/>
      <c r="X114" s="114">
        <f>0.8+0.8</f>
        <v>1.6</v>
      </c>
      <c r="Y114" s="111"/>
      <c r="Z114" s="136">
        <v>0.36</v>
      </c>
      <c r="AA114" s="111"/>
      <c r="AB114" s="136">
        <v>0.8</v>
      </c>
      <c r="AC114" s="111"/>
      <c r="AD114" s="114">
        <v>2.72</v>
      </c>
      <c r="AE114" s="111"/>
      <c r="AF114" s="119">
        <v>0</v>
      </c>
      <c r="AG114" s="111"/>
      <c r="AH114" s="114">
        <v>4.26</v>
      </c>
      <c r="AI114" s="111"/>
      <c r="AJ114" s="114">
        <v>4.94</v>
      </c>
      <c r="AK114" s="111"/>
      <c r="AW114" s="14"/>
      <c r="AX114" s="14"/>
      <c r="AY114" s="14"/>
      <c r="AZ114" s="14"/>
      <c r="BO114" s="1"/>
      <c r="BP114" s="1"/>
      <c r="CE114" s="14"/>
      <c r="CF114" s="14"/>
      <c r="CG114" s="14"/>
      <c r="CH114" s="14"/>
      <c r="CR114" s="1"/>
      <c r="CS114" s="1"/>
      <c r="DH114" s="14"/>
      <c r="DI114" s="14"/>
      <c r="DJ114" s="14"/>
      <c r="DK114" s="14"/>
    </row>
    <row r="115" spans="2:115" ht="9" customHeight="1">
      <c r="B115" s="126"/>
      <c r="C115" s="127"/>
      <c r="D115" s="115"/>
      <c r="E115" s="115"/>
      <c r="F115" s="112">
        <v>0</v>
      </c>
      <c r="G115" s="115"/>
      <c r="H115" s="110">
        <f>((G114+G116)/2)*C115</f>
        <v>0</v>
      </c>
      <c r="I115" s="115"/>
      <c r="J115" s="112">
        <f>((I114+I116)/2)*C115</f>
        <v>0</v>
      </c>
      <c r="K115" s="137"/>
      <c r="L115" s="115"/>
      <c r="M115" s="110">
        <f>((L114+L116)/2)*C115</f>
        <v>0</v>
      </c>
      <c r="N115" s="115"/>
      <c r="O115" s="112">
        <f>((N114+N116)/2)*C115</f>
        <v>0</v>
      </c>
      <c r="P115" s="115"/>
      <c r="Q115" s="112">
        <f>((P114+P116)/2)*C115</f>
        <v>0</v>
      </c>
      <c r="R115" s="115"/>
      <c r="S115" s="110">
        <f>((R114+R116)/2)*C115</f>
        <v>0</v>
      </c>
      <c r="T115" s="115"/>
      <c r="U115" s="110">
        <f>((T114+T116)/2)*C115</f>
        <v>0</v>
      </c>
      <c r="V115" s="115"/>
      <c r="W115" s="110">
        <f>((V114+V116)/2)*C115</f>
        <v>0</v>
      </c>
      <c r="X115" s="115"/>
      <c r="Y115" s="110">
        <f>((X114+X116)/2)*C115+K114+K116</f>
        <v>1.68</v>
      </c>
      <c r="Z115" s="137"/>
      <c r="AA115" s="110">
        <f>((Z114+Z116)/2)*C115</f>
        <v>0</v>
      </c>
      <c r="AB115" s="137"/>
      <c r="AC115" s="110">
        <f>((AB114+AB116)/2)*C115</f>
        <v>0</v>
      </c>
      <c r="AD115" s="115"/>
      <c r="AE115" s="112">
        <v>0</v>
      </c>
      <c r="AF115" s="119"/>
      <c r="AG115" s="120">
        <f>((AF114+AF116)/2)*ROUND(C115/0.5,0)</f>
        <v>0</v>
      </c>
      <c r="AH115" s="115"/>
      <c r="AI115" s="110">
        <f>((AH114+AH116)/2)*C115</f>
        <v>0</v>
      </c>
      <c r="AJ115" s="115"/>
      <c r="AK115" s="110">
        <f>((AJ114+AJ116)/2)*E115</f>
        <v>0</v>
      </c>
      <c r="AW115" s="14"/>
      <c r="AX115" s="14"/>
      <c r="AY115" s="14"/>
      <c r="AZ115" s="14"/>
      <c r="BO115" s="1"/>
      <c r="BP115" s="1"/>
      <c r="CE115" s="14"/>
      <c r="CF115" s="14"/>
      <c r="CG115" s="14"/>
      <c r="CH115" s="14"/>
      <c r="CR115" s="1"/>
      <c r="CS115" s="1"/>
      <c r="DH115" s="14"/>
      <c r="DI115" s="14"/>
      <c r="DJ115" s="14"/>
      <c r="DK115" s="14"/>
    </row>
    <row r="116" spans="2:115" ht="9" customHeight="1">
      <c r="B116" s="125"/>
      <c r="C116" s="128"/>
      <c r="D116" s="114"/>
      <c r="E116" s="118"/>
      <c r="F116" s="113"/>
      <c r="G116" s="114"/>
      <c r="H116" s="111"/>
      <c r="I116" s="114"/>
      <c r="J116" s="113"/>
      <c r="K116" s="114"/>
      <c r="L116" s="114"/>
      <c r="M116" s="111"/>
      <c r="N116" s="114"/>
      <c r="O116" s="113"/>
      <c r="P116" s="118"/>
      <c r="Q116" s="113"/>
      <c r="R116" s="118"/>
      <c r="S116" s="111"/>
      <c r="T116" s="114"/>
      <c r="U116" s="111"/>
      <c r="V116" s="114"/>
      <c r="W116" s="111"/>
      <c r="X116" s="114"/>
      <c r="Y116" s="111"/>
      <c r="Z116" s="114"/>
      <c r="AA116" s="111"/>
      <c r="AB116" s="114"/>
      <c r="AC116" s="111"/>
      <c r="AD116" s="114"/>
      <c r="AE116" s="113"/>
      <c r="AF116" s="119"/>
      <c r="AG116" s="120"/>
      <c r="AH116" s="114"/>
      <c r="AI116" s="111"/>
      <c r="AJ116" s="114"/>
      <c r="AK116" s="111"/>
      <c r="AW116" s="14"/>
      <c r="AX116" s="14"/>
      <c r="AY116" s="14"/>
      <c r="AZ116" s="14"/>
      <c r="BO116" s="1"/>
      <c r="BP116" s="1"/>
      <c r="CE116" s="14"/>
      <c r="CF116" s="14"/>
      <c r="CG116" s="14"/>
      <c r="CH116" s="14"/>
      <c r="CR116" s="1"/>
      <c r="CS116" s="1"/>
      <c r="DH116" s="14"/>
      <c r="DI116" s="14"/>
      <c r="DJ116" s="14"/>
      <c r="DK116" s="14"/>
    </row>
    <row r="117" spans="2:115" ht="9" customHeight="1">
      <c r="B117" s="126"/>
      <c r="C117" s="127"/>
      <c r="D117" s="115"/>
      <c r="E117" s="115"/>
      <c r="F117" s="110">
        <v>0</v>
      </c>
      <c r="G117" s="115"/>
      <c r="H117" s="110">
        <v>0</v>
      </c>
      <c r="I117" s="115"/>
      <c r="J117" s="110">
        <v>0</v>
      </c>
      <c r="K117" s="115"/>
      <c r="L117" s="115"/>
      <c r="M117" s="110">
        <v>0</v>
      </c>
      <c r="N117" s="115"/>
      <c r="O117" s="110">
        <v>0</v>
      </c>
      <c r="P117" s="115"/>
      <c r="Q117" s="110">
        <v>0</v>
      </c>
      <c r="R117" s="115"/>
      <c r="S117" s="110">
        <v>0</v>
      </c>
      <c r="T117" s="115"/>
      <c r="U117" s="110">
        <v>0</v>
      </c>
      <c r="V117" s="115"/>
      <c r="W117" s="110">
        <v>0</v>
      </c>
      <c r="X117" s="115"/>
      <c r="Y117" s="110">
        <v>0</v>
      </c>
      <c r="Z117" s="115"/>
      <c r="AA117" s="110">
        <v>0</v>
      </c>
      <c r="AB117" s="115"/>
      <c r="AC117" s="110">
        <v>0</v>
      </c>
      <c r="AD117" s="115"/>
      <c r="AE117" s="112">
        <v>0</v>
      </c>
      <c r="AF117" s="119"/>
      <c r="AG117" s="110">
        <v>0</v>
      </c>
      <c r="AH117" s="115"/>
      <c r="AI117" s="110">
        <v>0</v>
      </c>
      <c r="AJ117" s="115"/>
      <c r="AK117" s="110">
        <v>0</v>
      </c>
      <c r="AW117" s="14"/>
      <c r="AX117" s="14"/>
      <c r="AY117" s="14"/>
      <c r="AZ117" s="14"/>
      <c r="BO117" s="1"/>
      <c r="BP117" s="1"/>
      <c r="CE117" s="14"/>
      <c r="CF117" s="14"/>
      <c r="CG117" s="14"/>
      <c r="CH117" s="14"/>
      <c r="CR117" s="1"/>
      <c r="CS117" s="1"/>
      <c r="DH117" s="14"/>
      <c r="DI117" s="14"/>
      <c r="DJ117" s="14"/>
      <c r="DK117" s="14"/>
    </row>
    <row r="118" spans="2:115" ht="9" customHeight="1">
      <c r="B118" s="125"/>
      <c r="C118" s="128"/>
      <c r="D118" s="30"/>
      <c r="E118" s="114"/>
      <c r="F118" s="111"/>
      <c r="G118" s="114"/>
      <c r="H118" s="111"/>
      <c r="I118" s="114"/>
      <c r="J118" s="111"/>
      <c r="K118" s="32"/>
      <c r="L118" s="114"/>
      <c r="M118" s="111"/>
      <c r="N118" s="114"/>
      <c r="O118" s="111"/>
      <c r="P118" s="114"/>
      <c r="Q118" s="111"/>
      <c r="R118" s="114"/>
      <c r="S118" s="111"/>
      <c r="T118" s="114"/>
      <c r="U118" s="111"/>
      <c r="V118" s="114"/>
      <c r="W118" s="111"/>
      <c r="X118" s="114"/>
      <c r="Y118" s="111"/>
      <c r="Z118" s="114"/>
      <c r="AA118" s="111"/>
      <c r="AB118" s="114"/>
      <c r="AC118" s="111"/>
      <c r="AD118" s="114"/>
      <c r="AE118" s="113"/>
      <c r="AF118" s="114"/>
      <c r="AG118" s="111"/>
      <c r="AH118" s="114"/>
      <c r="AI118" s="111"/>
      <c r="AJ118" s="114"/>
      <c r="AK118" s="111"/>
      <c r="AW118" s="14"/>
      <c r="AX118" s="14"/>
      <c r="AY118" s="14"/>
      <c r="AZ118" s="14"/>
      <c r="BO118" s="1"/>
      <c r="BP118" s="1"/>
      <c r="CE118" s="14"/>
      <c r="CF118" s="14"/>
      <c r="CG118" s="14"/>
      <c r="CH118" s="14"/>
      <c r="CR118" s="1"/>
      <c r="CS118" s="1"/>
      <c r="DH118" s="14"/>
      <c r="DI118" s="14"/>
      <c r="DJ118" s="14"/>
      <c r="DK118" s="14"/>
    </row>
    <row r="119" spans="2:115" ht="9" customHeight="1">
      <c r="B119" s="126"/>
      <c r="C119" s="127"/>
      <c r="D119" s="30"/>
      <c r="E119" s="115"/>
      <c r="F119" s="112">
        <f>((E118+E120)/2)*C119</f>
        <v>0</v>
      </c>
      <c r="G119" s="115"/>
      <c r="H119" s="110">
        <f>((G118+G120)/2)*C119</f>
        <v>0</v>
      </c>
      <c r="I119" s="115"/>
      <c r="J119" s="112">
        <f>((I118+I120)/2)*C119</f>
        <v>0</v>
      </c>
      <c r="K119" s="32"/>
      <c r="L119" s="115"/>
      <c r="M119" s="110">
        <f>((L118+L120)/2)*C119</f>
        <v>0</v>
      </c>
      <c r="N119" s="115"/>
      <c r="O119" s="112">
        <f>((N118+N120)/2)*C119</f>
        <v>0</v>
      </c>
      <c r="P119" s="115"/>
      <c r="Q119" s="112">
        <f>((P118+P120)/2)*C119</f>
        <v>0</v>
      </c>
      <c r="R119" s="115"/>
      <c r="S119" s="110">
        <f>((R118+R120)/2)*C119</f>
        <v>0</v>
      </c>
      <c r="T119" s="115"/>
      <c r="U119" s="110">
        <f>((T118+T120)/2)*C119</f>
        <v>0</v>
      </c>
      <c r="V119" s="115"/>
      <c r="W119" s="110">
        <f>((V118+V120)/2)*C119</f>
        <v>0</v>
      </c>
      <c r="X119" s="115"/>
      <c r="Y119" s="110">
        <f>((X118+X120)/2)*C119</f>
        <v>0</v>
      </c>
      <c r="Z119" s="115"/>
      <c r="AA119" s="110">
        <f>((Z118+Z120)/2)*C119</f>
        <v>0</v>
      </c>
      <c r="AB119" s="115"/>
      <c r="AC119" s="110">
        <f>((AB118+AB120)/2)*C119</f>
        <v>0</v>
      </c>
      <c r="AD119" s="115"/>
      <c r="AE119" s="110">
        <f>((AD118+AD120)/2)*C119</f>
        <v>0</v>
      </c>
      <c r="AF119" s="115"/>
      <c r="AG119" s="110">
        <f>((AF118+AF120)/2)*C119</f>
        <v>0</v>
      </c>
      <c r="AH119" s="115"/>
      <c r="AI119" s="110">
        <f>((AH118+AH120)/2)*C119</f>
        <v>0</v>
      </c>
      <c r="AJ119" s="115"/>
      <c r="AK119" s="110">
        <f>((AJ118+AJ120)/2)*E119</f>
        <v>0</v>
      </c>
      <c r="AW119" s="14"/>
      <c r="AX119" s="14"/>
      <c r="AY119" s="14"/>
      <c r="AZ119" s="14"/>
      <c r="BO119" s="1"/>
      <c r="BP119" s="1"/>
      <c r="CE119" s="14"/>
      <c r="CF119" s="14"/>
      <c r="CG119" s="14"/>
      <c r="CH119" s="14"/>
      <c r="CR119" s="1"/>
      <c r="CS119" s="1"/>
      <c r="DH119" s="14"/>
      <c r="DI119" s="14"/>
      <c r="DJ119" s="14"/>
      <c r="DK119" s="14"/>
    </row>
    <row r="120" spans="2:115" ht="9" customHeight="1">
      <c r="B120" s="125"/>
      <c r="C120" s="128"/>
      <c r="D120" s="30"/>
      <c r="E120" s="114"/>
      <c r="F120" s="113"/>
      <c r="G120" s="114"/>
      <c r="H120" s="111"/>
      <c r="I120" s="114"/>
      <c r="J120" s="113"/>
      <c r="K120" s="32"/>
      <c r="L120" s="114"/>
      <c r="M120" s="111"/>
      <c r="N120" s="114"/>
      <c r="O120" s="113"/>
      <c r="P120" s="114"/>
      <c r="Q120" s="113"/>
      <c r="R120" s="114"/>
      <c r="S120" s="111"/>
      <c r="T120" s="114"/>
      <c r="U120" s="111"/>
      <c r="V120" s="114"/>
      <c r="W120" s="111"/>
      <c r="X120" s="114"/>
      <c r="Y120" s="111"/>
      <c r="Z120" s="114"/>
      <c r="AA120" s="111"/>
      <c r="AB120" s="114"/>
      <c r="AC120" s="111"/>
      <c r="AD120" s="114"/>
      <c r="AE120" s="111"/>
      <c r="AF120" s="114"/>
      <c r="AG120" s="111"/>
      <c r="AH120" s="114"/>
      <c r="AI120" s="111"/>
      <c r="AJ120" s="114"/>
      <c r="AK120" s="111"/>
      <c r="AW120" s="14"/>
      <c r="AX120" s="14"/>
      <c r="AY120" s="14"/>
      <c r="AZ120" s="14"/>
      <c r="BO120" s="1"/>
      <c r="BP120" s="1"/>
      <c r="CE120" s="14"/>
      <c r="CF120" s="14"/>
      <c r="CG120" s="14"/>
      <c r="CH120" s="14"/>
      <c r="CR120" s="1"/>
      <c r="CS120" s="1"/>
      <c r="DH120" s="14"/>
      <c r="DI120" s="14"/>
      <c r="DJ120" s="14"/>
      <c r="DK120" s="14"/>
    </row>
    <row r="121" spans="2:115" ht="9" customHeight="1">
      <c r="B121" s="126"/>
      <c r="C121" s="127"/>
      <c r="D121" s="30"/>
      <c r="E121" s="115"/>
      <c r="F121" s="112">
        <f>((E120+E122)/2)*C121</f>
        <v>0</v>
      </c>
      <c r="G121" s="115"/>
      <c r="H121" s="110">
        <f>((G120+G122)/2)*C121</f>
        <v>0</v>
      </c>
      <c r="I121" s="115"/>
      <c r="J121" s="112">
        <f>((I120+I122)/2)*C121</f>
        <v>0</v>
      </c>
      <c r="K121" s="32"/>
      <c r="L121" s="115"/>
      <c r="M121" s="110">
        <f>((L120+L122)/2)*C121</f>
        <v>0</v>
      </c>
      <c r="N121" s="115"/>
      <c r="O121" s="112">
        <f>((N120+N122)/2)*C121</f>
        <v>0</v>
      </c>
      <c r="P121" s="115"/>
      <c r="Q121" s="112">
        <f>((P120+P122)/2)*C121</f>
        <v>0</v>
      </c>
      <c r="R121" s="115"/>
      <c r="S121" s="110">
        <f>((R120+R122)/2)*C121</f>
        <v>0</v>
      </c>
      <c r="T121" s="115"/>
      <c r="U121" s="110">
        <f>((T120+T122)/2)*C121</f>
        <v>0</v>
      </c>
      <c r="V121" s="115"/>
      <c r="W121" s="110">
        <f>((V120+V122)/2)*C121</f>
        <v>0</v>
      </c>
      <c r="X121" s="115"/>
      <c r="Y121" s="110">
        <f>((X120+X122)/2)*C121</f>
        <v>0</v>
      </c>
      <c r="Z121" s="115"/>
      <c r="AA121" s="110">
        <f>((Z120+Z122)/2)*C121</f>
        <v>0</v>
      </c>
      <c r="AB121" s="115"/>
      <c r="AC121" s="110">
        <f>((AB120+AB122)/2)*C121</f>
        <v>0</v>
      </c>
      <c r="AD121" s="115"/>
      <c r="AE121" s="110">
        <f>((AD120+AD122)/2)*C121</f>
        <v>0</v>
      </c>
      <c r="AF121" s="115"/>
      <c r="AG121" s="110">
        <f>((AF120+AF122)/2)*C121</f>
        <v>0</v>
      </c>
      <c r="AH121" s="115"/>
      <c r="AI121" s="110">
        <f>((AH120+AH122)/2)*C121</f>
        <v>0</v>
      </c>
      <c r="AJ121" s="115"/>
      <c r="AK121" s="110">
        <f>((AJ120+AJ122)/2)*E121</f>
        <v>0</v>
      </c>
      <c r="AW121" s="14"/>
      <c r="AX121" s="14"/>
      <c r="AY121" s="14"/>
      <c r="AZ121" s="14"/>
      <c r="BO121" s="1"/>
      <c r="BP121" s="1"/>
      <c r="CE121" s="14"/>
      <c r="CF121" s="14"/>
      <c r="CG121" s="14"/>
      <c r="CH121" s="14"/>
      <c r="CR121" s="1"/>
      <c r="CS121" s="1"/>
      <c r="DH121" s="14"/>
      <c r="DI121" s="14"/>
      <c r="DJ121" s="14"/>
      <c r="DK121" s="14"/>
    </row>
    <row r="122" spans="2:115" ht="9" customHeight="1">
      <c r="B122" s="125"/>
      <c r="C122" s="128"/>
      <c r="D122" s="30"/>
      <c r="E122" s="114"/>
      <c r="F122" s="113"/>
      <c r="G122" s="114"/>
      <c r="H122" s="111"/>
      <c r="I122" s="114"/>
      <c r="J122" s="113"/>
      <c r="K122" s="32"/>
      <c r="L122" s="114"/>
      <c r="M122" s="111"/>
      <c r="N122" s="114"/>
      <c r="O122" s="113"/>
      <c r="P122" s="114"/>
      <c r="Q122" s="113"/>
      <c r="R122" s="114"/>
      <c r="S122" s="111"/>
      <c r="T122" s="114"/>
      <c r="U122" s="111"/>
      <c r="V122" s="114"/>
      <c r="W122" s="111"/>
      <c r="X122" s="114"/>
      <c r="Y122" s="111"/>
      <c r="Z122" s="114"/>
      <c r="AA122" s="111"/>
      <c r="AB122" s="114"/>
      <c r="AC122" s="111"/>
      <c r="AD122" s="114"/>
      <c r="AE122" s="111"/>
      <c r="AF122" s="114"/>
      <c r="AG122" s="111"/>
      <c r="AH122" s="114"/>
      <c r="AI122" s="111"/>
      <c r="AJ122" s="114"/>
      <c r="AK122" s="111"/>
      <c r="AW122" s="14"/>
      <c r="AX122" s="14"/>
      <c r="AY122" s="14"/>
      <c r="AZ122" s="14"/>
      <c r="BO122" s="1"/>
      <c r="BP122" s="1"/>
      <c r="CE122" s="14"/>
      <c r="CF122" s="14"/>
      <c r="CG122" s="14"/>
      <c r="CH122" s="14"/>
      <c r="CR122" s="1"/>
      <c r="CS122" s="1"/>
      <c r="DH122" s="14"/>
      <c r="DI122" s="14"/>
      <c r="DJ122" s="14"/>
      <c r="DK122" s="14"/>
    </row>
    <row r="123" spans="2:115" ht="9" customHeight="1">
      <c r="B123" s="126"/>
      <c r="C123" s="6"/>
      <c r="D123" s="85"/>
      <c r="E123" s="115"/>
      <c r="F123" s="69"/>
      <c r="G123" s="115"/>
      <c r="H123" s="13"/>
      <c r="I123" s="115"/>
      <c r="J123" s="13"/>
      <c r="K123" s="91"/>
      <c r="L123" s="115"/>
      <c r="M123" s="13"/>
      <c r="N123" s="115"/>
      <c r="O123" s="13"/>
      <c r="P123" s="115"/>
      <c r="Q123" s="13"/>
      <c r="R123" s="115"/>
      <c r="S123" s="13"/>
      <c r="T123" s="115"/>
      <c r="U123" s="13"/>
      <c r="V123" s="115"/>
      <c r="W123" s="13"/>
      <c r="X123" s="115"/>
      <c r="Y123" s="13"/>
      <c r="Z123" s="115"/>
      <c r="AA123" s="13"/>
      <c r="AB123" s="115"/>
      <c r="AC123" s="13"/>
      <c r="AD123" s="115"/>
      <c r="AE123" s="13"/>
      <c r="AF123" s="115"/>
      <c r="AG123" s="13"/>
      <c r="AH123" s="115"/>
      <c r="AI123" s="13"/>
      <c r="AJ123" s="115"/>
      <c r="AK123" s="13"/>
      <c r="AW123" s="14"/>
      <c r="AX123" s="14"/>
      <c r="AY123" s="14"/>
      <c r="AZ123" s="14"/>
      <c r="BO123" s="1"/>
      <c r="BP123" s="1"/>
      <c r="CE123" s="14"/>
      <c r="CF123" s="14"/>
      <c r="CG123" s="14"/>
      <c r="CH123" s="14"/>
      <c r="CR123" s="1"/>
      <c r="CS123" s="1"/>
      <c r="DH123" s="14"/>
      <c r="DI123" s="14"/>
      <c r="DJ123" s="14"/>
      <c r="DK123" s="14"/>
    </row>
    <row r="124" spans="2:115" ht="15" thickBot="1">
      <c r="B124" s="29"/>
      <c r="C124" s="30"/>
      <c r="D124" s="30"/>
      <c r="E124" s="31"/>
      <c r="F124" s="32"/>
      <c r="G124" s="31"/>
      <c r="H124" s="31"/>
      <c r="I124" s="31"/>
      <c r="J124" s="32"/>
      <c r="K124" s="32"/>
      <c r="L124" s="31"/>
      <c r="M124" s="31"/>
      <c r="N124" s="31"/>
      <c r="O124" s="32"/>
      <c r="P124" s="31"/>
      <c r="Q124" s="32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W124" s="14"/>
      <c r="AX124" s="14"/>
      <c r="AY124" s="14"/>
      <c r="AZ124" s="14"/>
      <c r="BO124" s="1"/>
      <c r="BP124" s="1"/>
      <c r="CE124" s="14"/>
      <c r="CF124" s="14"/>
      <c r="CG124" s="14"/>
      <c r="CH124" s="14"/>
      <c r="CR124" s="1"/>
      <c r="CS124" s="1"/>
      <c r="DH124" s="14"/>
      <c r="DI124" s="14"/>
      <c r="DJ124" s="14"/>
      <c r="DK124" s="14"/>
    </row>
    <row r="125" spans="2:115" ht="13.5" thickBot="1">
      <c r="B125" s="4"/>
      <c r="C125" s="20"/>
      <c r="D125" s="86"/>
      <c r="E125" s="23"/>
      <c r="F125" s="24"/>
      <c r="G125" s="23"/>
      <c r="H125" s="24"/>
      <c r="I125" s="24"/>
      <c r="J125" s="24"/>
      <c r="K125" s="24"/>
      <c r="L125" s="26"/>
      <c r="M125" s="21"/>
      <c r="N125" s="26"/>
      <c r="O125" s="21"/>
      <c r="P125" s="24"/>
      <c r="Q125" s="24"/>
      <c r="R125" s="26"/>
      <c r="S125" s="21"/>
      <c r="T125" s="26"/>
      <c r="U125" s="21"/>
      <c r="V125" s="26"/>
      <c r="W125" s="21"/>
      <c r="X125" s="26"/>
      <c r="Y125" s="21"/>
      <c r="Z125" s="23"/>
      <c r="AA125" s="24"/>
      <c r="AB125" s="26"/>
      <c r="AC125" s="21"/>
      <c r="AD125" s="26"/>
      <c r="AE125" s="21"/>
      <c r="AF125" s="26"/>
      <c r="AG125" s="21"/>
      <c r="AH125" s="26"/>
      <c r="AI125" s="21"/>
      <c r="AJ125" s="26"/>
      <c r="AK125" s="21"/>
      <c r="AW125" s="14"/>
      <c r="AX125" s="14"/>
      <c r="AY125" s="14"/>
      <c r="AZ125" s="14"/>
      <c r="BO125" s="1"/>
      <c r="BP125" s="1"/>
      <c r="CE125" s="14"/>
      <c r="CF125" s="14"/>
      <c r="CG125" s="14"/>
      <c r="CH125" s="14"/>
      <c r="CR125" s="1"/>
      <c r="CS125" s="1"/>
      <c r="DH125" s="14"/>
      <c r="DI125" s="14"/>
      <c r="DJ125" s="14"/>
      <c r="DK125" s="14"/>
    </row>
    <row r="126" spans="2:115" ht="15" thickBot="1">
      <c r="B126" s="4"/>
      <c r="C126" s="19" t="s">
        <v>110</v>
      </c>
      <c r="D126" s="87"/>
      <c r="F126" s="15">
        <f>SUM(F103:F122)</f>
        <v>452.415975</v>
      </c>
      <c r="G126" s="27"/>
      <c r="H126" s="15">
        <f>SUM(H103:H122)</f>
        <v>184.38175</v>
      </c>
      <c r="I126" s="27"/>
      <c r="J126" s="15">
        <f>SUM(J103:J122)</f>
        <v>58.293499999999995</v>
      </c>
      <c r="K126" s="90"/>
      <c r="L126" s="27"/>
      <c r="M126" s="15">
        <f>SUM(M103:M122)</f>
        <v>257.243675</v>
      </c>
      <c r="N126" s="27"/>
      <c r="O126" s="15">
        <f>SUM(O103:O122)</f>
        <v>17.022</v>
      </c>
      <c r="P126" s="27"/>
      <c r="Q126" s="15">
        <f>SUM(Q103:Q122)</f>
        <v>12.033999999999999</v>
      </c>
      <c r="R126" s="27"/>
      <c r="S126" s="15">
        <f>SUM(S103:S122)</f>
        <v>26.256</v>
      </c>
      <c r="T126" s="27"/>
      <c r="U126" s="15">
        <f>SUM(U103:U122)</f>
        <v>94.517</v>
      </c>
      <c r="V126" s="27"/>
      <c r="W126" s="15">
        <f>SUM(W103:W122)</f>
        <v>109.01575</v>
      </c>
      <c r="X126" s="27"/>
      <c r="Y126" s="15">
        <f>SUM(Y103:Y122)</f>
        <v>427.49424999999997</v>
      </c>
      <c r="Z126" s="27"/>
      <c r="AA126" s="15">
        <f>SUM(AA103:AA122)</f>
        <v>42.447500000000005</v>
      </c>
      <c r="AB126" s="27"/>
      <c r="AC126" s="37">
        <f>SUM(AC102:AC122)</f>
        <v>95.75200000000001</v>
      </c>
      <c r="AE126" s="15">
        <f>SUM(AE103:AE122)</f>
        <v>223.604</v>
      </c>
      <c r="AG126" s="15">
        <f>SUM(AG103:AG122)</f>
        <v>613.5</v>
      </c>
      <c r="AI126" s="15">
        <f>SUM(AI103:AI122)</f>
        <v>43</v>
      </c>
      <c r="AJ126" s="5"/>
      <c r="AK126" s="15">
        <f>SUM(AK103:AK122)</f>
        <v>0</v>
      </c>
      <c r="AW126" s="14"/>
      <c r="AX126" s="14"/>
      <c r="AY126" s="14"/>
      <c r="AZ126" s="14"/>
      <c r="BO126" s="1"/>
      <c r="BP126" s="1"/>
      <c r="CE126" s="14"/>
      <c r="CF126" s="14"/>
      <c r="CG126" s="14"/>
      <c r="CH126" s="14"/>
      <c r="CR126" s="1"/>
      <c r="CS126" s="1"/>
      <c r="DH126" s="14"/>
      <c r="DI126" s="14"/>
      <c r="DJ126" s="14"/>
      <c r="DK126" s="14"/>
    </row>
    <row r="127" spans="2:115" ht="12.75">
      <c r="B127" s="1"/>
      <c r="C127" s="1"/>
      <c r="D127" s="1"/>
      <c r="T127" s="14"/>
      <c r="U127" s="14"/>
      <c r="V127" s="14"/>
      <c r="W127" s="14"/>
      <c r="AG127" s="1"/>
      <c r="AH127" s="1"/>
      <c r="AW127" s="14"/>
      <c r="AX127" s="14"/>
      <c r="AY127" s="14"/>
      <c r="AZ127" s="14"/>
      <c r="BO127" s="1"/>
      <c r="BP127" s="1"/>
      <c r="CE127" s="14"/>
      <c r="CF127" s="14"/>
      <c r="CG127" s="14"/>
      <c r="CH127" s="14"/>
      <c r="CR127" s="1"/>
      <c r="CS127" s="1"/>
      <c r="DH127" s="14"/>
      <c r="DI127" s="14"/>
      <c r="DJ127" s="14"/>
      <c r="DK127" s="14"/>
    </row>
    <row r="128" spans="2:115" ht="12.75">
      <c r="B128" s="1"/>
      <c r="C128" s="1"/>
      <c r="D128" s="1"/>
      <c r="T128" s="14"/>
      <c r="U128" s="14"/>
      <c r="V128" s="14"/>
      <c r="W128" s="14"/>
      <c r="AG128" s="1"/>
      <c r="AH128" s="1"/>
      <c r="AW128" s="14"/>
      <c r="AX128" s="14"/>
      <c r="AY128" s="14"/>
      <c r="AZ128" s="14"/>
      <c r="BO128" s="1"/>
      <c r="BP128" s="1"/>
      <c r="CE128" s="14"/>
      <c r="CF128" s="14"/>
      <c r="CG128" s="14"/>
      <c r="CH128" s="14"/>
      <c r="CR128" s="1"/>
      <c r="CS128" s="1"/>
      <c r="DH128" s="14"/>
      <c r="DI128" s="14"/>
      <c r="DJ128" s="14"/>
      <c r="DK128" s="14"/>
    </row>
    <row r="129" spans="2:115" ht="12.75">
      <c r="B129" s="1"/>
      <c r="C129" s="1"/>
      <c r="D129" s="1"/>
      <c r="T129" s="14"/>
      <c r="U129" s="14"/>
      <c r="V129" s="14"/>
      <c r="W129" s="14"/>
      <c r="AG129" s="1"/>
      <c r="AH129" s="1"/>
      <c r="AW129" s="14"/>
      <c r="AX129" s="14"/>
      <c r="AY129" s="14"/>
      <c r="AZ129" s="14"/>
      <c r="BO129" s="1"/>
      <c r="BP129" s="1"/>
      <c r="CE129" s="14"/>
      <c r="CF129" s="14"/>
      <c r="CG129" s="14"/>
      <c r="CH129" s="14"/>
      <c r="CR129" s="1"/>
      <c r="CS129" s="1"/>
      <c r="DH129" s="14"/>
      <c r="DI129" s="14"/>
      <c r="DJ129" s="14"/>
      <c r="DK129" s="14"/>
    </row>
    <row r="130" spans="2:115" ht="12.75">
      <c r="B130" s="1"/>
      <c r="C130" s="1"/>
      <c r="D130" s="1"/>
      <c r="T130" s="14"/>
      <c r="U130" s="14"/>
      <c r="V130" s="14"/>
      <c r="W130" s="14"/>
      <c r="AG130" s="1"/>
      <c r="AH130" s="1"/>
      <c r="AW130" s="14"/>
      <c r="AX130" s="14"/>
      <c r="AY130" s="14"/>
      <c r="AZ130" s="14"/>
      <c r="BO130" s="1"/>
      <c r="BP130" s="1"/>
      <c r="CE130" s="14"/>
      <c r="CF130" s="14"/>
      <c r="CG130" s="14"/>
      <c r="CH130" s="14"/>
      <c r="CR130" s="1"/>
      <c r="CS130" s="1"/>
      <c r="DH130" s="14"/>
      <c r="DI130" s="14"/>
      <c r="DJ130" s="14"/>
      <c r="DK130" s="14"/>
    </row>
    <row r="131" spans="2:115" ht="12.75">
      <c r="B131" s="1"/>
      <c r="C131" s="1"/>
      <c r="D131" s="1"/>
      <c r="T131" s="14"/>
      <c r="U131" s="14"/>
      <c r="V131" s="14"/>
      <c r="W131" s="14"/>
      <c r="AG131" s="1"/>
      <c r="AH131" s="1"/>
      <c r="AW131" s="14"/>
      <c r="AX131" s="14"/>
      <c r="AY131" s="14"/>
      <c r="AZ131" s="14"/>
      <c r="BO131" s="1"/>
      <c r="BP131" s="1"/>
      <c r="CE131" s="14"/>
      <c r="CF131" s="14"/>
      <c r="CG131" s="14"/>
      <c r="CH131" s="14"/>
      <c r="CR131" s="1"/>
      <c r="CS131" s="1"/>
      <c r="DH131" s="14"/>
      <c r="DI131" s="14"/>
      <c r="DJ131" s="14"/>
      <c r="DK131" s="14"/>
    </row>
    <row r="132" spans="2:115" ht="12.75">
      <c r="B132" s="1"/>
      <c r="C132" s="1"/>
      <c r="D132" s="1"/>
      <c r="T132" s="14"/>
      <c r="U132" s="14"/>
      <c r="V132" s="14"/>
      <c r="W132" s="14"/>
      <c r="AG132" s="1"/>
      <c r="AH132" s="1"/>
      <c r="AW132" s="14"/>
      <c r="AX132" s="14"/>
      <c r="AY132" s="14"/>
      <c r="AZ132" s="14"/>
      <c r="BO132" s="1"/>
      <c r="BP132" s="1"/>
      <c r="CE132" s="14"/>
      <c r="CF132" s="14"/>
      <c r="CG132" s="14"/>
      <c r="CH132" s="14"/>
      <c r="CR132" s="1"/>
      <c r="CS132" s="1"/>
      <c r="DH132" s="14"/>
      <c r="DI132" s="14"/>
      <c r="DJ132" s="14"/>
      <c r="DK132" s="14"/>
    </row>
    <row r="133" spans="2:115" ht="12.75">
      <c r="B133" s="1"/>
      <c r="C133" s="1"/>
      <c r="D133" s="1"/>
      <c r="T133" s="14"/>
      <c r="U133" s="14"/>
      <c r="V133" s="14"/>
      <c r="W133" s="14"/>
      <c r="AG133" s="1"/>
      <c r="AH133" s="1"/>
      <c r="AW133" s="14"/>
      <c r="AX133" s="14"/>
      <c r="AY133" s="14"/>
      <c r="AZ133" s="14"/>
      <c r="BO133" s="1"/>
      <c r="BP133" s="1"/>
      <c r="CE133" s="14"/>
      <c r="CF133" s="14"/>
      <c r="CG133" s="14"/>
      <c r="CH133" s="14"/>
      <c r="CR133" s="1"/>
      <c r="CS133" s="1"/>
      <c r="DH133" s="14"/>
      <c r="DI133" s="14"/>
      <c r="DJ133" s="14"/>
      <c r="DK133" s="14"/>
    </row>
    <row r="134" spans="2:115" ht="12.75">
      <c r="B134" s="1"/>
      <c r="C134" s="1"/>
      <c r="D134" s="1"/>
      <c r="T134" s="14"/>
      <c r="U134" s="14"/>
      <c r="V134" s="14"/>
      <c r="W134" s="14"/>
      <c r="AG134" s="1"/>
      <c r="AH134" s="1"/>
      <c r="AW134" s="14"/>
      <c r="AX134" s="14"/>
      <c r="AY134" s="14"/>
      <c r="AZ134" s="14"/>
      <c r="BO134" s="1"/>
      <c r="BP134" s="1"/>
      <c r="CE134" s="14"/>
      <c r="CF134" s="14"/>
      <c r="CG134" s="14"/>
      <c r="CH134" s="14"/>
      <c r="CR134" s="1"/>
      <c r="CS134" s="1"/>
      <c r="DH134" s="14"/>
      <c r="DI134" s="14"/>
      <c r="DJ134" s="14"/>
      <c r="DK134" s="14"/>
    </row>
    <row r="135" spans="2:115" ht="12.75">
      <c r="B135" s="1"/>
      <c r="C135" s="1"/>
      <c r="D135" s="1"/>
      <c r="T135" s="14"/>
      <c r="U135" s="14"/>
      <c r="V135" s="14"/>
      <c r="W135" s="14"/>
      <c r="AG135" s="1"/>
      <c r="AH135" s="1"/>
      <c r="AW135" s="14"/>
      <c r="AX135" s="14"/>
      <c r="AY135" s="14"/>
      <c r="AZ135" s="14"/>
      <c r="BO135" s="1"/>
      <c r="BP135" s="1"/>
      <c r="CE135" s="14"/>
      <c r="CF135" s="14"/>
      <c r="CG135" s="14"/>
      <c r="CH135" s="14"/>
      <c r="CR135" s="1"/>
      <c r="CS135" s="1"/>
      <c r="DH135" s="14"/>
      <c r="DI135" s="14"/>
      <c r="DJ135" s="14"/>
      <c r="DK135" s="14"/>
    </row>
    <row r="136" spans="2:115" ht="12.75">
      <c r="B136" s="1"/>
      <c r="C136" s="1"/>
      <c r="D136" s="1"/>
      <c r="T136" s="14"/>
      <c r="U136" s="14"/>
      <c r="V136" s="14"/>
      <c r="W136" s="14"/>
      <c r="AG136" s="1"/>
      <c r="AH136" s="1"/>
      <c r="AW136" s="14"/>
      <c r="AX136" s="14"/>
      <c r="AY136" s="14"/>
      <c r="AZ136" s="14"/>
      <c r="BO136" s="1"/>
      <c r="BP136" s="1"/>
      <c r="CE136" s="14"/>
      <c r="CF136" s="14"/>
      <c r="CG136" s="14"/>
      <c r="CH136" s="14"/>
      <c r="CR136" s="1"/>
      <c r="CS136" s="1"/>
      <c r="DH136" s="14"/>
      <c r="DI136" s="14"/>
      <c r="DJ136" s="14"/>
      <c r="DK136" s="14"/>
    </row>
    <row r="137" spans="2:115" ht="12.75">
      <c r="B137" s="1"/>
      <c r="C137" s="1"/>
      <c r="D137" s="1"/>
      <c r="T137" s="14"/>
      <c r="U137" s="14"/>
      <c r="V137" s="14"/>
      <c r="W137" s="14"/>
      <c r="AG137" s="1"/>
      <c r="AH137" s="1"/>
      <c r="AW137" s="14"/>
      <c r="AX137" s="14"/>
      <c r="AY137" s="14"/>
      <c r="AZ137" s="14"/>
      <c r="BO137" s="1"/>
      <c r="BP137" s="1"/>
      <c r="CE137" s="14"/>
      <c r="CF137" s="14"/>
      <c r="CG137" s="14"/>
      <c r="CH137" s="14"/>
      <c r="CR137" s="1"/>
      <c r="CS137" s="1"/>
      <c r="DH137" s="14"/>
      <c r="DI137" s="14"/>
      <c r="DJ137" s="14"/>
      <c r="DK137" s="14"/>
    </row>
    <row r="138" spans="2:115" ht="12.75">
      <c r="B138" s="1"/>
      <c r="C138" s="1"/>
      <c r="D138" s="1"/>
      <c r="T138" s="14"/>
      <c r="U138" s="14"/>
      <c r="V138" s="14"/>
      <c r="W138" s="14"/>
      <c r="AG138" s="1"/>
      <c r="AH138" s="1"/>
      <c r="AW138" s="14"/>
      <c r="AX138" s="14"/>
      <c r="AY138" s="14"/>
      <c r="AZ138" s="14"/>
      <c r="BO138" s="1"/>
      <c r="BP138" s="1"/>
      <c r="CE138" s="14"/>
      <c r="CF138" s="14"/>
      <c r="CG138" s="14"/>
      <c r="CH138" s="14"/>
      <c r="CR138" s="1"/>
      <c r="CS138" s="1"/>
      <c r="DH138" s="14"/>
      <c r="DI138" s="14"/>
      <c r="DJ138" s="14"/>
      <c r="DK138" s="14"/>
    </row>
    <row r="139" spans="2:115" ht="12.75">
      <c r="B139" s="1"/>
      <c r="C139" s="1"/>
      <c r="D139" s="1"/>
      <c r="T139" s="14"/>
      <c r="U139" s="14"/>
      <c r="V139" s="14"/>
      <c r="W139" s="14"/>
      <c r="AG139" s="1"/>
      <c r="AH139" s="1"/>
      <c r="AW139" s="14"/>
      <c r="AX139" s="14"/>
      <c r="AY139" s="14"/>
      <c r="AZ139" s="14"/>
      <c r="BO139" s="1"/>
      <c r="BP139" s="1"/>
      <c r="CE139" s="14"/>
      <c r="CF139" s="14"/>
      <c r="CG139" s="14"/>
      <c r="CH139" s="14"/>
      <c r="CR139" s="1"/>
      <c r="CS139" s="1"/>
      <c r="DH139" s="14"/>
      <c r="DI139" s="14"/>
      <c r="DJ139" s="14"/>
      <c r="DK139" s="14"/>
    </row>
    <row r="140" spans="2:115" ht="12.75">
      <c r="B140" s="1"/>
      <c r="C140" s="1"/>
      <c r="D140" s="1"/>
      <c r="T140" s="14"/>
      <c r="U140" s="14"/>
      <c r="V140" s="14"/>
      <c r="W140" s="14"/>
      <c r="AG140" s="1"/>
      <c r="AH140" s="1"/>
      <c r="AW140" s="14"/>
      <c r="AX140" s="14"/>
      <c r="AY140" s="14"/>
      <c r="AZ140" s="14"/>
      <c r="BO140" s="1"/>
      <c r="BP140" s="1"/>
      <c r="CE140" s="14"/>
      <c r="CF140" s="14"/>
      <c r="CG140" s="14"/>
      <c r="CH140" s="14"/>
      <c r="CR140" s="1"/>
      <c r="CS140" s="1"/>
      <c r="DH140" s="14"/>
      <c r="DI140" s="14"/>
      <c r="DJ140" s="14"/>
      <c r="DK140" s="14"/>
    </row>
    <row r="141" spans="2:115" ht="12.75">
      <c r="B141" s="1"/>
      <c r="C141" s="1"/>
      <c r="D141" s="1"/>
      <c r="T141" s="14"/>
      <c r="U141" s="14"/>
      <c r="V141" s="14"/>
      <c r="W141" s="14"/>
      <c r="AG141" s="1"/>
      <c r="AH141" s="1"/>
      <c r="AW141" s="14"/>
      <c r="AX141" s="14"/>
      <c r="AY141" s="14"/>
      <c r="AZ141" s="14"/>
      <c r="BO141" s="1"/>
      <c r="BP141" s="1"/>
      <c r="CE141" s="14"/>
      <c r="CF141" s="14"/>
      <c r="CG141" s="14"/>
      <c r="CH141" s="14"/>
      <c r="CR141" s="1"/>
      <c r="CS141" s="1"/>
      <c r="DH141" s="14"/>
      <c r="DI141" s="14"/>
      <c r="DJ141" s="14"/>
      <c r="DK141" s="14"/>
    </row>
    <row r="142" spans="2:115" ht="12.75">
      <c r="B142" s="1"/>
      <c r="C142" s="1"/>
      <c r="D142" s="1"/>
      <c r="T142" s="14"/>
      <c r="U142" s="14"/>
      <c r="V142" s="14"/>
      <c r="W142" s="14"/>
      <c r="AG142" s="1"/>
      <c r="AH142" s="1"/>
      <c r="AW142" s="14"/>
      <c r="AX142" s="14"/>
      <c r="AY142" s="14"/>
      <c r="AZ142" s="14"/>
      <c r="BO142" s="1"/>
      <c r="BP142" s="1"/>
      <c r="CE142" s="14"/>
      <c r="CF142" s="14"/>
      <c r="CG142" s="14"/>
      <c r="CH142" s="14"/>
      <c r="CR142" s="1"/>
      <c r="CS142" s="1"/>
      <c r="DH142" s="14"/>
      <c r="DI142" s="14"/>
      <c r="DJ142" s="14"/>
      <c r="DK142" s="14"/>
    </row>
    <row r="143" spans="2:115" ht="12.75">
      <c r="B143" s="1"/>
      <c r="C143" s="1"/>
      <c r="D143" s="1"/>
      <c r="T143" s="14"/>
      <c r="U143" s="14"/>
      <c r="V143" s="14"/>
      <c r="W143" s="14"/>
      <c r="AG143" s="1"/>
      <c r="AH143" s="1"/>
      <c r="AW143" s="14"/>
      <c r="AX143" s="14"/>
      <c r="AY143" s="14"/>
      <c r="AZ143" s="14"/>
      <c r="BO143" s="1"/>
      <c r="BP143" s="1"/>
      <c r="CE143" s="14"/>
      <c r="CF143" s="14"/>
      <c r="CG143" s="14"/>
      <c r="CH143" s="14"/>
      <c r="CR143" s="1"/>
      <c r="CS143" s="1"/>
      <c r="DH143" s="14"/>
      <c r="DI143" s="14"/>
      <c r="DJ143" s="14"/>
      <c r="DK143" s="14"/>
    </row>
    <row r="144" spans="2:115" ht="12.75">
      <c r="B144" s="1"/>
      <c r="C144" s="1"/>
      <c r="D144" s="1"/>
      <c r="T144" s="14"/>
      <c r="U144" s="14"/>
      <c r="V144" s="14"/>
      <c r="W144" s="14"/>
      <c r="AG144" s="1"/>
      <c r="AH144" s="1"/>
      <c r="AW144" s="14"/>
      <c r="AX144" s="14"/>
      <c r="AY144" s="14"/>
      <c r="AZ144" s="14"/>
      <c r="BO144" s="1"/>
      <c r="BP144" s="1"/>
      <c r="CE144" s="14"/>
      <c r="CF144" s="14"/>
      <c r="CG144" s="14"/>
      <c r="CH144" s="14"/>
      <c r="CR144" s="1"/>
      <c r="CS144" s="1"/>
      <c r="DH144" s="14"/>
      <c r="DI144" s="14"/>
      <c r="DJ144" s="14"/>
      <c r="DK144" s="14"/>
    </row>
    <row r="145" spans="2:115" ht="12.75">
      <c r="B145" s="1"/>
      <c r="C145" s="1"/>
      <c r="D145" s="1"/>
      <c r="T145" s="14"/>
      <c r="U145" s="14"/>
      <c r="V145" s="14"/>
      <c r="W145" s="14"/>
      <c r="AG145" s="1"/>
      <c r="AH145" s="1"/>
      <c r="AW145" s="14"/>
      <c r="AX145" s="14"/>
      <c r="AY145" s="14"/>
      <c r="AZ145" s="14"/>
      <c r="BO145" s="1"/>
      <c r="BP145" s="1"/>
      <c r="CE145" s="14"/>
      <c r="CF145" s="14"/>
      <c r="CG145" s="14"/>
      <c r="CH145" s="14"/>
      <c r="CR145" s="1"/>
      <c r="CS145" s="1"/>
      <c r="DH145" s="14"/>
      <c r="DI145" s="14"/>
      <c r="DJ145" s="14"/>
      <c r="DK145" s="14"/>
    </row>
    <row r="146" spans="2:115" ht="12.75">
      <c r="B146" s="1"/>
      <c r="C146" s="1"/>
      <c r="D146" s="1"/>
      <c r="T146" s="14"/>
      <c r="U146" s="14"/>
      <c r="V146" s="14"/>
      <c r="W146" s="14"/>
      <c r="AG146" s="1"/>
      <c r="AH146" s="1"/>
      <c r="AW146" s="14"/>
      <c r="AX146" s="14"/>
      <c r="AY146" s="14"/>
      <c r="AZ146" s="14"/>
      <c r="BO146" s="1"/>
      <c r="BP146" s="1"/>
      <c r="CE146" s="14"/>
      <c r="CF146" s="14"/>
      <c r="CG146" s="14"/>
      <c r="CH146" s="14"/>
      <c r="CR146" s="1"/>
      <c r="CS146" s="1"/>
      <c r="DH146" s="14"/>
      <c r="DI146" s="14"/>
      <c r="DJ146" s="14"/>
      <c r="DK146" s="14"/>
    </row>
    <row r="147" spans="2:115" ht="12.75">
      <c r="B147" s="1"/>
      <c r="C147" s="1"/>
      <c r="D147" s="1"/>
      <c r="T147" s="14"/>
      <c r="U147" s="14"/>
      <c r="V147" s="14"/>
      <c r="W147" s="14"/>
      <c r="AG147" s="1"/>
      <c r="AH147" s="1"/>
      <c r="AW147" s="14"/>
      <c r="AX147" s="14"/>
      <c r="AY147" s="14"/>
      <c r="AZ147" s="14"/>
      <c r="BO147" s="1"/>
      <c r="BP147" s="1"/>
      <c r="CE147" s="14"/>
      <c r="CF147" s="14"/>
      <c r="CG147" s="14"/>
      <c r="CH147" s="14"/>
      <c r="CR147" s="1"/>
      <c r="CS147" s="1"/>
      <c r="DH147" s="14"/>
      <c r="DI147" s="14"/>
      <c r="DJ147" s="14"/>
      <c r="DK147" s="14"/>
    </row>
    <row r="148" spans="2:115" ht="12.75">
      <c r="B148" s="1"/>
      <c r="C148" s="1"/>
      <c r="D148" s="1"/>
      <c r="T148" s="14"/>
      <c r="U148" s="14"/>
      <c r="V148" s="14"/>
      <c r="W148" s="14"/>
      <c r="AG148" s="1"/>
      <c r="AH148" s="1"/>
      <c r="AW148" s="14"/>
      <c r="AX148" s="14"/>
      <c r="AY148" s="14"/>
      <c r="AZ148" s="14"/>
      <c r="BO148" s="1"/>
      <c r="BP148" s="1"/>
      <c r="CE148" s="14"/>
      <c r="CF148" s="14"/>
      <c r="CG148" s="14"/>
      <c r="CH148" s="14"/>
      <c r="CR148" s="1"/>
      <c r="CS148" s="1"/>
      <c r="DH148" s="14"/>
      <c r="DI148" s="14"/>
      <c r="DJ148" s="14"/>
      <c r="DK148" s="14"/>
    </row>
    <row r="149" spans="2:115" ht="12.75">
      <c r="B149" s="1"/>
      <c r="C149" s="1"/>
      <c r="D149" s="1"/>
      <c r="T149" s="14"/>
      <c r="U149" s="14"/>
      <c r="V149" s="14"/>
      <c r="W149" s="14"/>
      <c r="AG149" s="1"/>
      <c r="AH149" s="1"/>
      <c r="AW149" s="14"/>
      <c r="AX149" s="14"/>
      <c r="AY149" s="14"/>
      <c r="AZ149" s="14"/>
      <c r="BO149" s="1"/>
      <c r="BP149" s="1"/>
      <c r="CE149" s="14"/>
      <c r="CF149" s="14"/>
      <c r="CG149" s="14"/>
      <c r="CH149" s="14"/>
      <c r="CR149" s="1"/>
      <c r="CS149" s="1"/>
      <c r="DH149" s="14"/>
      <c r="DI149" s="14"/>
      <c r="DJ149" s="14"/>
      <c r="DK149" s="14"/>
    </row>
    <row r="150" spans="2:115" ht="12.75">
      <c r="B150" s="1"/>
      <c r="C150" s="1"/>
      <c r="D150" s="1"/>
      <c r="T150" s="14"/>
      <c r="U150" s="14"/>
      <c r="V150" s="14"/>
      <c r="W150" s="14"/>
      <c r="AG150" s="1"/>
      <c r="AH150" s="1"/>
      <c r="AW150" s="14"/>
      <c r="AX150" s="14"/>
      <c r="AY150" s="14"/>
      <c r="AZ150" s="14"/>
      <c r="BO150" s="1"/>
      <c r="BP150" s="1"/>
      <c r="CE150" s="14"/>
      <c r="CF150" s="14"/>
      <c r="CG150" s="14"/>
      <c r="CH150" s="14"/>
      <c r="CR150" s="1"/>
      <c r="CS150" s="1"/>
      <c r="DH150" s="14"/>
      <c r="DI150" s="14"/>
      <c r="DJ150" s="14"/>
      <c r="DK150" s="14"/>
    </row>
    <row r="151" spans="2:115" ht="12.75">
      <c r="B151" s="1"/>
      <c r="C151" s="1"/>
      <c r="D151" s="1"/>
      <c r="T151" s="14"/>
      <c r="U151" s="14"/>
      <c r="V151" s="14"/>
      <c r="W151" s="14"/>
      <c r="AG151" s="1"/>
      <c r="AH151" s="1"/>
      <c r="AW151" s="14"/>
      <c r="AX151" s="14"/>
      <c r="AY151" s="14"/>
      <c r="AZ151" s="14"/>
      <c r="BO151" s="1"/>
      <c r="BP151" s="1"/>
      <c r="CE151" s="14"/>
      <c r="CF151" s="14"/>
      <c r="CG151" s="14"/>
      <c r="CH151" s="14"/>
      <c r="CR151" s="1"/>
      <c r="CS151" s="1"/>
      <c r="DH151" s="14"/>
      <c r="DI151" s="14"/>
      <c r="DJ151" s="14"/>
      <c r="DK151" s="14"/>
    </row>
    <row r="152" spans="2:115" ht="12.75">
      <c r="B152" s="1"/>
      <c r="C152" s="1"/>
      <c r="D152" s="1"/>
      <c r="T152" s="14"/>
      <c r="U152" s="14"/>
      <c r="V152" s="14"/>
      <c r="W152" s="14"/>
      <c r="AG152" s="1"/>
      <c r="AH152" s="1"/>
      <c r="AW152" s="14"/>
      <c r="AX152" s="14"/>
      <c r="AY152" s="14"/>
      <c r="AZ152" s="14"/>
      <c r="BO152" s="1"/>
      <c r="BP152" s="1"/>
      <c r="CE152" s="14"/>
      <c r="CF152" s="14"/>
      <c r="CG152" s="14"/>
      <c r="CH152" s="14"/>
      <c r="CR152" s="1"/>
      <c r="CS152" s="1"/>
      <c r="DH152" s="14"/>
      <c r="DI152" s="14"/>
      <c r="DJ152" s="14"/>
      <c r="DK152" s="14"/>
    </row>
    <row r="153" spans="2:115" ht="12.75">
      <c r="B153" s="1"/>
      <c r="C153" s="1"/>
      <c r="D153" s="1"/>
      <c r="T153" s="14"/>
      <c r="U153" s="14"/>
      <c r="V153" s="14"/>
      <c r="W153" s="14"/>
      <c r="AG153" s="1"/>
      <c r="AH153" s="1"/>
      <c r="AW153" s="14"/>
      <c r="AX153" s="14"/>
      <c r="AY153" s="14"/>
      <c r="AZ153" s="14"/>
      <c r="BO153" s="1"/>
      <c r="BP153" s="1"/>
      <c r="CE153" s="14"/>
      <c r="CF153" s="14"/>
      <c r="CG153" s="14"/>
      <c r="CH153" s="14"/>
      <c r="CR153" s="1"/>
      <c r="CS153" s="1"/>
      <c r="DH153" s="14"/>
      <c r="DI153" s="14"/>
      <c r="DJ153" s="14"/>
      <c r="DK153" s="14"/>
    </row>
    <row r="154" spans="2:115" ht="12.75">
      <c r="B154" s="1"/>
      <c r="C154" s="1"/>
      <c r="D154" s="1"/>
      <c r="T154" s="14"/>
      <c r="U154" s="14"/>
      <c r="V154" s="14"/>
      <c r="W154" s="14"/>
      <c r="AG154" s="1"/>
      <c r="AH154" s="1"/>
      <c r="AW154" s="14"/>
      <c r="AX154" s="14"/>
      <c r="AY154" s="14"/>
      <c r="AZ154" s="14"/>
      <c r="BO154" s="1"/>
      <c r="BP154" s="1"/>
      <c r="CE154" s="14"/>
      <c r="CF154" s="14"/>
      <c r="CG154" s="14"/>
      <c r="CH154" s="14"/>
      <c r="CR154" s="1"/>
      <c r="CS154" s="1"/>
      <c r="DH154" s="14"/>
      <c r="DI154" s="14"/>
      <c r="DJ154" s="14"/>
      <c r="DK154" s="14"/>
    </row>
    <row r="155" spans="2:115" ht="12.75">
      <c r="B155" s="1"/>
      <c r="C155" s="1"/>
      <c r="D155" s="1"/>
      <c r="T155" s="14"/>
      <c r="U155" s="14"/>
      <c r="V155" s="14"/>
      <c r="W155" s="14"/>
      <c r="AG155" s="1"/>
      <c r="AH155" s="1"/>
      <c r="AW155" s="14"/>
      <c r="AX155" s="14"/>
      <c r="AY155" s="14"/>
      <c r="AZ155" s="14"/>
      <c r="BO155" s="1"/>
      <c r="BP155" s="1"/>
      <c r="CE155" s="14"/>
      <c r="CF155" s="14"/>
      <c r="CG155" s="14"/>
      <c r="CH155" s="14"/>
      <c r="CR155" s="1"/>
      <c r="CS155" s="1"/>
      <c r="DH155" s="14"/>
      <c r="DI155" s="14"/>
      <c r="DJ155" s="14"/>
      <c r="DK155" s="14"/>
    </row>
    <row r="156" spans="2:115" ht="12.75">
      <c r="B156" s="1"/>
      <c r="C156" s="1"/>
      <c r="D156" s="1"/>
      <c r="T156" s="14"/>
      <c r="U156" s="14"/>
      <c r="V156" s="14"/>
      <c r="W156" s="14"/>
      <c r="AG156" s="1"/>
      <c r="AH156" s="1"/>
      <c r="AW156" s="14"/>
      <c r="AX156" s="14"/>
      <c r="AY156" s="14"/>
      <c r="AZ156" s="14"/>
      <c r="BO156" s="1"/>
      <c r="BP156" s="1"/>
      <c r="CE156" s="14"/>
      <c r="CF156" s="14"/>
      <c r="CG156" s="14"/>
      <c r="CH156" s="14"/>
      <c r="CR156" s="1"/>
      <c r="CS156" s="1"/>
      <c r="DH156" s="14"/>
      <c r="DI156" s="14"/>
      <c r="DJ156" s="14"/>
      <c r="DK156" s="14"/>
    </row>
    <row r="157" spans="2:115" ht="12.75">
      <c r="B157" s="1"/>
      <c r="C157" s="1"/>
      <c r="D157" s="1"/>
      <c r="T157" s="14"/>
      <c r="U157" s="14"/>
      <c r="V157" s="14"/>
      <c r="W157" s="14"/>
      <c r="AG157" s="1"/>
      <c r="AH157" s="1"/>
      <c r="AW157" s="14"/>
      <c r="AX157" s="14"/>
      <c r="AY157" s="14"/>
      <c r="AZ157" s="14"/>
      <c r="BO157" s="1"/>
      <c r="BP157" s="1"/>
      <c r="CE157" s="14"/>
      <c r="CF157" s="14"/>
      <c r="CG157" s="14"/>
      <c r="CH157" s="14"/>
      <c r="CR157" s="1"/>
      <c r="CS157" s="1"/>
      <c r="DH157" s="14"/>
      <c r="DI157" s="14"/>
      <c r="DJ157" s="14"/>
      <c r="DK157" s="14"/>
    </row>
    <row r="158" spans="2:115" ht="12.75">
      <c r="B158" s="1"/>
      <c r="C158" s="1"/>
      <c r="D158" s="1"/>
      <c r="T158" s="14"/>
      <c r="U158" s="14"/>
      <c r="V158" s="14"/>
      <c r="W158" s="14"/>
      <c r="AG158" s="1"/>
      <c r="AH158" s="1"/>
      <c r="AW158" s="14"/>
      <c r="AX158" s="14"/>
      <c r="AY158" s="14"/>
      <c r="AZ158" s="14"/>
      <c r="BO158" s="1"/>
      <c r="BP158" s="1"/>
      <c r="CE158" s="14"/>
      <c r="CF158" s="14"/>
      <c r="CG158" s="14"/>
      <c r="CH158" s="14"/>
      <c r="CR158" s="1"/>
      <c r="CS158" s="1"/>
      <c r="DH158" s="14"/>
      <c r="DI158" s="14"/>
      <c r="DJ158" s="14"/>
      <c r="DK158" s="14"/>
    </row>
    <row r="159" spans="2:115" ht="12.75">
      <c r="B159" s="1"/>
      <c r="C159" s="1"/>
      <c r="D159" s="1"/>
      <c r="T159" s="14"/>
      <c r="U159" s="14"/>
      <c r="V159" s="14"/>
      <c r="W159" s="14"/>
      <c r="AG159" s="1"/>
      <c r="AH159" s="1"/>
      <c r="AW159" s="14"/>
      <c r="AX159" s="14"/>
      <c r="AY159" s="14"/>
      <c r="AZ159" s="14"/>
      <c r="BO159" s="1"/>
      <c r="BP159" s="1"/>
      <c r="CE159" s="14"/>
      <c r="CF159" s="14"/>
      <c r="CG159" s="14"/>
      <c r="CH159" s="14"/>
      <c r="CR159" s="1"/>
      <c r="CS159" s="1"/>
      <c r="DH159" s="14"/>
      <c r="DI159" s="14"/>
      <c r="DJ159" s="14"/>
      <c r="DK159" s="14"/>
    </row>
    <row r="160" spans="2:115" ht="12.75">
      <c r="B160" s="1"/>
      <c r="C160" s="1"/>
      <c r="D160" s="1"/>
      <c r="T160" s="14"/>
      <c r="U160" s="14"/>
      <c r="V160" s="14"/>
      <c r="W160" s="14"/>
      <c r="AG160" s="1"/>
      <c r="AH160" s="1"/>
      <c r="AW160" s="14"/>
      <c r="AX160" s="14"/>
      <c r="AY160" s="14"/>
      <c r="AZ160" s="14"/>
      <c r="BO160" s="1"/>
      <c r="BP160" s="1"/>
      <c r="CE160" s="14"/>
      <c r="CF160" s="14"/>
      <c r="CG160" s="14"/>
      <c r="CH160" s="14"/>
      <c r="CR160" s="1"/>
      <c r="CS160" s="1"/>
      <c r="DH160" s="14"/>
      <c r="DI160" s="14"/>
      <c r="DJ160" s="14"/>
      <c r="DK160" s="14"/>
    </row>
    <row r="161" spans="2:115" ht="12.75">
      <c r="B161" s="1"/>
      <c r="C161" s="1"/>
      <c r="D161" s="1"/>
      <c r="T161" s="14"/>
      <c r="U161" s="14"/>
      <c r="V161" s="14"/>
      <c r="W161" s="14"/>
      <c r="AG161" s="1"/>
      <c r="AH161" s="1"/>
      <c r="AW161" s="14"/>
      <c r="AX161" s="14"/>
      <c r="AY161" s="14"/>
      <c r="AZ161" s="14"/>
      <c r="BO161" s="1"/>
      <c r="BP161" s="1"/>
      <c r="CE161" s="14"/>
      <c r="CF161" s="14"/>
      <c r="CG161" s="14"/>
      <c r="CH161" s="14"/>
      <c r="CR161" s="1"/>
      <c r="CS161" s="1"/>
      <c r="DH161" s="14"/>
      <c r="DI161" s="14"/>
      <c r="DJ161" s="14"/>
      <c r="DK161" s="14"/>
    </row>
    <row r="162" spans="2:115" ht="12.75">
      <c r="B162" s="1"/>
      <c r="C162" s="1"/>
      <c r="D162" s="1"/>
      <c r="T162" s="14"/>
      <c r="U162" s="14"/>
      <c r="V162" s="14"/>
      <c r="W162" s="14"/>
      <c r="AG162" s="1"/>
      <c r="AH162" s="1"/>
      <c r="AW162" s="14"/>
      <c r="AX162" s="14"/>
      <c r="AY162" s="14"/>
      <c r="AZ162" s="14"/>
      <c r="BO162" s="1"/>
      <c r="BP162" s="1"/>
      <c r="CE162" s="14"/>
      <c r="CF162" s="14"/>
      <c r="CG162" s="14"/>
      <c r="CH162" s="14"/>
      <c r="CR162" s="1"/>
      <c r="CS162" s="1"/>
      <c r="DH162" s="14"/>
      <c r="DI162" s="14"/>
      <c r="DJ162" s="14"/>
      <c r="DK162" s="14"/>
    </row>
    <row r="163" spans="2:115" ht="12.75">
      <c r="B163" s="1"/>
      <c r="C163" s="1"/>
      <c r="D163" s="1"/>
      <c r="T163" s="14"/>
      <c r="U163" s="14"/>
      <c r="V163" s="14"/>
      <c r="W163" s="14"/>
      <c r="AG163" s="1"/>
      <c r="AH163" s="1"/>
      <c r="AW163" s="14"/>
      <c r="AX163" s="14"/>
      <c r="AY163" s="14"/>
      <c r="AZ163" s="14"/>
      <c r="BO163" s="1"/>
      <c r="BP163" s="1"/>
      <c r="CE163" s="14"/>
      <c r="CF163" s="14"/>
      <c r="CG163" s="14"/>
      <c r="CH163" s="14"/>
      <c r="CR163" s="1"/>
      <c r="CS163" s="1"/>
      <c r="DH163" s="14"/>
      <c r="DI163" s="14"/>
      <c r="DJ163" s="14"/>
      <c r="DK163" s="14"/>
    </row>
    <row r="164" spans="2:115" ht="12.75">
      <c r="B164" s="1"/>
      <c r="C164" s="1"/>
      <c r="D164" s="1"/>
      <c r="T164" s="14"/>
      <c r="U164" s="14"/>
      <c r="V164" s="14"/>
      <c r="W164" s="14"/>
      <c r="AG164" s="1"/>
      <c r="AH164" s="1"/>
      <c r="AW164" s="14"/>
      <c r="AX164" s="14"/>
      <c r="AY164" s="14"/>
      <c r="AZ164" s="14"/>
      <c r="BO164" s="1"/>
      <c r="BP164" s="1"/>
      <c r="CE164" s="14"/>
      <c r="CF164" s="14"/>
      <c r="CG164" s="14"/>
      <c r="CH164" s="14"/>
      <c r="CR164" s="1"/>
      <c r="CS164" s="1"/>
      <c r="DH164" s="14"/>
      <c r="DI164" s="14"/>
      <c r="DJ164" s="14"/>
      <c r="DK164" s="14"/>
    </row>
    <row r="165" spans="2:115" ht="12.75">
      <c r="B165" s="1"/>
      <c r="C165" s="1"/>
      <c r="D165" s="1"/>
      <c r="T165" s="14"/>
      <c r="U165" s="14"/>
      <c r="V165" s="14"/>
      <c r="W165" s="14"/>
      <c r="AG165" s="1"/>
      <c r="AH165" s="1"/>
      <c r="AW165" s="14"/>
      <c r="AX165" s="14"/>
      <c r="AY165" s="14"/>
      <c r="AZ165" s="14"/>
      <c r="BO165" s="1"/>
      <c r="BP165" s="1"/>
      <c r="CE165" s="14"/>
      <c r="CF165" s="14"/>
      <c r="CG165" s="14"/>
      <c r="CH165" s="14"/>
      <c r="CR165" s="1"/>
      <c r="CS165" s="1"/>
      <c r="DH165" s="14"/>
      <c r="DI165" s="14"/>
      <c r="DJ165" s="14"/>
      <c r="DK165" s="14"/>
    </row>
    <row r="166" spans="2:115" ht="12.75">
      <c r="B166" s="1"/>
      <c r="C166" s="1"/>
      <c r="D166" s="1"/>
      <c r="T166" s="14"/>
      <c r="U166" s="14"/>
      <c r="V166" s="14"/>
      <c r="W166" s="14"/>
      <c r="AG166" s="1"/>
      <c r="AH166" s="1"/>
      <c r="AW166" s="14"/>
      <c r="AX166" s="14"/>
      <c r="AY166" s="14"/>
      <c r="AZ166" s="14"/>
      <c r="BO166" s="1"/>
      <c r="BP166" s="1"/>
      <c r="CE166" s="14"/>
      <c r="CF166" s="14"/>
      <c r="CG166" s="14"/>
      <c r="CH166" s="14"/>
      <c r="CR166" s="1"/>
      <c r="CS166" s="1"/>
      <c r="DH166" s="14"/>
      <c r="DI166" s="14"/>
      <c r="DJ166" s="14"/>
      <c r="DK166" s="14"/>
    </row>
    <row r="167" spans="2:115" ht="12.75">
      <c r="B167" s="1"/>
      <c r="C167" s="1"/>
      <c r="D167" s="1"/>
      <c r="T167" s="14"/>
      <c r="U167" s="14"/>
      <c r="V167" s="14"/>
      <c r="W167" s="14"/>
      <c r="AG167" s="1"/>
      <c r="AH167" s="1"/>
      <c r="AW167" s="14"/>
      <c r="AX167" s="14"/>
      <c r="AY167" s="14"/>
      <c r="AZ167" s="14"/>
      <c r="BO167" s="1"/>
      <c r="BP167" s="1"/>
      <c r="CE167" s="14"/>
      <c r="CF167" s="14"/>
      <c r="CG167" s="14"/>
      <c r="CH167" s="14"/>
      <c r="CR167" s="1"/>
      <c r="CS167" s="1"/>
      <c r="DH167" s="14"/>
      <c r="DI167" s="14"/>
      <c r="DJ167" s="14"/>
      <c r="DK167" s="14"/>
    </row>
    <row r="168" spans="2:115" ht="12.75">
      <c r="B168" s="1"/>
      <c r="C168" s="1"/>
      <c r="D168" s="1"/>
      <c r="T168" s="14"/>
      <c r="U168" s="14"/>
      <c r="V168" s="14"/>
      <c r="W168" s="14"/>
      <c r="AG168" s="1"/>
      <c r="AH168" s="1"/>
      <c r="AW168" s="14"/>
      <c r="AX168" s="14"/>
      <c r="AY168" s="14"/>
      <c r="AZ168" s="14"/>
      <c r="BO168" s="1"/>
      <c r="BP168" s="1"/>
      <c r="CE168" s="14"/>
      <c r="CF168" s="14"/>
      <c r="CG168" s="14"/>
      <c r="CH168" s="14"/>
      <c r="CR168" s="1"/>
      <c r="CS168" s="1"/>
      <c r="DH168" s="14"/>
      <c r="DI168" s="14"/>
      <c r="DJ168" s="14"/>
      <c r="DK168" s="14"/>
    </row>
    <row r="169" spans="2:115" ht="12.75">
      <c r="B169" s="1"/>
      <c r="C169" s="1"/>
      <c r="D169" s="1"/>
      <c r="T169" s="14"/>
      <c r="U169" s="14"/>
      <c r="V169" s="14"/>
      <c r="W169" s="14"/>
      <c r="AG169" s="1"/>
      <c r="AH169" s="1"/>
      <c r="AW169" s="14"/>
      <c r="AX169" s="14"/>
      <c r="AY169" s="14"/>
      <c r="AZ169" s="14"/>
      <c r="BO169" s="1"/>
      <c r="BP169" s="1"/>
      <c r="CE169" s="14"/>
      <c r="CF169" s="14"/>
      <c r="CG169" s="14"/>
      <c r="CH169" s="14"/>
      <c r="CR169" s="1"/>
      <c r="CS169" s="1"/>
      <c r="DH169" s="14"/>
      <c r="DI169" s="14"/>
      <c r="DJ169" s="14"/>
      <c r="DK169" s="14"/>
    </row>
    <row r="170" spans="2:115" ht="12.75">
      <c r="B170" s="1"/>
      <c r="C170" s="1"/>
      <c r="D170" s="1"/>
      <c r="T170" s="14"/>
      <c r="U170" s="14"/>
      <c r="V170" s="14"/>
      <c r="W170" s="14"/>
      <c r="AG170" s="1"/>
      <c r="AH170" s="1"/>
      <c r="AW170" s="14"/>
      <c r="AX170" s="14"/>
      <c r="AY170" s="14"/>
      <c r="AZ170" s="14"/>
      <c r="BO170" s="1"/>
      <c r="BP170" s="1"/>
      <c r="CE170" s="14"/>
      <c r="CF170" s="14"/>
      <c r="CG170" s="14"/>
      <c r="CH170" s="14"/>
      <c r="CR170" s="1"/>
      <c r="CS170" s="1"/>
      <c r="DH170" s="14"/>
      <c r="DI170" s="14"/>
      <c r="DJ170" s="14"/>
      <c r="DK170" s="14"/>
    </row>
    <row r="171" spans="2:115" ht="12.75">
      <c r="B171" s="1"/>
      <c r="C171" s="1"/>
      <c r="D171" s="1"/>
      <c r="T171" s="14"/>
      <c r="U171" s="14"/>
      <c r="V171" s="14"/>
      <c r="W171" s="14"/>
      <c r="AG171" s="1"/>
      <c r="AH171" s="1"/>
      <c r="AW171" s="14"/>
      <c r="AX171" s="14"/>
      <c r="AY171" s="14"/>
      <c r="AZ171" s="14"/>
      <c r="BO171" s="1"/>
      <c r="BP171" s="1"/>
      <c r="CE171" s="14"/>
      <c r="CF171" s="14"/>
      <c r="CG171" s="14"/>
      <c r="CH171" s="14"/>
      <c r="CR171" s="1"/>
      <c r="CS171" s="1"/>
      <c r="DH171" s="14"/>
      <c r="DI171" s="14"/>
      <c r="DJ171" s="14"/>
      <c r="DK171" s="14"/>
    </row>
    <row r="172" spans="2:115" ht="12.75">
      <c r="B172" s="1"/>
      <c r="C172" s="1"/>
      <c r="D172" s="1"/>
      <c r="T172" s="14"/>
      <c r="U172" s="14"/>
      <c r="V172" s="14"/>
      <c r="W172" s="14"/>
      <c r="AG172" s="1"/>
      <c r="AH172" s="1"/>
      <c r="AW172" s="14"/>
      <c r="AX172" s="14"/>
      <c r="AY172" s="14"/>
      <c r="AZ172" s="14"/>
      <c r="BO172" s="1"/>
      <c r="BP172" s="1"/>
      <c r="CE172" s="14"/>
      <c r="CF172" s="14"/>
      <c r="CG172" s="14"/>
      <c r="CH172" s="14"/>
      <c r="CR172" s="1"/>
      <c r="CS172" s="1"/>
      <c r="DH172" s="14"/>
      <c r="DI172" s="14"/>
      <c r="DJ172" s="14"/>
      <c r="DK172" s="14"/>
    </row>
    <row r="173" spans="2:115" ht="12.75">
      <c r="B173" s="1"/>
      <c r="C173" s="1"/>
      <c r="D173" s="1"/>
      <c r="T173" s="14"/>
      <c r="U173" s="14"/>
      <c r="V173" s="14"/>
      <c r="W173" s="14"/>
      <c r="AG173" s="1"/>
      <c r="AH173" s="1"/>
      <c r="AW173" s="14"/>
      <c r="AX173" s="14"/>
      <c r="AY173" s="14"/>
      <c r="AZ173" s="14"/>
      <c r="BO173" s="1"/>
      <c r="BP173" s="1"/>
      <c r="CE173" s="14"/>
      <c r="CF173" s="14"/>
      <c r="CG173" s="14"/>
      <c r="CH173" s="14"/>
      <c r="CR173" s="1"/>
      <c r="CS173" s="1"/>
      <c r="DH173" s="14"/>
      <c r="DI173" s="14"/>
      <c r="DJ173" s="14"/>
      <c r="DK173" s="14"/>
    </row>
    <row r="174" spans="2:115" ht="12.75">
      <c r="B174" s="1"/>
      <c r="C174" s="1"/>
      <c r="D174" s="1"/>
      <c r="T174" s="14"/>
      <c r="U174" s="14"/>
      <c r="V174" s="14"/>
      <c r="W174" s="14"/>
      <c r="AG174" s="1"/>
      <c r="AH174" s="1"/>
      <c r="AW174" s="14"/>
      <c r="AX174" s="14"/>
      <c r="AY174" s="14"/>
      <c r="AZ174" s="14"/>
      <c r="BO174" s="1"/>
      <c r="BP174" s="1"/>
      <c r="CE174" s="14"/>
      <c r="CF174" s="14"/>
      <c r="CG174" s="14"/>
      <c r="CH174" s="14"/>
      <c r="CR174" s="1"/>
      <c r="CS174" s="1"/>
      <c r="DH174" s="14"/>
      <c r="DI174" s="14"/>
      <c r="DJ174" s="14"/>
      <c r="DK174" s="14"/>
    </row>
    <row r="175" spans="2:115" ht="12.75">
      <c r="B175" s="1"/>
      <c r="C175" s="1"/>
      <c r="D175" s="1"/>
      <c r="T175" s="14"/>
      <c r="U175" s="14"/>
      <c r="V175" s="14"/>
      <c r="W175" s="14"/>
      <c r="AG175" s="1"/>
      <c r="AH175" s="1"/>
      <c r="AW175" s="14"/>
      <c r="AX175" s="14"/>
      <c r="AY175" s="14"/>
      <c r="AZ175" s="14"/>
      <c r="BO175" s="1"/>
      <c r="BP175" s="1"/>
      <c r="CE175" s="14"/>
      <c r="CF175" s="14"/>
      <c r="CG175" s="14"/>
      <c r="CH175" s="14"/>
      <c r="CR175" s="1"/>
      <c r="CS175" s="1"/>
      <c r="DH175" s="14"/>
      <c r="DI175" s="14"/>
      <c r="DJ175" s="14"/>
      <c r="DK175" s="14"/>
    </row>
    <row r="176" spans="2:115" ht="12.75">
      <c r="B176" s="1"/>
      <c r="C176" s="1"/>
      <c r="D176" s="1"/>
      <c r="T176" s="14"/>
      <c r="U176" s="14"/>
      <c r="V176" s="14"/>
      <c r="W176" s="14"/>
      <c r="AG176" s="1"/>
      <c r="AH176" s="1"/>
      <c r="AW176" s="14"/>
      <c r="AX176" s="14"/>
      <c r="AY176" s="14"/>
      <c r="AZ176" s="14"/>
      <c r="BO176" s="1"/>
      <c r="BP176" s="1"/>
      <c r="CE176" s="14"/>
      <c r="CF176" s="14"/>
      <c r="CG176" s="14"/>
      <c r="CH176" s="14"/>
      <c r="CR176" s="1"/>
      <c r="CS176" s="1"/>
      <c r="DH176" s="14"/>
      <c r="DI176" s="14"/>
      <c r="DJ176" s="14"/>
      <c r="DK176" s="14"/>
    </row>
    <row r="177" spans="2:115" ht="12.75">
      <c r="B177" s="1"/>
      <c r="C177" s="1"/>
      <c r="D177" s="1"/>
      <c r="T177" s="14"/>
      <c r="U177" s="14"/>
      <c r="V177" s="14"/>
      <c r="W177" s="14"/>
      <c r="AG177" s="1"/>
      <c r="AH177" s="1"/>
      <c r="AW177" s="14"/>
      <c r="AX177" s="14"/>
      <c r="AY177" s="14"/>
      <c r="AZ177" s="14"/>
      <c r="BO177" s="1"/>
      <c r="BP177" s="1"/>
      <c r="CE177" s="14"/>
      <c r="CF177" s="14"/>
      <c r="CG177" s="14"/>
      <c r="CH177" s="14"/>
      <c r="CR177" s="1"/>
      <c r="CS177" s="1"/>
      <c r="DH177" s="14"/>
      <c r="DI177" s="14"/>
      <c r="DJ177" s="14"/>
      <c r="DK177" s="14"/>
    </row>
    <row r="178" spans="2:115" ht="12.75">
      <c r="B178" s="1"/>
      <c r="C178" s="1"/>
      <c r="D178" s="1"/>
      <c r="T178" s="14"/>
      <c r="U178" s="14"/>
      <c r="V178" s="14"/>
      <c r="W178" s="14"/>
      <c r="AG178" s="1"/>
      <c r="AH178" s="1"/>
      <c r="AW178" s="14"/>
      <c r="AX178" s="14"/>
      <c r="AY178" s="14"/>
      <c r="AZ178" s="14"/>
      <c r="BO178" s="1"/>
      <c r="BP178" s="1"/>
      <c r="CE178" s="14"/>
      <c r="CF178" s="14"/>
      <c r="CG178" s="14"/>
      <c r="CH178" s="14"/>
      <c r="CR178" s="1"/>
      <c r="CS178" s="1"/>
      <c r="DH178" s="14"/>
      <c r="DI178" s="14"/>
      <c r="DJ178" s="14"/>
      <c r="DK178" s="14"/>
    </row>
    <row r="179" spans="2:115" ht="12.75">
      <c r="B179" s="1"/>
      <c r="C179" s="1"/>
      <c r="D179" s="1"/>
      <c r="T179" s="14"/>
      <c r="U179" s="14"/>
      <c r="V179" s="14"/>
      <c r="W179" s="14"/>
      <c r="AG179" s="1"/>
      <c r="AH179" s="1"/>
      <c r="AW179" s="14"/>
      <c r="AX179" s="14"/>
      <c r="AY179" s="14"/>
      <c r="AZ179" s="14"/>
      <c r="BO179" s="1"/>
      <c r="BP179" s="1"/>
      <c r="CE179" s="14"/>
      <c r="CF179" s="14"/>
      <c r="CG179" s="14"/>
      <c r="CH179" s="14"/>
      <c r="CR179" s="1"/>
      <c r="CS179" s="1"/>
      <c r="DH179" s="14"/>
      <c r="DI179" s="14"/>
      <c r="DJ179" s="14"/>
      <c r="DK179" s="14"/>
    </row>
    <row r="180" spans="2:115" ht="12.75">
      <c r="B180" s="1"/>
      <c r="C180" s="1"/>
      <c r="D180" s="1"/>
      <c r="T180" s="14"/>
      <c r="U180" s="14"/>
      <c r="V180" s="14"/>
      <c r="W180" s="14"/>
      <c r="AG180" s="1"/>
      <c r="AH180" s="1"/>
      <c r="AW180" s="14"/>
      <c r="AX180" s="14"/>
      <c r="AY180" s="14"/>
      <c r="AZ180" s="14"/>
      <c r="BO180" s="1"/>
      <c r="BP180" s="1"/>
      <c r="CE180" s="14"/>
      <c r="CF180" s="14"/>
      <c r="CG180" s="14"/>
      <c r="CH180" s="14"/>
      <c r="CR180" s="1"/>
      <c r="CS180" s="1"/>
      <c r="DH180" s="14"/>
      <c r="DI180" s="14"/>
      <c r="DJ180" s="14"/>
      <c r="DK180" s="14"/>
    </row>
    <row r="181" spans="2:115" ht="12.75">
      <c r="B181" s="1"/>
      <c r="C181" s="1"/>
      <c r="D181" s="1"/>
      <c r="T181" s="14"/>
      <c r="U181" s="14"/>
      <c r="V181" s="14"/>
      <c r="W181" s="14"/>
      <c r="AG181" s="1"/>
      <c r="AH181" s="1"/>
      <c r="AW181" s="14"/>
      <c r="AX181" s="14"/>
      <c r="AY181" s="14"/>
      <c r="AZ181" s="14"/>
      <c r="BO181" s="1"/>
      <c r="BP181" s="1"/>
      <c r="CE181" s="14"/>
      <c r="CF181" s="14"/>
      <c r="CG181" s="14"/>
      <c r="CH181" s="14"/>
      <c r="CR181" s="1"/>
      <c r="CS181" s="1"/>
      <c r="DH181" s="14"/>
      <c r="DI181" s="14"/>
      <c r="DJ181" s="14"/>
      <c r="DK181" s="14"/>
    </row>
    <row r="182" spans="2:115" ht="12.75">
      <c r="B182" s="1"/>
      <c r="C182" s="1"/>
      <c r="D182" s="1"/>
      <c r="T182" s="14"/>
      <c r="U182" s="14"/>
      <c r="V182" s="14"/>
      <c r="W182" s="14"/>
      <c r="AG182" s="1"/>
      <c r="AH182" s="1"/>
      <c r="AW182" s="14"/>
      <c r="AX182" s="14"/>
      <c r="AY182" s="14"/>
      <c r="AZ182" s="14"/>
      <c r="BO182" s="1"/>
      <c r="BP182" s="1"/>
      <c r="CE182" s="14"/>
      <c r="CF182" s="14"/>
      <c r="CG182" s="14"/>
      <c r="CH182" s="14"/>
      <c r="CR182" s="1"/>
      <c r="CS182" s="1"/>
      <c r="DH182" s="14"/>
      <c r="DI182" s="14"/>
      <c r="DJ182" s="14"/>
      <c r="DK182" s="14"/>
    </row>
    <row r="183" spans="2:115" ht="12.75">
      <c r="B183" s="1"/>
      <c r="C183" s="1"/>
      <c r="D183" s="1"/>
      <c r="T183" s="14"/>
      <c r="U183" s="14"/>
      <c r="V183" s="14"/>
      <c r="W183" s="14"/>
      <c r="AG183" s="1"/>
      <c r="AH183" s="1"/>
      <c r="AW183" s="14"/>
      <c r="AX183" s="14"/>
      <c r="AY183" s="14"/>
      <c r="AZ183" s="14"/>
      <c r="BO183" s="1"/>
      <c r="BP183" s="1"/>
      <c r="CE183" s="14"/>
      <c r="CF183" s="14"/>
      <c r="CG183" s="14"/>
      <c r="CH183" s="14"/>
      <c r="CR183" s="1"/>
      <c r="CS183" s="1"/>
      <c r="DH183" s="14"/>
      <c r="DI183" s="14"/>
      <c r="DJ183" s="14"/>
      <c r="DK183" s="14"/>
    </row>
    <row r="184" spans="2:115" ht="12.75">
      <c r="B184" s="1"/>
      <c r="C184" s="1"/>
      <c r="D184" s="1"/>
      <c r="T184" s="14"/>
      <c r="U184" s="14"/>
      <c r="V184" s="14"/>
      <c r="W184" s="14"/>
      <c r="AG184" s="1"/>
      <c r="AH184" s="1"/>
      <c r="AW184" s="14"/>
      <c r="AX184" s="14"/>
      <c r="AY184" s="14"/>
      <c r="AZ184" s="14"/>
      <c r="BO184" s="1"/>
      <c r="BP184" s="1"/>
      <c r="CE184" s="14"/>
      <c r="CF184" s="14"/>
      <c r="CG184" s="14"/>
      <c r="CH184" s="14"/>
      <c r="CR184" s="1"/>
      <c r="CS184" s="1"/>
      <c r="DH184" s="14"/>
      <c r="DI184" s="14"/>
      <c r="DJ184" s="14"/>
      <c r="DK184" s="14"/>
    </row>
    <row r="185" spans="2:115" ht="12.75">
      <c r="B185" s="1"/>
      <c r="C185" s="1"/>
      <c r="D185" s="1"/>
      <c r="T185" s="14"/>
      <c r="U185" s="14"/>
      <c r="V185" s="14"/>
      <c r="W185" s="14"/>
      <c r="AG185" s="1"/>
      <c r="AH185" s="1"/>
      <c r="AW185" s="14"/>
      <c r="AX185" s="14"/>
      <c r="AY185" s="14"/>
      <c r="AZ185" s="14"/>
      <c r="BO185" s="1"/>
      <c r="BP185" s="1"/>
      <c r="CE185" s="14"/>
      <c r="CF185" s="14"/>
      <c r="CG185" s="14"/>
      <c r="CH185" s="14"/>
      <c r="CR185" s="1"/>
      <c r="CS185" s="1"/>
      <c r="DH185" s="14"/>
      <c r="DI185" s="14"/>
      <c r="DJ185" s="14"/>
      <c r="DK185" s="14"/>
    </row>
    <row r="186" spans="2:115" ht="12.75">
      <c r="B186" s="1"/>
      <c r="C186" s="1"/>
      <c r="D186" s="1"/>
      <c r="T186" s="14"/>
      <c r="U186" s="14"/>
      <c r="V186" s="14"/>
      <c r="W186" s="14"/>
      <c r="AG186" s="1"/>
      <c r="AH186" s="1"/>
      <c r="AW186" s="14"/>
      <c r="AX186" s="14"/>
      <c r="AY186" s="14"/>
      <c r="AZ186" s="14"/>
      <c r="BO186" s="1"/>
      <c r="BP186" s="1"/>
      <c r="CE186" s="14"/>
      <c r="CF186" s="14"/>
      <c r="CG186" s="14"/>
      <c r="CH186" s="14"/>
      <c r="CR186" s="1"/>
      <c r="CS186" s="1"/>
      <c r="DH186" s="14"/>
      <c r="DI186" s="14"/>
      <c r="DJ186" s="14"/>
      <c r="DK186" s="14"/>
    </row>
    <row r="187" spans="2:115" ht="12.75">
      <c r="B187" s="1"/>
      <c r="C187" s="1"/>
      <c r="D187" s="1"/>
      <c r="T187" s="14"/>
      <c r="U187" s="14"/>
      <c r="V187" s="14"/>
      <c r="W187" s="14"/>
      <c r="AG187" s="1"/>
      <c r="AH187" s="1"/>
      <c r="AW187" s="14"/>
      <c r="AX187" s="14"/>
      <c r="AY187" s="14"/>
      <c r="AZ187" s="14"/>
      <c r="BO187" s="1"/>
      <c r="BP187" s="1"/>
      <c r="CE187" s="14"/>
      <c r="CF187" s="14"/>
      <c r="CG187" s="14"/>
      <c r="CH187" s="14"/>
      <c r="CR187" s="1"/>
      <c r="CS187" s="1"/>
      <c r="DH187" s="14"/>
      <c r="DI187" s="14"/>
      <c r="DJ187" s="14"/>
      <c r="DK187" s="14"/>
    </row>
    <row r="188" spans="2:115" ht="12.75">
      <c r="B188" s="1"/>
      <c r="C188" s="1"/>
      <c r="D188" s="1"/>
      <c r="T188" s="14"/>
      <c r="U188" s="14"/>
      <c r="V188" s="14"/>
      <c r="W188" s="14"/>
      <c r="AG188" s="1"/>
      <c r="AH188" s="1"/>
      <c r="AW188" s="14"/>
      <c r="AX188" s="14"/>
      <c r="AY188" s="14"/>
      <c r="AZ188" s="14"/>
      <c r="BO188" s="1"/>
      <c r="BP188" s="1"/>
      <c r="CE188" s="14"/>
      <c r="CF188" s="14"/>
      <c r="CG188" s="14"/>
      <c r="CH188" s="14"/>
      <c r="CR188" s="1"/>
      <c r="CS188" s="1"/>
      <c r="DH188" s="14"/>
      <c r="DI188" s="14"/>
      <c r="DJ188" s="14"/>
      <c r="DK188" s="14"/>
    </row>
    <row r="189" spans="2:115" ht="12.75">
      <c r="B189" s="1"/>
      <c r="C189" s="1"/>
      <c r="D189" s="1"/>
      <c r="T189" s="14"/>
      <c r="U189" s="14"/>
      <c r="V189" s="14"/>
      <c r="W189" s="14"/>
      <c r="AG189" s="1"/>
      <c r="AH189" s="1"/>
      <c r="AW189" s="14"/>
      <c r="AX189" s="14"/>
      <c r="AY189" s="14"/>
      <c r="AZ189" s="14"/>
      <c r="BO189" s="1"/>
      <c r="BP189" s="1"/>
      <c r="CE189" s="14"/>
      <c r="CF189" s="14"/>
      <c r="CG189" s="14"/>
      <c r="CH189" s="14"/>
      <c r="CR189" s="1"/>
      <c r="CS189" s="1"/>
      <c r="DH189" s="14"/>
      <c r="DI189" s="14"/>
      <c r="DJ189" s="14"/>
      <c r="DK189" s="14"/>
    </row>
    <row r="190" spans="2:115" ht="12.75">
      <c r="B190" s="1"/>
      <c r="C190" s="1"/>
      <c r="D190" s="1"/>
      <c r="T190" s="14"/>
      <c r="U190" s="14"/>
      <c r="V190" s="14"/>
      <c r="W190" s="14"/>
      <c r="AG190" s="1"/>
      <c r="AH190" s="1"/>
      <c r="AW190" s="14"/>
      <c r="AX190" s="14"/>
      <c r="AY190" s="14"/>
      <c r="AZ190" s="14"/>
      <c r="BO190" s="1"/>
      <c r="BP190" s="1"/>
      <c r="CE190" s="14"/>
      <c r="CF190" s="14"/>
      <c r="CG190" s="14"/>
      <c r="CH190" s="14"/>
      <c r="CR190" s="1"/>
      <c r="CS190" s="1"/>
      <c r="DH190" s="14"/>
      <c r="DI190" s="14"/>
      <c r="DJ190" s="14"/>
      <c r="DK190" s="14"/>
    </row>
    <row r="191" spans="2:115" ht="12.75">
      <c r="B191" s="1"/>
      <c r="C191" s="1"/>
      <c r="D191" s="1"/>
      <c r="T191" s="14"/>
      <c r="U191" s="14"/>
      <c r="V191" s="14"/>
      <c r="W191" s="14"/>
      <c r="AG191" s="1"/>
      <c r="AH191" s="1"/>
      <c r="AW191" s="14"/>
      <c r="AX191" s="14"/>
      <c r="AY191" s="14"/>
      <c r="AZ191" s="14"/>
      <c r="BO191" s="1"/>
      <c r="BP191" s="1"/>
      <c r="CE191" s="14"/>
      <c r="CF191" s="14"/>
      <c r="CG191" s="14"/>
      <c r="CH191" s="14"/>
      <c r="CR191" s="1"/>
      <c r="CS191" s="1"/>
      <c r="DH191" s="14"/>
      <c r="DI191" s="14"/>
      <c r="DJ191" s="14"/>
      <c r="DK191" s="14"/>
    </row>
    <row r="192" spans="2:115" ht="12.75">
      <c r="B192" s="1"/>
      <c r="C192" s="1"/>
      <c r="D192" s="1"/>
      <c r="T192" s="14"/>
      <c r="U192" s="14"/>
      <c r="V192" s="14"/>
      <c r="W192" s="14"/>
      <c r="AG192" s="1"/>
      <c r="AH192" s="1"/>
      <c r="AW192" s="14"/>
      <c r="AX192" s="14"/>
      <c r="AY192" s="14"/>
      <c r="AZ192" s="14"/>
      <c r="BO192" s="1"/>
      <c r="BP192" s="1"/>
      <c r="CE192" s="14"/>
      <c r="CF192" s="14"/>
      <c r="CG192" s="14"/>
      <c r="CH192" s="14"/>
      <c r="CR192" s="1"/>
      <c r="CS192" s="1"/>
      <c r="DH192" s="14"/>
      <c r="DI192" s="14"/>
      <c r="DJ192" s="14"/>
      <c r="DK192" s="14"/>
    </row>
    <row r="193" spans="2:115" ht="12.75">
      <c r="B193" s="1"/>
      <c r="C193" s="1"/>
      <c r="D193" s="1"/>
      <c r="T193" s="14"/>
      <c r="U193" s="14"/>
      <c r="V193" s="14"/>
      <c r="W193" s="14"/>
      <c r="AG193" s="1"/>
      <c r="AH193" s="1"/>
      <c r="AW193" s="14"/>
      <c r="AX193" s="14"/>
      <c r="AY193" s="14"/>
      <c r="AZ193" s="14"/>
      <c r="BO193" s="1"/>
      <c r="BP193" s="1"/>
      <c r="CE193" s="14"/>
      <c r="CF193" s="14"/>
      <c r="CG193" s="14"/>
      <c r="CH193" s="14"/>
      <c r="CR193" s="1"/>
      <c r="CS193" s="1"/>
      <c r="DH193" s="14"/>
      <c r="DI193" s="14"/>
      <c r="DJ193" s="14"/>
      <c r="DK193" s="14"/>
    </row>
    <row r="194" spans="2:115" ht="12.75">
      <c r="B194" s="1"/>
      <c r="C194" s="1"/>
      <c r="D194" s="1"/>
      <c r="T194" s="14"/>
      <c r="U194" s="14"/>
      <c r="V194" s="14"/>
      <c r="W194" s="14"/>
      <c r="AG194" s="1"/>
      <c r="AH194" s="1"/>
      <c r="AW194" s="14"/>
      <c r="AX194" s="14"/>
      <c r="AY194" s="14"/>
      <c r="AZ194" s="14"/>
      <c r="BO194" s="1"/>
      <c r="BP194" s="1"/>
      <c r="CE194" s="14"/>
      <c r="CF194" s="14"/>
      <c r="CG194" s="14"/>
      <c r="CH194" s="14"/>
      <c r="CR194" s="1"/>
      <c r="CS194" s="1"/>
      <c r="DH194" s="14"/>
      <c r="DI194" s="14"/>
      <c r="DJ194" s="14"/>
      <c r="DK194" s="14"/>
    </row>
    <row r="195" spans="2:115" ht="12.75">
      <c r="B195" s="1"/>
      <c r="C195" s="1"/>
      <c r="D195" s="1"/>
      <c r="T195" s="14"/>
      <c r="U195" s="14"/>
      <c r="V195" s="14"/>
      <c r="W195" s="14"/>
      <c r="AG195" s="1"/>
      <c r="AH195" s="1"/>
      <c r="AW195" s="14"/>
      <c r="AX195" s="14"/>
      <c r="AY195" s="14"/>
      <c r="AZ195" s="14"/>
      <c r="BO195" s="1"/>
      <c r="BP195" s="1"/>
      <c r="CE195" s="14"/>
      <c r="CF195" s="14"/>
      <c r="CG195" s="14"/>
      <c r="CH195" s="14"/>
      <c r="CR195" s="1"/>
      <c r="CS195" s="1"/>
      <c r="DH195" s="14"/>
      <c r="DI195" s="14"/>
      <c r="DJ195" s="14"/>
      <c r="DK195" s="14"/>
    </row>
    <row r="196" spans="2:115" ht="12.75">
      <c r="B196" s="1"/>
      <c r="C196" s="1"/>
      <c r="D196" s="1"/>
      <c r="T196" s="14"/>
      <c r="U196" s="14"/>
      <c r="V196" s="14"/>
      <c r="W196" s="14"/>
      <c r="AG196" s="1"/>
      <c r="AH196" s="1"/>
      <c r="AW196" s="14"/>
      <c r="AX196" s="14"/>
      <c r="AY196" s="14"/>
      <c r="AZ196" s="14"/>
      <c r="BO196" s="1"/>
      <c r="BP196" s="1"/>
      <c r="CE196" s="14"/>
      <c r="CF196" s="14"/>
      <c r="CG196" s="14"/>
      <c r="CH196" s="14"/>
      <c r="CR196" s="1"/>
      <c r="CS196" s="1"/>
      <c r="DH196" s="14"/>
      <c r="DI196" s="14"/>
      <c r="DJ196" s="14"/>
      <c r="DK196" s="14"/>
    </row>
    <row r="197" spans="2:115" ht="12.75">
      <c r="B197" s="1"/>
      <c r="C197" s="1"/>
      <c r="D197" s="1"/>
      <c r="T197" s="14"/>
      <c r="U197" s="14"/>
      <c r="V197" s="14"/>
      <c r="W197" s="14"/>
      <c r="AG197" s="1"/>
      <c r="AH197" s="1"/>
      <c r="AW197" s="14"/>
      <c r="AX197" s="14"/>
      <c r="AY197" s="14"/>
      <c r="AZ197" s="14"/>
      <c r="BO197" s="1"/>
      <c r="BP197" s="1"/>
      <c r="CE197" s="14"/>
      <c r="CF197" s="14"/>
      <c r="CG197" s="14"/>
      <c r="CH197" s="14"/>
      <c r="CR197" s="1"/>
      <c r="CS197" s="1"/>
      <c r="DH197" s="14"/>
      <c r="DI197" s="14"/>
      <c r="DJ197" s="14"/>
      <c r="DK197" s="14"/>
    </row>
    <row r="198" spans="2:115" ht="12.75">
      <c r="B198" s="1"/>
      <c r="C198" s="1"/>
      <c r="D198" s="1"/>
      <c r="T198" s="14"/>
      <c r="U198" s="14"/>
      <c r="V198" s="14"/>
      <c r="W198" s="14"/>
      <c r="AG198" s="1"/>
      <c r="AH198" s="1"/>
      <c r="AW198" s="14"/>
      <c r="AX198" s="14"/>
      <c r="AY198" s="14"/>
      <c r="AZ198" s="14"/>
      <c r="BO198" s="1"/>
      <c r="BP198" s="1"/>
      <c r="CE198" s="14"/>
      <c r="CF198" s="14"/>
      <c r="CG198" s="14"/>
      <c r="CH198" s="14"/>
      <c r="CR198" s="1"/>
      <c r="CS198" s="1"/>
      <c r="DH198" s="14"/>
      <c r="DI198" s="14"/>
      <c r="DJ198" s="14"/>
      <c r="DK198" s="14"/>
    </row>
    <row r="199" spans="2:115" ht="12.75">
      <c r="B199" s="1"/>
      <c r="C199" s="1"/>
      <c r="D199" s="1"/>
      <c r="T199" s="14"/>
      <c r="U199" s="14"/>
      <c r="V199" s="14"/>
      <c r="W199" s="14"/>
      <c r="AG199" s="1"/>
      <c r="AH199" s="1"/>
      <c r="AW199" s="14"/>
      <c r="AX199" s="14"/>
      <c r="AY199" s="14"/>
      <c r="AZ199" s="14"/>
      <c r="BO199" s="1"/>
      <c r="BP199" s="1"/>
      <c r="CE199" s="14"/>
      <c r="CF199" s="14"/>
      <c r="CG199" s="14"/>
      <c r="CH199" s="14"/>
      <c r="CR199" s="1"/>
      <c r="CS199" s="1"/>
      <c r="DH199" s="14"/>
      <c r="DI199" s="14"/>
      <c r="DJ199" s="14"/>
      <c r="DK199" s="14"/>
    </row>
    <row r="200" spans="2:115" ht="12.75">
      <c r="B200" s="1"/>
      <c r="C200" s="1"/>
      <c r="D200" s="1"/>
      <c r="T200" s="14"/>
      <c r="U200" s="14"/>
      <c r="V200" s="14"/>
      <c r="W200" s="14"/>
      <c r="AG200" s="1"/>
      <c r="AH200" s="1"/>
      <c r="AW200" s="14"/>
      <c r="AX200" s="14"/>
      <c r="AY200" s="14"/>
      <c r="AZ200" s="14"/>
      <c r="BO200" s="1"/>
      <c r="BP200" s="1"/>
      <c r="CE200" s="14"/>
      <c r="CF200" s="14"/>
      <c r="CG200" s="14"/>
      <c r="CH200" s="14"/>
      <c r="CR200" s="1"/>
      <c r="CS200" s="1"/>
      <c r="DH200" s="14"/>
      <c r="DI200" s="14"/>
      <c r="DJ200" s="14"/>
      <c r="DK200" s="14"/>
    </row>
    <row r="201" spans="2:115" ht="12.75">
      <c r="B201" s="1"/>
      <c r="C201" s="1"/>
      <c r="D201" s="1"/>
      <c r="T201" s="14"/>
      <c r="U201" s="14"/>
      <c r="V201" s="14"/>
      <c r="W201" s="14"/>
      <c r="AG201" s="1"/>
      <c r="AH201" s="1"/>
      <c r="AW201" s="14"/>
      <c r="AX201" s="14"/>
      <c r="AY201" s="14"/>
      <c r="AZ201" s="14"/>
      <c r="BO201" s="1"/>
      <c r="BP201" s="1"/>
      <c r="CE201" s="14"/>
      <c r="CF201" s="14"/>
      <c r="CG201" s="14"/>
      <c r="CH201" s="14"/>
      <c r="CR201" s="1"/>
      <c r="CS201" s="1"/>
      <c r="DH201" s="14"/>
      <c r="DI201" s="14"/>
      <c r="DJ201" s="14"/>
      <c r="DK201" s="14"/>
    </row>
    <row r="202" spans="2:115" ht="12.75">
      <c r="B202" s="1"/>
      <c r="C202" s="1"/>
      <c r="D202" s="1"/>
      <c r="T202" s="14"/>
      <c r="U202" s="14"/>
      <c r="V202" s="14"/>
      <c r="W202" s="14"/>
      <c r="AG202" s="1"/>
      <c r="AH202" s="1"/>
      <c r="AW202" s="14"/>
      <c r="AX202" s="14"/>
      <c r="AY202" s="14"/>
      <c r="AZ202" s="14"/>
      <c r="BO202" s="1"/>
      <c r="BP202" s="1"/>
      <c r="CE202" s="14"/>
      <c r="CF202" s="14"/>
      <c r="CG202" s="14"/>
      <c r="CH202" s="14"/>
      <c r="CR202" s="1"/>
      <c r="CS202" s="1"/>
      <c r="DH202" s="14"/>
      <c r="DI202" s="14"/>
      <c r="DJ202" s="14"/>
      <c r="DK202" s="14"/>
    </row>
    <row r="203" spans="2:115" ht="12.75">
      <c r="B203" s="1"/>
      <c r="C203" s="1"/>
      <c r="D203" s="1"/>
      <c r="T203" s="14"/>
      <c r="U203" s="14"/>
      <c r="V203" s="14"/>
      <c r="W203" s="14"/>
      <c r="AG203" s="1"/>
      <c r="AH203" s="1"/>
      <c r="AW203" s="14"/>
      <c r="AX203" s="14"/>
      <c r="AY203" s="14"/>
      <c r="AZ203" s="14"/>
      <c r="BO203" s="1"/>
      <c r="BP203" s="1"/>
      <c r="CE203" s="14"/>
      <c r="CF203" s="14"/>
      <c r="CG203" s="14"/>
      <c r="CH203" s="14"/>
      <c r="CR203" s="1"/>
      <c r="CS203" s="1"/>
      <c r="DH203" s="14"/>
      <c r="DI203" s="14"/>
      <c r="DJ203" s="14"/>
      <c r="DK203" s="14"/>
    </row>
    <row r="204" spans="2:115" ht="12.75">
      <c r="B204" s="1"/>
      <c r="C204" s="1"/>
      <c r="D204" s="1"/>
      <c r="T204" s="14"/>
      <c r="U204" s="14"/>
      <c r="V204" s="14"/>
      <c r="W204" s="14"/>
      <c r="AG204" s="1"/>
      <c r="AH204" s="1"/>
      <c r="AW204" s="14"/>
      <c r="AX204" s="14"/>
      <c r="AY204" s="14"/>
      <c r="AZ204" s="14"/>
      <c r="BO204" s="1"/>
      <c r="BP204" s="1"/>
      <c r="CE204" s="14"/>
      <c r="CF204" s="14"/>
      <c r="CG204" s="14"/>
      <c r="CH204" s="14"/>
      <c r="CR204" s="1"/>
      <c r="CS204" s="1"/>
      <c r="DH204" s="14"/>
      <c r="DI204" s="14"/>
      <c r="DJ204" s="14"/>
      <c r="DK204" s="14"/>
    </row>
    <row r="205" spans="2:115" ht="12.75">
      <c r="B205" s="1"/>
      <c r="C205" s="1"/>
      <c r="D205" s="1"/>
      <c r="T205" s="14"/>
      <c r="U205" s="14"/>
      <c r="V205" s="14"/>
      <c r="W205" s="14"/>
      <c r="AG205" s="1"/>
      <c r="AH205" s="1"/>
      <c r="AW205" s="14"/>
      <c r="AX205" s="14"/>
      <c r="AY205" s="14"/>
      <c r="AZ205" s="14"/>
      <c r="BO205" s="1"/>
      <c r="BP205" s="1"/>
      <c r="CE205" s="14"/>
      <c r="CF205" s="14"/>
      <c r="CG205" s="14"/>
      <c r="CH205" s="14"/>
      <c r="CR205" s="1"/>
      <c r="CS205" s="1"/>
      <c r="DH205" s="14"/>
      <c r="DI205" s="14"/>
      <c r="DJ205" s="14"/>
      <c r="DK205" s="14"/>
    </row>
    <row r="206" spans="2:115" ht="12.75">
      <c r="B206" s="1"/>
      <c r="C206" s="1"/>
      <c r="D206" s="1"/>
      <c r="T206" s="14"/>
      <c r="U206" s="14"/>
      <c r="V206" s="14"/>
      <c r="W206" s="14"/>
      <c r="AG206" s="1"/>
      <c r="AH206" s="1"/>
      <c r="AW206" s="14"/>
      <c r="AX206" s="14"/>
      <c r="AY206" s="14"/>
      <c r="AZ206" s="14"/>
      <c r="BO206" s="1"/>
      <c r="BP206" s="1"/>
      <c r="CE206" s="14"/>
      <c r="CF206" s="14"/>
      <c r="CG206" s="14"/>
      <c r="CH206" s="14"/>
      <c r="CR206" s="1"/>
      <c r="CS206" s="1"/>
      <c r="DH206" s="14"/>
      <c r="DI206" s="14"/>
      <c r="DJ206" s="14"/>
      <c r="DK206" s="14"/>
    </row>
    <row r="207" spans="2:115" ht="12.75">
      <c r="B207" s="1"/>
      <c r="C207" s="1"/>
      <c r="D207" s="1"/>
      <c r="T207" s="14"/>
      <c r="U207" s="14"/>
      <c r="V207" s="14"/>
      <c r="W207" s="14"/>
      <c r="AG207" s="1"/>
      <c r="AH207" s="1"/>
      <c r="AW207" s="14"/>
      <c r="AX207" s="14"/>
      <c r="AY207" s="14"/>
      <c r="AZ207" s="14"/>
      <c r="BO207" s="1"/>
      <c r="BP207" s="1"/>
      <c r="CE207" s="14"/>
      <c r="CF207" s="14"/>
      <c r="CG207" s="14"/>
      <c r="CH207" s="14"/>
      <c r="CR207" s="1"/>
      <c r="CS207" s="1"/>
      <c r="DH207" s="14"/>
      <c r="DI207" s="14"/>
      <c r="DJ207" s="14"/>
      <c r="DK207" s="14"/>
    </row>
    <row r="208" spans="2:115" ht="12.75">
      <c r="B208" s="1"/>
      <c r="C208" s="1"/>
      <c r="D208" s="1"/>
      <c r="T208" s="14"/>
      <c r="U208" s="14"/>
      <c r="V208" s="14"/>
      <c r="W208" s="14"/>
      <c r="AG208" s="1"/>
      <c r="AH208" s="1"/>
      <c r="AW208" s="14"/>
      <c r="AX208" s="14"/>
      <c r="AY208" s="14"/>
      <c r="AZ208" s="14"/>
      <c r="BO208" s="1"/>
      <c r="BP208" s="1"/>
      <c r="CE208" s="14"/>
      <c r="CF208" s="14"/>
      <c r="CG208" s="14"/>
      <c r="CH208" s="14"/>
      <c r="CR208" s="1"/>
      <c r="CS208" s="1"/>
      <c r="DH208" s="14"/>
      <c r="DI208" s="14"/>
      <c r="DJ208" s="14"/>
      <c r="DK208" s="14"/>
    </row>
    <row r="209" spans="2:115" ht="12.75">
      <c r="B209" s="1"/>
      <c r="C209" s="1"/>
      <c r="D209" s="1"/>
      <c r="T209" s="14"/>
      <c r="U209" s="14"/>
      <c r="V209" s="14"/>
      <c r="W209" s="14"/>
      <c r="AG209" s="1"/>
      <c r="AH209" s="1"/>
      <c r="AW209" s="14"/>
      <c r="AX209" s="14"/>
      <c r="AY209" s="14"/>
      <c r="AZ209" s="14"/>
      <c r="BO209" s="1"/>
      <c r="BP209" s="1"/>
      <c r="CE209" s="14"/>
      <c r="CF209" s="14"/>
      <c r="CG209" s="14"/>
      <c r="CH209" s="14"/>
      <c r="CR209" s="1"/>
      <c r="CS209" s="1"/>
      <c r="DH209" s="14"/>
      <c r="DI209" s="14"/>
      <c r="DJ209" s="14"/>
      <c r="DK209" s="14"/>
    </row>
    <row r="210" spans="2:115" ht="12.75">
      <c r="B210" s="1"/>
      <c r="C210" s="1"/>
      <c r="D210" s="1"/>
      <c r="T210" s="14"/>
      <c r="U210" s="14"/>
      <c r="V210" s="14"/>
      <c r="W210" s="14"/>
      <c r="AG210" s="1"/>
      <c r="AH210" s="1"/>
      <c r="AW210" s="14"/>
      <c r="AX210" s="14"/>
      <c r="AY210" s="14"/>
      <c r="AZ210" s="14"/>
      <c r="BO210" s="1"/>
      <c r="BP210" s="1"/>
      <c r="CE210" s="14"/>
      <c r="CF210" s="14"/>
      <c r="CG210" s="14"/>
      <c r="CH210" s="14"/>
      <c r="CR210" s="1"/>
      <c r="CS210" s="1"/>
      <c r="DH210" s="14"/>
      <c r="DI210" s="14"/>
      <c r="DJ210" s="14"/>
      <c r="DK210" s="14"/>
    </row>
    <row r="211" spans="2:115" ht="12.75">
      <c r="B211" s="1"/>
      <c r="C211" s="1"/>
      <c r="D211" s="1"/>
      <c r="T211" s="14"/>
      <c r="U211" s="14"/>
      <c r="V211" s="14"/>
      <c r="W211" s="14"/>
      <c r="AG211" s="1"/>
      <c r="AH211" s="1"/>
      <c r="AW211" s="14"/>
      <c r="AX211" s="14"/>
      <c r="AY211" s="14"/>
      <c r="AZ211" s="14"/>
      <c r="BO211" s="1"/>
      <c r="BP211" s="1"/>
      <c r="CE211" s="14"/>
      <c r="CF211" s="14"/>
      <c r="CG211" s="14"/>
      <c r="CH211" s="14"/>
      <c r="CR211" s="1"/>
      <c r="CS211" s="1"/>
      <c r="DH211" s="14"/>
      <c r="DI211" s="14"/>
      <c r="DJ211" s="14"/>
      <c r="DK211" s="14"/>
    </row>
    <row r="212" spans="2:115" ht="12.75">
      <c r="B212" s="1"/>
      <c r="C212" s="1"/>
      <c r="D212" s="1"/>
      <c r="T212" s="14"/>
      <c r="U212" s="14"/>
      <c r="V212" s="14"/>
      <c r="W212" s="14"/>
      <c r="AG212" s="1"/>
      <c r="AH212" s="1"/>
      <c r="AW212" s="14"/>
      <c r="AX212" s="14"/>
      <c r="AY212" s="14"/>
      <c r="AZ212" s="14"/>
      <c r="BO212" s="1"/>
      <c r="BP212" s="1"/>
      <c r="CE212" s="14"/>
      <c r="CF212" s="14"/>
      <c r="CG212" s="14"/>
      <c r="CH212" s="14"/>
      <c r="CR212" s="1"/>
      <c r="CS212" s="1"/>
      <c r="DH212" s="14"/>
      <c r="DI212" s="14"/>
      <c r="DJ212" s="14"/>
      <c r="DK212" s="14"/>
    </row>
    <row r="213" spans="2:115" ht="12.75">
      <c r="B213" s="1"/>
      <c r="C213" s="1"/>
      <c r="D213" s="1"/>
      <c r="T213" s="14"/>
      <c r="U213" s="14"/>
      <c r="V213" s="14"/>
      <c r="W213" s="14"/>
      <c r="AG213" s="1"/>
      <c r="AH213" s="1"/>
      <c r="AW213" s="14"/>
      <c r="AX213" s="14"/>
      <c r="AY213" s="14"/>
      <c r="AZ213" s="14"/>
      <c r="BO213" s="1"/>
      <c r="BP213" s="1"/>
      <c r="CE213" s="14"/>
      <c r="CF213" s="14"/>
      <c r="CG213" s="14"/>
      <c r="CH213" s="14"/>
      <c r="CR213" s="1"/>
      <c r="CS213" s="1"/>
      <c r="DH213" s="14"/>
      <c r="DI213" s="14"/>
      <c r="DJ213" s="14"/>
      <c r="DK213" s="14"/>
    </row>
    <row r="214" spans="2:115" ht="12.75">
      <c r="B214" s="1"/>
      <c r="C214" s="1"/>
      <c r="D214" s="1"/>
      <c r="T214" s="14"/>
      <c r="U214" s="14"/>
      <c r="V214" s="14"/>
      <c r="W214" s="14"/>
      <c r="AG214" s="1"/>
      <c r="AH214" s="1"/>
      <c r="AW214" s="14"/>
      <c r="AX214" s="14"/>
      <c r="AY214" s="14"/>
      <c r="AZ214" s="14"/>
      <c r="BO214" s="1"/>
      <c r="BP214" s="1"/>
      <c r="CE214" s="14"/>
      <c r="CF214" s="14"/>
      <c r="CG214" s="14"/>
      <c r="CH214" s="14"/>
      <c r="CR214" s="1"/>
      <c r="CS214" s="1"/>
      <c r="DH214" s="14"/>
      <c r="DI214" s="14"/>
      <c r="DJ214" s="14"/>
      <c r="DK214" s="14"/>
    </row>
    <row r="215" spans="2:115" ht="12.75">
      <c r="B215" s="1"/>
      <c r="C215" s="1"/>
      <c r="D215" s="1"/>
      <c r="T215" s="14"/>
      <c r="U215" s="14"/>
      <c r="V215" s="14"/>
      <c r="W215" s="14"/>
      <c r="AG215" s="1"/>
      <c r="AH215" s="1"/>
      <c r="AW215" s="14"/>
      <c r="AX215" s="14"/>
      <c r="AY215" s="14"/>
      <c r="AZ215" s="14"/>
      <c r="BO215" s="1"/>
      <c r="BP215" s="1"/>
      <c r="CE215" s="14"/>
      <c r="CF215" s="14"/>
      <c r="CG215" s="14"/>
      <c r="CH215" s="14"/>
      <c r="CR215" s="1"/>
      <c r="CS215" s="1"/>
      <c r="DH215" s="14"/>
      <c r="DI215" s="14"/>
      <c r="DJ215" s="14"/>
      <c r="DK215" s="14"/>
    </row>
    <row r="216" spans="2:115" ht="12.75">
      <c r="B216" s="1"/>
      <c r="C216" s="1"/>
      <c r="D216" s="1"/>
      <c r="T216" s="14"/>
      <c r="U216" s="14"/>
      <c r="V216" s="14"/>
      <c r="W216" s="14"/>
      <c r="AG216" s="1"/>
      <c r="AH216" s="1"/>
      <c r="AW216" s="14"/>
      <c r="AX216" s="14"/>
      <c r="AY216" s="14"/>
      <c r="AZ216" s="14"/>
      <c r="BO216" s="1"/>
      <c r="BP216" s="1"/>
      <c r="CE216" s="14"/>
      <c r="CF216" s="14"/>
      <c r="CG216" s="14"/>
      <c r="CH216" s="14"/>
      <c r="CR216" s="1"/>
      <c r="CS216" s="1"/>
      <c r="DH216" s="14"/>
      <c r="DI216" s="14"/>
      <c r="DJ216" s="14"/>
      <c r="DK216" s="14"/>
    </row>
    <row r="217" spans="2:115" ht="12.75">
      <c r="B217" s="1"/>
      <c r="C217" s="1"/>
      <c r="D217" s="1"/>
      <c r="T217" s="14"/>
      <c r="U217" s="14"/>
      <c r="V217" s="14"/>
      <c r="W217" s="14"/>
      <c r="AG217" s="1"/>
      <c r="AH217" s="1"/>
      <c r="AW217" s="14"/>
      <c r="AX217" s="14"/>
      <c r="AY217" s="14"/>
      <c r="AZ217" s="14"/>
      <c r="BO217" s="1"/>
      <c r="BP217" s="1"/>
      <c r="CE217" s="14"/>
      <c r="CF217" s="14"/>
      <c r="CG217" s="14"/>
      <c r="CH217" s="14"/>
      <c r="CR217" s="1"/>
      <c r="CS217" s="1"/>
      <c r="DH217" s="14"/>
      <c r="DI217" s="14"/>
      <c r="DJ217" s="14"/>
      <c r="DK217" s="14"/>
    </row>
    <row r="218" spans="2:115" ht="12.75">
      <c r="B218" s="1"/>
      <c r="C218" s="1"/>
      <c r="D218" s="1"/>
      <c r="T218" s="14"/>
      <c r="U218" s="14"/>
      <c r="V218" s="14"/>
      <c r="W218" s="14"/>
      <c r="AG218" s="1"/>
      <c r="AH218" s="1"/>
      <c r="AW218" s="14"/>
      <c r="AX218" s="14"/>
      <c r="AY218" s="14"/>
      <c r="AZ218" s="14"/>
      <c r="BO218" s="1"/>
      <c r="BP218" s="1"/>
      <c r="CE218" s="14"/>
      <c r="CF218" s="14"/>
      <c r="CG218" s="14"/>
      <c r="CH218" s="14"/>
      <c r="CR218" s="1"/>
      <c r="CS218" s="1"/>
      <c r="DH218" s="14"/>
      <c r="DI218" s="14"/>
      <c r="DJ218" s="14"/>
      <c r="DK218" s="14"/>
    </row>
    <row r="219" spans="2:115" ht="12.75">
      <c r="B219" s="1"/>
      <c r="C219" s="1"/>
      <c r="D219" s="1"/>
      <c r="T219" s="14"/>
      <c r="U219" s="14"/>
      <c r="V219" s="14"/>
      <c r="W219" s="14"/>
      <c r="AG219" s="1"/>
      <c r="AH219" s="1"/>
      <c r="AW219" s="14"/>
      <c r="AX219" s="14"/>
      <c r="AY219" s="14"/>
      <c r="AZ219" s="14"/>
      <c r="BO219" s="1"/>
      <c r="BP219" s="1"/>
      <c r="CE219" s="14"/>
      <c r="CF219" s="14"/>
      <c r="CG219" s="14"/>
      <c r="CH219" s="14"/>
      <c r="CR219" s="1"/>
      <c r="CS219" s="1"/>
      <c r="DH219" s="14"/>
      <c r="DI219" s="14"/>
      <c r="DJ219" s="14"/>
      <c r="DK219" s="14"/>
    </row>
    <row r="220" spans="2:115" ht="12.75">
      <c r="B220" s="1"/>
      <c r="C220" s="1"/>
      <c r="D220" s="1"/>
      <c r="T220" s="14"/>
      <c r="U220" s="14"/>
      <c r="V220" s="14"/>
      <c r="W220" s="14"/>
      <c r="AG220" s="1"/>
      <c r="AH220" s="1"/>
      <c r="AW220" s="14"/>
      <c r="AX220" s="14"/>
      <c r="AY220" s="14"/>
      <c r="AZ220" s="14"/>
      <c r="BO220" s="1"/>
      <c r="BP220" s="1"/>
      <c r="CE220" s="14"/>
      <c r="CF220" s="14"/>
      <c r="CG220" s="14"/>
      <c r="CH220" s="14"/>
      <c r="CR220" s="1"/>
      <c r="CS220" s="1"/>
      <c r="DH220" s="14"/>
      <c r="DI220" s="14"/>
      <c r="DJ220" s="14"/>
      <c r="DK220" s="14"/>
    </row>
    <row r="221" spans="2:115" ht="12.75">
      <c r="B221" s="1"/>
      <c r="C221" s="1"/>
      <c r="D221" s="1"/>
      <c r="T221" s="14"/>
      <c r="U221" s="14"/>
      <c r="V221" s="14"/>
      <c r="W221" s="14"/>
      <c r="AG221" s="1"/>
      <c r="AH221" s="1"/>
      <c r="AW221" s="14"/>
      <c r="AX221" s="14"/>
      <c r="AY221" s="14"/>
      <c r="AZ221" s="14"/>
      <c r="BO221" s="1"/>
      <c r="BP221" s="1"/>
      <c r="CE221" s="14"/>
      <c r="CF221" s="14"/>
      <c r="CG221" s="14"/>
      <c r="CH221" s="14"/>
      <c r="CR221" s="1"/>
      <c r="CS221" s="1"/>
      <c r="DH221" s="14"/>
      <c r="DI221" s="14"/>
      <c r="DJ221" s="14"/>
      <c r="DK221" s="14"/>
    </row>
    <row r="222" spans="2:115" ht="12.75">
      <c r="B222" s="1"/>
      <c r="C222" s="1"/>
      <c r="D222" s="1"/>
      <c r="T222" s="14"/>
      <c r="U222" s="14"/>
      <c r="V222" s="14"/>
      <c r="W222" s="14"/>
      <c r="AG222" s="1"/>
      <c r="AH222" s="1"/>
      <c r="AW222" s="14"/>
      <c r="AX222" s="14"/>
      <c r="AY222" s="14"/>
      <c r="AZ222" s="14"/>
      <c r="BO222" s="1"/>
      <c r="BP222" s="1"/>
      <c r="CE222" s="14"/>
      <c r="CF222" s="14"/>
      <c r="CG222" s="14"/>
      <c r="CH222" s="14"/>
      <c r="CR222" s="1"/>
      <c r="CS222" s="1"/>
      <c r="DH222" s="14"/>
      <c r="DI222" s="14"/>
      <c r="DJ222" s="14"/>
      <c r="DK222" s="14"/>
    </row>
    <row r="223" spans="2:115" ht="12.75">
      <c r="B223" s="1"/>
      <c r="C223" s="1"/>
      <c r="D223" s="1"/>
      <c r="T223" s="14"/>
      <c r="U223" s="14"/>
      <c r="V223" s="14"/>
      <c r="W223" s="14"/>
      <c r="AG223" s="1"/>
      <c r="AH223" s="1"/>
      <c r="AW223" s="14"/>
      <c r="AX223" s="14"/>
      <c r="AY223" s="14"/>
      <c r="AZ223" s="14"/>
      <c r="BO223" s="1"/>
      <c r="BP223" s="1"/>
      <c r="CE223" s="14"/>
      <c r="CF223" s="14"/>
      <c r="CG223" s="14"/>
      <c r="CH223" s="14"/>
      <c r="CR223" s="1"/>
      <c r="CS223" s="1"/>
      <c r="DH223" s="14"/>
      <c r="DI223" s="14"/>
      <c r="DJ223" s="14"/>
      <c r="DK223" s="14"/>
    </row>
    <row r="224" spans="2:115" ht="12.75">
      <c r="B224" s="1"/>
      <c r="C224" s="1"/>
      <c r="D224" s="1"/>
      <c r="T224" s="14"/>
      <c r="U224" s="14"/>
      <c r="V224" s="14"/>
      <c r="W224" s="14"/>
      <c r="AG224" s="1"/>
      <c r="AH224" s="1"/>
      <c r="AW224" s="14"/>
      <c r="AX224" s="14"/>
      <c r="AY224" s="14"/>
      <c r="AZ224" s="14"/>
      <c r="BO224" s="1"/>
      <c r="BP224" s="1"/>
      <c r="CE224" s="14"/>
      <c r="CF224" s="14"/>
      <c r="CG224" s="14"/>
      <c r="CH224" s="14"/>
      <c r="CR224" s="1"/>
      <c r="CS224" s="1"/>
      <c r="DH224" s="14"/>
      <c r="DI224" s="14"/>
      <c r="DJ224" s="14"/>
      <c r="DK224" s="14"/>
    </row>
    <row r="225" spans="2:115" ht="12.75">
      <c r="B225" s="1"/>
      <c r="C225" s="1"/>
      <c r="D225" s="1"/>
      <c r="T225" s="14"/>
      <c r="U225" s="14"/>
      <c r="V225" s="14"/>
      <c r="W225" s="14"/>
      <c r="AG225" s="1"/>
      <c r="AH225" s="1"/>
      <c r="AW225" s="14"/>
      <c r="AX225" s="14"/>
      <c r="AY225" s="14"/>
      <c r="AZ225" s="14"/>
      <c r="BO225" s="1"/>
      <c r="BP225" s="1"/>
      <c r="CE225" s="14"/>
      <c r="CF225" s="14"/>
      <c r="CG225" s="14"/>
      <c r="CH225" s="14"/>
      <c r="CR225" s="1"/>
      <c r="CS225" s="1"/>
      <c r="DH225" s="14"/>
      <c r="DI225" s="14"/>
      <c r="DJ225" s="14"/>
      <c r="DK225" s="14"/>
    </row>
    <row r="226" spans="2:115" ht="12.75">
      <c r="B226" s="1"/>
      <c r="C226" s="1"/>
      <c r="D226" s="1"/>
      <c r="T226" s="14"/>
      <c r="U226" s="14"/>
      <c r="V226" s="14"/>
      <c r="W226" s="14"/>
      <c r="AG226" s="1"/>
      <c r="AH226" s="1"/>
      <c r="AW226" s="14"/>
      <c r="AX226" s="14"/>
      <c r="AY226" s="14"/>
      <c r="AZ226" s="14"/>
      <c r="BO226" s="1"/>
      <c r="BP226" s="1"/>
      <c r="CE226" s="14"/>
      <c r="CF226" s="14"/>
      <c r="CG226" s="14"/>
      <c r="CH226" s="14"/>
      <c r="CR226" s="1"/>
      <c r="CS226" s="1"/>
      <c r="DH226" s="14"/>
      <c r="DI226" s="14"/>
      <c r="DJ226" s="14"/>
      <c r="DK226" s="14"/>
    </row>
    <row r="227" spans="2:115" ht="12.75">
      <c r="B227" s="1"/>
      <c r="C227" s="1"/>
      <c r="D227" s="1"/>
      <c r="T227" s="14"/>
      <c r="U227" s="14"/>
      <c r="V227" s="14"/>
      <c r="W227" s="14"/>
      <c r="AG227" s="1"/>
      <c r="AH227" s="1"/>
      <c r="AW227" s="14"/>
      <c r="AX227" s="14"/>
      <c r="AY227" s="14"/>
      <c r="AZ227" s="14"/>
      <c r="BO227" s="1"/>
      <c r="BP227" s="1"/>
      <c r="CE227" s="14"/>
      <c r="CF227" s="14"/>
      <c r="CG227" s="14"/>
      <c r="CH227" s="14"/>
      <c r="CR227" s="1"/>
      <c r="CS227" s="1"/>
      <c r="DH227" s="14"/>
      <c r="DI227" s="14"/>
      <c r="DJ227" s="14"/>
      <c r="DK227" s="14"/>
    </row>
    <row r="228" spans="2:115" ht="12.75">
      <c r="B228" s="1"/>
      <c r="C228" s="1"/>
      <c r="D228" s="1"/>
      <c r="T228" s="14"/>
      <c r="U228" s="14"/>
      <c r="V228" s="14"/>
      <c r="W228" s="14"/>
      <c r="AG228" s="1"/>
      <c r="AH228" s="1"/>
      <c r="AW228" s="14"/>
      <c r="AX228" s="14"/>
      <c r="AY228" s="14"/>
      <c r="AZ228" s="14"/>
      <c r="BO228" s="1"/>
      <c r="BP228" s="1"/>
      <c r="CE228" s="14"/>
      <c r="CF228" s="14"/>
      <c r="CG228" s="14"/>
      <c r="CH228" s="14"/>
      <c r="CR228" s="1"/>
      <c r="CS228" s="1"/>
      <c r="DH228" s="14"/>
      <c r="DI228" s="14"/>
      <c r="DJ228" s="14"/>
      <c r="DK228" s="14"/>
    </row>
    <row r="229" spans="2:115" ht="12.75">
      <c r="B229" s="1"/>
      <c r="C229" s="1"/>
      <c r="D229" s="1"/>
      <c r="T229" s="14"/>
      <c r="U229" s="14"/>
      <c r="V229" s="14"/>
      <c r="W229" s="14"/>
      <c r="AG229" s="1"/>
      <c r="AH229" s="1"/>
      <c r="AW229" s="14"/>
      <c r="AX229" s="14"/>
      <c r="AY229" s="14"/>
      <c r="AZ229" s="14"/>
      <c r="BO229" s="1"/>
      <c r="BP229" s="1"/>
      <c r="CE229" s="14"/>
      <c r="CF229" s="14"/>
      <c r="CG229" s="14"/>
      <c r="CH229" s="14"/>
      <c r="CR229" s="1"/>
      <c r="CS229" s="1"/>
      <c r="DH229" s="14"/>
      <c r="DI229" s="14"/>
      <c r="DJ229" s="14"/>
      <c r="DK229" s="14"/>
    </row>
    <row r="230" spans="2:115" ht="12.75">
      <c r="B230" s="1"/>
      <c r="C230" s="1"/>
      <c r="D230" s="1"/>
      <c r="T230" s="14"/>
      <c r="U230" s="14"/>
      <c r="V230" s="14"/>
      <c r="W230" s="14"/>
      <c r="AG230" s="1"/>
      <c r="AH230" s="1"/>
      <c r="AW230" s="14"/>
      <c r="AX230" s="14"/>
      <c r="AY230" s="14"/>
      <c r="AZ230" s="14"/>
      <c r="BO230" s="1"/>
      <c r="BP230" s="1"/>
      <c r="CE230" s="14"/>
      <c r="CF230" s="14"/>
      <c r="CG230" s="14"/>
      <c r="CH230" s="14"/>
      <c r="CR230" s="1"/>
      <c r="CS230" s="1"/>
      <c r="DH230" s="14"/>
      <c r="DI230" s="14"/>
      <c r="DJ230" s="14"/>
      <c r="DK230" s="14"/>
    </row>
    <row r="231" spans="2:115" ht="12.75">
      <c r="B231" s="1"/>
      <c r="C231" s="1"/>
      <c r="D231" s="1"/>
      <c r="T231" s="14"/>
      <c r="U231" s="14"/>
      <c r="V231" s="14"/>
      <c r="W231" s="14"/>
      <c r="AG231" s="1"/>
      <c r="AH231" s="1"/>
      <c r="AW231" s="14"/>
      <c r="AX231" s="14"/>
      <c r="AY231" s="14"/>
      <c r="AZ231" s="14"/>
      <c r="BO231" s="1"/>
      <c r="BP231" s="1"/>
      <c r="CE231" s="14"/>
      <c r="CF231" s="14"/>
      <c r="CG231" s="14"/>
      <c r="CH231" s="14"/>
      <c r="CR231" s="1"/>
      <c r="CS231" s="1"/>
      <c r="DH231" s="14"/>
      <c r="DI231" s="14"/>
      <c r="DJ231" s="14"/>
      <c r="DK231" s="14"/>
    </row>
    <row r="232" spans="2:115" ht="12.75">
      <c r="B232" s="1"/>
      <c r="C232" s="1"/>
      <c r="D232" s="1"/>
      <c r="T232" s="14"/>
      <c r="U232" s="14"/>
      <c r="V232" s="14"/>
      <c r="W232" s="14"/>
      <c r="AG232" s="1"/>
      <c r="AH232" s="1"/>
      <c r="AW232" s="14"/>
      <c r="AX232" s="14"/>
      <c r="AY232" s="14"/>
      <c r="AZ232" s="14"/>
      <c r="BO232" s="1"/>
      <c r="BP232" s="1"/>
      <c r="CE232" s="14"/>
      <c r="CF232" s="14"/>
      <c r="CG232" s="14"/>
      <c r="CH232" s="14"/>
      <c r="CR232" s="1"/>
      <c r="CS232" s="1"/>
      <c r="DH232" s="14"/>
      <c r="DI232" s="14"/>
      <c r="DJ232" s="14"/>
      <c r="DK232" s="14"/>
    </row>
    <row r="233" spans="2:115" ht="12.75">
      <c r="B233" s="1"/>
      <c r="C233" s="1"/>
      <c r="D233" s="1"/>
      <c r="T233" s="14"/>
      <c r="U233" s="14"/>
      <c r="V233" s="14"/>
      <c r="W233" s="14"/>
      <c r="AG233" s="1"/>
      <c r="AH233" s="1"/>
      <c r="AW233" s="14"/>
      <c r="AX233" s="14"/>
      <c r="AY233" s="14"/>
      <c r="AZ233" s="14"/>
      <c r="BO233" s="1"/>
      <c r="BP233" s="1"/>
      <c r="CE233" s="14"/>
      <c r="CF233" s="14"/>
      <c r="CG233" s="14"/>
      <c r="CH233" s="14"/>
      <c r="CR233" s="1"/>
      <c r="CS233" s="1"/>
      <c r="DH233" s="14"/>
      <c r="DI233" s="14"/>
      <c r="DJ233" s="14"/>
      <c r="DK233" s="14"/>
    </row>
    <row r="234" spans="2:115" ht="12.75">
      <c r="B234" s="1"/>
      <c r="C234" s="1"/>
      <c r="D234" s="1"/>
      <c r="T234" s="14"/>
      <c r="U234" s="14"/>
      <c r="V234" s="14"/>
      <c r="W234" s="14"/>
      <c r="AG234" s="1"/>
      <c r="AH234" s="1"/>
      <c r="AW234" s="14"/>
      <c r="AX234" s="14"/>
      <c r="AY234" s="14"/>
      <c r="AZ234" s="14"/>
      <c r="BO234" s="1"/>
      <c r="BP234" s="1"/>
      <c r="CE234" s="14"/>
      <c r="CF234" s="14"/>
      <c r="CG234" s="14"/>
      <c r="CH234" s="14"/>
      <c r="CR234" s="1"/>
      <c r="CS234" s="1"/>
      <c r="DH234" s="14"/>
      <c r="DI234" s="14"/>
      <c r="DJ234" s="14"/>
      <c r="DK234" s="14"/>
    </row>
    <row r="235" spans="2:115" ht="12.75">
      <c r="B235" s="1"/>
      <c r="C235" s="1"/>
      <c r="D235" s="1"/>
      <c r="T235" s="14"/>
      <c r="U235" s="14"/>
      <c r="V235" s="14"/>
      <c r="W235" s="14"/>
      <c r="AG235" s="1"/>
      <c r="AH235" s="1"/>
      <c r="AW235" s="14"/>
      <c r="AX235" s="14"/>
      <c r="AY235" s="14"/>
      <c r="AZ235" s="14"/>
      <c r="BO235" s="1"/>
      <c r="BP235" s="1"/>
      <c r="CE235" s="14"/>
      <c r="CF235" s="14"/>
      <c r="CG235" s="14"/>
      <c r="CH235" s="14"/>
      <c r="CR235" s="1"/>
      <c r="CS235" s="1"/>
      <c r="DH235" s="14"/>
      <c r="DI235" s="14"/>
      <c r="DJ235" s="14"/>
      <c r="DK235" s="14"/>
    </row>
    <row r="236" spans="2:115" ht="12.75">
      <c r="B236" s="1"/>
      <c r="C236" s="1"/>
      <c r="D236" s="1"/>
      <c r="T236" s="14"/>
      <c r="U236" s="14"/>
      <c r="V236" s="14"/>
      <c r="W236" s="14"/>
      <c r="AG236" s="1"/>
      <c r="AH236" s="1"/>
      <c r="AW236" s="14"/>
      <c r="AX236" s="14"/>
      <c r="AY236" s="14"/>
      <c r="AZ236" s="14"/>
      <c r="BO236" s="1"/>
      <c r="BP236" s="1"/>
      <c r="CE236" s="14"/>
      <c r="CF236" s="14"/>
      <c r="CG236" s="14"/>
      <c r="CH236" s="14"/>
      <c r="CR236" s="1"/>
      <c r="CS236" s="1"/>
      <c r="DH236" s="14"/>
      <c r="DI236" s="14"/>
      <c r="DJ236" s="14"/>
      <c r="DK236" s="14"/>
    </row>
    <row r="237" spans="2:115" ht="12.75">
      <c r="B237" s="1"/>
      <c r="C237" s="1"/>
      <c r="D237" s="1"/>
      <c r="T237" s="14"/>
      <c r="U237" s="14"/>
      <c r="V237" s="14"/>
      <c r="W237" s="14"/>
      <c r="AG237" s="1"/>
      <c r="AH237" s="1"/>
      <c r="AW237" s="14"/>
      <c r="AX237" s="14"/>
      <c r="AY237" s="14"/>
      <c r="AZ237" s="14"/>
      <c r="BO237" s="1"/>
      <c r="BP237" s="1"/>
      <c r="CE237" s="14"/>
      <c r="CF237" s="14"/>
      <c r="CG237" s="14"/>
      <c r="CH237" s="14"/>
      <c r="CR237" s="1"/>
      <c r="CS237" s="1"/>
      <c r="DH237" s="14"/>
      <c r="DI237" s="14"/>
      <c r="DJ237" s="14"/>
      <c r="DK237" s="14"/>
    </row>
    <row r="238" spans="2:115" ht="12.75">
      <c r="B238" s="1"/>
      <c r="C238" s="1"/>
      <c r="D238" s="1"/>
      <c r="T238" s="14"/>
      <c r="U238" s="14"/>
      <c r="V238" s="14"/>
      <c r="W238" s="14"/>
      <c r="AG238" s="1"/>
      <c r="AH238" s="1"/>
      <c r="AW238" s="14"/>
      <c r="AX238" s="14"/>
      <c r="AY238" s="14"/>
      <c r="AZ238" s="14"/>
      <c r="BO238" s="1"/>
      <c r="BP238" s="1"/>
      <c r="CE238" s="14"/>
      <c r="CF238" s="14"/>
      <c r="CG238" s="14"/>
      <c r="CH238" s="14"/>
      <c r="CR238" s="1"/>
      <c r="CS238" s="1"/>
      <c r="DH238" s="14"/>
      <c r="DI238" s="14"/>
      <c r="DJ238" s="14"/>
      <c r="DK238" s="14"/>
    </row>
    <row r="239" spans="2:115" ht="12.75">
      <c r="B239" s="1"/>
      <c r="C239" s="1"/>
      <c r="D239" s="1"/>
      <c r="T239" s="14"/>
      <c r="U239" s="14"/>
      <c r="V239" s="14"/>
      <c r="W239" s="14"/>
      <c r="AG239" s="1"/>
      <c r="AH239" s="1"/>
      <c r="AW239" s="14"/>
      <c r="AX239" s="14"/>
      <c r="AY239" s="14"/>
      <c r="AZ239" s="14"/>
      <c r="BO239" s="1"/>
      <c r="BP239" s="1"/>
      <c r="CE239" s="14"/>
      <c r="CF239" s="14"/>
      <c r="CG239" s="14"/>
      <c r="CH239" s="14"/>
      <c r="CR239" s="1"/>
      <c r="CS239" s="1"/>
      <c r="DH239" s="14"/>
      <c r="DI239" s="14"/>
      <c r="DJ239" s="14"/>
      <c r="DK239" s="14"/>
    </row>
    <row r="240" spans="2:115" ht="12.75">
      <c r="B240" s="1"/>
      <c r="C240" s="1"/>
      <c r="D240" s="1"/>
      <c r="T240" s="14"/>
      <c r="U240" s="14"/>
      <c r="V240" s="14"/>
      <c r="W240" s="14"/>
      <c r="AG240" s="1"/>
      <c r="AH240" s="1"/>
      <c r="AW240" s="14"/>
      <c r="AX240" s="14"/>
      <c r="AY240" s="14"/>
      <c r="AZ240" s="14"/>
      <c r="BO240" s="1"/>
      <c r="BP240" s="1"/>
      <c r="CE240" s="14"/>
      <c r="CF240" s="14"/>
      <c r="CG240" s="14"/>
      <c r="CH240" s="14"/>
      <c r="CR240" s="1"/>
      <c r="CS240" s="1"/>
      <c r="DH240" s="14"/>
      <c r="DI240" s="14"/>
      <c r="DJ240" s="14"/>
      <c r="DK240" s="14"/>
    </row>
    <row r="241" spans="2:115" ht="12.75">
      <c r="B241" s="1"/>
      <c r="C241" s="1"/>
      <c r="D241" s="1"/>
      <c r="T241" s="14"/>
      <c r="U241" s="14"/>
      <c r="V241" s="14"/>
      <c r="W241" s="14"/>
      <c r="AG241" s="1"/>
      <c r="AH241" s="1"/>
      <c r="AW241" s="14"/>
      <c r="AX241" s="14"/>
      <c r="AY241" s="14"/>
      <c r="AZ241" s="14"/>
      <c r="BO241" s="1"/>
      <c r="BP241" s="1"/>
      <c r="CE241" s="14"/>
      <c r="CF241" s="14"/>
      <c r="CG241" s="14"/>
      <c r="CH241" s="14"/>
      <c r="CR241" s="1"/>
      <c r="CS241" s="1"/>
      <c r="DH241" s="14"/>
      <c r="DI241" s="14"/>
      <c r="DJ241" s="14"/>
      <c r="DK241" s="14"/>
    </row>
    <row r="242" spans="2:115" ht="12.75">
      <c r="B242" s="1"/>
      <c r="C242" s="1"/>
      <c r="D242" s="1"/>
      <c r="T242" s="14"/>
      <c r="U242" s="14"/>
      <c r="V242" s="14"/>
      <c r="W242" s="14"/>
      <c r="AG242" s="1"/>
      <c r="AH242" s="1"/>
      <c r="AW242" s="14"/>
      <c r="AX242" s="14"/>
      <c r="AY242" s="14"/>
      <c r="AZ242" s="14"/>
      <c r="BO242" s="1"/>
      <c r="BP242" s="1"/>
      <c r="CE242" s="14"/>
      <c r="CF242" s="14"/>
      <c r="CG242" s="14"/>
      <c r="CH242" s="14"/>
      <c r="CR242" s="1"/>
      <c r="CS242" s="1"/>
      <c r="DH242" s="14"/>
      <c r="DI242" s="14"/>
      <c r="DJ242" s="14"/>
      <c r="DK242" s="14"/>
    </row>
    <row r="243" spans="2:115" ht="12.75">
      <c r="B243" s="1"/>
      <c r="C243" s="1"/>
      <c r="D243" s="1"/>
      <c r="T243" s="14"/>
      <c r="U243" s="14"/>
      <c r="V243" s="14"/>
      <c r="W243" s="14"/>
      <c r="AG243" s="1"/>
      <c r="AH243" s="1"/>
      <c r="AW243" s="14"/>
      <c r="AX243" s="14"/>
      <c r="AY243" s="14"/>
      <c r="AZ243" s="14"/>
      <c r="BO243" s="1"/>
      <c r="BP243" s="1"/>
      <c r="CE243" s="14"/>
      <c r="CF243" s="14"/>
      <c r="CG243" s="14"/>
      <c r="CH243" s="14"/>
      <c r="CR243" s="1"/>
      <c r="CS243" s="1"/>
      <c r="DH243" s="14"/>
      <c r="DI243" s="14"/>
      <c r="DJ243" s="14"/>
      <c r="DK243" s="14"/>
    </row>
    <row r="244" spans="2:115" ht="12.75">
      <c r="B244" s="1"/>
      <c r="C244" s="1"/>
      <c r="D244" s="1"/>
      <c r="T244" s="14"/>
      <c r="U244" s="14"/>
      <c r="V244" s="14"/>
      <c r="W244" s="14"/>
      <c r="AG244" s="1"/>
      <c r="AH244" s="1"/>
      <c r="AW244" s="14"/>
      <c r="AX244" s="14"/>
      <c r="AY244" s="14"/>
      <c r="AZ244" s="14"/>
      <c r="BO244" s="1"/>
      <c r="BP244" s="1"/>
      <c r="CE244" s="14"/>
      <c r="CF244" s="14"/>
      <c r="CG244" s="14"/>
      <c r="CH244" s="14"/>
      <c r="CR244" s="1"/>
      <c r="CS244" s="1"/>
      <c r="DH244" s="14"/>
      <c r="DI244" s="14"/>
      <c r="DJ244" s="14"/>
      <c r="DK244" s="14"/>
    </row>
    <row r="245" spans="2:115" ht="12.75">
      <c r="B245" s="1"/>
      <c r="C245" s="1"/>
      <c r="D245" s="1"/>
      <c r="T245" s="14"/>
      <c r="U245" s="14"/>
      <c r="V245" s="14"/>
      <c r="W245" s="14"/>
      <c r="AG245" s="1"/>
      <c r="AH245" s="1"/>
      <c r="AW245" s="14"/>
      <c r="AX245" s="14"/>
      <c r="AY245" s="14"/>
      <c r="AZ245" s="14"/>
      <c r="BO245" s="1"/>
      <c r="BP245" s="1"/>
      <c r="CE245" s="14"/>
      <c r="CF245" s="14"/>
      <c r="CG245" s="14"/>
      <c r="CH245" s="14"/>
      <c r="CR245" s="1"/>
      <c r="CS245" s="1"/>
      <c r="DH245" s="14"/>
      <c r="DI245" s="14"/>
      <c r="DJ245" s="14"/>
      <c r="DK245" s="14"/>
    </row>
    <row r="246" spans="2:115" ht="12.75">
      <c r="B246" s="1"/>
      <c r="C246" s="1"/>
      <c r="D246" s="1"/>
      <c r="T246" s="14"/>
      <c r="U246" s="14"/>
      <c r="V246" s="14"/>
      <c r="W246" s="14"/>
      <c r="AG246" s="1"/>
      <c r="AH246" s="1"/>
      <c r="AW246" s="14"/>
      <c r="AX246" s="14"/>
      <c r="AY246" s="14"/>
      <c r="AZ246" s="14"/>
      <c r="BO246" s="1"/>
      <c r="BP246" s="1"/>
      <c r="CE246" s="14"/>
      <c r="CF246" s="14"/>
      <c r="CG246" s="14"/>
      <c r="CH246" s="14"/>
      <c r="CR246" s="1"/>
      <c r="CS246" s="1"/>
      <c r="DH246" s="14"/>
      <c r="DI246" s="14"/>
      <c r="DJ246" s="14"/>
      <c r="DK246" s="14"/>
    </row>
    <row r="247" spans="2:115" ht="12.75">
      <c r="B247" s="1"/>
      <c r="C247" s="1"/>
      <c r="D247" s="1"/>
      <c r="T247" s="14"/>
      <c r="U247" s="14"/>
      <c r="V247" s="14"/>
      <c r="W247" s="14"/>
      <c r="AG247" s="1"/>
      <c r="AH247" s="1"/>
      <c r="AW247" s="14"/>
      <c r="AX247" s="14"/>
      <c r="AY247" s="14"/>
      <c r="AZ247" s="14"/>
      <c r="BO247" s="1"/>
      <c r="BP247" s="1"/>
      <c r="CE247" s="14"/>
      <c r="CF247" s="14"/>
      <c r="CG247" s="14"/>
      <c r="CH247" s="14"/>
      <c r="CR247" s="1"/>
      <c r="CS247" s="1"/>
      <c r="DH247" s="14"/>
      <c r="DI247" s="14"/>
      <c r="DJ247" s="14"/>
      <c r="DK247" s="14"/>
    </row>
    <row r="248" spans="2:115" ht="12.75">
      <c r="B248" s="1"/>
      <c r="C248" s="1"/>
      <c r="D248" s="1"/>
      <c r="T248" s="14"/>
      <c r="U248" s="14"/>
      <c r="V248" s="14"/>
      <c r="W248" s="14"/>
      <c r="AG248" s="1"/>
      <c r="AH248" s="1"/>
      <c r="AW248" s="14"/>
      <c r="AX248" s="14"/>
      <c r="AY248" s="14"/>
      <c r="AZ248" s="14"/>
      <c r="BO248" s="1"/>
      <c r="BP248" s="1"/>
      <c r="CE248" s="14"/>
      <c r="CF248" s="14"/>
      <c r="CG248" s="14"/>
      <c r="CH248" s="14"/>
      <c r="CR248" s="1"/>
      <c r="CS248" s="1"/>
      <c r="DH248" s="14"/>
      <c r="DI248" s="14"/>
      <c r="DJ248" s="14"/>
      <c r="DK248" s="14"/>
    </row>
    <row r="249" spans="2:115" ht="12.75">
      <c r="B249" s="1"/>
      <c r="C249" s="1"/>
      <c r="D249" s="1"/>
      <c r="T249" s="14"/>
      <c r="U249" s="14"/>
      <c r="V249" s="14"/>
      <c r="W249" s="14"/>
      <c r="AG249" s="1"/>
      <c r="AH249" s="1"/>
      <c r="AW249" s="14"/>
      <c r="AX249" s="14"/>
      <c r="AY249" s="14"/>
      <c r="AZ249" s="14"/>
      <c r="BO249" s="1"/>
      <c r="BP249" s="1"/>
      <c r="CE249" s="14"/>
      <c r="CF249" s="14"/>
      <c r="CG249" s="14"/>
      <c r="CH249" s="14"/>
      <c r="CR249" s="1"/>
      <c r="CS249" s="1"/>
      <c r="DH249" s="14"/>
      <c r="DI249" s="14"/>
      <c r="DJ249" s="14"/>
      <c r="DK249" s="14"/>
    </row>
    <row r="250" spans="2:115" ht="12.75">
      <c r="B250" s="1"/>
      <c r="C250" s="1"/>
      <c r="D250" s="1"/>
      <c r="T250" s="14"/>
      <c r="U250" s="14"/>
      <c r="V250" s="14"/>
      <c r="W250" s="14"/>
      <c r="AG250" s="1"/>
      <c r="AH250" s="1"/>
      <c r="AW250" s="14"/>
      <c r="AX250" s="14"/>
      <c r="AY250" s="14"/>
      <c r="AZ250" s="14"/>
      <c r="BO250" s="1"/>
      <c r="BP250" s="1"/>
      <c r="CE250" s="14"/>
      <c r="CF250" s="14"/>
      <c r="CG250" s="14"/>
      <c r="CH250" s="14"/>
      <c r="CR250" s="1"/>
      <c r="CS250" s="1"/>
      <c r="DH250" s="14"/>
      <c r="DI250" s="14"/>
      <c r="DJ250" s="14"/>
      <c r="DK250" s="14"/>
    </row>
    <row r="251" spans="2:115" ht="12.75">
      <c r="B251" s="1"/>
      <c r="C251" s="1"/>
      <c r="D251" s="1"/>
      <c r="T251" s="14"/>
      <c r="U251" s="14"/>
      <c r="V251" s="14"/>
      <c r="W251" s="14"/>
      <c r="AG251" s="1"/>
      <c r="AH251" s="1"/>
      <c r="AW251" s="14"/>
      <c r="AX251" s="14"/>
      <c r="AY251" s="14"/>
      <c r="AZ251" s="14"/>
      <c r="BO251" s="1"/>
      <c r="BP251" s="1"/>
      <c r="CE251" s="14"/>
      <c r="CF251" s="14"/>
      <c r="CG251" s="14"/>
      <c r="CH251" s="14"/>
      <c r="CR251" s="1"/>
      <c r="CS251" s="1"/>
      <c r="DH251" s="14"/>
      <c r="DI251" s="14"/>
      <c r="DJ251" s="14"/>
      <c r="DK251" s="14"/>
    </row>
    <row r="252" spans="2:115" ht="12.75">
      <c r="B252" s="1"/>
      <c r="C252" s="1"/>
      <c r="D252" s="1"/>
      <c r="T252" s="14"/>
      <c r="U252" s="14"/>
      <c r="V252" s="14"/>
      <c r="W252" s="14"/>
      <c r="AG252" s="1"/>
      <c r="AH252" s="1"/>
      <c r="AW252" s="14"/>
      <c r="AX252" s="14"/>
      <c r="AY252" s="14"/>
      <c r="AZ252" s="14"/>
      <c r="BO252" s="1"/>
      <c r="BP252" s="1"/>
      <c r="CE252" s="14"/>
      <c r="CF252" s="14"/>
      <c r="CG252" s="14"/>
      <c r="CH252" s="14"/>
      <c r="CR252" s="1"/>
      <c r="CS252" s="1"/>
      <c r="DH252" s="14"/>
      <c r="DI252" s="14"/>
      <c r="DJ252" s="14"/>
      <c r="DK252" s="14"/>
    </row>
    <row r="253" spans="2:115" ht="12.75">
      <c r="B253" s="1"/>
      <c r="C253" s="1"/>
      <c r="D253" s="1"/>
      <c r="T253" s="14"/>
      <c r="U253" s="14"/>
      <c r="V253" s="14"/>
      <c r="W253" s="14"/>
      <c r="AG253" s="1"/>
      <c r="AH253" s="1"/>
      <c r="AW253" s="14"/>
      <c r="AX253" s="14"/>
      <c r="AY253" s="14"/>
      <c r="AZ253" s="14"/>
      <c r="BO253" s="1"/>
      <c r="BP253" s="1"/>
      <c r="CE253" s="14"/>
      <c r="CF253" s="14"/>
      <c r="CG253" s="14"/>
      <c r="CH253" s="14"/>
      <c r="CR253" s="1"/>
      <c r="CS253" s="1"/>
      <c r="DH253" s="14"/>
      <c r="DI253" s="14"/>
      <c r="DJ253" s="14"/>
      <c r="DK253" s="14"/>
    </row>
    <row r="254" spans="2:115" ht="12.75">
      <c r="B254" s="1"/>
      <c r="C254" s="1"/>
      <c r="D254" s="1"/>
      <c r="T254" s="14"/>
      <c r="U254" s="14"/>
      <c r="V254" s="14"/>
      <c r="W254" s="14"/>
      <c r="AG254" s="1"/>
      <c r="AH254" s="1"/>
      <c r="AW254" s="14"/>
      <c r="AX254" s="14"/>
      <c r="AY254" s="14"/>
      <c r="AZ254" s="14"/>
      <c r="BO254" s="1"/>
      <c r="BP254" s="1"/>
      <c r="CE254" s="14"/>
      <c r="CF254" s="14"/>
      <c r="CG254" s="14"/>
      <c r="CH254" s="14"/>
      <c r="CR254" s="1"/>
      <c r="CS254" s="1"/>
      <c r="DH254" s="14"/>
      <c r="DI254" s="14"/>
      <c r="DJ254" s="14"/>
      <c r="DK254" s="14"/>
    </row>
    <row r="255" spans="2:115" ht="12.75">
      <c r="B255" s="1"/>
      <c r="C255" s="1"/>
      <c r="D255" s="1"/>
      <c r="T255" s="14"/>
      <c r="U255" s="14"/>
      <c r="V255" s="14"/>
      <c r="W255" s="14"/>
      <c r="AG255" s="1"/>
      <c r="AH255" s="1"/>
      <c r="AW255" s="14"/>
      <c r="AX255" s="14"/>
      <c r="AY255" s="14"/>
      <c r="AZ255" s="14"/>
      <c r="BO255" s="1"/>
      <c r="BP255" s="1"/>
      <c r="CE255" s="14"/>
      <c r="CF255" s="14"/>
      <c r="CG255" s="14"/>
      <c r="CH255" s="14"/>
      <c r="CR255" s="1"/>
      <c r="CS255" s="1"/>
      <c r="DH255" s="14"/>
      <c r="DI255" s="14"/>
      <c r="DJ255" s="14"/>
      <c r="DK255" s="14"/>
    </row>
    <row r="256" spans="2:115" ht="12.75">
      <c r="B256" s="1"/>
      <c r="C256" s="1"/>
      <c r="D256" s="1"/>
      <c r="T256" s="14"/>
      <c r="U256" s="14"/>
      <c r="V256" s="14"/>
      <c r="W256" s="14"/>
      <c r="AG256" s="1"/>
      <c r="AH256" s="1"/>
      <c r="AW256" s="14"/>
      <c r="AX256" s="14"/>
      <c r="AY256" s="14"/>
      <c r="AZ256" s="14"/>
      <c r="BO256" s="1"/>
      <c r="BP256" s="1"/>
      <c r="CE256" s="14"/>
      <c r="CF256" s="14"/>
      <c r="CG256" s="14"/>
      <c r="CH256" s="14"/>
      <c r="CR256" s="1"/>
      <c r="CS256" s="1"/>
      <c r="DH256" s="14"/>
      <c r="DI256" s="14"/>
      <c r="DJ256" s="14"/>
      <c r="DK256" s="14"/>
    </row>
    <row r="257" spans="2:115" ht="12.75">
      <c r="B257" s="1"/>
      <c r="C257" s="1"/>
      <c r="D257" s="1"/>
      <c r="T257" s="14"/>
      <c r="U257" s="14"/>
      <c r="V257" s="14"/>
      <c r="W257" s="14"/>
      <c r="AG257" s="1"/>
      <c r="AH257" s="1"/>
      <c r="AW257" s="14"/>
      <c r="AX257" s="14"/>
      <c r="AY257" s="14"/>
      <c r="AZ257" s="14"/>
      <c r="BO257" s="1"/>
      <c r="BP257" s="1"/>
      <c r="CE257" s="14"/>
      <c r="CF257" s="14"/>
      <c r="CG257" s="14"/>
      <c r="CH257" s="14"/>
      <c r="CR257" s="1"/>
      <c r="CS257" s="1"/>
      <c r="DH257" s="14"/>
      <c r="DI257" s="14"/>
      <c r="DJ257" s="14"/>
      <c r="DK257" s="14"/>
    </row>
    <row r="258" spans="2:115" ht="12.75">
      <c r="B258" s="1"/>
      <c r="C258" s="1"/>
      <c r="D258" s="1"/>
      <c r="T258" s="14"/>
      <c r="U258" s="14"/>
      <c r="V258" s="14"/>
      <c r="W258" s="14"/>
      <c r="AG258" s="1"/>
      <c r="AH258" s="1"/>
      <c r="AW258" s="14"/>
      <c r="AX258" s="14"/>
      <c r="AY258" s="14"/>
      <c r="AZ258" s="14"/>
      <c r="BO258" s="1"/>
      <c r="BP258" s="1"/>
      <c r="CE258" s="14"/>
      <c r="CF258" s="14"/>
      <c r="CG258" s="14"/>
      <c r="CH258" s="14"/>
      <c r="CR258" s="1"/>
      <c r="CS258" s="1"/>
      <c r="DH258" s="14"/>
      <c r="DI258" s="14"/>
      <c r="DJ258" s="14"/>
      <c r="DK258" s="14"/>
    </row>
    <row r="259" spans="2:115" ht="12.75">
      <c r="B259" s="1"/>
      <c r="C259" s="1"/>
      <c r="D259" s="1"/>
      <c r="T259" s="14"/>
      <c r="U259" s="14"/>
      <c r="V259" s="14"/>
      <c r="W259" s="14"/>
      <c r="AG259" s="1"/>
      <c r="AH259" s="1"/>
      <c r="AW259" s="14"/>
      <c r="AX259" s="14"/>
      <c r="AY259" s="14"/>
      <c r="AZ259" s="14"/>
      <c r="BO259" s="1"/>
      <c r="BP259" s="1"/>
      <c r="CE259" s="14"/>
      <c r="CF259" s="14"/>
      <c r="CG259" s="14"/>
      <c r="CH259" s="14"/>
      <c r="CR259" s="1"/>
      <c r="CS259" s="1"/>
      <c r="DH259" s="14"/>
      <c r="DI259" s="14"/>
      <c r="DJ259" s="14"/>
      <c r="DK259" s="14"/>
    </row>
    <row r="260" spans="2:115" ht="12.75">
      <c r="B260" s="1"/>
      <c r="C260" s="1"/>
      <c r="D260" s="1"/>
      <c r="T260" s="14"/>
      <c r="U260" s="14"/>
      <c r="V260" s="14"/>
      <c r="W260" s="14"/>
      <c r="AG260" s="1"/>
      <c r="AH260" s="1"/>
      <c r="AW260" s="14"/>
      <c r="AX260" s="14"/>
      <c r="AY260" s="14"/>
      <c r="AZ260" s="14"/>
      <c r="BO260" s="1"/>
      <c r="BP260" s="1"/>
      <c r="CE260" s="14"/>
      <c r="CF260" s="14"/>
      <c r="CG260" s="14"/>
      <c r="CH260" s="14"/>
      <c r="CR260" s="1"/>
      <c r="CS260" s="1"/>
      <c r="DH260" s="14"/>
      <c r="DI260" s="14"/>
      <c r="DJ260" s="14"/>
      <c r="DK260" s="14"/>
    </row>
    <row r="261" spans="2:115" ht="12.75">
      <c r="B261" s="1"/>
      <c r="C261" s="1"/>
      <c r="D261" s="1"/>
      <c r="T261" s="14"/>
      <c r="U261" s="14"/>
      <c r="V261" s="14"/>
      <c r="W261" s="14"/>
      <c r="AG261" s="1"/>
      <c r="AH261" s="1"/>
      <c r="AW261" s="14"/>
      <c r="AX261" s="14"/>
      <c r="AY261" s="14"/>
      <c r="AZ261" s="14"/>
      <c r="BO261" s="1"/>
      <c r="BP261" s="1"/>
      <c r="CE261" s="14"/>
      <c r="CF261" s="14"/>
      <c r="CG261" s="14"/>
      <c r="CH261" s="14"/>
      <c r="CR261" s="1"/>
      <c r="CS261" s="1"/>
      <c r="DH261" s="14"/>
      <c r="DI261" s="14"/>
      <c r="DJ261" s="14"/>
      <c r="DK261" s="14"/>
    </row>
    <row r="262" spans="2:115" ht="12.75">
      <c r="B262" s="1"/>
      <c r="C262" s="1"/>
      <c r="D262" s="1"/>
      <c r="T262" s="14"/>
      <c r="U262" s="14"/>
      <c r="V262" s="14"/>
      <c r="W262" s="14"/>
      <c r="AG262" s="1"/>
      <c r="AH262" s="1"/>
      <c r="AW262" s="14"/>
      <c r="AX262" s="14"/>
      <c r="AY262" s="14"/>
      <c r="AZ262" s="14"/>
      <c r="BO262" s="1"/>
      <c r="BP262" s="1"/>
      <c r="CE262" s="14"/>
      <c r="CF262" s="14"/>
      <c r="CG262" s="14"/>
      <c r="CH262" s="14"/>
      <c r="CR262" s="1"/>
      <c r="CS262" s="1"/>
      <c r="DH262" s="14"/>
      <c r="DI262" s="14"/>
      <c r="DJ262" s="14"/>
      <c r="DK262" s="14"/>
    </row>
    <row r="263" spans="2:115" ht="12.75">
      <c r="B263" s="1"/>
      <c r="C263" s="1"/>
      <c r="D263" s="1"/>
      <c r="T263" s="14"/>
      <c r="U263" s="14"/>
      <c r="V263" s="14"/>
      <c r="W263" s="14"/>
      <c r="AG263" s="1"/>
      <c r="AH263" s="1"/>
      <c r="AW263" s="14"/>
      <c r="AX263" s="14"/>
      <c r="AY263" s="14"/>
      <c r="AZ263" s="14"/>
      <c r="BO263" s="1"/>
      <c r="BP263" s="1"/>
      <c r="CE263" s="14"/>
      <c r="CF263" s="14"/>
      <c r="CG263" s="14"/>
      <c r="CH263" s="14"/>
      <c r="CR263" s="1"/>
      <c r="CS263" s="1"/>
      <c r="DH263" s="14"/>
      <c r="DI263" s="14"/>
      <c r="DJ263" s="14"/>
      <c r="DK263" s="14"/>
    </row>
    <row r="264" spans="2:115" ht="12.75">
      <c r="B264" s="1"/>
      <c r="C264" s="1"/>
      <c r="D264" s="1"/>
      <c r="T264" s="14"/>
      <c r="U264" s="14"/>
      <c r="V264" s="14"/>
      <c r="W264" s="14"/>
      <c r="AG264" s="1"/>
      <c r="AH264" s="1"/>
      <c r="AW264" s="14"/>
      <c r="AX264" s="14"/>
      <c r="AY264" s="14"/>
      <c r="AZ264" s="14"/>
      <c r="BO264" s="1"/>
      <c r="BP264" s="1"/>
      <c r="CE264" s="14"/>
      <c r="CF264" s="14"/>
      <c r="CG264" s="14"/>
      <c r="CH264" s="14"/>
      <c r="CR264" s="1"/>
      <c r="CS264" s="1"/>
      <c r="DH264" s="14"/>
      <c r="DI264" s="14"/>
      <c r="DJ264" s="14"/>
      <c r="DK264" s="14"/>
    </row>
    <row r="265" spans="2:115" ht="12.75">
      <c r="B265" s="1"/>
      <c r="C265" s="1"/>
      <c r="D265" s="1"/>
      <c r="T265" s="14"/>
      <c r="U265" s="14"/>
      <c r="V265" s="14"/>
      <c r="W265" s="14"/>
      <c r="AG265" s="1"/>
      <c r="AH265" s="1"/>
      <c r="AW265" s="14"/>
      <c r="AX265" s="14"/>
      <c r="AY265" s="14"/>
      <c r="AZ265" s="14"/>
      <c r="BO265" s="1"/>
      <c r="BP265" s="1"/>
      <c r="CE265" s="14"/>
      <c r="CF265" s="14"/>
      <c r="CG265" s="14"/>
      <c r="CH265" s="14"/>
      <c r="CR265" s="1"/>
      <c r="CS265" s="1"/>
      <c r="DH265" s="14"/>
      <c r="DI265" s="14"/>
      <c r="DJ265" s="14"/>
      <c r="DK265" s="14"/>
    </row>
    <row r="266" spans="2:115" ht="12.75">
      <c r="B266" s="1"/>
      <c r="C266" s="1"/>
      <c r="D266" s="1"/>
      <c r="T266" s="14"/>
      <c r="U266" s="14"/>
      <c r="V266" s="14"/>
      <c r="W266" s="14"/>
      <c r="AG266" s="1"/>
      <c r="AH266" s="1"/>
      <c r="AW266" s="14"/>
      <c r="AX266" s="14"/>
      <c r="AY266" s="14"/>
      <c r="AZ266" s="14"/>
      <c r="BO266" s="1"/>
      <c r="BP266" s="1"/>
      <c r="CE266" s="14"/>
      <c r="CF266" s="14"/>
      <c r="CG266" s="14"/>
      <c r="CH266" s="14"/>
      <c r="CR266" s="1"/>
      <c r="CS266" s="1"/>
      <c r="DH266" s="14"/>
      <c r="DI266" s="14"/>
      <c r="DJ266" s="14"/>
      <c r="DK266" s="14"/>
    </row>
    <row r="267" spans="2:115" ht="12.75">
      <c r="B267" s="1"/>
      <c r="C267" s="1"/>
      <c r="D267" s="1"/>
      <c r="T267" s="14"/>
      <c r="U267" s="14"/>
      <c r="V267" s="14"/>
      <c r="W267" s="14"/>
      <c r="AG267" s="1"/>
      <c r="AH267" s="1"/>
      <c r="AW267" s="14"/>
      <c r="AX267" s="14"/>
      <c r="AY267" s="14"/>
      <c r="AZ267" s="14"/>
      <c r="BO267" s="1"/>
      <c r="BP267" s="1"/>
      <c r="CE267" s="14"/>
      <c r="CF267" s="14"/>
      <c r="CG267" s="14"/>
      <c r="CH267" s="14"/>
      <c r="CR267" s="1"/>
      <c r="CS267" s="1"/>
      <c r="DH267" s="14"/>
      <c r="DI267" s="14"/>
      <c r="DJ267" s="14"/>
      <c r="DK267" s="14"/>
    </row>
    <row r="268" spans="2:115" ht="12.75">
      <c r="B268" s="1"/>
      <c r="C268" s="1"/>
      <c r="D268" s="1"/>
      <c r="T268" s="14"/>
      <c r="U268" s="14"/>
      <c r="V268" s="14"/>
      <c r="W268" s="14"/>
      <c r="AG268" s="1"/>
      <c r="AH268" s="1"/>
      <c r="AW268" s="14"/>
      <c r="AX268" s="14"/>
      <c r="AY268" s="14"/>
      <c r="AZ268" s="14"/>
      <c r="BO268" s="1"/>
      <c r="BP268" s="1"/>
      <c r="CE268" s="14"/>
      <c r="CF268" s="14"/>
      <c r="CG268" s="14"/>
      <c r="CH268" s="14"/>
      <c r="CR268" s="1"/>
      <c r="CS268" s="1"/>
      <c r="DH268" s="14"/>
      <c r="DI268" s="14"/>
      <c r="DJ268" s="14"/>
      <c r="DK268" s="14"/>
    </row>
    <row r="269" spans="2:115" ht="12.75">
      <c r="B269" s="1"/>
      <c r="C269" s="1"/>
      <c r="D269" s="1"/>
      <c r="T269" s="14"/>
      <c r="U269" s="14"/>
      <c r="V269" s="14"/>
      <c r="W269" s="14"/>
      <c r="AG269" s="1"/>
      <c r="AH269" s="1"/>
      <c r="AW269" s="14"/>
      <c r="AX269" s="14"/>
      <c r="AY269" s="14"/>
      <c r="AZ269" s="14"/>
      <c r="BO269" s="1"/>
      <c r="BP269" s="1"/>
      <c r="CE269" s="14"/>
      <c r="CF269" s="14"/>
      <c r="CG269" s="14"/>
      <c r="CH269" s="14"/>
      <c r="CR269" s="1"/>
      <c r="CS269" s="1"/>
      <c r="DH269" s="14"/>
      <c r="DI269" s="14"/>
      <c r="DJ269" s="14"/>
      <c r="DK269" s="14"/>
    </row>
    <row r="270" spans="2:115" ht="12.75">
      <c r="B270" s="1"/>
      <c r="C270" s="1"/>
      <c r="D270" s="1"/>
      <c r="T270" s="14"/>
      <c r="U270" s="14"/>
      <c r="V270" s="14"/>
      <c r="W270" s="14"/>
      <c r="AG270" s="1"/>
      <c r="AH270" s="1"/>
      <c r="AW270" s="14"/>
      <c r="AX270" s="14"/>
      <c r="AY270" s="14"/>
      <c r="AZ270" s="14"/>
      <c r="BO270" s="1"/>
      <c r="BP270" s="1"/>
      <c r="CE270" s="14"/>
      <c r="CF270" s="14"/>
      <c r="CG270" s="14"/>
      <c r="CH270" s="14"/>
      <c r="CR270" s="1"/>
      <c r="CS270" s="1"/>
      <c r="DH270" s="14"/>
      <c r="DI270" s="14"/>
      <c r="DJ270" s="14"/>
      <c r="DK270" s="14"/>
    </row>
    <row r="271" spans="2:115" ht="12.75">
      <c r="B271" s="1"/>
      <c r="C271" s="1"/>
      <c r="D271" s="1"/>
      <c r="T271" s="14"/>
      <c r="U271" s="14"/>
      <c r="V271" s="14"/>
      <c r="W271" s="14"/>
      <c r="AG271" s="1"/>
      <c r="AH271" s="1"/>
      <c r="AW271" s="14"/>
      <c r="AX271" s="14"/>
      <c r="AY271" s="14"/>
      <c r="AZ271" s="14"/>
      <c r="BO271" s="1"/>
      <c r="BP271" s="1"/>
      <c r="CE271" s="14"/>
      <c r="CF271" s="14"/>
      <c r="CG271" s="14"/>
      <c r="CH271" s="14"/>
      <c r="CR271" s="1"/>
      <c r="CS271" s="1"/>
      <c r="DH271" s="14"/>
      <c r="DI271" s="14"/>
      <c r="DJ271" s="14"/>
      <c r="DK271" s="14"/>
    </row>
    <row r="272" spans="2:115" ht="12.75">
      <c r="B272" s="1"/>
      <c r="C272" s="1"/>
      <c r="D272" s="1"/>
      <c r="T272" s="14"/>
      <c r="U272" s="14"/>
      <c r="V272" s="14"/>
      <c r="W272" s="14"/>
      <c r="AG272" s="1"/>
      <c r="AH272" s="1"/>
      <c r="AW272" s="14"/>
      <c r="AX272" s="14"/>
      <c r="AY272" s="14"/>
      <c r="AZ272" s="14"/>
      <c r="BO272" s="1"/>
      <c r="BP272" s="1"/>
      <c r="CE272" s="14"/>
      <c r="CF272" s="14"/>
      <c r="CG272" s="14"/>
      <c r="CH272" s="14"/>
      <c r="CR272" s="1"/>
      <c r="CS272" s="1"/>
      <c r="DH272" s="14"/>
      <c r="DI272" s="14"/>
      <c r="DJ272" s="14"/>
      <c r="DK272" s="14"/>
    </row>
    <row r="273" spans="2:115" ht="12.75">
      <c r="B273" s="1"/>
      <c r="C273" s="1"/>
      <c r="D273" s="1"/>
      <c r="T273" s="14"/>
      <c r="U273" s="14"/>
      <c r="V273" s="14"/>
      <c r="W273" s="14"/>
      <c r="AG273" s="1"/>
      <c r="AH273" s="1"/>
      <c r="AW273" s="14"/>
      <c r="AX273" s="14"/>
      <c r="AY273" s="14"/>
      <c r="AZ273" s="14"/>
      <c r="BO273" s="1"/>
      <c r="BP273" s="1"/>
      <c r="CE273" s="14"/>
      <c r="CF273" s="14"/>
      <c r="CG273" s="14"/>
      <c r="CH273" s="14"/>
      <c r="CR273" s="1"/>
      <c r="CS273" s="1"/>
      <c r="DH273" s="14"/>
      <c r="DI273" s="14"/>
      <c r="DJ273" s="14"/>
      <c r="DK273" s="14"/>
    </row>
    <row r="274" spans="2:115" ht="12.75">
      <c r="B274" s="1"/>
      <c r="C274" s="1"/>
      <c r="D274" s="1"/>
      <c r="T274" s="14"/>
      <c r="U274" s="14"/>
      <c r="V274" s="14"/>
      <c r="W274" s="14"/>
      <c r="AG274" s="1"/>
      <c r="AH274" s="1"/>
      <c r="AW274" s="14"/>
      <c r="AX274" s="14"/>
      <c r="AY274" s="14"/>
      <c r="AZ274" s="14"/>
      <c r="BO274" s="1"/>
      <c r="BP274" s="1"/>
      <c r="CE274" s="14"/>
      <c r="CF274" s="14"/>
      <c r="CG274" s="14"/>
      <c r="CH274" s="14"/>
      <c r="CR274" s="1"/>
      <c r="CS274" s="1"/>
      <c r="DH274" s="14"/>
      <c r="DI274" s="14"/>
      <c r="DJ274" s="14"/>
      <c r="DK274" s="14"/>
    </row>
    <row r="275" spans="2:115" ht="12.75">
      <c r="B275" s="1"/>
      <c r="C275" s="1"/>
      <c r="D275" s="1"/>
      <c r="T275" s="14"/>
      <c r="U275" s="14"/>
      <c r="V275" s="14"/>
      <c r="W275" s="14"/>
      <c r="AG275" s="1"/>
      <c r="AH275" s="1"/>
      <c r="AW275" s="14"/>
      <c r="AX275" s="14"/>
      <c r="AY275" s="14"/>
      <c r="AZ275" s="14"/>
      <c r="BO275" s="1"/>
      <c r="BP275" s="1"/>
      <c r="CE275" s="14"/>
      <c r="CF275" s="14"/>
      <c r="CG275" s="14"/>
      <c r="CH275" s="14"/>
      <c r="CR275" s="1"/>
      <c r="CS275" s="1"/>
      <c r="DH275" s="14"/>
      <c r="DI275" s="14"/>
      <c r="DJ275" s="14"/>
      <c r="DK275" s="14"/>
    </row>
    <row r="276" spans="2:115" ht="12.75">
      <c r="B276" s="1"/>
      <c r="C276" s="1"/>
      <c r="D276" s="1"/>
      <c r="T276" s="14"/>
      <c r="U276" s="14"/>
      <c r="V276" s="14"/>
      <c r="W276" s="14"/>
      <c r="AG276" s="1"/>
      <c r="AH276" s="1"/>
      <c r="AW276" s="14"/>
      <c r="AX276" s="14"/>
      <c r="AY276" s="14"/>
      <c r="AZ276" s="14"/>
      <c r="BO276" s="1"/>
      <c r="BP276" s="1"/>
      <c r="CE276" s="14"/>
      <c r="CF276" s="14"/>
      <c r="CG276" s="14"/>
      <c r="CH276" s="14"/>
      <c r="CR276" s="1"/>
      <c r="CS276" s="1"/>
      <c r="DH276" s="14"/>
      <c r="DI276" s="14"/>
      <c r="DJ276" s="14"/>
      <c r="DK276" s="14"/>
    </row>
    <row r="277" spans="2:115" ht="12.75">
      <c r="B277" s="1"/>
      <c r="C277" s="1"/>
      <c r="D277" s="1"/>
      <c r="T277" s="14"/>
      <c r="U277" s="14"/>
      <c r="V277" s="14"/>
      <c r="W277" s="14"/>
      <c r="AG277" s="1"/>
      <c r="AH277" s="1"/>
      <c r="AW277" s="14"/>
      <c r="AX277" s="14"/>
      <c r="AY277" s="14"/>
      <c r="AZ277" s="14"/>
      <c r="BO277" s="1"/>
      <c r="BP277" s="1"/>
      <c r="CE277" s="14"/>
      <c r="CF277" s="14"/>
      <c r="CG277" s="14"/>
      <c r="CH277" s="14"/>
      <c r="CR277" s="1"/>
      <c r="CS277" s="1"/>
      <c r="DH277" s="14"/>
      <c r="DI277" s="14"/>
      <c r="DJ277" s="14"/>
      <c r="DK277" s="14"/>
    </row>
    <row r="278" spans="2:115" ht="12.75">
      <c r="B278" s="1"/>
      <c r="C278" s="1"/>
      <c r="D278" s="1"/>
      <c r="T278" s="14"/>
      <c r="U278" s="14"/>
      <c r="V278" s="14"/>
      <c r="W278" s="14"/>
      <c r="AG278" s="1"/>
      <c r="AH278" s="1"/>
      <c r="AW278" s="14"/>
      <c r="AX278" s="14"/>
      <c r="AY278" s="14"/>
      <c r="AZ278" s="14"/>
      <c r="BO278" s="1"/>
      <c r="BP278" s="1"/>
      <c r="CE278" s="14"/>
      <c r="CF278" s="14"/>
      <c r="CG278" s="14"/>
      <c r="CH278" s="14"/>
      <c r="CR278" s="1"/>
      <c r="CS278" s="1"/>
      <c r="DH278" s="14"/>
      <c r="DI278" s="14"/>
      <c r="DJ278" s="14"/>
      <c r="DK278" s="14"/>
    </row>
    <row r="279" spans="2:115" ht="12.75">
      <c r="B279" s="1"/>
      <c r="C279" s="1"/>
      <c r="D279" s="1"/>
      <c r="T279" s="14"/>
      <c r="U279" s="14"/>
      <c r="V279" s="14"/>
      <c r="W279" s="14"/>
      <c r="AG279" s="1"/>
      <c r="AH279" s="1"/>
      <c r="AW279" s="14"/>
      <c r="AX279" s="14"/>
      <c r="AY279" s="14"/>
      <c r="AZ279" s="14"/>
      <c r="BO279" s="1"/>
      <c r="BP279" s="1"/>
      <c r="CE279" s="14"/>
      <c r="CF279" s="14"/>
      <c r="CG279" s="14"/>
      <c r="CH279" s="14"/>
      <c r="CR279" s="1"/>
      <c r="CS279" s="1"/>
      <c r="DH279" s="14"/>
      <c r="DI279" s="14"/>
      <c r="DJ279" s="14"/>
      <c r="DK279" s="14"/>
    </row>
    <row r="280" spans="2:115" ht="12.75">
      <c r="B280" s="1"/>
      <c r="C280" s="1"/>
      <c r="D280" s="1"/>
      <c r="T280" s="14"/>
      <c r="U280" s="14"/>
      <c r="V280" s="14"/>
      <c r="W280" s="14"/>
      <c r="AG280" s="1"/>
      <c r="AH280" s="1"/>
      <c r="AW280" s="14"/>
      <c r="AX280" s="14"/>
      <c r="AY280" s="14"/>
      <c r="AZ280" s="14"/>
      <c r="BO280" s="1"/>
      <c r="BP280" s="1"/>
      <c r="CE280" s="14"/>
      <c r="CF280" s="14"/>
      <c r="CG280" s="14"/>
      <c r="CH280" s="14"/>
      <c r="CR280" s="1"/>
      <c r="CS280" s="1"/>
      <c r="DH280" s="14"/>
      <c r="DI280" s="14"/>
      <c r="DJ280" s="14"/>
      <c r="DK280" s="14"/>
    </row>
    <row r="281" spans="2:115" ht="12.75">
      <c r="B281" s="1"/>
      <c r="C281" s="1"/>
      <c r="D281" s="1"/>
      <c r="T281" s="14"/>
      <c r="U281" s="14"/>
      <c r="V281" s="14"/>
      <c r="W281" s="14"/>
      <c r="AG281" s="1"/>
      <c r="AH281" s="1"/>
      <c r="AW281" s="14"/>
      <c r="AX281" s="14"/>
      <c r="AY281" s="14"/>
      <c r="AZ281" s="14"/>
      <c r="BO281" s="1"/>
      <c r="BP281" s="1"/>
      <c r="CE281" s="14"/>
      <c r="CF281" s="14"/>
      <c r="CG281" s="14"/>
      <c r="CH281" s="14"/>
      <c r="CR281" s="1"/>
      <c r="CS281" s="1"/>
      <c r="DH281" s="14"/>
      <c r="DI281" s="14"/>
      <c r="DJ281" s="14"/>
      <c r="DK281" s="14"/>
    </row>
    <row r="282" spans="2:115" ht="12.75">
      <c r="B282" s="1"/>
      <c r="C282" s="1"/>
      <c r="D282" s="1"/>
      <c r="T282" s="14"/>
      <c r="U282" s="14"/>
      <c r="V282" s="14"/>
      <c r="W282" s="14"/>
      <c r="AG282" s="1"/>
      <c r="AH282" s="1"/>
      <c r="AW282" s="14"/>
      <c r="AX282" s="14"/>
      <c r="AY282" s="14"/>
      <c r="AZ282" s="14"/>
      <c r="BO282" s="1"/>
      <c r="BP282" s="1"/>
      <c r="CE282" s="14"/>
      <c r="CF282" s="14"/>
      <c r="CG282" s="14"/>
      <c r="CH282" s="14"/>
      <c r="CR282" s="1"/>
      <c r="CS282" s="1"/>
      <c r="DH282" s="14"/>
      <c r="DI282" s="14"/>
      <c r="DJ282" s="14"/>
      <c r="DK282" s="14"/>
    </row>
    <row r="283" spans="2:115" ht="12.75">
      <c r="B283" s="1"/>
      <c r="C283" s="1"/>
      <c r="D283" s="1"/>
      <c r="T283" s="14"/>
      <c r="U283" s="14"/>
      <c r="V283" s="14"/>
      <c r="W283" s="14"/>
      <c r="AG283" s="1"/>
      <c r="AH283" s="1"/>
      <c r="AW283" s="14"/>
      <c r="AX283" s="14"/>
      <c r="AY283" s="14"/>
      <c r="AZ283" s="14"/>
      <c r="BO283" s="1"/>
      <c r="BP283" s="1"/>
      <c r="CE283" s="14"/>
      <c r="CF283" s="14"/>
      <c r="CG283" s="14"/>
      <c r="CH283" s="14"/>
      <c r="CR283" s="1"/>
      <c r="CS283" s="1"/>
      <c r="DH283" s="14"/>
      <c r="DI283" s="14"/>
      <c r="DJ283" s="14"/>
      <c r="DK283" s="14"/>
    </row>
    <row r="284" spans="2:115" ht="12.75">
      <c r="B284" s="1"/>
      <c r="C284" s="1"/>
      <c r="D284" s="1"/>
      <c r="T284" s="14"/>
      <c r="U284" s="14"/>
      <c r="V284" s="14"/>
      <c r="W284" s="14"/>
      <c r="AG284" s="1"/>
      <c r="AH284" s="1"/>
      <c r="AW284" s="14"/>
      <c r="AX284" s="14"/>
      <c r="AY284" s="14"/>
      <c r="AZ284" s="14"/>
      <c r="BO284" s="1"/>
      <c r="BP284" s="1"/>
      <c r="CE284" s="14"/>
      <c r="CF284" s="14"/>
      <c r="CG284" s="14"/>
      <c r="CH284" s="14"/>
      <c r="CR284" s="1"/>
      <c r="CS284" s="1"/>
      <c r="DH284" s="14"/>
      <c r="DI284" s="14"/>
      <c r="DJ284" s="14"/>
      <c r="DK284" s="14"/>
    </row>
    <row r="285" spans="2:115" ht="12.75">
      <c r="B285" s="1"/>
      <c r="C285" s="1"/>
      <c r="D285" s="1"/>
      <c r="T285" s="14"/>
      <c r="U285" s="14"/>
      <c r="V285" s="14"/>
      <c r="W285" s="14"/>
      <c r="AG285" s="1"/>
      <c r="AH285" s="1"/>
      <c r="AW285" s="14"/>
      <c r="AX285" s="14"/>
      <c r="AY285" s="14"/>
      <c r="AZ285" s="14"/>
      <c r="BO285" s="1"/>
      <c r="BP285" s="1"/>
      <c r="CE285" s="14"/>
      <c r="CF285" s="14"/>
      <c r="CG285" s="14"/>
      <c r="CH285" s="14"/>
      <c r="CR285" s="1"/>
      <c r="CS285" s="1"/>
      <c r="DH285" s="14"/>
      <c r="DI285" s="14"/>
      <c r="DJ285" s="14"/>
      <c r="DK285" s="14"/>
    </row>
    <row r="286" spans="2:115" ht="12.75">
      <c r="B286" s="1"/>
      <c r="C286" s="1"/>
      <c r="D286" s="1"/>
      <c r="T286" s="14"/>
      <c r="U286" s="14"/>
      <c r="V286" s="14"/>
      <c r="W286" s="14"/>
      <c r="AG286" s="1"/>
      <c r="AH286" s="1"/>
      <c r="AW286" s="14"/>
      <c r="AX286" s="14"/>
      <c r="AY286" s="14"/>
      <c r="AZ286" s="14"/>
      <c r="BO286" s="1"/>
      <c r="BP286" s="1"/>
      <c r="CE286" s="14"/>
      <c r="CF286" s="14"/>
      <c r="CG286" s="14"/>
      <c r="CH286" s="14"/>
      <c r="CR286" s="1"/>
      <c r="CS286" s="1"/>
      <c r="DH286" s="14"/>
      <c r="DI286" s="14"/>
      <c r="DJ286" s="14"/>
      <c r="DK286" s="14"/>
    </row>
    <row r="287" spans="2:115" ht="12.75">
      <c r="B287" s="1"/>
      <c r="C287" s="1"/>
      <c r="D287" s="1"/>
      <c r="T287" s="14"/>
      <c r="U287" s="14"/>
      <c r="V287" s="14"/>
      <c r="W287" s="14"/>
      <c r="AG287" s="1"/>
      <c r="AH287" s="1"/>
      <c r="AW287" s="14"/>
      <c r="AX287" s="14"/>
      <c r="AY287" s="14"/>
      <c r="AZ287" s="14"/>
      <c r="BO287" s="1"/>
      <c r="BP287" s="1"/>
      <c r="CE287" s="14"/>
      <c r="CF287" s="14"/>
      <c r="CG287" s="14"/>
      <c r="CH287" s="14"/>
      <c r="CR287" s="1"/>
      <c r="CS287" s="1"/>
      <c r="DH287" s="14"/>
      <c r="DI287" s="14"/>
      <c r="DJ287" s="14"/>
      <c r="DK287" s="14"/>
    </row>
    <row r="288" spans="2:115" ht="12.75">
      <c r="B288" s="1"/>
      <c r="C288" s="1"/>
      <c r="D288" s="1"/>
      <c r="T288" s="14"/>
      <c r="U288" s="14"/>
      <c r="V288" s="14"/>
      <c r="W288" s="14"/>
      <c r="AG288" s="1"/>
      <c r="AH288" s="1"/>
      <c r="AW288" s="14"/>
      <c r="AX288" s="14"/>
      <c r="AY288" s="14"/>
      <c r="AZ288" s="14"/>
      <c r="BO288" s="1"/>
      <c r="BP288" s="1"/>
      <c r="CE288" s="14"/>
      <c r="CF288" s="14"/>
      <c r="CG288" s="14"/>
      <c r="CH288" s="14"/>
      <c r="CR288" s="1"/>
      <c r="CS288" s="1"/>
      <c r="DH288" s="14"/>
      <c r="DI288" s="14"/>
      <c r="DJ288" s="14"/>
      <c r="DK288" s="14"/>
    </row>
    <row r="289" spans="2:115" ht="12.75">
      <c r="B289" s="1"/>
      <c r="C289" s="1"/>
      <c r="D289" s="1"/>
      <c r="T289" s="14"/>
      <c r="U289" s="14"/>
      <c r="V289" s="14"/>
      <c r="W289" s="14"/>
      <c r="AG289" s="1"/>
      <c r="AH289" s="1"/>
      <c r="AW289" s="14"/>
      <c r="AX289" s="14"/>
      <c r="AY289" s="14"/>
      <c r="AZ289" s="14"/>
      <c r="BO289" s="1"/>
      <c r="BP289" s="1"/>
      <c r="CE289" s="14"/>
      <c r="CF289" s="14"/>
      <c r="CG289" s="14"/>
      <c r="CH289" s="14"/>
      <c r="CR289" s="1"/>
      <c r="CS289" s="1"/>
      <c r="DH289" s="14"/>
      <c r="DI289" s="14"/>
      <c r="DJ289" s="14"/>
      <c r="DK289" s="14"/>
    </row>
    <row r="290" spans="2:115" ht="12.75">
      <c r="B290" s="1"/>
      <c r="C290" s="1"/>
      <c r="D290" s="1"/>
      <c r="T290" s="14"/>
      <c r="U290" s="14"/>
      <c r="V290" s="14"/>
      <c r="W290" s="14"/>
      <c r="AG290" s="1"/>
      <c r="AH290" s="1"/>
      <c r="AW290" s="14"/>
      <c r="AX290" s="14"/>
      <c r="AY290" s="14"/>
      <c r="AZ290" s="14"/>
      <c r="BO290" s="1"/>
      <c r="BP290" s="1"/>
      <c r="CE290" s="14"/>
      <c r="CF290" s="14"/>
      <c r="CG290" s="14"/>
      <c r="CH290" s="14"/>
      <c r="CR290" s="1"/>
      <c r="CS290" s="1"/>
      <c r="DH290" s="14"/>
      <c r="DI290" s="14"/>
      <c r="DJ290" s="14"/>
      <c r="DK290" s="14"/>
    </row>
    <row r="291" spans="2:115" ht="12.75">
      <c r="B291" s="1"/>
      <c r="C291" s="1"/>
      <c r="D291" s="1"/>
      <c r="T291" s="14"/>
      <c r="U291" s="14"/>
      <c r="V291" s="14"/>
      <c r="W291" s="14"/>
      <c r="AG291" s="1"/>
      <c r="AH291" s="1"/>
      <c r="AW291" s="14"/>
      <c r="AX291" s="14"/>
      <c r="AY291" s="14"/>
      <c r="AZ291" s="14"/>
      <c r="BO291" s="1"/>
      <c r="BP291" s="1"/>
      <c r="CE291" s="14"/>
      <c r="CF291" s="14"/>
      <c r="CG291" s="14"/>
      <c r="CH291" s="14"/>
      <c r="CR291" s="1"/>
      <c r="CS291" s="1"/>
      <c r="DH291" s="14"/>
      <c r="DI291" s="14"/>
      <c r="DJ291" s="14"/>
      <c r="DK291" s="14"/>
    </row>
    <row r="292" spans="2:115" ht="12.75">
      <c r="B292" s="1"/>
      <c r="C292" s="1"/>
      <c r="D292" s="1"/>
      <c r="T292" s="14"/>
      <c r="U292" s="14"/>
      <c r="V292" s="14"/>
      <c r="W292" s="14"/>
      <c r="AG292" s="1"/>
      <c r="AH292" s="1"/>
      <c r="AW292" s="14"/>
      <c r="AX292" s="14"/>
      <c r="AY292" s="14"/>
      <c r="AZ292" s="14"/>
      <c r="BO292" s="1"/>
      <c r="BP292" s="1"/>
      <c r="CE292" s="14"/>
      <c r="CF292" s="14"/>
      <c r="CG292" s="14"/>
      <c r="CH292" s="14"/>
      <c r="CR292" s="1"/>
      <c r="CS292" s="1"/>
      <c r="DH292" s="14"/>
      <c r="DI292" s="14"/>
      <c r="DJ292" s="14"/>
      <c r="DK292" s="14"/>
    </row>
    <row r="293" spans="2:115" ht="12.75">
      <c r="B293" s="1"/>
      <c r="C293" s="1"/>
      <c r="D293" s="1"/>
      <c r="T293" s="14"/>
      <c r="U293" s="14"/>
      <c r="V293" s="14"/>
      <c r="W293" s="14"/>
      <c r="AG293" s="1"/>
      <c r="AH293" s="1"/>
      <c r="AW293" s="14"/>
      <c r="AX293" s="14"/>
      <c r="AY293" s="14"/>
      <c r="AZ293" s="14"/>
      <c r="BO293" s="1"/>
      <c r="BP293" s="1"/>
      <c r="CE293" s="14"/>
      <c r="CF293" s="14"/>
      <c r="CG293" s="14"/>
      <c r="CH293" s="14"/>
      <c r="CR293" s="1"/>
      <c r="CS293" s="1"/>
      <c r="DH293" s="14"/>
      <c r="DI293" s="14"/>
      <c r="DJ293" s="14"/>
      <c r="DK293" s="14"/>
    </row>
    <row r="294" spans="2:115" ht="12.75">
      <c r="B294" s="1"/>
      <c r="C294" s="1"/>
      <c r="D294" s="1"/>
      <c r="T294" s="14"/>
      <c r="U294" s="14"/>
      <c r="V294" s="14"/>
      <c r="W294" s="14"/>
      <c r="AG294" s="1"/>
      <c r="AH294" s="1"/>
      <c r="AW294" s="14"/>
      <c r="AX294" s="14"/>
      <c r="AY294" s="14"/>
      <c r="AZ294" s="14"/>
      <c r="BO294" s="1"/>
      <c r="BP294" s="1"/>
      <c r="CE294" s="14"/>
      <c r="CF294" s="14"/>
      <c r="CG294" s="14"/>
      <c r="CH294" s="14"/>
      <c r="CR294" s="1"/>
      <c r="CS294" s="1"/>
      <c r="DH294" s="14"/>
      <c r="DI294" s="14"/>
      <c r="DJ294" s="14"/>
      <c r="DK294" s="14"/>
    </row>
    <row r="295" spans="2:115" ht="12.75">
      <c r="B295" s="1"/>
      <c r="C295" s="1"/>
      <c r="D295" s="1"/>
      <c r="T295" s="14"/>
      <c r="U295" s="14"/>
      <c r="V295" s="14"/>
      <c r="W295" s="14"/>
      <c r="AG295" s="1"/>
      <c r="AH295" s="1"/>
      <c r="AW295" s="14"/>
      <c r="AX295" s="14"/>
      <c r="AY295" s="14"/>
      <c r="AZ295" s="14"/>
      <c r="BO295" s="1"/>
      <c r="BP295" s="1"/>
      <c r="CE295" s="14"/>
      <c r="CF295" s="14"/>
      <c r="CG295" s="14"/>
      <c r="CH295" s="14"/>
      <c r="CR295" s="1"/>
      <c r="CS295" s="1"/>
      <c r="DH295" s="14"/>
      <c r="DI295" s="14"/>
      <c r="DJ295" s="14"/>
      <c r="DK295" s="14"/>
    </row>
    <row r="296" spans="2:115" ht="12.75">
      <c r="B296" s="1"/>
      <c r="C296" s="1"/>
      <c r="D296" s="1"/>
      <c r="T296" s="14"/>
      <c r="U296" s="14"/>
      <c r="V296" s="14"/>
      <c r="W296" s="14"/>
      <c r="AG296" s="1"/>
      <c r="AH296" s="1"/>
      <c r="AW296" s="14"/>
      <c r="AX296" s="14"/>
      <c r="AY296" s="14"/>
      <c r="AZ296" s="14"/>
      <c r="BO296" s="1"/>
      <c r="BP296" s="1"/>
      <c r="CE296" s="14"/>
      <c r="CF296" s="14"/>
      <c r="CG296" s="14"/>
      <c r="CH296" s="14"/>
      <c r="CR296" s="1"/>
      <c r="CS296" s="1"/>
      <c r="DH296" s="14"/>
      <c r="DI296" s="14"/>
      <c r="DJ296" s="14"/>
      <c r="DK296" s="14"/>
    </row>
    <row r="297" spans="2:115" ht="12.75">
      <c r="B297" s="1"/>
      <c r="C297" s="1"/>
      <c r="D297" s="1"/>
      <c r="T297" s="14"/>
      <c r="U297" s="14"/>
      <c r="V297" s="14"/>
      <c r="W297" s="14"/>
      <c r="AG297" s="1"/>
      <c r="AH297" s="1"/>
      <c r="AW297" s="14"/>
      <c r="AX297" s="14"/>
      <c r="AY297" s="14"/>
      <c r="AZ297" s="14"/>
      <c r="BO297" s="1"/>
      <c r="BP297" s="1"/>
      <c r="CE297" s="14"/>
      <c r="CF297" s="14"/>
      <c r="CG297" s="14"/>
      <c r="CH297" s="14"/>
      <c r="CR297" s="1"/>
      <c r="CS297" s="1"/>
      <c r="DH297" s="14"/>
      <c r="DI297" s="14"/>
      <c r="DJ297" s="14"/>
      <c r="DK297" s="14"/>
    </row>
    <row r="298" spans="2:115" ht="12.75">
      <c r="B298" s="1"/>
      <c r="C298" s="1"/>
      <c r="D298" s="1"/>
      <c r="T298" s="14"/>
      <c r="U298" s="14"/>
      <c r="V298" s="14"/>
      <c r="W298" s="14"/>
      <c r="AG298" s="1"/>
      <c r="AH298" s="1"/>
      <c r="AW298" s="14"/>
      <c r="AX298" s="14"/>
      <c r="AY298" s="14"/>
      <c r="AZ298" s="14"/>
      <c r="BO298" s="1"/>
      <c r="BP298" s="1"/>
      <c r="CE298" s="14"/>
      <c r="CF298" s="14"/>
      <c r="CG298" s="14"/>
      <c r="CH298" s="14"/>
      <c r="CR298" s="1"/>
      <c r="CS298" s="1"/>
      <c r="DH298" s="14"/>
      <c r="DI298" s="14"/>
      <c r="DJ298" s="14"/>
      <c r="DK298" s="14"/>
    </row>
    <row r="299" spans="2:115" ht="12.75">
      <c r="B299" s="1"/>
      <c r="C299" s="1"/>
      <c r="D299" s="1"/>
      <c r="T299" s="14"/>
      <c r="U299" s="14"/>
      <c r="V299" s="14"/>
      <c r="W299" s="14"/>
      <c r="AG299" s="1"/>
      <c r="AH299" s="1"/>
      <c r="AW299" s="14"/>
      <c r="AX299" s="14"/>
      <c r="AY299" s="14"/>
      <c r="AZ299" s="14"/>
      <c r="BO299" s="1"/>
      <c r="BP299" s="1"/>
      <c r="CE299" s="14"/>
      <c r="CF299" s="14"/>
      <c r="CG299" s="14"/>
      <c r="CH299" s="14"/>
      <c r="CR299" s="1"/>
      <c r="CS299" s="1"/>
      <c r="DH299" s="14"/>
      <c r="DI299" s="14"/>
      <c r="DJ299" s="14"/>
      <c r="DK299" s="14"/>
    </row>
    <row r="300" spans="2:115" ht="12.75">
      <c r="B300" s="1"/>
      <c r="C300" s="1"/>
      <c r="D300" s="1"/>
      <c r="T300" s="14"/>
      <c r="U300" s="14"/>
      <c r="V300" s="14"/>
      <c r="W300" s="14"/>
      <c r="AG300" s="1"/>
      <c r="AH300" s="1"/>
      <c r="AW300" s="14"/>
      <c r="AX300" s="14"/>
      <c r="AY300" s="14"/>
      <c r="AZ300" s="14"/>
      <c r="BO300" s="1"/>
      <c r="BP300" s="1"/>
      <c r="CE300" s="14"/>
      <c r="CF300" s="14"/>
      <c r="CG300" s="14"/>
      <c r="CH300" s="14"/>
      <c r="CR300" s="1"/>
      <c r="CS300" s="1"/>
      <c r="DH300" s="14"/>
      <c r="DI300" s="14"/>
      <c r="DJ300" s="14"/>
      <c r="DK300" s="14"/>
    </row>
    <row r="301" spans="2:115" ht="12.75">
      <c r="B301" s="1"/>
      <c r="C301" s="1"/>
      <c r="D301" s="1"/>
      <c r="T301" s="14"/>
      <c r="U301" s="14"/>
      <c r="V301" s="14"/>
      <c r="W301" s="14"/>
      <c r="AG301" s="1"/>
      <c r="AH301" s="1"/>
      <c r="AW301" s="14"/>
      <c r="AX301" s="14"/>
      <c r="AY301" s="14"/>
      <c r="AZ301" s="14"/>
      <c r="BO301" s="1"/>
      <c r="BP301" s="1"/>
      <c r="CE301" s="14"/>
      <c r="CF301" s="14"/>
      <c r="CG301" s="14"/>
      <c r="CH301" s="14"/>
      <c r="CR301" s="1"/>
      <c r="CS301" s="1"/>
      <c r="DH301" s="14"/>
      <c r="DI301" s="14"/>
      <c r="DJ301" s="14"/>
      <c r="DK301" s="14"/>
    </row>
    <row r="302" spans="2:115" ht="12.75">
      <c r="B302" s="1"/>
      <c r="C302" s="1"/>
      <c r="D302" s="1"/>
      <c r="T302" s="14"/>
      <c r="U302" s="14"/>
      <c r="V302" s="14"/>
      <c r="W302" s="14"/>
      <c r="AG302" s="1"/>
      <c r="AH302" s="1"/>
      <c r="AW302" s="14"/>
      <c r="AX302" s="14"/>
      <c r="AY302" s="14"/>
      <c r="AZ302" s="14"/>
      <c r="BO302" s="1"/>
      <c r="BP302" s="1"/>
      <c r="CE302" s="14"/>
      <c r="CF302" s="14"/>
      <c r="CG302" s="14"/>
      <c r="CH302" s="14"/>
      <c r="CR302" s="1"/>
      <c r="CS302" s="1"/>
      <c r="DH302" s="14"/>
      <c r="DI302" s="14"/>
      <c r="DJ302" s="14"/>
      <c r="DK302" s="14"/>
    </row>
    <row r="303" spans="2:115" ht="12.75">
      <c r="B303" s="1"/>
      <c r="C303" s="1"/>
      <c r="D303" s="1"/>
      <c r="T303" s="14"/>
      <c r="U303" s="14"/>
      <c r="V303" s="14"/>
      <c r="W303" s="14"/>
      <c r="AG303" s="1"/>
      <c r="AH303" s="1"/>
      <c r="AW303" s="14"/>
      <c r="AX303" s="14"/>
      <c r="AY303" s="14"/>
      <c r="AZ303" s="14"/>
      <c r="BO303" s="1"/>
      <c r="BP303" s="1"/>
      <c r="CE303" s="14"/>
      <c r="CF303" s="14"/>
      <c r="CG303" s="14"/>
      <c r="CH303" s="14"/>
      <c r="CR303" s="1"/>
      <c r="CS303" s="1"/>
      <c r="DH303" s="14"/>
      <c r="DI303" s="14"/>
      <c r="DJ303" s="14"/>
      <c r="DK303" s="14"/>
    </row>
    <row r="304" spans="2:115" ht="12.75">
      <c r="B304" s="1"/>
      <c r="C304" s="1"/>
      <c r="D304" s="1"/>
      <c r="T304" s="14"/>
      <c r="U304" s="14"/>
      <c r="V304" s="14"/>
      <c r="W304" s="14"/>
      <c r="AG304" s="1"/>
      <c r="AH304" s="1"/>
      <c r="AW304" s="14"/>
      <c r="AX304" s="14"/>
      <c r="AY304" s="14"/>
      <c r="AZ304" s="14"/>
      <c r="BO304" s="1"/>
      <c r="BP304" s="1"/>
      <c r="CE304" s="14"/>
      <c r="CF304" s="14"/>
      <c r="CG304" s="14"/>
      <c r="CH304" s="14"/>
      <c r="CR304" s="1"/>
      <c r="CS304" s="1"/>
      <c r="DH304" s="14"/>
      <c r="DI304" s="14"/>
      <c r="DJ304" s="14"/>
      <c r="DK304" s="14"/>
    </row>
    <row r="305" spans="2:115" ht="12.75">
      <c r="B305" s="1"/>
      <c r="C305" s="1"/>
      <c r="D305" s="1"/>
      <c r="T305" s="14"/>
      <c r="U305" s="14"/>
      <c r="V305" s="14"/>
      <c r="W305" s="14"/>
      <c r="AG305" s="1"/>
      <c r="AH305" s="1"/>
      <c r="AW305" s="14"/>
      <c r="AX305" s="14"/>
      <c r="AY305" s="14"/>
      <c r="AZ305" s="14"/>
      <c r="BO305" s="1"/>
      <c r="BP305" s="1"/>
      <c r="CE305" s="14"/>
      <c r="CF305" s="14"/>
      <c r="CG305" s="14"/>
      <c r="CH305" s="14"/>
      <c r="CR305" s="1"/>
      <c r="CS305" s="1"/>
      <c r="DH305" s="14"/>
      <c r="DI305" s="14"/>
      <c r="DJ305" s="14"/>
      <c r="DK305" s="14"/>
    </row>
    <row r="306" spans="2:115" ht="12.75">
      <c r="B306" s="1"/>
      <c r="C306" s="1"/>
      <c r="D306" s="1"/>
      <c r="T306" s="14"/>
      <c r="U306" s="14"/>
      <c r="V306" s="14"/>
      <c r="W306" s="14"/>
      <c r="AG306" s="1"/>
      <c r="AH306" s="1"/>
      <c r="AW306" s="14"/>
      <c r="AX306" s="14"/>
      <c r="AY306" s="14"/>
      <c r="AZ306" s="14"/>
      <c r="BO306" s="1"/>
      <c r="BP306" s="1"/>
      <c r="CE306" s="14"/>
      <c r="CF306" s="14"/>
      <c r="CG306" s="14"/>
      <c r="CH306" s="14"/>
      <c r="CR306" s="1"/>
      <c r="CS306" s="1"/>
      <c r="DH306" s="14"/>
      <c r="DI306" s="14"/>
      <c r="DJ306" s="14"/>
      <c r="DK306" s="14"/>
    </row>
    <row r="307" spans="2:115" ht="12.75">
      <c r="B307" s="1"/>
      <c r="C307" s="1"/>
      <c r="D307" s="1"/>
      <c r="T307" s="14"/>
      <c r="U307" s="14"/>
      <c r="V307" s="14"/>
      <c r="W307" s="14"/>
      <c r="AG307" s="1"/>
      <c r="AH307" s="1"/>
      <c r="AW307" s="14"/>
      <c r="AX307" s="14"/>
      <c r="AY307" s="14"/>
      <c r="AZ307" s="14"/>
      <c r="BO307" s="1"/>
      <c r="BP307" s="1"/>
      <c r="CE307" s="14"/>
      <c r="CF307" s="14"/>
      <c r="CG307" s="14"/>
      <c r="CH307" s="14"/>
      <c r="CR307" s="1"/>
      <c r="CS307" s="1"/>
      <c r="DH307" s="14"/>
      <c r="DI307" s="14"/>
      <c r="DJ307" s="14"/>
      <c r="DK307" s="14"/>
    </row>
    <row r="308" spans="2:115" ht="12.75">
      <c r="B308" s="1"/>
      <c r="C308" s="1"/>
      <c r="D308" s="1"/>
      <c r="T308" s="14"/>
      <c r="U308" s="14"/>
      <c r="V308" s="14"/>
      <c r="W308" s="14"/>
      <c r="AG308" s="1"/>
      <c r="AH308" s="1"/>
      <c r="AW308" s="14"/>
      <c r="AX308" s="14"/>
      <c r="AY308" s="14"/>
      <c r="AZ308" s="14"/>
      <c r="BO308" s="1"/>
      <c r="BP308" s="1"/>
      <c r="CE308" s="14"/>
      <c r="CF308" s="14"/>
      <c r="CG308" s="14"/>
      <c r="CH308" s="14"/>
      <c r="CR308" s="1"/>
      <c r="CS308" s="1"/>
      <c r="DH308" s="14"/>
      <c r="DI308" s="14"/>
      <c r="DJ308" s="14"/>
      <c r="DK308" s="14"/>
    </row>
    <row r="309" spans="2:115" ht="12.75">
      <c r="B309" s="1"/>
      <c r="C309" s="1"/>
      <c r="D309" s="1"/>
      <c r="T309" s="14"/>
      <c r="U309" s="14"/>
      <c r="V309" s="14"/>
      <c r="W309" s="14"/>
      <c r="AG309" s="1"/>
      <c r="AH309" s="1"/>
      <c r="AW309" s="14"/>
      <c r="AX309" s="14"/>
      <c r="AY309" s="14"/>
      <c r="AZ309" s="14"/>
      <c r="BO309" s="1"/>
      <c r="BP309" s="1"/>
      <c r="CE309" s="14"/>
      <c r="CF309" s="14"/>
      <c r="CG309" s="14"/>
      <c r="CH309" s="14"/>
      <c r="CR309" s="1"/>
      <c r="CS309" s="1"/>
      <c r="DH309" s="14"/>
      <c r="DI309" s="14"/>
      <c r="DJ309" s="14"/>
      <c r="DK309" s="14"/>
    </row>
    <row r="310" spans="2:115" ht="12.75">
      <c r="B310" s="1"/>
      <c r="C310" s="1"/>
      <c r="D310" s="1"/>
      <c r="T310" s="14"/>
      <c r="U310" s="14"/>
      <c r="V310" s="14"/>
      <c r="W310" s="14"/>
      <c r="AG310" s="1"/>
      <c r="AH310" s="1"/>
      <c r="AW310" s="14"/>
      <c r="AX310" s="14"/>
      <c r="AY310" s="14"/>
      <c r="AZ310" s="14"/>
      <c r="BO310" s="1"/>
      <c r="BP310" s="1"/>
      <c r="CE310" s="14"/>
      <c r="CF310" s="14"/>
      <c r="CG310" s="14"/>
      <c r="CH310" s="14"/>
      <c r="CR310" s="1"/>
      <c r="CS310" s="1"/>
      <c r="DH310" s="14"/>
      <c r="DI310" s="14"/>
      <c r="DJ310" s="14"/>
      <c r="DK310" s="14"/>
    </row>
    <row r="311" spans="2:115" ht="12.75">
      <c r="B311" s="1"/>
      <c r="C311" s="1"/>
      <c r="D311" s="1"/>
      <c r="T311" s="14"/>
      <c r="U311" s="14"/>
      <c r="V311" s="14"/>
      <c r="W311" s="14"/>
      <c r="AG311" s="1"/>
      <c r="AH311" s="1"/>
      <c r="AW311" s="14"/>
      <c r="AX311" s="14"/>
      <c r="AY311" s="14"/>
      <c r="AZ311" s="14"/>
      <c r="BO311" s="1"/>
      <c r="BP311" s="1"/>
      <c r="CE311" s="14"/>
      <c r="CF311" s="14"/>
      <c r="CG311" s="14"/>
      <c r="CH311" s="14"/>
      <c r="CR311" s="1"/>
      <c r="CS311" s="1"/>
      <c r="DH311" s="14"/>
      <c r="DI311" s="14"/>
      <c r="DJ311" s="14"/>
      <c r="DK311" s="14"/>
    </row>
    <row r="312" spans="2:115" ht="12.75">
      <c r="B312" s="1"/>
      <c r="C312" s="1"/>
      <c r="D312" s="1"/>
      <c r="T312" s="14"/>
      <c r="U312" s="14"/>
      <c r="V312" s="14"/>
      <c r="W312" s="14"/>
      <c r="AG312" s="1"/>
      <c r="AH312" s="1"/>
      <c r="AW312" s="14"/>
      <c r="AX312" s="14"/>
      <c r="AY312" s="14"/>
      <c r="AZ312" s="14"/>
      <c r="BO312" s="1"/>
      <c r="BP312" s="1"/>
      <c r="CE312" s="14"/>
      <c r="CF312" s="14"/>
      <c r="CG312" s="14"/>
      <c r="CH312" s="14"/>
      <c r="CR312" s="1"/>
      <c r="CS312" s="1"/>
      <c r="DH312" s="14"/>
      <c r="DI312" s="14"/>
      <c r="DJ312" s="14"/>
      <c r="DK312" s="14"/>
    </row>
    <row r="313" spans="2:115" ht="12.75">
      <c r="B313" s="1"/>
      <c r="C313" s="1"/>
      <c r="D313" s="1"/>
      <c r="T313" s="14"/>
      <c r="U313" s="14"/>
      <c r="V313" s="14"/>
      <c r="W313" s="14"/>
      <c r="AG313" s="1"/>
      <c r="AH313" s="1"/>
      <c r="AW313" s="14"/>
      <c r="AX313" s="14"/>
      <c r="AY313" s="14"/>
      <c r="AZ313" s="14"/>
      <c r="BO313" s="1"/>
      <c r="BP313" s="1"/>
      <c r="CE313" s="14"/>
      <c r="CF313" s="14"/>
      <c r="CG313" s="14"/>
      <c r="CH313" s="14"/>
      <c r="CR313" s="1"/>
      <c r="CS313" s="1"/>
      <c r="DH313" s="14"/>
      <c r="DI313" s="14"/>
      <c r="DJ313" s="14"/>
      <c r="DK313" s="14"/>
    </row>
    <row r="314" spans="2:115" ht="12.75">
      <c r="B314" s="1"/>
      <c r="C314" s="1"/>
      <c r="D314" s="1"/>
      <c r="T314" s="14"/>
      <c r="U314" s="14"/>
      <c r="V314" s="14"/>
      <c r="W314" s="14"/>
      <c r="AG314" s="1"/>
      <c r="AH314" s="1"/>
      <c r="AW314" s="14"/>
      <c r="AX314" s="14"/>
      <c r="AY314" s="14"/>
      <c r="AZ314" s="14"/>
      <c r="BO314" s="1"/>
      <c r="BP314" s="1"/>
      <c r="CE314" s="14"/>
      <c r="CF314" s="14"/>
      <c r="CG314" s="14"/>
      <c r="CH314" s="14"/>
      <c r="CR314" s="1"/>
      <c r="CS314" s="1"/>
      <c r="DH314" s="14"/>
      <c r="DI314" s="14"/>
      <c r="DJ314" s="14"/>
      <c r="DK314" s="14"/>
    </row>
    <row r="315" spans="2:115" ht="12.75">
      <c r="B315" s="1"/>
      <c r="C315" s="1"/>
      <c r="D315" s="1"/>
      <c r="T315" s="14"/>
      <c r="U315" s="14"/>
      <c r="V315" s="14"/>
      <c r="W315" s="14"/>
      <c r="AG315" s="1"/>
      <c r="AH315" s="1"/>
      <c r="AW315" s="14"/>
      <c r="AX315" s="14"/>
      <c r="AY315" s="14"/>
      <c r="AZ315" s="14"/>
      <c r="BO315" s="1"/>
      <c r="BP315" s="1"/>
      <c r="CE315" s="14"/>
      <c r="CF315" s="14"/>
      <c r="CG315" s="14"/>
      <c r="CH315" s="14"/>
      <c r="CR315" s="1"/>
      <c r="CS315" s="1"/>
      <c r="DH315" s="14"/>
      <c r="DI315" s="14"/>
      <c r="DJ315" s="14"/>
      <c r="DK315" s="14"/>
    </row>
    <row r="316" spans="2:115" ht="12.75">
      <c r="B316" s="1"/>
      <c r="C316" s="1"/>
      <c r="D316" s="1"/>
      <c r="T316" s="14"/>
      <c r="U316" s="14"/>
      <c r="V316" s="14"/>
      <c r="W316" s="14"/>
      <c r="AG316" s="1"/>
      <c r="AH316" s="1"/>
      <c r="AW316" s="14"/>
      <c r="AX316" s="14"/>
      <c r="AY316" s="14"/>
      <c r="AZ316" s="14"/>
      <c r="BO316" s="1"/>
      <c r="BP316" s="1"/>
      <c r="CE316" s="14"/>
      <c r="CF316" s="14"/>
      <c r="CG316" s="14"/>
      <c r="CH316" s="14"/>
      <c r="CR316" s="1"/>
      <c r="CS316" s="1"/>
      <c r="DH316" s="14"/>
      <c r="DI316" s="14"/>
      <c r="DJ316" s="14"/>
      <c r="DK316" s="14"/>
    </row>
    <row r="317" spans="2:115" ht="12.75">
      <c r="B317" s="1"/>
      <c r="C317" s="1"/>
      <c r="D317" s="1"/>
      <c r="T317" s="14"/>
      <c r="U317" s="14"/>
      <c r="V317" s="14"/>
      <c r="W317" s="14"/>
      <c r="AG317" s="1"/>
      <c r="AH317" s="1"/>
      <c r="AW317" s="14"/>
      <c r="AX317" s="14"/>
      <c r="AY317" s="14"/>
      <c r="AZ317" s="14"/>
      <c r="BO317" s="1"/>
      <c r="BP317" s="1"/>
      <c r="CE317" s="14"/>
      <c r="CF317" s="14"/>
      <c r="CG317" s="14"/>
      <c r="CH317" s="14"/>
      <c r="CR317" s="1"/>
      <c r="CS317" s="1"/>
      <c r="DH317" s="14"/>
      <c r="DI317" s="14"/>
      <c r="DJ317" s="14"/>
      <c r="DK317" s="14"/>
    </row>
    <row r="318" spans="2:115" ht="12.75">
      <c r="B318" s="1"/>
      <c r="C318" s="1"/>
      <c r="D318" s="1"/>
      <c r="T318" s="14"/>
      <c r="U318" s="14"/>
      <c r="V318" s="14"/>
      <c r="W318" s="14"/>
      <c r="AG318" s="1"/>
      <c r="AH318" s="1"/>
      <c r="AW318" s="14"/>
      <c r="AX318" s="14"/>
      <c r="AY318" s="14"/>
      <c r="AZ318" s="14"/>
      <c r="BO318" s="1"/>
      <c r="BP318" s="1"/>
      <c r="CE318" s="14"/>
      <c r="CF318" s="14"/>
      <c r="CG318" s="14"/>
      <c r="CH318" s="14"/>
      <c r="CR318" s="1"/>
      <c r="CS318" s="1"/>
      <c r="DH318" s="14"/>
      <c r="DI318" s="14"/>
      <c r="DJ318" s="14"/>
      <c r="DK318" s="14"/>
    </row>
    <row r="319" spans="2:115" ht="12.75">
      <c r="B319" s="1"/>
      <c r="C319" s="1"/>
      <c r="D319" s="1"/>
      <c r="T319" s="14"/>
      <c r="U319" s="14"/>
      <c r="V319" s="14"/>
      <c r="W319" s="14"/>
      <c r="AG319" s="1"/>
      <c r="AH319" s="1"/>
      <c r="AW319" s="14"/>
      <c r="AX319" s="14"/>
      <c r="AY319" s="14"/>
      <c r="AZ319" s="14"/>
      <c r="BO319" s="1"/>
      <c r="BP319" s="1"/>
      <c r="CE319" s="14"/>
      <c r="CF319" s="14"/>
      <c r="CG319" s="14"/>
      <c r="CH319" s="14"/>
      <c r="CR319" s="1"/>
      <c r="CS319" s="1"/>
      <c r="DH319" s="14"/>
      <c r="DI319" s="14"/>
      <c r="DJ319" s="14"/>
      <c r="DK319" s="14"/>
    </row>
    <row r="320" spans="2:115" ht="12.75">
      <c r="B320" s="1"/>
      <c r="C320" s="1"/>
      <c r="D320" s="1"/>
      <c r="T320" s="14"/>
      <c r="U320" s="14"/>
      <c r="V320" s="14"/>
      <c r="W320" s="14"/>
      <c r="AG320" s="1"/>
      <c r="AH320" s="1"/>
      <c r="AW320" s="14"/>
      <c r="AX320" s="14"/>
      <c r="AY320" s="14"/>
      <c r="AZ320" s="14"/>
      <c r="BO320" s="1"/>
      <c r="BP320" s="1"/>
      <c r="CE320" s="14"/>
      <c r="CF320" s="14"/>
      <c r="CG320" s="14"/>
      <c r="CH320" s="14"/>
      <c r="CR320" s="1"/>
      <c r="CS320" s="1"/>
      <c r="DH320" s="14"/>
      <c r="DI320" s="14"/>
      <c r="DJ320" s="14"/>
      <c r="DK320" s="14"/>
    </row>
    <row r="321" spans="2:115" ht="12.75">
      <c r="B321" s="1"/>
      <c r="C321" s="1"/>
      <c r="D321" s="1"/>
      <c r="T321" s="14"/>
      <c r="U321" s="14"/>
      <c r="V321" s="14"/>
      <c r="W321" s="14"/>
      <c r="AG321" s="1"/>
      <c r="AH321" s="1"/>
      <c r="AW321" s="14"/>
      <c r="AX321" s="14"/>
      <c r="AY321" s="14"/>
      <c r="AZ321" s="14"/>
      <c r="BO321" s="1"/>
      <c r="BP321" s="1"/>
      <c r="CE321" s="14"/>
      <c r="CF321" s="14"/>
      <c r="CG321" s="14"/>
      <c r="CH321" s="14"/>
      <c r="CR321" s="1"/>
      <c r="CS321" s="1"/>
      <c r="DH321" s="14"/>
      <c r="DI321" s="14"/>
      <c r="DJ321" s="14"/>
      <c r="DK321" s="14"/>
    </row>
    <row r="322" spans="2:115" ht="12.75">
      <c r="B322" s="1"/>
      <c r="C322" s="1"/>
      <c r="D322" s="1"/>
      <c r="T322" s="14"/>
      <c r="U322" s="14"/>
      <c r="V322" s="14"/>
      <c r="W322" s="14"/>
      <c r="AG322" s="1"/>
      <c r="AH322" s="1"/>
      <c r="AW322" s="14"/>
      <c r="AX322" s="14"/>
      <c r="AY322" s="14"/>
      <c r="AZ322" s="14"/>
      <c r="BO322" s="1"/>
      <c r="BP322" s="1"/>
      <c r="CE322" s="14"/>
      <c r="CF322" s="14"/>
      <c r="CG322" s="14"/>
      <c r="CH322" s="14"/>
      <c r="CR322" s="1"/>
      <c r="CS322" s="1"/>
      <c r="DH322" s="14"/>
      <c r="DI322" s="14"/>
      <c r="DJ322" s="14"/>
      <c r="DK322" s="14"/>
    </row>
    <row r="323" spans="2:115" ht="12.75">
      <c r="B323" s="1"/>
      <c r="C323" s="1"/>
      <c r="D323" s="1"/>
      <c r="T323" s="14"/>
      <c r="U323" s="14"/>
      <c r="V323" s="14"/>
      <c r="W323" s="14"/>
      <c r="AG323" s="1"/>
      <c r="AH323" s="1"/>
      <c r="AW323" s="14"/>
      <c r="AX323" s="14"/>
      <c r="AY323" s="14"/>
      <c r="AZ323" s="14"/>
      <c r="BO323" s="1"/>
      <c r="BP323" s="1"/>
      <c r="CE323" s="14"/>
      <c r="CF323" s="14"/>
      <c r="CG323" s="14"/>
      <c r="CH323" s="14"/>
      <c r="CR323" s="1"/>
      <c r="CS323" s="1"/>
      <c r="DH323" s="14"/>
      <c r="DI323" s="14"/>
      <c r="DJ323" s="14"/>
      <c r="DK323" s="14"/>
    </row>
    <row r="324" spans="2:115" ht="12.75">
      <c r="B324" s="1"/>
      <c r="C324" s="1"/>
      <c r="D324" s="1"/>
      <c r="T324" s="14"/>
      <c r="U324" s="14"/>
      <c r="V324" s="14"/>
      <c r="W324" s="14"/>
      <c r="AG324" s="1"/>
      <c r="AH324" s="1"/>
      <c r="AW324" s="14"/>
      <c r="AX324" s="14"/>
      <c r="AY324" s="14"/>
      <c r="AZ324" s="14"/>
      <c r="BO324" s="1"/>
      <c r="BP324" s="1"/>
      <c r="CE324" s="14"/>
      <c r="CF324" s="14"/>
      <c r="CG324" s="14"/>
      <c r="CH324" s="14"/>
      <c r="CR324" s="1"/>
      <c r="CS324" s="1"/>
      <c r="DH324" s="14"/>
      <c r="DI324" s="14"/>
      <c r="DJ324" s="14"/>
      <c r="DK324" s="14"/>
    </row>
    <row r="325" spans="2:115" ht="12.75">
      <c r="B325" s="1"/>
      <c r="C325" s="1"/>
      <c r="D325" s="1"/>
      <c r="T325" s="14"/>
      <c r="U325" s="14"/>
      <c r="V325" s="14"/>
      <c r="W325" s="14"/>
      <c r="AG325" s="1"/>
      <c r="AH325" s="1"/>
      <c r="AW325" s="14"/>
      <c r="AX325" s="14"/>
      <c r="AY325" s="14"/>
      <c r="AZ325" s="14"/>
      <c r="BO325" s="1"/>
      <c r="BP325" s="1"/>
      <c r="CE325" s="14"/>
      <c r="CF325" s="14"/>
      <c r="CG325" s="14"/>
      <c r="CH325" s="14"/>
      <c r="CR325" s="1"/>
      <c r="CS325" s="1"/>
      <c r="DH325" s="14"/>
      <c r="DI325" s="14"/>
      <c r="DJ325" s="14"/>
      <c r="DK325" s="14"/>
    </row>
    <row r="326" spans="2:115" ht="12.75">
      <c r="B326" s="1"/>
      <c r="C326" s="1"/>
      <c r="D326" s="1"/>
      <c r="T326" s="14"/>
      <c r="U326" s="14"/>
      <c r="V326" s="14"/>
      <c r="W326" s="14"/>
      <c r="AG326" s="1"/>
      <c r="AH326" s="1"/>
      <c r="AW326" s="14"/>
      <c r="AX326" s="14"/>
      <c r="AY326" s="14"/>
      <c r="AZ326" s="14"/>
      <c r="BO326" s="1"/>
      <c r="BP326" s="1"/>
      <c r="CE326" s="14"/>
      <c r="CF326" s="14"/>
      <c r="CG326" s="14"/>
      <c r="CH326" s="14"/>
      <c r="CR326" s="1"/>
      <c r="CS326" s="1"/>
      <c r="DH326" s="14"/>
      <c r="DI326" s="14"/>
      <c r="DJ326" s="14"/>
      <c r="DK326" s="14"/>
    </row>
    <row r="327" spans="2:115" ht="12.75">
      <c r="B327" s="1"/>
      <c r="C327" s="1"/>
      <c r="D327" s="1"/>
      <c r="T327" s="14"/>
      <c r="U327" s="14"/>
      <c r="V327" s="14"/>
      <c r="W327" s="14"/>
      <c r="AG327" s="1"/>
      <c r="AH327" s="1"/>
      <c r="AW327" s="14"/>
      <c r="AX327" s="14"/>
      <c r="AY327" s="14"/>
      <c r="AZ327" s="14"/>
      <c r="BO327" s="1"/>
      <c r="BP327" s="1"/>
      <c r="CE327" s="14"/>
      <c r="CF327" s="14"/>
      <c r="CG327" s="14"/>
      <c r="CH327" s="14"/>
      <c r="CR327" s="1"/>
      <c r="CS327" s="1"/>
      <c r="DH327" s="14"/>
      <c r="DI327" s="14"/>
      <c r="DJ327" s="14"/>
      <c r="DK327" s="14"/>
    </row>
    <row r="328" spans="2:115" ht="12.75">
      <c r="B328" s="1"/>
      <c r="C328" s="1"/>
      <c r="D328" s="1"/>
      <c r="T328" s="14"/>
      <c r="U328" s="14"/>
      <c r="V328" s="14"/>
      <c r="W328" s="14"/>
      <c r="AG328" s="1"/>
      <c r="AH328" s="1"/>
      <c r="AW328" s="14"/>
      <c r="AX328" s="14"/>
      <c r="AY328" s="14"/>
      <c r="AZ328" s="14"/>
      <c r="BO328" s="1"/>
      <c r="BP328" s="1"/>
      <c r="CE328" s="14"/>
      <c r="CF328" s="14"/>
      <c r="CG328" s="14"/>
      <c r="CH328" s="14"/>
      <c r="CR328" s="1"/>
      <c r="CS328" s="1"/>
      <c r="DH328" s="14"/>
      <c r="DI328" s="14"/>
      <c r="DJ328" s="14"/>
      <c r="DK328" s="14"/>
    </row>
    <row r="329" spans="2:115" ht="12.75">
      <c r="B329" s="1"/>
      <c r="C329" s="1"/>
      <c r="D329" s="1"/>
      <c r="T329" s="14"/>
      <c r="U329" s="14"/>
      <c r="V329" s="14"/>
      <c r="W329" s="14"/>
      <c r="AG329" s="1"/>
      <c r="AH329" s="1"/>
      <c r="AW329" s="14"/>
      <c r="AX329" s="14"/>
      <c r="AY329" s="14"/>
      <c r="AZ329" s="14"/>
      <c r="BO329" s="1"/>
      <c r="BP329" s="1"/>
      <c r="CE329" s="14"/>
      <c r="CF329" s="14"/>
      <c r="CG329" s="14"/>
      <c r="CH329" s="14"/>
      <c r="CR329" s="1"/>
      <c r="CS329" s="1"/>
      <c r="DH329" s="14"/>
      <c r="DI329" s="14"/>
      <c r="DJ329" s="14"/>
      <c r="DK329" s="14"/>
    </row>
    <row r="330" spans="2:115" ht="12.75">
      <c r="B330" s="1"/>
      <c r="C330" s="1"/>
      <c r="D330" s="1"/>
      <c r="T330" s="14"/>
      <c r="U330" s="14"/>
      <c r="V330" s="14"/>
      <c r="W330" s="14"/>
      <c r="AG330" s="1"/>
      <c r="AH330" s="1"/>
      <c r="AW330" s="14"/>
      <c r="AX330" s="14"/>
      <c r="AY330" s="14"/>
      <c r="AZ330" s="14"/>
      <c r="BO330" s="1"/>
      <c r="BP330" s="1"/>
      <c r="CE330" s="14"/>
      <c r="CF330" s="14"/>
      <c r="CG330" s="14"/>
      <c r="CH330" s="14"/>
      <c r="CR330" s="1"/>
      <c r="CS330" s="1"/>
      <c r="DH330" s="14"/>
      <c r="DI330" s="14"/>
      <c r="DJ330" s="14"/>
      <c r="DK330" s="14"/>
    </row>
    <row r="331" spans="2:115" ht="12.75">
      <c r="B331" s="1"/>
      <c r="C331" s="1"/>
      <c r="D331" s="1"/>
      <c r="T331" s="14"/>
      <c r="U331" s="14"/>
      <c r="V331" s="14"/>
      <c r="W331" s="14"/>
      <c r="AG331" s="1"/>
      <c r="AH331" s="1"/>
      <c r="AW331" s="14"/>
      <c r="AX331" s="14"/>
      <c r="AY331" s="14"/>
      <c r="AZ331" s="14"/>
      <c r="BO331" s="1"/>
      <c r="BP331" s="1"/>
      <c r="CE331" s="14"/>
      <c r="CF331" s="14"/>
      <c r="CG331" s="14"/>
      <c r="CH331" s="14"/>
      <c r="CR331" s="1"/>
      <c r="CS331" s="1"/>
      <c r="DH331" s="14"/>
      <c r="DI331" s="14"/>
      <c r="DJ331" s="14"/>
      <c r="DK331" s="14"/>
    </row>
    <row r="332" spans="2:115" ht="12.75">
      <c r="B332" s="1"/>
      <c r="C332" s="1"/>
      <c r="D332" s="1"/>
      <c r="T332" s="14"/>
      <c r="U332" s="14"/>
      <c r="V332" s="14"/>
      <c r="W332" s="14"/>
      <c r="AG332" s="1"/>
      <c r="AH332" s="1"/>
      <c r="AW332" s="14"/>
      <c r="AX332" s="14"/>
      <c r="AY332" s="14"/>
      <c r="AZ332" s="14"/>
      <c r="BO332" s="1"/>
      <c r="BP332" s="1"/>
      <c r="CE332" s="14"/>
      <c r="CF332" s="14"/>
      <c r="CG332" s="14"/>
      <c r="CH332" s="14"/>
      <c r="CR332" s="1"/>
      <c r="CS332" s="1"/>
      <c r="DH332" s="14"/>
      <c r="DI332" s="14"/>
      <c r="DJ332" s="14"/>
      <c r="DK332" s="14"/>
    </row>
    <row r="333" spans="2:115" ht="12.75">
      <c r="B333" s="1"/>
      <c r="C333" s="1"/>
      <c r="D333" s="1"/>
      <c r="T333" s="14"/>
      <c r="U333" s="14"/>
      <c r="V333" s="14"/>
      <c r="W333" s="14"/>
      <c r="AG333" s="1"/>
      <c r="AH333" s="1"/>
      <c r="AW333" s="14"/>
      <c r="AX333" s="14"/>
      <c r="AY333" s="14"/>
      <c r="AZ333" s="14"/>
      <c r="BO333" s="1"/>
      <c r="BP333" s="1"/>
      <c r="CE333" s="14"/>
      <c r="CF333" s="14"/>
      <c r="CG333" s="14"/>
      <c r="CH333" s="14"/>
      <c r="CR333" s="1"/>
      <c r="CS333" s="1"/>
      <c r="DH333" s="14"/>
      <c r="DI333" s="14"/>
      <c r="DJ333" s="14"/>
      <c r="DK333" s="14"/>
    </row>
    <row r="334" spans="2:115" ht="12.75">
      <c r="B334" s="1"/>
      <c r="C334" s="1"/>
      <c r="D334" s="1"/>
      <c r="T334" s="14"/>
      <c r="U334" s="14"/>
      <c r="V334" s="14"/>
      <c r="W334" s="14"/>
      <c r="AG334" s="1"/>
      <c r="AH334" s="1"/>
      <c r="AW334" s="14"/>
      <c r="AX334" s="14"/>
      <c r="AY334" s="14"/>
      <c r="AZ334" s="14"/>
      <c r="BO334" s="1"/>
      <c r="BP334" s="1"/>
      <c r="CE334" s="14"/>
      <c r="CF334" s="14"/>
      <c r="CG334" s="14"/>
      <c r="CH334" s="14"/>
      <c r="CR334" s="1"/>
      <c r="CS334" s="1"/>
      <c r="DH334" s="14"/>
      <c r="DI334" s="14"/>
      <c r="DJ334" s="14"/>
      <c r="DK334" s="14"/>
    </row>
    <row r="335" spans="2:115" ht="12.75">
      <c r="B335" s="1"/>
      <c r="C335" s="1"/>
      <c r="D335" s="1"/>
      <c r="T335" s="14"/>
      <c r="U335" s="14"/>
      <c r="V335" s="14"/>
      <c r="W335" s="14"/>
      <c r="AG335" s="1"/>
      <c r="AH335" s="1"/>
      <c r="AW335" s="14"/>
      <c r="AX335" s="14"/>
      <c r="AY335" s="14"/>
      <c r="AZ335" s="14"/>
      <c r="BO335" s="1"/>
      <c r="BP335" s="1"/>
      <c r="CE335" s="14"/>
      <c r="CF335" s="14"/>
      <c r="CG335" s="14"/>
      <c r="CH335" s="14"/>
      <c r="CR335" s="1"/>
      <c r="CS335" s="1"/>
      <c r="DH335" s="14"/>
      <c r="DI335" s="14"/>
      <c r="DJ335" s="14"/>
      <c r="DK335" s="14"/>
    </row>
    <row r="336" spans="2:115" ht="12.75">
      <c r="B336" s="1"/>
      <c r="C336" s="1"/>
      <c r="D336" s="1"/>
      <c r="T336" s="14"/>
      <c r="U336" s="14"/>
      <c r="V336" s="14"/>
      <c r="W336" s="14"/>
      <c r="AG336" s="1"/>
      <c r="AH336" s="1"/>
      <c r="AW336" s="14"/>
      <c r="AX336" s="14"/>
      <c r="AY336" s="14"/>
      <c r="AZ336" s="14"/>
      <c r="BO336" s="1"/>
      <c r="BP336" s="1"/>
      <c r="CE336" s="14"/>
      <c r="CF336" s="14"/>
      <c r="CG336" s="14"/>
      <c r="CH336" s="14"/>
      <c r="CR336" s="1"/>
      <c r="CS336" s="1"/>
      <c r="DH336" s="14"/>
      <c r="DI336" s="14"/>
      <c r="DJ336" s="14"/>
      <c r="DK336" s="14"/>
    </row>
    <row r="337" spans="2:115" ht="12.75">
      <c r="B337" s="1"/>
      <c r="C337" s="1"/>
      <c r="D337" s="1"/>
      <c r="T337" s="14"/>
      <c r="U337" s="14"/>
      <c r="V337" s="14"/>
      <c r="W337" s="14"/>
      <c r="AG337" s="1"/>
      <c r="AH337" s="1"/>
      <c r="AW337" s="14"/>
      <c r="AX337" s="14"/>
      <c r="AY337" s="14"/>
      <c r="AZ337" s="14"/>
      <c r="BO337" s="1"/>
      <c r="BP337" s="1"/>
      <c r="CE337" s="14"/>
      <c r="CF337" s="14"/>
      <c r="CG337" s="14"/>
      <c r="CH337" s="14"/>
      <c r="CR337" s="1"/>
      <c r="CS337" s="1"/>
      <c r="DH337" s="14"/>
      <c r="DI337" s="14"/>
      <c r="DJ337" s="14"/>
      <c r="DK337" s="14"/>
    </row>
    <row r="338" spans="2:115" ht="12.75">
      <c r="B338" s="1"/>
      <c r="C338" s="1"/>
      <c r="D338" s="1"/>
      <c r="T338" s="14"/>
      <c r="U338" s="14"/>
      <c r="V338" s="14"/>
      <c r="W338" s="14"/>
      <c r="AG338" s="1"/>
      <c r="AH338" s="1"/>
      <c r="AW338" s="14"/>
      <c r="AX338" s="14"/>
      <c r="AY338" s="14"/>
      <c r="AZ338" s="14"/>
      <c r="BO338" s="1"/>
      <c r="BP338" s="1"/>
      <c r="CE338" s="14"/>
      <c r="CF338" s="14"/>
      <c r="CG338" s="14"/>
      <c r="CH338" s="14"/>
      <c r="CR338" s="1"/>
      <c r="CS338" s="1"/>
      <c r="DH338" s="14"/>
      <c r="DI338" s="14"/>
      <c r="DJ338" s="14"/>
      <c r="DK338" s="14"/>
    </row>
    <row r="339" spans="2:115" ht="12.75">
      <c r="B339" s="1"/>
      <c r="C339" s="1"/>
      <c r="D339" s="1"/>
      <c r="T339" s="14"/>
      <c r="U339" s="14"/>
      <c r="V339" s="14"/>
      <c r="W339" s="14"/>
      <c r="AG339" s="1"/>
      <c r="AH339" s="1"/>
      <c r="AW339" s="14"/>
      <c r="AX339" s="14"/>
      <c r="AY339" s="14"/>
      <c r="AZ339" s="14"/>
      <c r="BO339" s="1"/>
      <c r="BP339" s="1"/>
      <c r="CE339" s="14"/>
      <c r="CF339" s="14"/>
      <c r="CG339" s="14"/>
      <c r="CH339" s="14"/>
      <c r="CR339" s="1"/>
      <c r="CS339" s="1"/>
      <c r="DH339" s="14"/>
      <c r="DI339" s="14"/>
      <c r="DJ339" s="14"/>
      <c r="DK339" s="14"/>
    </row>
    <row r="340" spans="2:115" ht="12.75">
      <c r="B340" s="1"/>
      <c r="C340" s="1"/>
      <c r="D340" s="1"/>
      <c r="T340" s="14"/>
      <c r="U340" s="14"/>
      <c r="V340" s="14"/>
      <c r="W340" s="14"/>
      <c r="AG340" s="1"/>
      <c r="AH340" s="1"/>
      <c r="AW340" s="14"/>
      <c r="AX340" s="14"/>
      <c r="AY340" s="14"/>
      <c r="AZ340" s="14"/>
      <c r="BO340" s="1"/>
      <c r="BP340" s="1"/>
      <c r="CE340" s="14"/>
      <c r="CF340" s="14"/>
      <c r="CG340" s="14"/>
      <c r="CH340" s="14"/>
      <c r="CR340" s="1"/>
      <c r="CS340" s="1"/>
      <c r="DH340" s="14"/>
      <c r="DI340" s="14"/>
      <c r="DJ340" s="14"/>
      <c r="DK340" s="14"/>
    </row>
    <row r="341" spans="2:115" ht="12.75">
      <c r="B341" s="1"/>
      <c r="C341" s="1"/>
      <c r="D341" s="1"/>
      <c r="T341" s="14"/>
      <c r="U341" s="14"/>
      <c r="V341" s="14"/>
      <c r="W341" s="14"/>
      <c r="AG341" s="1"/>
      <c r="AH341" s="1"/>
      <c r="AW341" s="14"/>
      <c r="AX341" s="14"/>
      <c r="AY341" s="14"/>
      <c r="AZ341" s="14"/>
      <c r="BO341" s="1"/>
      <c r="BP341" s="1"/>
      <c r="CE341" s="14"/>
      <c r="CF341" s="14"/>
      <c r="CG341" s="14"/>
      <c r="CH341" s="14"/>
      <c r="CR341" s="1"/>
      <c r="CS341" s="1"/>
      <c r="DH341" s="14"/>
      <c r="DI341" s="14"/>
      <c r="DJ341" s="14"/>
      <c r="DK341" s="14"/>
    </row>
    <row r="342" spans="2:115" ht="12.75">
      <c r="B342" s="1"/>
      <c r="C342" s="1"/>
      <c r="D342" s="1"/>
      <c r="T342" s="14"/>
      <c r="U342" s="14"/>
      <c r="V342" s="14"/>
      <c r="W342" s="14"/>
      <c r="AG342" s="1"/>
      <c r="AH342" s="1"/>
      <c r="AW342" s="14"/>
      <c r="AX342" s="14"/>
      <c r="AY342" s="14"/>
      <c r="AZ342" s="14"/>
      <c r="BO342" s="1"/>
      <c r="BP342" s="1"/>
      <c r="CE342" s="14"/>
      <c r="CF342" s="14"/>
      <c r="CG342" s="14"/>
      <c r="CH342" s="14"/>
      <c r="CR342" s="1"/>
      <c r="CS342" s="1"/>
      <c r="DH342" s="14"/>
      <c r="DI342" s="14"/>
      <c r="DJ342" s="14"/>
      <c r="DK342" s="14"/>
    </row>
    <row r="343" spans="2:115" ht="12.75">
      <c r="B343" s="1"/>
      <c r="C343" s="1"/>
      <c r="D343" s="1"/>
      <c r="T343" s="14"/>
      <c r="U343" s="14"/>
      <c r="V343" s="14"/>
      <c r="W343" s="14"/>
      <c r="AG343" s="1"/>
      <c r="AH343" s="1"/>
      <c r="AW343" s="14"/>
      <c r="AX343" s="14"/>
      <c r="AY343" s="14"/>
      <c r="AZ343" s="14"/>
      <c r="BO343" s="1"/>
      <c r="BP343" s="1"/>
      <c r="CE343" s="14"/>
      <c r="CF343" s="14"/>
      <c r="CG343" s="14"/>
      <c r="CH343" s="14"/>
      <c r="CR343" s="1"/>
      <c r="CS343" s="1"/>
      <c r="DH343" s="14"/>
      <c r="DI343" s="14"/>
      <c r="DJ343" s="14"/>
      <c r="DK343" s="14"/>
    </row>
    <row r="344" spans="2:115" ht="12.75">
      <c r="B344" s="1"/>
      <c r="C344" s="1"/>
      <c r="D344" s="1"/>
      <c r="T344" s="14"/>
      <c r="U344" s="14"/>
      <c r="V344" s="14"/>
      <c r="W344" s="14"/>
      <c r="AG344" s="1"/>
      <c r="AH344" s="1"/>
      <c r="AW344" s="14"/>
      <c r="AX344" s="14"/>
      <c r="AY344" s="14"/>
      <c r="AZ344" s="14"/>
      <c r="BO344" s="1"/>
      <c r="BP344" s="1"/>
      <c r="CE344" s="14"/>
      <c r="CF344" s="14"/>
      <c r="CG344" s="14"/>
      <c r="CH344" s="14"/>
      <c r="CR344" s="1"/>
      <c r="CS344" s="1"/>
      <c r="DH344" s="14"/>
      <c r="DI344" s="14"/>
      <c r="DJ344" s="14"/>
      <c r="DK344" s="14"/>
    </row>
    <row r="345" spans="2:115" ht="12.75">
      <c r="B345" s="1"/>
      <c r="C345" s="1"/>
      <c r="D345" s="1"/>
      <c r="T345" s="14"/>
      <c r="U345" s="14"/>
      <c r="V345" s="14"/>
      <c r="W345" s="14"/>
      <c r="AG345" s="1"/>
      <c r="AH345" s="1"/>
      <c r="AW345" s="14"/>
      <c r="AX345" s="14"/>
      <c r="AY345" s="14"/>
      <c r="AZ345" s="14"/>
      <c r="BO345" s="1"/>
      <c r="BP345" s="1"/>
      <c r="CE345" s="14"/>
      <c r="CF345" s="14"/>
      <c r="CG345" s="14"/>
      <c r="CH345" s="14"/>
      <c r="CR345" s="1"/>
      <c r="CS345" s="1"/>
      <c r="DH345" s="14"/>
      <c r="DI345" s="14"/>
      <c r="DJ345" s="14"/>
      <c r="DK345" s="14"/>
    </row>
    <row r="346" spans="2:115" ht="12.75">
      <c r="B346" s="1"/>
      <c r="C346" s="1"/>
      <c r="D346" s="1"/>
      <c r="T346" s="14"/>
      <c r="U346" s="14"/>
      <c r="V346" s="14"/>
      <c r="W346" s="14"/>
      <c r="AG346" s="1"/>
      <c r="AH346" s="1"/>
      <c r="AW346" s="14"/>
      <c r="AX346" s="14"/>
      <c r="AY346" s="14"/>
      <c r="AZ346" s="14"/>
      <c r="BO346" s="1"/>
      <c r="BP346" s="1"/>
      <c r="CE346" s="14"/>
      <c r="CF346" s="14"/>
      <c r="CG346" s="14"/>
      <c r="CH346" s="14"/>
      <c r="CR346" s="1"/>
      <c r="CS346" s="1"/>
      <c r="DH346" s="14"/>
      <c r="DI346" s="14"/>
      <c r="DJ346" s="14"/>
      <c r="DK346" s="14"/>
    </row>
    <row r="347" spans="2:115" ht="12.75">
      <c r="B347" s="1"/>
      <c r="C347" s="1"/>
      <c r="D347" s="1"/>
      <c r="T347" s="14"/>
      <c r="U347" s="14"/>
      <c r="V347" s="14"/>
      <c r="W347" s="14"/>
      <c r="AG347" s="1"/>
      <c r="AH347" s="1"/>
      <c r="AW347" s="14"/>
      <c r="AX347" s="14"/>
      <c r="AY347" s="14"/>
      <c r="AZ347" s="14"/>
      <c r="BO347" s="1"/>
      <c r="BP347" s="1"/>
      <c r="CE347" s="14"/>
      <c r="CF347" s="14"/>
      <c r="CG347" s="14"/>
      <c r="CH347" s="14"/>
      <c r="CR347" s="1"/>
      <c r="CS347" s="1"/>
      <c r="DH347" s="14"/>
      <c r="DI347" s="14"/>
      <c r="DJ347" s="14"/>
      <c r="DK347" s="14"/>
    </row>
    <row r="348" spans="2:115" ht="12.75">
      <c r="B348" s="1"/>
      <c r="C348" s="1"/>
      <c r="D348" s="1"/>
      <c r="T348" s="14"/>
      <c r="U348" s="14"/>
      <c r="V348" s="14"/>
      <c r="W348" s="14"/>
      <c r="AG348" s="1"/>
      <c r="AH348" s="1"/>
      <c r="AW348" s="14"/>
      <c r="AX348" s="14"/>
      <c r="AY348" s="14"/>
      <c r="AZ348" s="14"/>
      <c r="BO348" s="1"/>
      <c r="BP348" s="1"/>
      <c r="CE348" s="14"/>
      <c r="CF348" s="14"/>
      <c r="CG348" s="14"/>
      <c r="CH348" s="14"/>
      <c r="CR348" s="1"/>
      <c r="CS348" s="1"/>
      <c r="DH348" s="14"/>
      <c r="DI348" s="14"/>
      <c r="DJ348" s="14"/>
      <c r="DK348" s="14"/>
    </row>
    <row r="349" spans="2:115" ht="12.75">
      <c r="B349" s="1"/>
      <c r="C349" s="1"/>
      <c r="D349" s="1"/>
      <c r="T349" s="14"/>
      <c r="U349" s="14"/>
      <c r="V349" s="14"/>
      <c r="W349" s="14"/>
      <c r="AG349" s="1"/>
      <c r="AH349" s="1"/>
      <c r="AW349" s="14"/>
      <c r="AX349" s="14"/>
      <c r="AY349" s="14"/>
      <c r="AZ349" s="14"/>
      <c r="BO349" s="1"/>
      <c r="BP349" s="1"/>
      <c r="CE349" s="14"/>
      <c r="CF349" s="14"/>
      <c r="CG349" s="14"/>
      <c r="CH349" s="14"/>
      <c r="CR349" s="1"/>
      <c r="CS349" s="1"/>
      <c r="DH349" s="14"/>
      <c r="DI349" s="14"/>
      <c r="DJ349" s="14"/>
      <c r="DK349" s="14"/>
    </row>
    <row r="350" spans="2:115" ht="12.75">
      <c r="B350" s="1"/>
      <c r="C350" s="1"/>
      <c r="D350" s="1"/>
      <c r="T350" s="14"/>
      <c r="U350" s="14"/>
      <c r="V350" s="14"/>
      <c r="W350" s="14"/>
      <c r="AG350" s="1"/>
      <c r="AH350" s="1"/>
      <c r="AW350" s="14"/>
      <c r="AX350" s="14"/>
      <c r="AY350" s="14"/>
      <c r="AZ350" s="14"/>
      <c r="BO350" s="1"/>
      <c r="BP350" s="1"/>
      <c r="CE350" s="14"/>
      <c r="CF350" s="14"/>
      <c r="CG350" s="14"/>
      <c r="CH350" s="14"/>
      <c r="CR350" s="1"/>
      <c r="CS350" s="1"/>
      <c r="DH350" s="14"/>
      <c r="DI350" s="14"/>
      <c r="DJ350" s="14"/>
      <c r="DK350" s="14"/>
    </row>
    <row r="351" spans="2:115" ht="12.75">
      <c r="B351" s="1"/>
      <c r="C351" s="1"/>
      <c r="D351" s="1"/>
      <c r="T351" s="14"/>
      <c r="U351" s="14"/>
      <c r="V351" s="14"/>
      <c r="W351" s="14"/>
      <c r="AG351" s="1"/>
      <c r="AH351" s="1"/>
      <c r="AW351" s="14"/>
      <c r="AX351" s="14"/>
      <c r="AY351" s="14"/>
      <c r="AZ351" s="14"/>
      <c r="BO351" s="1"/>
      <c r="BP351" s="1"/>
      <c r="CE351" s="14"/>
      <c r="CF351" s="14"/>
      <c r="CG351" s="14"/>
      <c r="CH351" s="14"/>
      <c r="CR351" s="1"/>
      <c r="CS351" s="1"/>
      <c r="DH351" s="14"/>
      <c r="DI351" s="14"/>
      <c r="DJ351" s="14"/>
      <c r="DK351" s="14"/>
    </row>
    <row r="352" spans="2:115" ht="12.75">
      <c r="B352" s="1"/>
      <c r="C352" s="1"/>
      <c r="D352" s="1"/>
      <c r="T352" s="14"/>
      <c r="U352" s="14"/>
      <c r="V352" s="14"/>
      <c r="W352" s="14"/>
      <c r="AG352" s="1"/>
      <c r="AH352" s="1"/>
      <c r="AW352" s="14"/>
      <c r="AX352" s="14"/>
      <c r="AY352" s="14"/>
      <c r="AZ352" s="14"/>
      <c r="BO352" s="1"/>
      <c r="BP352" s="1"/>
      <c r="CE352" s="14"/>
      <c r="CF352" s="14"/>
      <c r="CG352" s="14"/>
      <c r="CH352" s="14"/>
      <c r="CR352" s="1"/>
      <c r="CS352" s="1"/>
      <c r="DH352" s="14"/>
      <c r="DI352" s="14"/>
      <c r="DJ352" s="14"/>
      <c r="DK352" s="14"/>
    </row>
    <row r="353" spans="2:115" ht="12.75">
      <c r="B353" s="1"/>
      <c r="C353" s="1"/>
      <c r="D353" s="1"/>
      <c r="T353" s="14"/>
      <c r="U353" s="14"/>
      <c r="V353" s="14"/>
      <c r="W353" s="14"/>
      <c r="AG353" s="1"/>
      <c r="AH353" s="1"/>
      <c r="AW353" s="14"/>
      <c r="AX353" s="14"/>
      <c r="AY353" s="14"/>
      <c r="AZ353" s="14"/>
      <c r="BO353" s="1"/>
      <c r="BP353" s="1"/>
      <c r="CE353" s="14"/>
      <c r="CF353" s="14"/>
      <c r="CG353" s="14"/>
      <c r="CH353" s="14"/>
      <c r="CR353" s="1"/>
      <c r="CS353" s="1"/>
      <c r="DH353" s="14"/>
      <c r="DI353" s="14"/>
      <c r="DJ353" s="14"/>
      <c r="DK353" s="14"/>
    </row>
    <row r="354" spans="2:115" ht="12.75">
      <c r="B354" s="1"/>
      <c r="C354" s="1"/>
      <c r="D354" s="1"/>
      <c r="T354" s="14"/>
      <c r="U354" s="14"/>
      <c r="V354" s="14"/>
      <c r="W354" s="14"/>
      <c r="AG354" s="1"/>
      <c r="AH354" s="1"/>
      <c r="AW354" s="14"/>
      <c r="AX354" s="14"/>
      <c r="AY354" s="14"/>
      <c r="AZ354" s="14"/>
      <c r="BO354" s="1"/>
      <c r="BP354" s="1"/>
      <c r="CE354" s="14"/>
      <c r="CF354" s="14"/>
      <c r="CG354" s="14"/>
      <c r="CH354" s="14"/>
      <c r="CR354" s="1"/>
      <c r="CS354" s="1"/>
      <c r="DH354" s="14"/>
      <c r="DI354" s="14"/>
      <c r="DJ354" s="14"/>
      <c r="DK354" s="14"/>
    </row>
    <row r="355" spans="2:115" ht="12.75">
      <c r="B355" s="1"/>
      <c r="C355" s="1"/>
      <c r="D355" s="1"/>
      <c r="T355" s="14"/>
      <c r="U355" s="14"/>
      <c r="V355" s="14"/>
      <c r="W355" s="14"/>
      <c r="AG355" s="1"/>
      <c r="AH355" s="1"/>
      <c r="AW355" s="14"/>
      <c r="AX355" s="14"/>
      <c r="AY355" s="14"/>
      <c r="AZ355" s="14"/>
      <c r="BO355" s="1"/>
      <c r="BP355" s="1"/>
      <c r="CE355" s="14"/>
      <c r="CF355" s="14"/>
      <c r="CG355" s="14"/>
      <c r="CH355" s="14"/>
      <c r="CR355" s="1"/>
      <c r="CS355" s="1"/>
      <c r="DH355" s="14"/>
      <c r="DI355" s="14"/>
      <c r="DJ355" s="14"/>
      <c r="DK355" s="14"/>
    </row>
    <row r="356" spans="2:115" ht="12.75">
      <c r="B356" s="1"/>
      <c r="C356" s="1"/>
      <c r="D356" s="1"/>
      <c r="T356" s="14"/>
      <c r="U356" s="14"/>
      <c r="V356" s="14"/>
      <c r="W356" s="14"/>
      <c r="AG356" s="1"/>
      <c r="AH356" s="1"/>
      <c r="AW356" s="14"/>
      <c r="AX356" s="14"/>
      <c r="AY356" s="14"/>
      <c r="AZ356" s="14"/>
      <c r="BO356" s="1"/>
      <c r="BP356" s="1"/>
      <c r="CE356" s="14"/>
      <c r="CF356" s="14"/>
      <c r="CG356" s="14"/>
      <c r="CH356" s="14"/>
      <c r="CR356" s="1"/>
      <c r="CS356" s="1"/>
      <c r="DH356" s="14"/>
      <c r="DI356" s="14"/>
      <c r="DJ356" s="14"/>
      <c r="DK356" s="14"/>
    </row>
    <row r="357" spans="2:115" ht="12.75">
      <c r="B357" s="1"/>
      <c r="C357" s="1"/>
      <c r="D357" s="1"/>
      <c r="T357" s="14"/>
      <c r="U357" s="14"/>
      <c r="V357" s="14"/>
      <c r="W357" s="14"/>
      <c r="AG357" s="1"/>
      <c r="AH357" s="1"/>
      <c r="AW357" s="14"/>
      <c r="AX357" s="14"/>
      <c r="AY357" s="14"/>
      <c r="AZ357" s="14"/>
      <c r="BO357" s="1"/>
      <c r="BP357" s="1"/>
      <c r="CE357" s="14"/>
      <c r="CF357" s="14"/>
      <c r="CG357" s="14"/>
      <c r="CH357" s="14"/>
      <c r="CR357" s="1"/>
      <c r="CS357" s="1"/>
      <c r="DH357" s="14"/>
      <c r="DI357" s="14"/>
      <c r="DJ357" s="14"/>
      <c r="DK357" s="14"/>
    </row>
    <row r="358" spans="2:115" ht="12.75">
      <c r="B358" s="1"/>
      <c r="C358" s="1"/>
      <c r="D358" s="1"/>
      <c r="T358" s="14"/>
      <c r="U358" s="14"/>
      <c r="V358" s="14"/>
      <c r="W358" s="14"/>
      <c r="AG358" s="1"/>
      <c r="AH358" s="1"/>
      <c r="AW358" s="14"/>
      <c r="AX358" s="14"/>
      <c r="AY358" s="14"/>
      <c r="AZ358" s="14"/>
      <c r="BO358" s="1"/>
      <c r="BP358" s="1"/>
      <c r="CE358" s="14"/>
      <c r="CF358" s="14"/>
      <c r="CG358" s="14"/>
      <c r="CH358" s="14"/>
      <c r="CR358" s="1"/>
      <c r="CS358" s="1"/>
      <c r="DH358" s="14"/>
      <c r="DI358" s="14"/>
      <c r="DJ358" s="14"/>
      <c r="DK358" s="14"/>
    </row>
    <row r="359" spans="2:115" ht="12.75">
      <c r="B359" s="1"/>
      <c r="C359" s="1"/>
      <c r="D359" s="1"/>
      <c r="T359" s="14"/>
      <c r="U359" s="14"/>
      <c r="V359" s="14"/>
      <c r="W359" s="14"/>
      <c r="AG359" s="1"/>
      <c r="AH359" s="1"/>
      <c r="AW359" s="14"/>
      <c r="AX359" s="14"/>
      <c r="AY359" s="14"/>
      <c r="AZ359" s="14"/>
      <c r="BO359" s="1"/>
      <c r="BP359" s="1"/>
      <c r="CE359" s="14"/>
      <c r="CF359" s="14"/>
      <c r="CG359" s="14"/>
      <c r="CH359" s="14"/>
      <c r="CR359" s="1"/>
      <c r="CS359" s="1"/>
      <c r="DH359" s="14"/>
      <c r="DI359" s="14"/>
      <c r="DJ359" s="14"/>
      <c r="DK359" s="14"/>
    </row>
    <row r="360" spans="2:115" ht="12.75">
      <c r="B360" s="1"/>
      <c r="C360" s="1"/>
      <c r="D360" s="1"/>
      <c r="T360" s="14"/>
      <c r="U360" s="14"/>
      <c r="V360" s="14"/>
      <c r="W360" s="14"/>
      <c r="AG360" s="1"/>
      <c r="AH360" s="1"/>
      <c r="AW360" s="14"/>
      <c r="AX360" s="14"/>
      <c r="AY360" s="14"/>
      <c r="AZ360" s="14"/>
      <c r="BO360" s="1"/>
      <c r="BP360" s="1"/>
      <c r="CE360" s="14"/>
      <c r="CF360" s="14"/>
      <c r="CG360" s="14"/>
      <c r="CH360" s="14"/>
      <c r="CR360" s="1"/>
      <c r="CS360" s="1"/>
      <c r="DH360" s="14"/>
      <c r="DI360" s="14"/>
      <c r="DJ360" s="14"/>
      <c r="DK360" s="14"/>
    </row>
    <row r="361" spans="2:115" ht="12.75">
      <c r="B361" s="1"/>
      <c r="C361" s="1"/>
      <c r="D361" s="1"/>
      <c r="T361" s="14"/>
      <c r="U361" s="14"/>
      <c r="V361" s="14"/>
      <c r="W361" s="14"/>
      <c r="AG361" s="1"/>
      <c r="AH361" s="1"/>
      <c r="AW361" s="14"/>
      <c r="AX361" s="14"/>
      <c r="AY361" s="14"/>
      <c r="AZ361" s="14"/>
      <c r="BO361" s="1"/>
      <c r="BP361" s="1"/>
      <c r="CE361" s="14"/>
      <c r="CF361" s="14"/>
      <c r="CG361" s="14"/>
      <c r="CH361" s="14"/>
      <c r="CR361" s="1"/>
      <c r="CS361" s="1"/>
      <c r="DH361" s="14"/>
      <c r="DI361" s="14"/>
      <c r="DJ361" s="14"/>
      <c r="DK361" s="14"/>
    </row>
    <row r="362" spans="2:115" ht="12.75">
      <c r="B362" s="1"/>
      <c r="C362" s="1"/>
      <c r="D362" s="1"/>
      <c r="T362" s="14"/>
      <c r="U362" s="14"/>
      <c r="V362" s="14"/>
      <c r="W362" s="14"/>
      <c r="AG362" s="1"/>
      <c r="AH362" s="1"/>
      <c r="AW362" s="14"/>
      <c r="AX362" s="14"/>
      <c r="AY362" s="14"/>
      <c r="AZ362" s="14"/>
      <c r="BO362" s="1"/>
      <c r="BP362" s="1"/>
      <c r="CE362" s="14"/>
      <c r="CF362" s="14"/>
      <c r="CG362" s="14"/>
      <c r="CH362" s="14"/>
      <c r="CR362" s="1"/>
      <c r="CS362" s="1"/>
      <c r="DH362" s="14"/>
      <c r="DI362" s="14"/>
      <c r="DJ362" s="14"/>
      <c r="DK362" s="14"/>
    </row>
    <row r="363" spans="2:115" ht="12.75">
      <c r="B363" s="1"/>
      <c r="C363" s="1"/>
      <c r="D363" s="1"/>
      <c r="T363" s="14"/>
      <c r="U363" s="14"/>
      <c r="V363" s="14"/>
      <c r="W363" s="14"/>
      <c r="AG363" s="1"/>
      <c r="AH363" s="1"/>
      <c r="AW363" s="14"/>
      <c r="AX363" s="14"/>
      <c r="AY363" s="14"/>
      <c r="AZ363" s="14"/>
      <c r="BO363" s="1"/>
      <c r="BP363" s="1"/>
      <c r="CE363" s="14"/>
      <c r="CF363" s="14"/>
      <c r="CG363" s="14"/>
      <c r="CH363" s="14"/>
      <c r="CR363" s="1"/>
      <c r="CS363" s="1"/>
      <c r="DH363" s="14"/>
      <c r="DI363" s="14"/>
      <c r="DJ363" s="14"/>
      <c r="DK363" s="14"/>
    </row>
    <row r="364" spans="2:115" ht="12.75">
      <c r="B364" s="1"/>
      <c r="C364" s="1"/>
      <c r="D364" s="1"/>
      <c r="T364" s="14"/>
      <c r="U364" s="14"/>
      <c r="V364" s="14"/>
      <c r="W364" s="14"/>
      <c r="AG364" s="1"/>
      <c r="AH364" s="1"/>
      <c r="AW364" s="14"/>
      <c r="AX364" s="14"/>
      <c r="AY364" s="14"/>
      <c r="AZ364" s="14"/>
      <c r="BO364" s="1"/>
      <c r="BP364" s="1"/>
      <c r="CE364" s="14"/>
      <c r="CF364" s="14"/>
      <c r="CG364" s="14"/>
      <c r="CH364" s="14"/>
      <c r="CR364" s="1"/>
      <c r="CS364" s="1"/>
      <c r="DH364" s="14"/>
      <c r="DI364" s="14"/>
      <c r="DJ364" s="14"/>
      <c r="DK364" s="14"/>
    </row>
    <row r="365" spans="2:115" ht="12.75">
      <c r="B365" s="1"/>
      <c r="C365" s="1"/>
      <c r="D365" s="1"/>
      <c r="T365" s="14"/>
      <c r="U365" s="14"/>
      <c r="V365" s="14"/>
      <c r="W365" s="14"/>
      <c r="AG365" s="1"/>
      <c r="AH365" s="1"/>
      <c r="AW365" s="14"/>
      <c r="AX365" s="14"/>
      <c r="AY365" s="14"/>
      <c r="AZ365" s="14"/>
      <c r="BO365" s="1"/>
      <c r="BP365" s="1"/>
      <c r="CE365" s="14"/>
      <c r="CF365" s="14"/>
      <c r="CG365" s="14"/>
      <c r="CH365" s="14"/>
      <c r="CR365" s="1"/>
      <c r="CS365" s="1"/>
      <c r="DH365" s="14"/>
      <c r="DI365" s="14"/>
      <c r="DJ365" s="14"/>
      <c r="DK365" s="14"/>
    </row>
    <row r="366" spans="2:115" ht="12.75">
      <c r="B366" s="1"/>
      <c r="C366" s="1"/>
      <c r="D366" s="1"/>
      <c r="T366" s="14"/>
      <c r="U366" s="14"/>
      <c r="V366" s="14"/>
      <c r="W366" s="14"/>
      <c r="AG366" s="1"/>
      <c r="AH366" s="1"/>
      <c r="AW366" s="14"/>
      <c r="AX366" s="14"/>
      <c r="AY366" s="14"/>
      <c r="AZ366" s="14"/>
      <c r="BO366" s="1"/>
      <c r="BP366" s="1"/>
      <c r="CE366" s="14"/>
      <c r="CF366" s="14"/>
      <c r="CG366" s="14"/>
      <c r="CH366" s="14"/>
      <c r="CR366" s="1"/>
      <c r="CS366" s="1"/>
      <c r="DH366" s="14"/>
      <c r="DI366" s="14"/>
      <c r="DJ366" s="14"/>
      <c r="DK366" s="14"/>
    </row>
    <row r="367" spans="2:115" ht="12.75">
      <c r="B367" s="1"/>
      <c r="C367" s="1"/>
      <c r="D367" s="1"/>
      <c r="T367" s="14"/>
      <c r="U367" s="14"/>
      <c r="V367" s="14"/>
      <c r="W367" s="14"/>
      <c r="AG367" s="1"/>
      <c r="AH367" s="1"/>
      <c r="AW367" s="14"/>
      <c r="AX367" s="14"/>
      <c r="AY367" s="14"/>
      <c r="AZ367" s="14"/>
      <c r="BO367" s="1"/>
      <c r="BP367" s="1"/>
      <c r="CE367" s="14"/>
      <c r="CF367" s="14"/>
      <c r="CG367" s="14"/>
      <c r="CH367" s="14"/>
      <c r="CR367" s="1"/>
      <c r="CS367" s="1"/>
      <c r="DH367" s="14"/>
      <c r="DI367" s="14"/>
      <c r="DJ367" s="14"/>
      <c r="DK367" s="14"/>
    </row>
    <row r="368" spans="2:115" ht="12.75">
      <c r="B368" s="1"/>
      <c r="C368" s="1"/>
      <c r="D368" s="1"/>
      <c r="T368" s="14"/>
      <c r="U368" s="14"/>
      <c r="V368" s="14"/>
      <c r="W368" s="14"/>
      <c r="AG368" s="1"/>
      <c r="AH368" s="1"/>
      <c r="AW368" s="14"/>
      <c r="AX368" s="14"/>
      <c r="AY368" s="14"/>
      <c r="AZ368" s="14"/>
      <c r="BO368" s="1"/>
      <c r="BP368" s="1"/>
      <c r="CE368" s="14"/>
      <c r="CF368" s="14"/>
      <c r="CG368" s="14"/>
      <c r="CH368" s="14"/>
      <c r="CR368" s="1"/>
      <c r="CS368" s="1"/>
      <c r="DH368" s="14"/>
      <c r="DI368" s="14"/>
      <c r="DJ368" s="14"/>
      <c r="DK368" s="14"/>
    </row>
    <row r="369" spans="2:115" ht="12.75">
      <c r="B369" s="1"/>
      <c r="C369" s="1"/>
      <c r="D369" s="1"/>
      <c r="T369" s="14"/>
      <c r="U369" s="14"/>
      <c r="V369" s="14"/>
      <c r="W369" s="14"/>
      <c r="AG369" s="1"/>
      <c r="AH369" s="1"/>
      <c r="AW369" s="14"/>
      <c r="AX369" s="14"/>
      <c r="AY369" s="14"/>
      <c r="AZ369" s="14"/>
      <c r="BO369" s="1"/>
      <c r="BP369" s="1"/>
      <c r="CE369" s="14"/>
      <c r="CF369" s="14"/>
      <c r="CG369" s="14"/>
      <c r="CH369" s="14"/>
      <c r="CR369" s="1"/>
      <c r="CS369" s="1"/>
      <c r="DH369" s="14"/>
      <c r="DI369" s="14"/>
      <c r="DJ369" s="14"/>
      <c r="DK369" s="14"/>
    </row>
    <row r="370" spans="2:115" ht="12.75">
      <c r="B370" s="1"/>
      <c r="C370" s="1"/>
      <c r="D370" s="1"/>
      <c r="T370" s="14"/>
      <c r="U370" s="14"/>
      <c r="V370" s="14"/>
      <c r="W370" s="14"/>
      <c r="AG370" s="1"/>
      <c r="AH370" s="1"/>
      <c r="AW370" s="14"/>
      <c r="AX370" s="14"/>
      <c r="AY370" s="14"/>
      <c r="AZ370" s="14"/>
      <c r="BO370" s="1"/>
      <c r="BP370" s="1"/>
      <c r="CE370" s="14"/>
      <c r="CF370" s="14"/>
      <c r="CG370" s="14"/>
      <c r="CH370" s="14"/>
      <c r="CR370" s="1"/>
      <c r="CS370" s="1"/>
      <c r="DH370" s="14"/>
      <c r="DI370" s="14"/>
      <c r="DJ370" s="14"/>
      <c r="DK370" s="14"/>
    </row>
    <row r="371" spans="2:115" ht="12.75">
      <c r="B371" s="1"/>
      <c r="C371" s="1"/>
      <c r="D371" s="1"/>
      <c r="T371" s="14"/>
      <c r="U371" s="14"/>
      <c r="V371" s="14"/>
      <c r="W371" s="14"/>
      <c r="AG371" s="1"/>
      <c r="AH371" s="1"/>
      <c r="AW371" s="14"/>
      <c r="AX371" s="14"/>
      <c r="AY371" s="14"/>
      <c r="AZ371" s="14"/>
      <c r="BO371" s="1"/>
      <c r="BP371" s="1"/>
      <c r="CE371" s="14"/>
      <c r="CF371" s="14"/>
      <c r="CG371" s="14"/>
      <c r="CH371" s="14"/>
      <c r="CR371" s="1"/>
      <c r="CS371" s="1"/>
      <c r="DH371" s="14"/>
      <c r="DI371" s="14"/>
      <c r="DJ371" s="14"/>
      <c r="DK371" s="14"/>
    </row>
    <row r="372" spans="2:115" ht="12.75">
      <c r="B372" s="1"/>
      <c r="C372" s="1"/>
      <c r="D372" s="1"/>
      <c r="T372" s="14"/>
      <c r="U372" s="14"/>
      <c r="V372" s="14"/>
      <c r="W372" s="14"/>
      <c r="AG372" s="1"/>
      <c r="AH372" s="1"/>
      <c r="AW372" s="14"/>
      <c r="AX372" s="14"/>
      <c r="AY372" s="14"/>
      <c r="AZ372" s="14"/>
      <c r="BO372" s="1"/>
      <c r="BP372" s="1"/>
      <c r="CE372" s="14"/>
      <c r="CF372" s="14"/>
      <c r="CG372" s="14"/>
      <c r="CH372" s="14"/>
      <c r="CR372" s="1"/>
      <c r="CS372" s="1"/>
      <c r="DH372" s="14"/>
      <c r="DI372" s="14"/>
      <c r="DJ372" s="14"/>
      <c r="DK372" s="14"/>
    </row>
    <row r="373" spans="2:115" ht="12.75">
      <c r="B373" s="1"/>
      <c r="C373" s="1"/>
      <c r="D373" s="1"/>
      <c r="T373" s="14"/>
      <c r="U373" s="14"/>
      <c r="V373" s="14"/>
      <c r="W373" s="14"/>
      <c r="AG373" s="1"/>
      <c r="AH373" s="1"/>
      <c r="AW373" s="14"/>
      <c r="AX373" s="14"/>
      <c r="AY373" s="14"/>
      <c r="AZ373" s="14"/>
      <c r="BO373" s="1"/>
      <c r="BP373" s="1"/>
      <c r="CE373" s="14"/>
      <c r="CF373" s="14"/>
      <c r="CG373" s="14"/>
      <c r="CH373" s="14"/>
      <c r="CR373" s="1"/>
      <c r="CS373" s="1"/>
      <c r="DH373" s="14"/>
      <c r="DI373" s="14"/>
      <c r="DJ373" s="14"/>
      <c r="DK373" s="14"/>
    </row>
    <row r="374" spans="2:115" ht="12.75">
      <c r="B374" s="1"/>
      <c r="C374" s="1"/>
      <c r="D374" s="1"/>
      <c r="T374" s="14"/>
      <c r="U374" s="14"/>
      <c r="V374" s="14"/>
      <c r="W374" s="14"/>
      <c r="AG374" s="1"/>
      <c r="AH374" s="1"/>
      <c r="AW374" s="14"/>
      <c r="AX374" s="14"/>
      <c r="AY374" s="14"/>
      <c r="AZ374" s="14"/>
      <c r="BO374" s="1"/>
      <c r="BP374" s="1"/>
      <c r="CE374" s="14"/>
      <c r="CF374" s="14"/>
      <c r="CG374" s="14"/>
      <c r="CH374" s="14"/>
      <c r="CR374" s="1"/>
      <c r="CS374" s="1"/>
      <c r="DH374" s="14"/>
      <c r="DI374" s="14"/>
      <c r="DJ374" s="14"/>
      <c r="DK374" s="14"/>
    </row>
    <row r="375" spans="2:115" ht="12.75">
      <c r="B375" s="1"/>
      <c r="C375" s="1"/>
      <c r="D375" s="1"/>
      <c r="T375" s="14"/>
      <c r="U375" s="14"/>
      <c r="V375" s="14"/>
      <c r="W375" s="14"/>
      <c r="AG375" s="1"/>
      <c r="AH375" s="1"/>
      <c r="AW375" s="14"/>
      <c r="AX375" s="14"/>
      <c r="AY375" s="14"/>
      <c r="AZ375" s="14"/>
      <c r="BO375" s="1"/>
      <c r="BP375" s="1"/>
      <c r="CE375" s="14"/>
      <c r="CF375" s="14"/>
      <c r="CG375" s="14"/>
      <c r="CH375" s="14"/>
      <c r="CR375" s="1"/>
      <c r="CS375" s="1"/>
      <c r="DH375" s="14"/>
      <c r="DI375" s="14"/>
      <c r="DJ375" s="14"/>
      <c r="DK375" s="14"/>
    </row>
    <row r="376" spans="2:97" ht="12.75">
      <c r="B376" s="18"/>
      <c r="C376" s="18"/>
      <c r="D376" s="18"/>
      <c r="AG376" s="18"/>
      <c r="AH376" s="18"/>
      <c r="BO376" s="18"/>
      <c r="BP376" s="18"/>
      <c r="CR376" s="18"/>
      <c r="CS376" s="18"/>
    </row>
    <row r="377" spans="2:97" ht="12.75">
      <c r="B377" s="18"/>
      <c r="C377" s="18"/>
      <c r="D377" s="18"/>
      <c r="AG377" s="18"/>
      <c r="AH377" s="18"/>
      <c r="BO377" s="18"/>
      <c r="BP377" s="18"/>
      <c r="CR377" s="18"/>
      <c r="CS377" s="18"/>
    </row>
    <row r="378" spans="2:97" ht="12.75">
      <c r="B378" s="18"/>
      <c r="C378" s="18"/>
      <c r="D378" s="18"/>
      <c r="AG378" s="18"/>
      <c r="AH378" s="18"/>
      <c r="BO378" s="18"/>
      <c r="BP378" s="18"/>
      <c r="CR378" s="18"/>
      <c r="CS378" s="18"/>
    </row>
    <row r="379" spans="2:97" ht="12.75">
      <c r="B379" s="18"/>
      <c r="C379" s="18"/>
      <c r="D379" s="18"/>
      <c r="AG379" s="18"/>
      <c r="AH379" s="18"/>
      <c r="BO379" s="18"/>
      <c r="BP379" s="18"/>
      <c r="CR379" s="18"/>
      <c r="CS379" s="18"/>
    </row>
    <row r="380" spans="2:97" ht="12.75">
      <c r="B380" s="18"/>
      <c r="C380" s="18"/>
      <c r="D380" s="18"/>
      <c r="AG380" s="18"/>
      <c r="AH380" s="18"/>
      <c r="BO380" s="18"/>
      <c r="BP380" s="18"/>
      <c r="CR380" s="18"/>
      <c r="CS380" s="18"/>
    </row>
    <row r="381" spans="2:97" ht="12.75">
      <c r="B381" s="18"/>
      <c r="C381" s="18"/>
      <c r="D381" s="18"/>
      <c r="AG381" s="18"/>
      <c r="AH381" s="18"/>
      <c r="BO381" s="18"/>
      <c r="BP381" s="18"/>
      <c r="CR381" s="18"/>
      <c r="CS381" s="18"/>
    </row>
    <row r="382" spans="2:97" ht="12.75">
      <c r="B382" s="18"/>
      <c r="C382" s="18"/>
      <c r="D382" s="18"/>
      <c r="AG382" s="18"/>
      <c r="AH382" s="18"/>
      <c r="BO382" s="18"/>
      <c r="BP382" s="18"/>
      <c r="CR382" s="18"/>
      <c r="CS382" s="18"/>
    </row>
    <row r="383" spans="2:97" ht="12.75">
      <c r="B383" s="18"/>
      <c r="C383" s="18"/>
      <c r="D383" s="18"/>
      <c r="AG383" s="18"/>
      <c r="AH383" s="18"/>
      <c r="BO383" s="18"/>
      <c r="BP383" s="18"/>
      <c r="CR383" s="18"/>
      <c r="CS383" s="18"/>
    </row>
    <row r="384" spans="2:97" ht="12.75">
      <c r="B384" s="18"/>
      <c r="C384" s="18"/>
      <c r="D384" s="18"/>
      <c r="AG384" s="18"/>
      <c r="AH384" s="18"/>
      <c r="BO384" s="18"/>
      <c r="BP384" s="18"/>
      <c r="CR384" s="18"/>
      <c r="CS384" s="18"/>
    </row>
    <row r="385" spans="2:97" ht="12.75">
      <c r="B385" s="18"/>
      <c r="C385" s="18"/>
      <c r="D385" s="18"/>
      <c r="AG385" s="18"/>
      <c r="AH385" s="18"/>
      <c r="BO385" s="18"/>
      <c r="BP385" s="18"/>
      <c r="CR385" s="18"/>
      <c r="CS385" s="18"/>
    </row>
    <row r="386" spans="2:97" ht="12.75">
      <c r="B386" s="18"/>
      <c r="C386" s="18"/>
      <c r="D386" s="18"/>
      <c r="AG386" s="18"/>
      <c r="AH386" s="18"/>
      <c r="BO386" s="18"/>
      <c r="BP386" s="18"/>
      <c r="CR386" s="18"/>
      <c r="CS386" s="18"/>
    </row>
    <row r="387" spans="2:97" ht="12.75">
      <c r="B387" s="18"/>
      <c r="C387" s="18"/>
      <c r="D387" s="18"/>
      <c r="AG387" s="18"/>
      <c r="AH387" s="18"/>
      <c r="BO387" s="18"/>
      <c r="BP387" s="18"/>
      <c r="CR387" s="18"/>
      <c r="CS387" s="18"/>
    </row>
    <row r="388" spans="2:97" ht="12.75">
      <c r="B388" s="18"/>
      <c r="C388" s="18"/>
      <c r="D388" s="18"/>
      <c r="AG388" s="18"/>
      <c r="AH388" s="18"/>
      <c r="BO388" s="18"/>
      <c r="BP388" s="18"/>
      <c r="CR388" s="18"/>
      <c r="CS388" s="18"/>
    </row>
    <row r="389" spans="2:97" ht="12.75">
      <c r="B389" s="18"/>
      <c r="C389" s="18"/>
      <c r="D389" s="18"/>
      <c r="AG389" s="18"/>
      <c r="AH389" s="18"/>
      <c r="BO389" s="18"/>
      <c r="BP389" s="18"/>
      <c r="CR389" s="18"/>
      <c r="CS389" s="18"/>
    </row>
    <row r="390" spans="2:97" ht="12.75">
      <c r="B390" s="18"/>
      <c r="C390" s="18"/>
      <c r="D390" s="18"/>
      <c r="AG390" s="18"/>
      <c r="AH390" s="18"/>
      <c r="BO390" s="18"/>
      <c r="BP390" s="18"/>
      <c r="CR390" s="18"/>
      <c r="CS390" s="18"/>
    </row>
    <row r="391" spans="2:97" ht="12.75">
      <c r="B391" s="18"/>
      <c r="C391" s="18"/>
      <c r="D391" s="18"/>
      <c r="AG391" s="18"/>
      <c r="AH391" s="18"/>
      <c r="BO391" s="18"/>
      <c r="BP391" s="18"/>
      <c r="CR391" s="18"/>
      <c r="CS391" s="18"/>
    </row>
    <row r="392" spans="2:97" ht="12.75">
      <c r="B392" s="18"/>
      <c r="C392" s="18"/>
      <c r="D392" s="18"/>
      <c r="AG392" s="18"/>
      <c r="AH392" s="18"/>
      <c r="BO392" s="18"/>
      <c r="BP392" s="18"/>
      <c r="CR392" s="18"/>
      <c r="CS392" s="18"/>
    </row>
    <row r="393" spans="2:97" ht="12.75">
      <c r="B393" s="18"/>
      <c r="C393" s="18"/>
      <c r="D393" s="18"/>
      <c r="AG393" s="18"/>
      <c r="AH393" s="18"/>
      <c r="BO393" s="18"/>
      <c r="BP393" s="18"/>
      <c r="CR393" s="18"/>
      <c r="CS393" s="18"/>
    </row>
    <row r="394" spans="2:97" ht="12.75">
      <c r="B394" s="18"/>
      <c r="C394" s="18"/>
      <c r="D394" s="18"/>
      <c r="AG394" s="18"/>
      <c r="AH394" s="18"/>
      <c r="BO394" s="18"/>
      <c r="BP394" s="18"/>
      <c r="CR394" s="18"/>
      <c r="CS394" s="18"/>
    </row>
    <row r="395" spans="2:97" ht="12.75">
      <c r="B395" s="18"/>
      <c r="C395" s="18"/>
      <c r="D395" s="18"/>
      <c r="AG395" s="18"/>
      <c r="AH395" s="18"/>
      <c r="BO395" s="18"/>
      <c r="BP395" s="18"/>
      <c r="CR395" s="18"/>
      <c r="CS395" s="18"/>
    </row>
    <row r="396" spans="2:97" ht="12.75">
      <c r="B396" s="18"/>
      <c r="C396" s="18"/>
      <c r="D396" s="18"/>
      <c r="AG396" s="18"/>
      <c r="AH396" s="18"/>
      <c r="BO396" s="18"/>
      <c r="BP396" s="18"/>
      <c r="CR396" s="18"/>
      <c r="CS396" s="18"/>
    </row>
    <row r="397" spans="2:97" ht="12.75">
      <c r="B397" s="18"/>
      <c r="C397" s="18"/>
      <c r="D397" s="18"/>
      <c r="AG397" s="18"/>
      <c r="AH397" s="18"/>
      <c r="BO397" s="18"/>
      <c r="BP397" s="18"/>
      <c r="CR397" s="18"/>
      <c r="CS397" s="18"/>
    </row>
    <row r="398" spans="2:97" ht="12.75">
      <c r="B398" s="18"/>
      <c r="C398" s="18"/>
      <c r="D398" s="18"/>
      <c r="AG398" s="18"/>
      <c r="AH398" s="18"/>
      <c r="BO398" s="18"/>
      <c r="BP398" s="18"/>
      <c r="CR398" s="18"/>
      <c r="CS398" s="18"/>
    </row>
    <row r="399" spans="2:97" ht="12.75">
      <c r="B399" s="18"/>
      <c r="C399" s="18"/>
      <c r="D399" s="18"/>
      <c r="AG399" s="18"/>
      <c r="AH399" s="18"/>
      <c r="BO399" s="18"/>
      <c r="BP399" s="18"/>
      <c r="CR399" s="18"/>
      <c r="CS399" s="18"/>
    </row>
    <row r="400" spans="2:97" ht="12.75">
      <c r="B400" s="18"/>
      <c r="C400" s="18"/>
      <c r="D400" s="18"/>
      <c r="AG400" s="18"/>
      <c r="AH400" s="18"/>
      <c r="BO400" s="18"/>
      <c r="BP400" s="18"/>
      <c r="CR400" s="18"/>
      <c r="CS400" s="18"/>
    </row>
    <row r="401" spans="2:97" ht="12.75">
      <c r="B401" s="18"/>
      <c r="C401" s="18"/>
      <c r="D401" s="18"/>
      <c r="AG401" s="18"/>
      <c r="AH401" s="18"/>
      <c r="BO401" s="18"/>
      <c r="BP401" s="18"/>
      <c r="CR401" s="18"/>
      <c r="CS401" s="18"/>
    </row>
    <row r="402" spans="2:97" ht="12.75">
      <c r="B402" s="18"/>
      <c r="C402" s="18"/>
      <c r="D402" s="18"/>
      <c r="AG402" s="18"/>
      <c r="AH402" s="18"/>
      <c r="BO402" s="18"/>
      <c r="BP402" s="18"/>
      <c r="CR402" s="18"/>
      <c r="CS402" s="18"/>
    </row>
    <row r="403" spans="2:97" ht="12.75">
      <c r="B403" s="18"/>
      <c r="C403" s="18"/>
      <c r="D403" s="18"/>
      <c r="AG403" s="18"/>
      <c r="AH403" s="18"/>
      <c r="BO403" s="18"/>
      <c r="BP403" s="18"/>
      <c r="CR403" s="18"/>
      <c r="CS403" s="18"/>
    </row>
    <row r="404" spans="2:97" ht="12.75">
      <c r="B404" s="18"/>
      <c r="C404" s="18"/>
      <c r="D404" s="18"/>
      <c r="AG404" s="18"/>
      <c r="AH404" s="18"/>
      <c r="BO404" s="18"/>
      <c r="BP404" s="18"/>
      <c r="CR404" s="18"/>
      <c r="CS404" s="18"/>
    </row>
    <row r="405" spans="2:97" ht="12.75">
      <c r="B405" s="18"/>
      <c r="C405" s="18"/>
      <c r="D405" s="18"/>
      <c r="AG405" s="18"/>
      <c r="AH405" s="18"/>
      <c r="BO405" s="18"/>
      <c r="BP405" s="18"/>
      <c r="CR405" s="18"/>
      <c r="CS405" s="18"/>
    </row>
    <row r="406" spans="2:97" ht="12.75">
      <c r="B406" s="18"/>
      <c r="C406" s="18"/>
      <c r="D406" s="18"/>
      <c r="AG406" s="18"/>
      <c r="AH406" s="18"/>
      <c r="BO406" s="18"/>
      <c r="BP406" s="18"/>
      <c r="CR406" s="18"/>
      <c r="CS406" s="18"/>
    </row>
    <row r="407" spans="2:97" ht="12.75">
      <c r="B407" s="18"/>
      <c r="C407" s="18"/>
      <c r="D407" s="18"/>
      <c r="AG407" s="18"/>
      <c r="AH407" s="18"/>
      <c r="BO407" s="18"/>
      <c r="BP407" s="18"/>
      <c r="CR407" s="18"/>
      <c r="CS407" s="18"/>
    </row>
    <row r="408" spans="2:97" ht="12.75">
      <c r="B408" s="18"/>
      <c r="C408" s="18"/>
      <c r="D408" s="18"/>
      <c r="AG408" s="18"/>
      <c r="AH408" s="18"/>
      <c r="BO408" s="18"/>
      <c r="BP408" s="18"/>
      <c r="CR408" s="18"/>
      <c r="CS408" s="18"/>
    </row>
    <row r="409" spans="2:97" ht="12.75">
      <c r="B409" s="18"/>
      <c r="C409" s="18"/>
      <c r="D409" s="18"/>
      <c r="AG409" s="18"/>
      <c r="AH409" s="18"/>
      <c r="BO409" s="18"/>
      <c r="BP409" s="18"/>
      <c r="CR409" s="18"/>
      <c r="CS409" s="18"/>
    </row>
    <row r="410" spans="2:97" ht="12.75">
      <c r="B410" s="18"/>
      <c r="C410" s="18"/>
      <c r="D410" s="18"/>
      <c r="AG410" s="18"/>
      <c r="AH410" s="18"/>
      <c r="BO410" s="18"/>
      <c r="BP410" s="18"/>
      <c r="CR410" s="18"/>
      <c r="CS410" s="18"/>
    </row>
    <row r="411" spans="2:97" ht="12.75">
      <c r="B411" s="18"/>
      <c r="C411" s="18"/>
      <c r="D411" s="18"/>
      <c r="AG411" s="18"/>
      <c r="AH411" s="18"/>
      <c r="BO411" s="18"/>
      <c r="BP411" s="18"/>
      <c r="CR411" s="18"/>
      <c r="CS411" s="18"/>
    </row>
    <row r="412" spans="2:97" ht="12.75">
      <c r="B412" s="18"/>
      <c r="C412" s="18"/>
      <c r="D412" s="18"/>
      <c r="AG412" s="18"/>
      <c r="AH412" s="18"/>
      <c r="BO412" s="18"/>
      <c r="BP412" s="18"/>
      <c r="CR412" s="18"/>
      <c r="CS412" s="18"/>
    </row>
    <row r="413" spans="2:97" ht="12.75">
      <c r="B413" s="18"/>
      <c r="C413" s="18"/>
      <c r="D413" s="18"/>
      <c r="AG413" s="18"/>
      <c r="AH413" s="18"/>
      <c r="BO413" s="18"/>
      <c r="BP413" s="18"/>
      <c r="CR413" s="18"/>
      <c r="CS413" s="18"/>
    </row>
    <row r="414" spans="2:97" ht="12.75">
      <c r="B414" s="18"/>
      <c r="C414" s="18"/>
      <c r="D414" s="18"/>
      <c r="AG414" s="18"/>
      <c r="AH414" s="18"/>
      <c r="BO414" s="18"/>
      <c r="BP414" s="18"/>
      <c r="CR414" s="18"/>
      <c r="CS414" s="18"/>
    </row>
    <row r="415" spans="2:97" ht="12.75">
      <c r="B415" s="18"/>
      <c r="C415" s="18"/>
      <c r="D415" s="18"/>
      <c r="AG415" s="18"/>
      <c r="AH415" s="18"/>
      <c r="BO415" s="18"/>
      <c r="BP415" s="18"/>
      <c r="CR415" s="18"/>
      <c r="CS415" s="18"/>
    </row>
    <row r="416" spans="2:97" ht="12.75">
      <c r="B416" s="18"/>
      <c r="C416" s="18"/>
      <c r="D416" s="18"/>
      <c r="AG416" s="18"/>
      <c r="AH416" s="18"/>
      <c r="BO416" s="18"/>
      <c r="BP416" s="18"/>
      <c r="CR416" s="18"/>
      <c r="CS416" s="18"/>
    </row>
    <row r="417" spans="2:97" ht="12.75">
      <c r="B417" s="18"/>
      <c r="C417" s="18"/>
      <c r="D417" s="18"/>
      <c r="AG417" s="18"/>
      <c r="AH417" s="18"/>
      <c r="BO417" s="18"/>
      <c r="BP417" s="18"/>
      <c r="CR417" s="18"/>
      <c r="CS417" s="18"/>
    </row>
    <row r="418" spans="2:97" ht="12.75">
      <c r="B418" s="18"/>
      <c r="C418" s="18"/>
      <c r="D418" s="18"/>
      <c r="AG418" s="18"/>
      <c r="AH418" s="18"/>
      <c r="BO418" s="18"/>
      <c r="BP418" s="18"/>
      <c r="CR418" s="18"/>
      <c r="CS418" s="18"/>
    </row>
    <row r="419" spans="2:97" ht="12.75">
      <c r="B419" s="18"/>
      <c r="C419" s="18"/>
      <c r="D419" s="18"/>
      <c r="AG419" s="18"/>
      <c r="AH419" s="18"/>
      <c r="BO419" s="18"/>
      <c r="BP419" s="18"/>
      <c r="CR419" s="18"/>
      <c r="CS419" s="18"/>
    </row>
    <row r="420" spans="2:97" ht="12.75">
      <c r="B420" s="18"/>
      <c r="C420" s="18"/>
      <c r="D420" s="18"/>
      <c r="AG420" s="18"/>
      <c r="AH420" s="18"/>
      <c r="BO420" s="18"/>
      <c r="BP420" s="18"/>
      <c r="CR420" s="18"/>
      <c r="CS420" s="18"/>
    </row>
    <row r="421" spans="2:97" ht="12.75">
      <c r="B421" s="18"/>
      <c r="C421" s="18"/>
      <c r="D421" s="18"/>
      <c r="AG421" s="18"/>
      <c r="AH421" s="18"/>
      <c r="BO421" s="18"/>
      <c r="BP421" s="18"/>
      <c r="CR421" s="18"/>
      <c r="CS421" s="18"/>
    </row>
    <row r="422" spans="2:97" ht="12.75">
      <c r="B422" s="18"/>
      <c r="C422" s="18"/>
      <c r="D422" s="18"/>
      <c r="AG422" s="18"/>
      <c r="AH422" s="18"/>
      <c r="BO422" s="18"/>
      <c r="BP422" s="18"/>
      <c r="CR422" s="18"/>
      <c r="CS422" s="18"/>
    </row>
    <row r="423" spans="2:97" ht="12.75">
      <c r="B423" s="18"/>
      <c r="C423" s="18"/>
      <c r="D423" s="18"/>
      <c r="AG423" s="18"/>
      <c r="AH423" s="18"/>
      <c r="BO423" s="18"/>
      <c r="BP423" s="18"/>
      <c r="CR423" s="18"/>
      <c r="CS423" s="18"/>
    </row>
    <row r="424" spans="2:97" ht="12.75">
      <c r="B424" s="18"/>
      <c r="C424" s="18"/>
      <c r="D424" s="18"/>
      <c r="AG424" s="18"/>
      <c r="AH424" s="18"/>
      <c r="BO424" s="18"/>
      <c r="BP424" s="18"/>
      <c r="CR424" s="18"/>
      <c r="CS424" s="18"/>
    </row>
    <row r="425" spans="2:97" ht="12.75">
      <c r="B425" s="18"/>
      <c r="C425" s="18"/>
      <c r="D425" s="18"/>
      <c r="AG425" s="18"/>
      <c r="AH425" s="18"/>
      <c r="BO425" s="18"/>
      <c r="BP425" s="18"/>
      <c r="CR425" s="18"/>
      <c r="CS425" s="18"/>
    </row>
    <row r="426" spans="2:97" ht="12.75">
      <c r="B426" s="18"/>
      <c r="C426" s="18"/>
      <c r="D426" s="18"/>
      <c r="AG426" s="18"/>
      <c r="AH426" s="18"/>
      <c r="BO426" s="18"/>
      <c r="BP426" s="18"/>
      <c r="CR426" s="18"/>
      <c r="CS426" s="18"/>
    </row>
    <row r="427" spans="2:97" ht="12.75">
      <c r="B427" s="18"/>
      <c r="C427" s="18"/>
      <c r="D427" s="18"/>
      <c r="AG427" s="18"/>
      <c r="AH427" s="18"/>
      <c r="BO427" s="18"/>
      <c r="BP427" s="18"/>
      <c r="CR427" s="18"/>
      <c r="CS427" s="18"/>
    </row>
    <row r="428" spans="2:97" ht="12.75">
      <c r="B428" s="18"/>
      <c r="C428" s="18"/>
      <c r="D428" s="18"/>
      <c r="AG428" s="18"/>
      <c r="AH428" s="18"/>
      <c r="BO428" s="18"/>
      <c r="BP428" s="18"/>
      <c r="CR428" s="18"/>
      <c r="CS428" s="18"/>
    </row>
    <row r="429" spans="2:97" ht="12.75">
      <c r="B429" s="18"/>
      <c r="C429" s="18"/>
      <c r="D429" s="18"/>
      <c r="AG429" s="18"/>
      <c r="AH429" s="18"/>
      <c r="BO429" s="18"/>
      <c r="BP429" s="18"/>
      <c r="CR429" s="18"/>
      <c r="CS429" s="18"/>
    </row>
    <row r="430" spans="2:97" ht="12.75">
      <c r="B430" s="18"/>
      <c r="C430" s="18"/>
      <c r="D430" s="18"/>
      <c r="AG430" s="18"/>
      <c r="AH430" s="18"/>
      <c r="BO430" s="18"/>
      <c r="BP430" s="18"/>
      <c r="CR430" s="18"/>
      <c r="CS430" s="18"/>
    </row>
    <row r="431" spans="2:97" ht="12.75">
      <c r="B431" s="18"/>
      <c r="C431" s="18"/>
      <c r="D431" s="18"/>
      <c r="AG431" s="18"/>
      <c r="AH431" s="18"/>
      <c r="BO431" s="18"/>
      <c r="BP431" s="18"/>
      <c r="CR431" s="18"/>
      <c r="CS431" s="18"/>
    </row>
    <row r="432" spans="2:97" ht="12.75">
      <c r="B432" s="18"/>
      <c r="C432" s="18"/>
      <c r="D432" s="18"/>
      <c r="AG432" s="18"/>
      <c r="AH432" s="18"/>
      <c r="BO432" s="18"/>
      <c r="BP432" s="18"/>
      <c r="CR432" s="18"/>
      <c r="CS432" s="18"/>
    </row>
    <row r="433" spans="2:97" ht="12.75">
      <c r="B433" s="18"/>
      <c r="C433" s="18"/>
      <c r="D433" s="18"/>
      <c r="AG433" s="18"/>
      <c r="AH433" s="18"/>
      <c r="BO433" s="18"/>
      <c r="BP433" s="18"/>
      <c r="CR433" s="18"/>
      <c r="CS433" s="18"/>
    </row>
    <row r="434" spans="2:97" ht="12.75">
      <c r="B434" s="18"/>
      <c r="C434" s="18"/>
      <c r="D434" s="18"/>
      <c r="AG434" s="18"/>
      <c r="AH434" s="18"/>
      <c r="BO434" s="18"/>
      <c r="BP434" s="18"/>
      <c r="CR434" s="18"/>
      <c r="CS434" s="18"/>
    </row>
    <row r="435" spans="2:97" ht="12.75">
      <c r="B435" s="18"/>
      <c r="C435" s="18"/>
      <c r="D435" s="18"/>
      <c r="AG435" s="18"/>
      <c r="AH435" s="18"/>
      <c r="BO435" s="18"/>
      <c r="BP435" s="18"/>
      <c r="CR435" s="18"/>
      <c r="CS435" s="18"/>
    </row>
    <row r="436" spans="2:97" ht="12.75">
      <c r="B436" s="18"/>
      <c r="C436" s="18"/>
      <c r="D436" s="18"/>
      <c r="AG436" s="18"/>
      <c r="AH436" s="18"/>
      <c r="BO436" s="18"/>
      <c r="BP436" s="18"/>
      <c r="CR436" s="18"/>
      <c r="CS436" s="18"/>
    </row>
    <row r="437" spans="2:97" ht="12.75">
      <c r="B437" s="18"/>
      <c r="C437" s="18"/>
      <c r="D437" s="18"/>
      <c r="AG437" s="18"/>
      <c r="AH437" s="18"/>
      <c r="BO437" s="18"/>
      <c r="BP437" s="18"/>
      <c r="CR437" s="18"/>
      <c r="CS437" s="18"/>
    </row>
    <row r="438" spans="2:97" ht="12.75">
      <c r="B438" s="18"/>
      <c r="C438" s="18"/>
      <c r="D438" s="18"/>
      <c r="AG438" s="18"/>
      <c r="AH438" s="18"/>
      <c r="BO438" s="18"/>
      <c r="BP438" s="18"/>
      <c r="CR438" s="18"/>
      <c r="CS438" s="18"/>
    </row>
    <row r="439" spans="2:97" ht="12.75">
      <c r="B439" s="18"/>
      <c r="C439" s="18"/>
      <c r="D439" s="18"/>
      <c r="AG439" s="18"/>
      <c r="AH439" s="18"/>
      <c r="BO439" s="18"/>
      <c r="BP439" s="18"/>
      <c r="CR439" s="18"/>
      <c r="CS439" s="18"/>
    </row>
    <row r="440" spans="2:97" ht="12.75">
      <c r="B440" s="18"/>
      <c r="C440" s="18"/>
      <c r="D440" s="18"/>
      <c r="AG440" s="18"/>
      <c r="AH440" s="18"/>
      <c r="BO440" s="18"/>
      <c r="BP440" s="18"/>
      <c r="CR440" s="18"/>
      <c r="CS440" s="18"/>
    </row>
    <row r="441" spans="2:97" ht="12.75">
      <c r="B441" s="18"/>
      <c r="C441" s="18"/>
      <c r="D441" s="18"/>
      <c r="AG441" s="18"/>
      <c r="AH441" s="18"/>
      <c r="BO441" s="18"/>
      <c r="BP441" s="18"/>
      <c r="CR441" s="18"/>
      <c r="CS441" s="18"/>
    </row>
    <row r="442" spans="2:97" ht="12.75">
      <c r="B442" s="18"/>
      <c r="C442" s="18"/>
      <c r="D442" s="18"/>
      <c r="AG442" s="18"/>
      <c r="AH442" s="18"/>
      <c r="BO442" s="18"/>
      <c r="BP442" s="18"/>
      <c r="CR442" s="18"/>
      <c r="CS442" s="18"/>
    </row>
    <row r="443" spans="2:97" ht="12.75">
      <c r="B443" s="18"/>
      <c r="C443" s="18"/>
      <c r="D443" s="18"/>
      <c r="AG443" s="18"/>
      <c r="AH443" s="18"/>
      <c r="BO443" s="18"/>
      <c r="BP443" s="18"/>
      <c r="CR443" s="18"/>
      <c r="CS443" s="18"/>
    </row>
    <row r="444" spans="2:97" ht="12.75">
      <c r="B444" s="18"/>
      <c r="C444" s="18"/>
      <c r="D444" s="18"/>
      <c r="AG444" s="18"/>
      <c r="AH444" s="18"/>
      <c r="BO444" s="18"/>
      <c r="BP444" s="18"/>
      <c r="CR444" s="18"/>
      <c r="CS444" s="18"/>
    </row>
    <row r="445" spans="2:97" ht="12.75">
      <c r="B445" s="18"/>
      <c r="C445" s="18"/>
      <c r="D445" s="18"/>
      <c r="AG445" s="18"/>
      <c r="AH445" s="18"/>
      <c r="BO445" s="18"/>
      <c r="BP445" s="18"/>
      <c r="CR445" s="18"/>
      <c r="CS445" s="18"/>
    </row>
    <row r="446" spans="2:97" ht="12.75">
      <c r="B446" s="18"/>
      <c r="C446" s="18"/>
      <c r="D446" s="18"/>
      <c r="AG446" s="18"/>
      <c r="AH446" s="18"/>
      <c r="BO446" s="18"/>
      <c r="BP446" s="18"/>
      <c r="CR446" s="18"/>
      <c r="CS446" s="18"/>
    </row>
    <row r="447" spans="2:97" ht="12.75">
      <c r="B447" s="18"/>
      <c r="C447" s="18"/>
      <c r="D447" s="18"/>
      <c r="AG447" s="18"/>
      <c r="AH447" s="18"/>
      <c r="BO447" s="18"/>
      <c r="BP447" s="18"/>
      <c r="CR447" s="18"/>
      <c r="CS447" s="18"/>
    </row>
    <row r="448" spans="2:97" ht="12.75">
      <c r="B448" s="18"/>
      <c r="C448" s="18"/>
      <c r="D448" s="18"/>
      <c r="AG448" s="18"/>
      <c r="AH448" s="18"/>
      <c r="BO448" s="18"/>
      <c r="BP448" s="18"/>
      <c r="CR448" s="18"/>
      <c r="CS448" s="18"/>
    </row>
    <row r="449" spans="2:97" ht="12.75">
      <c r="B449" s="18"/>
      <c r="C449" s="18"/>
      <c r="D449" s="18"/>
      <c r="AG449" s="18"/>
      <c r="AH449" s="18"/>
      <c r="BO449" s="18"/>
      <c r="BP449" s="18"/>
      <c r="CR449" s="18"/>
      <c r="CS449" s="18"/>
    </row>
    <row r="450" spans="2:97" ht="12.75">
      <c r="B450" s="18"/>
      <c r="C450" s="18"/>
      <c r="D450" s="18"/>
      <c r="AG450" s="18"/>
      <c r="AH450" s="18"/>
      <c r="BO450" s="18"/>
      <c r="BP450" s="18"/>
      <c r="CR450" s="18"/>
      <c r="CS450" s="18"/>
    </row>
    <row r="451" spans="2:97" ht="12.75">
      <c r="B451" s="18"/>
      <c r="C451" s="18"/>
      <c r="D451" s="18"/>
      <c r="AG451" s="18"/>
      <c r="AH451" s="18"/>
      <c r="BO451" s="18"/>
      <c r="BP451" s="18"/>
      <c r="CR451" s="18"/>
      <c r="CS451" s="18"/>
    </row>
    <row r="452" spans="2:97" ht="12.75">
      <c r="B452" s="18"/>
      <c r="C452" s="18"/>
      <c r="D452" s="18"/>
      <c r="AG452" s="18"/>
      <c r="AH452" s="18"/>
      <c r="BO452" s="18"/>
      <c r="BP452" s="18"/>
      <c r="CR452" s="18"/>
      <c r="CS452" s="18"/>
    </row>
    <row r="453" spans="2:97" ht="12.75">
      <c r="B453" s="18"/>
      <c r="C453" s="18"/>
      <c r="D453" s="18"/>
      <c r="AG453" s="18"/>
      <c r="AH453" s="18"/>
      <c r="BO453" s="18"/>
      <c r="BP453" s="18"/>
      <c r="CR453" s="18"/>
      <c r="CS453" s="18"/>
    </row>
    <row r="454" spans="2:97" ht="12.75">
      <c r="B454" s="18"/>
      <c r="C454" s="18"/>
      <c r="D454" s="18"/>
      <c r="AG454" s="18"/>
      <c r="AH454" s="18"/>
      <c r="BO454" s="18"/>
      <c r="BP454" s="18"/>
      <c r="CR454" s="18"/>
      <c r="CS454" s="18"/>
    </row>
    <row r="455" spans="2:97" ht="12.75">
      <c r="B455" s="18"/>
      <c r="C455" s="18"/>
      <c r="D455" s="18"/>
      <c r="AG455" s="18"/>
      <c r="AH455" s="18"/>
      <c r="BO455" s="18"/>
      <c r="BP455" s="18"/>
      <c r="CR455" s="18"/>
      <c r="CS455" s="18"/>
    </row>
    <row r="456" spans="2:97" ht="12.75">
      <c r="B456" s="18"/>
      <c r="C456" s="18"/>
      <c r="D456" s="18"/>
      <c r="AG456" s="18"/>
      <c r="AH456" s="18"/>
      <c r="BO456" s="18"/>
      <c r="BP456" s="18"/>
      <c r="CR456" s="18"/>
      <c r="CS456" s="18"/>
    </row>
    <row r="457" spans="2:97" ht="12.75">
      <c r="B457" s="18"/>
      <c r="C457" s="18"/>
      <c r="D457" s="18"/>
      <c r="AG457" s="18"/>
      <c r="AH457" s="18"/>
      <c r="BO457" s="18"/>
      <c r="BP457" s="18"/>
      <c r="CR457" s="18"/>
      <c r="CS457" s="18"/>
    </row>
    <row r="458" spans="2:97" ht="12.75">
      <c r="B458" s="18"/>
      <c r="C458" s="18"/>
      <c r="D458" s="18"/>
      <c r="AG458" s="18"/>
      <c r="AH458" s="18"/>
      <c r="BO458" s="18"/>
      <c r="BP458" s="18"/>
      <c r="CR458" s="18"/>
      <c r="CS458" s="18"/>
    </row>
    <row r="459" spans="2:97" ht="12.75">
      <c r="B459" s="18"/>
      <c r="C459" s="18"/>
      <c r="D459" s="18"/>
      <c r="AG459" s="18"/>
      <c r="AH459" s="18"/>
      <c r="BO459" s="18"/>
      <c r="BP459" s="18"/>
      <c r="CR459" s="18"/>
      <c r="CS459" s="18"/>
    </row>
    <row r="460" spans="2:97" ht="12.75">
      <c r="B460" s="18"/>
      <c r="C460" s="18"/>
      <c r="D460" s="18"/>
      <c r="AG460" s="18"/>
      <c r="AH460" s="18"/>
      <c r="BO460" s="18"/>
      <c r="BP460" s="18"/>
      <c r="CR460" s="18"/>
      <c r="CS460" s="18"/>
    </row>
    <row r="461" spans="2:97" ht="12.75">
      <c r="B461" s="18"/>
      <c r="C461" s="18"/>
      <c r="D461" s="18"/>
      <c r="AG461" s="18"/>
      <c r="AH461" s="18"/>
      <c r="BO461" s="18"/>
      <c r="BP461" s="18"/>
      <c r="CR461" s="18"/>
      <c r="CS461" s="18"/>
    </row>
    <row r="462" spans="2:97" ht="12.75">
      <c r="B462" s="18"/>
      <c r="C462" s="18"/>
      <c r="D462" s="18"/>
      <c r="AG462" s="18"/>
      <c r="AH462" s="18"/>
      <c r="BO462" s="18"/>
      <c r="BP462" s="18"/>
      <c r="CR462" s="18"/>
      <c r="CS462" s="18"/>
    </row>
    <row r="463" spans="2:97" ht="12.75">
      <c r="B463" s="18"/>
      <c r="C463" s="18"/>
      <c r="D463" s="18"/>
      <c r="AG463" s="18"/>
      <c r="AH463" s="18"/>
      <c r="BO463" s="18"/>
      <c r="BP463" s="18"/>
      <c r="CR463" s="18"/>
      <c r="CS463" s="18"/>
    </row>
    <row r="464" spans="2:97" ht="12.75">
      <c r="B464" s="18"/>
      <c r="C464" s="18"/>
      <c r="D464" s="18"/>
      <c r="AG464" s="18"/>
      <c r="AH464" s="18"/>
      <c r="BO464" s="18"/>
      <c r="BP464" s="18"/>
      <c r="CR464" s="18"/>
      <c r="CS464" s="18"/>
    </row>
    <row r="465" spans="2:97" ht="12.75">
      <c r="B465" s="18"/>
      <c r="C465" s="18"/>
      <c r="D465" s="18"/>
      <c r="AG465" s="18"/>
      <c r="AH465" s="18"/>
      <c r="BO465" s="18"/>
      <c r="BP465" s="18"/>
      <c r="CR465" s="18"/>
      <c r="CS465" s="18"/>
    </row>
    <row r="466" spans="2:97" ht="12.75">
      <c r="B466" s="18"/>
      <c r="C466" s="18"/>
      <c r="D466" s="18"/>
      <c r="AG466" s="18"/>
      <c r="AH466" s="18"/>
      <c r="BO466" s="18"/>
      <c r="BP466" s="18"/>
      <c r="CR466" s="18"/>
      <c r="CS466" s="18"/>
    </row>
    <row r="467" spans="2:97" ht="12.75">
      <c r="B467" s="18"/>
      <c r="C467" s="18"/>
      <c r="D467" s="18"/>
      <c r="AG467" s="18"/>
      <c r="AH467" s="18"/>
      <c r="BO467" s="18"/>
      <c r="BP467" s="18"/>
      <c r="CR467" s="18"/>
      <c r="CS467" s="18"/>
    </row>
    <row r="468" spans="2:97" ht="12.75">
      <c r="B468" s="18"/>
      <c r="C468" s="18"/>
      <c r="D468" s="18"/>
      <c r="AG468" s="18"/>
      <c r="AH468" s="18"/>
      <c r="BO468" s="18"/>
      <c r="BP468" s="18"/>
      <c r="CR468" s="18"/>
      <c r="CS468" s="18"/>
    </row>
    <row r="469" spans="2:97" ht="12.75">
      <c r="B469" s="18"/>
      <c r="C469" s="18"/>
      <c r="D469" s="18"/>
      <c r="AG469" s="18"/>
      <c r="AH469" s="18"/>
      <c r="BO469" s="18"/>
      <c r="BP469" s="18"/>
      <c r="CR469" s="18"/>
      <c r="CS469" s="18"/>
    </row>
    <row r="470" spans="2:97" ht="12.75">
      <c r="B470" s="18"/>
      <c r="C470" s="18"/>
      <c r="D470" s="18"/>
      <c r="AG470" s="18"/>
      <c r="AH470" s="18"/>
      <c r="BO470" s="18"/>
      <c r="BP470" s="18"/>
      <c r="CR470" s="18"/>
      <c r="CS470" s="18"/>
    </row>
    <row r="471" spans="2:97" ht="12.75">
      <c r="B471" s="18"/>
      <c r="C471" s="18"/>
      <c r="D471" s="18"/>
      <c r="AG471" s="18"/>
      <c r="AH471" s="18"/>
      <c r="BO471" s="18"/>
      <c r="BP471" s="18"/>
      <c r="CR471" s="18"/>
      <c r="CS471" s="18"/>
    </row>
    <row r="472" spans="2:97" ht="12.75">
      <c r="B472" s="18"/>
      <c r="C472" s="18"/>
      <c r="D472" s="18"/>
      <c r="AG472" s="18"/>
      <c r="AH472" s="18"/>
      <c r="BO472" s="18"/>
      <c r="BP472" s="18"/>
      <c r="CR472" s="18"/>
      <c r="CS472" s="18"/>
    </row>
    <row r="473" spans="2:97" ht="12.75">
      <c r="B473" s="18"/>
      <c r="C473" s="18"/>
      <c r="D473" s="18"/>
      <c r="AG473" s="18"/>
      <c r="AH473" s="18"/>
      <c r="BO473" s="18"/>
      <c r="BP473" s="18"/>
      <c r="CR473" s="18"/>
      <c r="CS473" s="18"/>
    </row>
    <row r="474" spans="2:97" ht="12.75">
      <c r="B474" s="18"/>
      <c r="C474" s="18"/>
      <c r="D474" s="18"/>
      <c r="AG474" s="18"/>
      <c r="AH474" s="18"/>
      <c r="BO474" s="18"/>
      <c r="BP474" s="18"/>
      <c r="CR474" s="18"/>
      <c r="CS474" s="18"/>
    </row>
    <row r="475" spans="2:97" ht="12.75">
      <c r="B475" s="18"/>
      <c r="C475" s="18"/>
      <c r="D475" s="18"/>
      <c r="AG475" s="18"/>
      <c r="AH475" s="18"/>
      <c r="BO475" s="18"/>
      <c r="BP475" s="18"/>
      <c r="CR475" s="18"/>
      <c r="CS475" s="18"/>
    </row>
    <row r="476" spans="2:97" ht="12.75">
      <c r="B476" s="18"/>
      <c r="C476" s="18"/>
      <c r="D476" s="18"/>
      <c r="AG476" s="18"/>
      <c r="AH476" s="18"/>
      <c r="BO476" s="18"/>
      <c r="BP476" s="18"/>
      <c r="CR476" s="18"/>
      <c r="CS476" s="18"/>
    </row>
    <row r="477" spans="2:97" ht="12.75">
      <c r="B477" s="18"/>
      <c r="C477" s="18"/>
      <c r="D477" s="18"/>
      <c r="AG477" s="18"/>
      <c r="AH477" s="18"/>
      <c r="BO477" s="18"/>
      <c r="BP477" s="18"/>
      <c r="CR477" s="18"/>
      <c r="CS477" s="18"/>
    </row>
    <row r="478" spans="2:97" ht="12.75">
      <c r="B478" s="18"/>
      <c r="C478" s="18"/>
      <c r="D478" s="18"/>
      <c r="AG478" s="18"/>
      <c r="AH478" s="18"/>
      <c r="BO478" s="18"/>
      <c r="BP478" s="18"/>
      <c r="CR478" s="18"/>
      <c r="CS478" s="18"/>
    </row>
    <row r="479" spans="2:97" ht="12.75">
      <c r="B479" s="18"/>
      <c r="C479" s="18"/>
      <c r="D479" s="18"/>
      <c r="AG479" s="18"/>
      <c r="AH479" s="18"/>
      <c r="BO479" s="18"/>
      <c r="BP479" s="18"/>
      <c r="CR479" s="18"/>
      <c r="CS479" s="18"/>
    </row>
    <row r="480" spans="2:97" ht="12.75">
      <c r="B480" s="18"/>
      <c r="C480" s="18"/>
      <c r="D480" s="18"/>
      <c r="AG480" s="18"/>
      <c r="AH480" s="18"/>
      <c r="BO480" s="18"/>
      <c r="BP480" s="18"/>
      <c r="CR480" s="18"/>
      <c r="CS480" s="18"/>
    </row>
    <row r="481" spans="2:97" ht="12.75">
      <c r="B481" s="18"/>
      <c r="C481" s="18"/>
      <c r="D481" s="18"/>
      <c r="AG481" s="18"/>
      <c r="AH481" s="18"/>
      <c r="BO481" s="18"/>
      <c r="BP481" s="18"/>
      <c r="CR481" s="18"/>
      <c r="CS481" s="18"/>
    </row>
    <row r="482" spans="2:97" ht="12.75">
      <c r="B482" s="18"/>
      <c r="C482" s="18"/>
      <c r="D482" s="18"/>
      <c r="AG482" s="18"/>
      <c r="AH482" s="18"/>
      <c r="BO482" s="18"/>
      <c r="BP482" s="18"/>
      <c r="CR482" s="18"/>
      <c r="CS482" s="18"/>
    </row>
    <row r="483" spans="2:97" ht="12.75">
      <c r="B483" s="18"/>
      <c r="C483" s="18"/>
      <c r="D483" s="18"/>
      <c r="AG483" s="18"/>
      <c r="AH483" s="18"/>
      <c r="BO483" s="18"/>
      <c r="BP483" s="18"/>
      <c r="CR483" s="18"/>
      <c r="CS483" s="18"/>
    </row>
    <row r="484" spans="2:97" ht="12.75">
      <c r="B484" s="18"/>
      <c r="C484" s="18"/>
      <c r="D484" s="18"/>
      <c r="AG484" s="18"/>
      <c r="AH484" s="18"/>
      <c r="BO484" s="18"/>
      <c r="BP484" s="18"/>
      <c r="CR484" s="18"/>
      <c r="CS484" s="18"/>
    </row>
    <row r="485" spans="2:97" ht="12.75">
      <c r="B485" s="18"/>
      <c r="C485" s="18"/>
      <c r="D485" s="18"/>
      <c r="AG485" s="18"/>
      <c r="AH485" s="18"/>
      <c r="BO485" s="18"/>
      <c r="BP485" s="18"/>
      <c r="CR485" s="18"/>
      <c r="CS485" s="18"/>
    </row>
    <row r="486" spans="2:97" ht="12.75">
      <c r="B486" s="18"/>
      <c r="C486" s="18"/>
      <c r="D486" s="18"/>
      <c r="AG486" s="18"/>
      <c r="AH486" s="18"/>
      <c r="BO486" s="18"/>
      <c r="BP486" s="18"/>
      <c r="CR486" s="18"/>
      <c r="CS486" s="18"/>
    </row>
    <row r="487" spans="2:97" ht="12.75">
      <c r="B487" s="18"/>
      <c r="C487" s="18"/>
      <c r="D487" s="18"/>
      <c r="AG487" s="18"/>
      <c r="AH487" s="18"/>
      <c r="BO487" s="18"/>
      <c r="BP487" s="18"/>
      <c r="CR487" s="18"/>
      <c r="CS487" s="18"/>
    </row>
    <row r="488" spans="2:97" ht="12.75">
      <c r="B488" s="18"/>
      <c r="C488" s="18"/>
      <c r="D488" s="18"/>
      <c r="AG488" s="18"/>
      <c r="AH488" s="18"/>
      <c r="BO488" s="18"/>
      <c r="BP488" s="18"/>
      <c r="CR488" s="18"/>
      <c r="CS488" s="18"/>
    </row>
    <row r="489" spans="2:97" ht="12.75">
      <c r="B489" s="18"/>
      <c r="C489" s="18"/>
      <c r="D489" s="18"/>
      <c r="AG489" s="18"/>
      <c r="AH489" s="18"/>
      <c r="BO489" s="18"/>
      <c r="BP489" s="18"/>
      <c r="CR489" s="18"/>
      <c r="CS489" s="18"/>
    </row>
    <row r="490" spans="2:97" ht="12.75">
      <c r="B490" s="18"/>
      <c r="C490" s="18"/>
      <c r="D490" s="18"/>
      <c r="AG490" s="18"/>
      <c r="AH490" s="18"/>
      <c r="BO490" s="18"/>
      <c r="BP490" s="18"/>
      <c r="CR490" s="18"/>
      <c r="CS490" s="18"/>
    </row>
    <row r="491" spans="2:97" ht="12.75">
      <c r="B491" s="18"/>
      <c r="C491" s="18"/>
      <c r="D491" s="18"/>
      <c r="AG491" s="18"/>
      <c r="AH491" s="18"/>
      <c r="BO491" s="18"/>
      <c r="BP491" s="18"/>
      <c r="CR491" s="18"/>
      <c r="CS491" s="18"/>
    </row>
    <row r="492" spans="2:97" ht="12.75">
      <c r="B492" s="18"/>
      <c r="C492" s="18"/>
      <c r="D492" s="18"/>
      <c r="AG492" s="18"/>
      <c r="AH492" s="18"/>
      <c r="BO492" s="18"/>
      <c r="BP492" s="18"/>
      <c r="CR492" s="18"/>
      <c r="CS492" s="18"/>
    </row>
    <row r="493" spans="2:97" ht="12.75">
      <c r="B493" s="18"/>
      <c r="C493" s="18"/>
      <c r="D493" s="18"/>
      <c r="AG493" s="18"/>
      <c r="AH493" s="18"/>
      <c r="BO493" s="18"/>
      <c r="BP493" s="18"/>
      <c r="CR493" s="18"/>
      <c r="CS493" s="18"/>
    </row>
    <row r="494" spans="2:97" ht="12.75">
      <c r="B494" s="18"/>
      <c r="C494" s="18"/>
      <c r="D494" s="18"/>
      <c r="AG494" s="18"/>
      <c r="AH494" s="18"/>
      <c r="BO494" s="18"/>
      <c r="BP494" s="18"/>
      <c r="CR494" s="18"/>
      <c r="CS494" s="18"/>
    </row>
    <row r="495" spans="2:97" ht="12.75">
      <c r="B495" s="18"/>
      <c r="C495" s="18"/>
      <c r="D495" s="18"/>
      <c r="AG495" s="18"/>
      <c r="AH495" s="18"/>
      <c r="BO495" s="18"/>
      <c r="BP495" s="18"/>
      <c r="CR495" s="18"/>
      <c r="CS495" s="18"/>
    </row>
    <row r="496" spans="2:97" ht="12.75">
      <c r="B496" s="18"/>
      <c r="C496" s="18"/>
      <c r="D496" s="18"/>
      <c r="AG496" s="18"/>
      <c r="AH496" s="18"/>
      <c r="BO496" s="18"/>
      <c r="BP496" s="18"/>
      <c r="CR496" s="18"/>
      <c r="CS496" s="18"/>
    </row>
    <row r="497" spans="2:97" ht="12.75">
      <c r="B497" s="18"/>
      <c r="C497" s="18"/>
      <c r="D497" s="18"/>
      <c r="AG497" s="18"/>
      <c r="AH497" s="18"/>
      <c r="BO497" s="18"/>
      <c r="BP497" s="18"/>
      <c r="CR497" s="18"/>
      <c r="CS497" s="18"/>
    </row>
    <row r="498" spans="2:97" ht="12.75">
      <c r="B498" s="18"/>
      <c r="C498" s="18"/>
      <c r="D498" s="18"/>
      <c r="AG498" s="18"/>
      <c r="AH498" s="18"/>
      <c r="BO498" s="18"/>
      <c r="BP498" s="18"/>
      <c r="CR498" s="18"/>
      <c r="CS498" s="18"/>
    </row>
    <row r="499" spans="2:97" ht="12.75">
      <c r="B499" s="18"/>
      <c r="C499" s="18"/>
      <c r="D499" s="18"/>
      <c r="AG499" s="18"/>
      <c r="AH499" s="18"/>
      <c r="BO499" s="18"/>
      <c r="BP499" s="18"/>
      <c r="CR499" s="18"/>
      <c r="CS499" s="18"/>
    </row>
    <row r="500" spans="2:97" ht="12.75">
      <c r="B500" s="18"/>
      <c r="C500" s="18"/>
      <c r="D500" s="18"/>
      <c r="AG500" s="18"/>
      <c r="AH500" s="18"/>
      <c r="BO500" s="18"/>
      <c r="BP500" s="18"/>
      <c r="CR500" s="18"/>
      <c r="CS500" s="18"/>
    </row>
    <row r="501" spans="2:97" ht="12.75">
      <c r="B501" s="18"/>
      <c r="C501" s="18"/>
      <c r="D501" s="18"/>
      <c r="AG501" s="18"/>
      <c r="AH501" s="18"/>
      <c r="BO501" s="18"/>
      <c r="BP501" s="18"/>
      <c r="CR501" s="18"/>
      <c r="CS501" s="18"/>
    </row>
    <row r="502" spans="2:97" ht="12.75">
      <c r="B502" s="18"/>
      <c r="C502" s="18"/>
      <c r="D502" s="18"/>
      <c r="AG502" s="18"/>
      <c r="AH502" s="18"/>
      <c r="BO502" s="18"/>
      <c r="BP502" s="18"/>
      <c r="CR502" s="18"/>
      <c r="CS502" s="18"/>
    </row>
    <row r="503" spans="2:97" ht="12.75">
      <c r="B503" s="18"/>
      <c r="C503" s="18"/>
      <c r="D503" s="18"/>
      <c r="AG503" s="18"/>
      <c r="AH503" s="18"/>
      <c r="BO503" s="18"/>
      <c r="BP503" s="18"/>
      <c r="CR503" s="18"/>
      <c r="CS503" s="18"/>
    </row>
    <row r="504" spans="2:97" ht="12.75">
      <c r="B504" s="18"/>
      <c r="C504" s="18"/>
      <c r="D504" s="18"/>
      <c r="AG504" s="18"/>
      <c r="AH504" s="18"/>
      <c r="BO504" s="18"/>
      <c r="BP504" s="18"/>
      <c r="CR504" s="18"/>
      <c r="CS504" s="18"/>
    </row>
    <row r="505" spans="2:97" ht="12.75">
      <c r="B505" s="18"/>
      <c r="C505" s="18"/>
      <c r="D505" s="18"/>
      <c r="AG505" s="18"/>
      <c r="AH505" s="18"/>
      <c r="BO505" s="18"/>
      <c r="BP505" s="18"/>
      <c r="CR505" s="18"/>
      <c r="CS505" s="18"/>
    </row>
    <row r="506" spans="2:97" ht="12.75">
      <c r="B506" s="18"/>
      <c r="C506" s="18"/>
      <c r="D506" s="18"/>
      <c r="AG506" s="18"/>
      <c r="AH506" s="18"/>
      <c r="BO506" s="18"/>
      <c r="BP506" s="18"/>
      <c r="CR506" s="18"/>
      <c r="CS506" s="18"/>
    </row>
    <row r="507" spans="2:97" ht="12.75">
      <c r="B507" s="18"/>
      <c r="C507" s="18"/>
      <c r="D507" s="18"/>
      <c r="AG507" s="18"/>
      <c r="AH507" s="18"/>
      <c r="BO507" s="18"/>
      <c r="BP507" s="18"/>
      <c r="CR507" s="18"/>
      <c r="CS507" s="18"/>
    </row>
    <row r="508" spans="2:97" ht="12.75">
      <c r="B508" s="18"/>
      <c r="C508" s="18"/>
      <c r="D508" s="18"/>
      <c r="AG508" s="18"/>
      <c r="AH508" s="18"/>
      <c r="BO508" s="18"/>
      <c r="BP508" s="18"/>
      <c r="CR508" s="18"/>
      <c r="CS508" s="18"/>
    </row>
    <row r="509" spans="2:97" ht="12.75">
      <c r="B509" s="18"/>
      <c r="C509" s="18"/>
      <c r="D509" s="18"/>
      <c r="AG509" s="18"/>
      <c r="AH509" s="18"/>
      <c r="BO509" s="18"/>
      <c r="BP509" s="18"/>
      <c r="CR509" s="18"/>
      <c r="CS509" s="18"/>
    </row>
    <row r="510" spans="2:97" ht="12.75">
      <c r="B510" s="18"/>
      <c r="C510" s="18"/>
      <c r="D510" s="18"/>
      <c r="AG510" s="18"/>
      <c r="AH510" s="18"/>
      <c r="BO510" s="18"/>
      <c r="BP510" s="18"/>
      <c r="CR510" s="18"/>
      <c r="CS510" s="18"/>
    </row>
    <row r="511" spans="2:97" ht="12.75">
      <c r="B511" s="18"/>
      <c r="C511" s="18"/>
      <c r="D511" s="18"/>
      <c r="AG511" s="18"/>
      <c r="AH511" s="18"/>
      <c r="BO511" s="18"/>
      <c r="BP511" s="18"/>
      <c r="CR511" s="18"/>
      <c r="CS511" s="18"/>
    </row>
    <row r="512" spans="2:97" ht="12.75">
      <c r="B512" s="18"/>
      <c r="C512" s="18"/>
      <c r="D512" s="18"/>
      <c r="AG512" s="18"/>
      <c r="AH512" s="18"/>
      <c r="BO512" s="18"/>
      <c r="BP512" s="18"/>
      <c r="CR512" s="18"/>
      <c r="CS512" s="18"/>
    </row>
    <row r="513" spans="2:97" ht="12.75">
      <c r="B513" s="18"/>
      <c r="C513" s="18"/>
      <c r="D513" s="18"/>
      <c r="AG513" s="18"/>
      <c r="AH513" s="18"/>
      <c r="BO513" s="18"/>
      <c r="BP513" s="18"/>
      <c r="CR513" s="18"/>
      <c r="CS513" s="18"/>
    </row>
    <row r="514" spans="2:97" ht="12.75">
      <c r="B514" s="18"/>
      <c r="C514" s="18"/>
      <c r="D514" s="18"/>
      <c r="AG514" s="18"/>
      <c r="AH514" s="18"/>
      <c r="BO514" s="18"/>
      <c r="BP514" s="18"/>
      <c r="CR514" s="18"/>
      <c r="CS514" s="18"/>
    </row>
    <row r="515" spans="2:97" ht="12.75">
      <c r="B515" s="18"/>
      <c r="C515" s="18"/>
      <c r="D515" s="18"/>
      <c r="AG515" s="18"/>
      <c r="AH515" s="18"/>
      <c r="BO515" s="18"/>
      <c r="BP515" s="18"/>
      <c r="CR515" s="18"/>
      <c r="CS515" s="18"/>
    </row>
    <row r="516" spans="2:97" ht="12.75">
      <c r="B516" s="18"/>
      <c r="C516" s="18"/>
      <c r="D516" s="18"/>
      <c r="AG516" s="18"/>
      <c r="AH516" s="18"/>
      <c r="BO516" s="18"/>
      <c r="BP516" s="18"/>
      <c r="CR516" s="18"/>
      <c r="CS516" s="18"/>
    </row>
    <row r="517" spans="2:97" ht="12.75">
      <c r="B517" s="18"/>
      <c r="C517" s="18"/>
      <c r="D517" s="18"/>
      <c r="AG517" s="18"/>
      <c r="AH517" s="18"/>
      <c r="BO517" s="18"/>
      <c r="BP517" s="18"/>
      <c r="CR517" s="18"/>
      <c r="CS517" s="18"/>
    </row>
    <row r="518" spans="2:97" ht="12.75">
      <c r="B518" s="18"/>
      <c r="C518" s="18"/>
      <c r="D518" s="18"/>
      <c r="AG518" s="18"/>
      <c r="AH518" s="18"/>
      <c r="BO518" s="18"/>
      <c r="BP518" s="18"/>
      <c r="CR518" s="18"/>
      <c r="CS518" s="18"/>
    </row>
    <row r="519" spans="2:97" ht="12.75">
      <c r="B519" s="18"/>
      <c r="C519" s="18"/>
      <c r="D519" s="18"/>
      <c r="AG519" s="18"/>
      <c r="AH519" s="18"/>
      <c r="BO519" s="18"/>
      <c r="BP519" s="18"/>
      <c r="CR519" s="18"/>
      <c r="CS519" s="18"/>
    </row>
    <row r="520" spans="2:97" ht="12.75">
      <c r="B520" s="18"/>
      <c r="C520" s="18"/>
      <c r="D520" s="18"/>
      <c r="AG520" s="18"/>
      <c r="AH520" s="18"/>
      <c r="BO520" s="18"/>
      <c r="BP520" s="18"/>
      <c r="CR520" s="18"/>
      <c r="CS520" s="18"/>
    </row>
    <row r="521" spans="2:97" ht="12.75">
      <c r="B521" s="18"/>
      <c r="C521" s="18"/>
      <c r="D521" s="18"/>
      <c r="AG521" s="18"/>
      <c r="AH521" s="18"/>
      <c r="BO521" s="18"/>
      <c r="BP521" s="18"/>
      <c r="CR521" s="18"/>
      <c r="CS521" s="18"/>
    </row>
    <row r="522" spans="2:97" ht="12.75">
      <c r="B522" s="18"/>
      <c r="C522" s="18"/>
      <c r="D522" s="18"/>
      <c r="AG522" s="18"/>
      <c r="AH522" s="18"/>
      <c r="BO522" s="18"/>
      <c r="BP522" s="18"/>
      <c r="CR522" s="18"/>
      <c r="CS522" s="18"/>
    </row>
    <row r="523" spans="2:97" ht="12.75">
      <c r="B523" s="18"/>
      <c r="C523" s="18"/>
      <c r="D523" s="18"/>
      <c r="AG523" s="18"/>
      <c r="AH523" s="18"/>
      <c r="BO523" s="18"/>
      <c r="BP523" s="18"/>
      <c r="CR523" s="18"/>
      <c r="CS523" s="18"/>
    </row>
    <row r="524" spans="2:97" ht="12.75">
      <c r="B524" s="18"/>
      <c r="C524" s="18"/>
      <c r="D524" s="18"/>
      <c r="AG524" s="18"/>
      <c r="AH524" s="18"/>
      <c r="BO524" s="18"/>
      <c r="BP524" s="18"/>
      <c r="CR524" s="18"/>
      <c r="CS524" s="18"/>
    </row>
    <row r="525" spans="2:97" ht="12.75">
      <c r="B525" s="18"/>
      <c r="C525" s="18"/>
      <c r="D525" s="18"/>
      <c r="AG525" s="18"/>
      <c r="AH525" s="18"/>
      <c r="BO525" s="18"/>
      <c r="BP525" s="18"/>
      <c r="CR525" s="18"/>
      <c r="CS525" s="18"/>
    </row>
    <row r="526" spans="2:97" ht="12.75">
      <c r="B526" s="18"/>
      <c r="C526" s="18"/>
      <c r="D526" s="18"/>
      <c r="AG526" s="18"/>
      <c r="AH526" s="18"/>
      <c r="BO526" s="18"/>
      <c r="BP526" s="18"/>
      <c r="CR526" s="18"/>
      <c r="CS526" s="18"/>
    </row>
    <row r="527" spans="2:97" ht="12.75">
      <c r="B527" s="18"/>
      <c r="C527" s="18"/>
      <c r="D527" s="18"/>
      <c r="AG527" s="18"/>
      <c r="AH527" s="18"/>
      <c r="BO527" s="18"/>
      <c r="BP527" s="18"/>
      <c r="CR527" s="18"/>
      <c r="CS527" s="18"/>
    </row>
    <row r="528" spans="2:97" ht="12.75">
      <c r="B528" s="18"/>
      <c r="C528" s="18"/>
      <c r="D528" s="18"/>
      <c r="AG528" s="18"/>
      <c r="AH528" s="18"/>
      <c r="BO528" s="18"/>
      <c r="BP528" s="18"/>
      <c r="CR528" s="18"/>
      <c r="CS528" s="18"/>
    </row>
    <row r="529" spans="2:97" ht="12.75">
      <c r="B529" s="18"/>
      <c r="C529" s="18"/>
      <c r="D529" s="18"/>
      <c r="AG529" s="18"/>
      <c r="AH529" s="18"/>
      <c r="BO529" s="18"/>
      <c r="BP529" s="18"/>
      <c r="CR529" s="18"/>
      <c r="CS529" s="18"/>
    </row>
    <row r="530" spans="2:97" ht="12.75">
      <c r="B530" s="18"/>
      <c r="C530" s="18"/>
      <c r="D530" s="18"/>
      <c r="AG530" s="18"/>
      <c r="AH530" s="18"/>
      <c r="BO530" s="18"/>
      <c r="BP530" s="18"/>
      <c r="CR530" s="18"/>
      <c r="CS530" s="18"/>
    </row>
    <row r="531" spans="2:97" ht="12.75">
      <c r="B531" s="18"/>
      <c r="C531" s="18"/>
      <c r="D531" s="18"/>
      <c r="AG531" s="18"/>
      <c r="AH531" s="18"/>
      <c r="BO531" s="18"/>
      <c r="BP531" s="18"/>
      <c r="CR531" s="18"/>
      <c r="CS531" s="18"/>
    </row>
    <row r="532" spans="2:97" ht="12.75">
      <c r="B532" s="18"/>
      <c r="C532" s="18"/>
      <c r="D532" s="18"/>
      <c r="AG532" s="18"/>
      <c r="AH532" s="18"/>
      <c r="BO532" s="18"/>
      <c r="BP532" s="18"/>
      <c r="CR532" s="18"/>
      <c r="CS532" s="18"/>
    </row>
    <row r="533" spans="2:97" ht="12.75">
      <c r="B533" s="18"/>
      <c r="C533" s="18"/>
      <c r="D533" s="18"/>
      <c r="AG533" s="18"/>
      <c r="AH533" s="18"/>
      <c r="BO533" s="18"/>
      <c r="BP533" s="18"/>
      <c r="CR533" s="18"/>
      <c r="CS533" s="18"/>
    </row>
    <row r="534" spans="2:97" ht="12.75">
      <c r="B534" s="18"/>
      <c r="C534" s="18"/>
      <c r="D534" s="18"/>
      <c r="AG534" s="18"/>
      <c r="AH534" s="18"/>
      <c r="BO534" s="18"/>
      <c r="BP534" s="18"/>
      <c r="CR534" s="18"/>
      <c r="CS534" s="18"/>
    </row>
    <row r="535" spans="2:97" ht="12.75">
      <c r="B535" s="18"/>
      <c r="C535" s="18"/>
      <c r="D535" s="18"/>
      <c r="AG535" s="18"/>
      <c r="AH535" s="18"/>
      <c r="BO535" s="18"/>
      <c r="BP535" s="18"/>
      <c r="CR535" s="18"/>
      <c r="CS535" s="18"/>
    </row>
    <row r="536" spans="2:97" ht="12.75">
      <c r="B536" s="18"/>
      <c r="C536" s="18"/>
      <c r="D536" s="18"/>
      <c r="AG536" s="18"/>
      <c r="AH536" s="18"/>
      <c r="BO536" s="18"/>
      <c r="BP536" s="18"/>
      <c r="CR536" s="18"/>
      <c r="CS536" s="18"/>
    </row>
    <row r="537" spans="2:97" ht="12.75">
      <c r="B537" s="18"/>
      <c r="C537" s="18"/>
      <c r="D537" s="18"/>
      <c r="AG537" s="18"/>
      <c r="AH537" s="18"/>
      <c r="BO537" s="18"/>
      <c r="BP537" s="18"/>
      <c r="CR537" s="18"/>
      <c r="CS537" s="18"/>
    </row>
    <row r="538" spans="2:97" ht="12.75">
      <c r="B538" s="18"/>
      <c r="C538" s="18"/>
      <c r="D538" s="18"/>
      <c r="AG538" s="18"/>
      <c r="AH538" s="18"/>
      <c r="BO538" s="18"/>
      <c r="BP538" s="18"/>
      <c r="CR538" s="18"/>
      <c r="CS538" s="18"/>
    </row>
    <row r="539" spans="2:97" ht="12.75">
      <c r="B539" s="18"/>
      <c r="C539" s="18"/>
      <c r="D539" s="18"/>
      <c r="AG539" s="18"/>
      <c r="AH539" s="18"/>
      <c r="BO539" s="18"/>
      <c r="BP539" s="18"/>
      <c r="CR539" s="18"/>
      <c r="CS539" s="18"/>
    </row>
    <row r="540" spans="2:97" ht="12.75">
      <c r="B540" s="18"/>
      <c r="C540" s="18"/>
      <c r="D540" s="18"/>
      <c r="AG540" s="18"/>
      <c r="AH540" s="18"/>
      <c r="BO540" s="18"/>
      <c r="BP540" s="18"/>
      <c r="CR540" s="18"/>
      <c r="CS540" s="18"/>
    </row>
    <row r="541" spans="2:97" ht="12.75">
      <c r="B541" s="18"/>
      <c r="C541" s="18"/>
      <c r="D541" s="18"/>
      <c r="AG541" s="18"/>
      <c r="AH541" s="18"/>
      <c r="BO541" s="18"/>
      <c r="BP541" s="18"/>
      <c r="CR541" s="18"/>
      <c r="CS541" s="18"/>
    </row>
    <row r="542" spans="2:97" ht="12.75">
      <c r="B542" s="18"/>
      <c r="C542" s="18"/>
      <c r="D542" s="18"/>
      <c r="AG542" s="18"/>
      <c r="AH542" s="18"/>
      <c r="BO542" s="18"/>
      <c r="BP542" s="18"/>
      <c r="CR542" s="18"/>
      <c r="CS542" s="18"/>
    </row>
    <row r="543" spans="2:97" ht="12.75">
      <c r="B543" s="18"/>
      <c r="C543" s="18"/>
      <c r="D543" s="18"/>
      <c r="AG543" s="18"/>
      <c r="AH543" s="18"/>
      <c r="BO543" s="18"/>
      <c r="BP543" s="18"/>
      <c r="CR543" s="18"/>
      <c r="CS543" s="18"/>
    </row>
    <row r="544" spans="2:97" ht="12.75">
      <c r="B544" s="18"/>
      <c r="C544" s="18"/>
      <c r="D544" s="18"/>
      <c r="AG544" s="18"/>
      <c r="AH544" s="18"/>
      <c r="BO544" s="18"/>
      <c r="BP544" s="18"/>
      <c r="CR544" s="18"/>
      <c r="CS544" s="18"/>
    </row>
    <row r="545" spans="2:97" ht="12.75">
      <c r="B545" s="18"/>
      <c r="C545" s="18"/>
      <c r="D545" s="18"/>
      <c r="AG545" s="18"/>
      <c r="AH545" s="18"/>
      <c r="BO545" s="18"/>
      <c r="BP545" s="18"/>
      <c r="CR545" s="18"/>
      <c r="CS545" s="18"/>
    </row>
    <row r="546" spans="2:97" ht="12.75">
      <c r="B546" s="18"/>
      <c r="C546" s="18"/>
      <c r="D546" s="18"/>
      <c r="AG546" s="18"/>
      <c r="AH546" s="18"/>
      <c r="BO546" s="18"/>
      <c r="BP546" s="18"/>
      <c r="CR546" s="18"/>
      <c r="CS546" s="18"/>
    </row>
    <row r="547" spans="2:97" ht="12.75">
      <c r="B547" s="18"/>
      <c r="C547" s="18"/>
      <c r="D547" s="18"/>
      <c r="AG547" s="18"/>
      <c r="AH547" s="18"/>
      <c r="BO547" s="18"/>
      <c r="BP547" s="18"/>
      <c r="CR547" s="18"/>
      <c r="CS547" s="18"/>
    </row>
    <row r="548" spans="2:97" ht="12.75">
      <c r="B548" s="18"/>
      <c r="C548" s="18"/>
      <c r="D548" s="18"/>
      <c r="AG548" s="18"/>
      <c r="AH548" s="18"/>
      <c r="BO548" s="18"/>
      <c r="BP548" s="18"/>
      <c r="CR548" s="18"/>
      <c r="CS548" s="18"/>
    </row>
    <row r="549" spans="2:97" ht="12.75">
      <c r="B549" s="18"/>
      <c r="C549" s="18"/>
      <c r="D549" s="18"/>
      <c r="AG549" s="18"/>
      <c r="AH549" s="18"/>
      <c r="BO549" s="18"/>
      <c r="BP549" s="18"/>
      <c r="CR549" s="18"/>
      <c r="CS549" s="18"/>
    </row>
    <row r="550" spans="2:97" ht="12.75">
      <c r="B550" s="18"/>
      <c r="C550" s="18"/>
      <c r="D550" s="18"/>
      <c r="AG550" s="18"/>
      <c r="AH550" s="18"/>
      <c r="BO550" s="18"/>
      <c r="BP550" s="18"/>
      <c r="CR550" s="18"/>
      <c r="CS550" s="18"/>
    </row>
    <row r="551" spans="2:97" ht="12.75">
      <c r="B551" s="18"/>
      <c r="C551" s="18"/>
      <c r="D551" s="18"/>
      <c r="AG551" s="18"/>
      <c r="AH551" s="18"/>
      <c r="BO551" s="18"/>
      <c r="BP551" s="18"/>
      <c r="CR551" s="18"/>
      <c r="CS551" s="18"/>
    </row>
    <row r="552" spans="2:97" ht="12.75">
      <c r="B552" s="18"/>
      <c r="C552" s="18"/>
      <c r="D552" s="18"/>
      <c r="AG552" s="18"/>
      <c r="AH552" s="18"/>
      <c r="BO552" s="18"/>
      <c r="BP552" s="18"/>
      <c r="CR552" s="18"/>
      <c r="CS552" s="18"/>
    </row>
    <row r="553" spans="2:97" ht="12.75">
      <c r="B553" s="18"/>
      <c r="C553" s="18"/>
      <c r="D553" s="18"/>
      <c r="AG553" s="18"/>
      <c r="AH553" s="18"/>
      <c r="BO553" s="18"/>
      <c r="BP553" s="18"/>
      <c r="CR553" s="18"/>
      <c r="CS553" s="18"/>
    </row>
    <row r="554" spans="2:97" ht="12.75">
      <c r="B554" s="18"/>
      <c r="C554" s="18"/>
      <c r="D554" s="18"/>
      <c r="AG554" s="18"/>
      <c r="AH554" s="18"/>
      <c r="BO554" s="18"/>
      <c r="BP554" s="18"/>
      <c r="CR554" s="18"/>
      <c r="CS554" s="18"/>
    </row>
    <row r="555" spans="2:97" ht="12.75">
      <c r="B555" s="18"/>
      <c r="C555" s="18"/>
      <c r="D555" s="18"/>
      <c r="AG555" s="18"/>
      <c r="AH555" s="18"/>
      <c r="BO555" s="18"/>
      <c r="BP555" s="18"/>
      <c r="CR555" s="18"/>
      <c r="CS555" s="18"/>
    </row>
    <row r="556" spans="2:97" ht="12.75">
      <c r="B556" s="18"/>
      <c r="C556" s="18"/>
      <c r="D556" s="18"/>
      <c r="AG556" s="18"/>
      <c r="AH556" s="18"/>
      <c r="BO556" s="18"/>
      <c r="BP556" s="18"/>
      <c r="CR556" s="18"/>
      <c r="CS556" s="18"/>
    </row>
    <row r="557" spans="2:97" ht="12.75">
      <c r="B557" s="18"/>
      <c r="C557" s="18"/>
      <c r="D557" s="18"/>
      <c r="AG557" s="18"/>
      <c r="AH557" s="18"/>
      <c r="BO557" s="18"/>
      <c r="BP557" s="18"/>
      <c r="CR557" s="18"/>
      <c r="CS557" s="18"/>
    </row>
    <row r="558" spans="2:97" ht="12.75">
      <c r="B558" s="18"/>
      <c r="C558" s="18"/>
      <c r="D558" s="18"/>
      <c r="AG558" s="18"/>
      <c r="AH558" s="18"/>
      <c r="BO558" s="18"/>
      <c r="BP558" s="18"/>
      <c r="CR558" s="18"/>
      <c r="CS558" s="18"/>
    </row>
    <row r="559" spans="2:97" ht="12.75">
      <c r="B559" s="18"/>
      <c r="C559" s="18"/>
      <c r="D559" s="18"/>
      <c r="AG559" s="18"/>
      <c r="AH559" s="18"/>
      <c r="BO559" s="18"/>
      <c r="BP559" s="18"/>
      <c r="CR559" s="18"/>
      <c r="CS559" s="18"/>
    </row>
    <row r="560" spans="2:97" ht="12.75">
      <c r="B560" s="18"/>
      <c r="C560" s="18"/>
      <c r="D560" s="18"/>
      <c r="AG560" s="18"/>
      <c r="AH560" s="18"/>
      <c r="BO560" s="18"/>
      <c r="BP560" s="18"/>
      <c r="CR560" s="18"/>
      <c r="CS560" s="18"/>
    </row>
    <row r="561" spans="2:97" ht="12.75">
      <c r="B561" s="18"/>
      <c r="C561" s="18"/>
      <c r="D561" s="18"/>
      <c r="AG561" s="18"/>
      <c r="AH561" s="18"/>
      <c r="BO561" s="18"/>
      <c r="BP561" s="18"/>
      <c r="CR561" s="18"/>
      <c r="CS561" s="18"/>
    </row>
    <row r="562" spans="2:97" ht="12.75">
      <c r="B562" s="18"/>
      <c r="C562" s="18"/>
      <c r="D562" s="18"/>
      <c r="AG562" s="18"/>
      <c r="AH562" s="18"/>
      <c r="BO562" s="18"/>
      <c r="BP562" s="18"/>
      <c r="CR562" s="18"/>
      <c r="CS562" s="18"/>
    </row>
    <row r="563" spans="2:97" ht="12.75">
      <c r="B563" s="18"/>
      <c r="C563" s="18"/>
      <c r="D563" s="18"/>
      <c r="AG563" s="18"/>
      <c r="AH563" s="18"/>
      <c r="BO563" s="18"/>
      <c r="BP563" s="18"/>
      <c r="CR563" s="18"/>
      <c r="CS563" s="18"/>
    </row>
    <row r="564" spans="2:97" ht="12.75">
      <c r="B564" s="18"/>
      <c r="C564" s="18"/>
      <c r="D564" s="18"/>
      <c r="AG564" s="18"/>
      <c r="AH564" s="18"/>
      <c r="BO564" s="18"/>
      <c r="BP564" s="18"/>
      <c r="CR564" s="18"/>
      <c r="CS564" s="18"/>
    </row>
    <row r="565" spans="2:97" ht="12.75">
      <c r="B565" s="18"/>
      <c r="C565" s="18"/>
      <c r="D565" s="18"/>
      <c r="AG565" s="18"/>
      <c r="AH565" s="18"/>
      <c r="BO565" s="18"/>
      <c r="BP565" s="18"/>
      <c r="CR565" s="18"/>
      <c r="CS565" s="18"/>
    </row>
    <row r="566" spans="2:97" ht="12.75">
      <c r="B566" s="18"/>
      <c r="C566" s="18"/>
      <c r="D566" s="18"/>
      <c r="AG566" s="18"/>
      <c r="AH566" s="18"/>
      <c r="BO566" s="18"/>
      <c r="BP566" s="18"/>
      <c r="CR566" s="18"/>
      <c r="CS566" s="18"/>
    </row>
    <row r="567" spans="2:97" ht="12.75">
      <c r="B567" s="18"/>
      <c r="C567" s="18"/>
      <c r="D567" s="18"/>
      <c r="AG567" s="18"/>
      <c r="AH567" s="18"/>
      <c r="BO567" s="18"/>
      <c r="BP567" s="18"/>
      <c r="CR567" s="18"/>
      <c r="CS567" s="18"/>
    </row>
    <row r="568" spans="2:97" ht="12.75">
      <c r="B568" s="18"/>
      <c r="C568" s="18"/>
      <c r="D568" s="18"/>
      <c r="AG568" s="18"/>
      <c r="AH568" s="18"/>
      <c r="BO568" s="18"/>
      <c r="BP568" s="18"/>
      <c r="CR568" s="18"/>
      <c r="CS568" s="18"/>
    </row>
    <row r="569" spans="2:97" ht="12.75">
      <c r="B569" s="18"/>
      <c r="C569" s="18"/>
      <c r="D569" s="18"/>
      <c r="AG569" s="18"/>
      <c r="AH569" s="18"/>
      <c r="BO569" s="18"/>
      <c r="BP569" s="18"/>
      <c r="CR569" s="18"/>
      <c r="CS569" s="18"/>
    </row>
    <row r="570" spans="2:97" ht="12.75">
      <c r="B570" s="18"/>
      <c r="C570" s="18"/>
      <c r="D570" s="18"/>
      <c r="AG570" s="18"/>
      <c r="AH570" s="18"/>
      <c r="BO570" s="18"/>
      <c r="BP570" s="18"/>
      <c r="CR570" s="18"/>
      <c r="CS570" s="18"/>
    </row>
    <row r="571" spans="2:97" ht="12.75">
      <c r="B571" s="18"/>
      <c r="C571" s="18"/>
      <c r="D571" s="18"/>
      <c r="AG571" s="18"/>
      <c r="AH571" s="18"/>
      <c r="BO571" s="18"/>
      <c r="BP571" s="18"/>
      <c r="CR571" s="18"/>
      <c r="CS571" s="18"/>
    </row>
    <row r="572" spans="2:97" ht="12.75">
      <c r="B572" s="18"/>
      <c r="C572" s="18"/>
      <c r="D572" s="18"/>
      <c r="AG572" s="18"/>
      <c r="AH572" s="18"/>
      <c r="BO572" s="18"/>
      <c r="BP572" s="18"/>
      <c r="CR572" s="18"/>
      <c r="CS572" s="18"/>
    </row>
    <row r="573" spans="2:97" ht="12.75">
      <c r="B573" s="18"/>
      <c r="C573" s="18"/>
      <c r="D573" s="18"/>
      <c r="AG573" s="18"/>
      <c r="AH573" s="18"/>
      <c r="BO573" s="18"/>
      <c r="BP573" s="18"/>
      <c r="CR573" s="18"/>
      <c r="CS573" s="18"/>
    </row>
    <row r="574" spans="2:97" ht="12.75">
      <c r="B574" s="18"/>
      <c r="C574" s="18"/>
      <c r="D574" s="18"/>
      <c r="AG574" s="18"/>
      <c r="AH574" s="18"/>
      <c r="BO574" s="18"/>
      <c r="BP574" s="18"/>
      <c r="CR574" s="18"/>
      <c r="CS574" s="18"/>
    </row>
    <row r="575" spans="2:97" ht="12.75">
      <c r="B575" s="18"/>
      <c r="C575" s="18"/>
      <c r="D575" s="18"/>
      <c r="AG575" s="18"/>
      <c r="AH575" s="18"/>
      <c r="BO575" s="18"/>
      <c r="BP575" s="18"/>
      <c r="CR575" s="18"/>
      <c r="CS575" s="18"/>
    </row>
    <row r="576" spans="2:97" ht="12.75">
      <c r="B576" s="18"/>
      <c r="C576" s="18"/>
      <c r="D576" s="18"/>
      <c r="AG576" s="18"/>
      <c r="AH576" s="18"/>
      <c r="BO576" s="18"/>
      <c r="BP576" s="18"/>
      <c r="CR576" s="18"/>
      <c r="CS576" s="18"/>
    </row>
    <row r="577" spans="2:97" ht="12.75">
      <c r="B577" s="18"/>
      <c r="C577" s="18"/>
      <c r="D577" s="18"/>
      <c r="AG577" s="18"/>
      <c r="AH577" s="18"/>
      <c r="BO577" s="18"/>
      <c r="BP577" s="18"/>
      <c r="CR577" s="18"/>
      <c r="CS577" s="18"/>
    </row>
    <row r="578" spans="2:97" ht="12.75">
      <c r="B578" s="18"/>
      <c r="C578" s="18"/>
      <c r="D578" s="18"/>
      <c r="AG578" s="18"/>
      <c r="AH578" s="18"/>
      <c r="BO578" s="18"/>
      <c r="BP578" s="18"/>
      <c r="CR578" s="18"/>
      <c r="CS578" s="18"/>
    </row>
    <row r="579" spans="2:97" ht="12.75">
      <c r="B579" s="18"/>
      <c r="C579" s="18"/>
      <c r="D579" s="18"/>
      <c r="AG579" s="18"/>
      <c r="AH579" s="18"/>
      <c r="BO579" s="18"/>
      <c r="BP579" s="18"/>
      <c r="CR579" s="18"/>
      <c r="CS579" s="18"/>
    </row>
    <row r="580" spans="2:97" ht="12.75">
      <c r="B580" s="18"/>
      <c r="C580" s="18"/>
      <c r="D580" s="18"/>
      <c r="AG580" s="18"/>
      <c r="AH580" s="18"/>
      <c r="BO580" s="18"/>
      <c r="BP580" s="18"/>
      <c r="CR580" s="18"/>
      <c r="CS580" s="18"/>
    </row>
    <row r="581" spans="2:97" ht="12.75">
      <c r="B581" s="18"/>
      <c r="C581" s="18"/>
      <c r="D581" s="18"/>
      <c r="AG581" s="18"/>
      <c r="AH581" s="18"/>
      <c r="BO581" s="18"/>
      <c r="BP581" s="18"/>
      <c r="CR581" s="18"/>
      <c r="CS581" s="18"/>
    </row>
    <row r="582" spans="2:97" ht="12.75">
      <c r="B582" s="18"/>
      <c r="C582" s="18"/>
      <c r="D582" s="18"/>
      <c r="AG582" s="18"/>
      <c r="AH582" s="18"/>
      <c r="BO582" s="18"/>
      <c r="BP582" s="18"/>
      <c r="CR582" s="18"/>
      <c r="CS582" s="18"/>
    </row>
    <row r="583" spans="2:97" ht="12.75">
      <c r="B583" s="18"/>
      <c r="C583" s="18"/>
      <c r="D583" s="18"/>
      <c r="AG583" s="18"/>
      <c r="AH583" s="18"/>
      <c r="BO583" s="18"/>
      <c r="BP583" s="18"/>
      <c r="CR583" s="18"/>
      <c r="CS583" s="18"/>
    </row>
    <row r="584" spans="2:97" ht="12.75">
      <c r="B584" s="18"/>
      <c r="C584" s="18"/>
      <c r="D584" s="18"/>
      <c r="AG584" s="18"/>
      <c r="AH584" s="18"/>
      <c r="BO584" s="18"/>
      <c r="BP584" s="18"/>
      <c r="CR584" s="18"/>
      <c r="CS584" s="18"/>
    </row>
    <row r="585" spans="2:97" ht="12.75">
      <c r="B585" s="18"/>
      <c r="C585" s="18"/>
      <c r="D585" s="18"/>
      <c r="AG585" s="18"/>
      <c r="AH585" s="18"/>
      <c r="BO585" s="18"/>
      <c r="BP585" s="18"/>
      <c r="CR585" s="18"/>
      <c r="CS585" s="18"/>
    </row>
    <row r="586" spans="2:97" ht="12.75">
      <c r="B586" s="18"/>
      <c r="C586" s="18"/>
      <c r="D586" s="18"/>
      <c r="AG586" s="18"/>
      <c r="AH586" s="18"/>
      <c r="BO586" s="18"/>
      <c r="BP586" s="18"/>
      <c r="CR586" s="18"/>
      <c r="CS586" s="18"/>
    </row>
    <row r="587" spans="2:97" ht="12.75">
      <c r="B587" s="18"/>
      <c r="C587" s="18"/>
      <c r="D587" s="18"/>
      <c r="AG587" s="18"/>
      <c r="AH587" s="18"/>
      <c r="BO587" s="18"/>
      <c r="BP587" s="18"/>
      <c r="CR587" s="18"/>
      <c r="CS587" s="18"/>
    </row>
    <row r="588" spans="2:97" ht="12.75">
      <c r="B588" s="18"/>
      <c r="C588" s="18"/>
      <c r="D588" s="18"/>
      <c r="AG588" s="18"/>
      <c r="AH588" s="18"/>
      <c r="BO588" s="18"/>
      <c r="BP588" s="18"/>
      <c r="CR588" s="18"/>
      <c r="CS588" s="18"/>
    </row>
    <row r="589" spans="2:97" ht="12.75">
      <c r="B589" s="18"/>
      <c r="C589" s="18"/>
      <c r="D589" s="18"/>
      <c r="AG589" s="18"/>
      <c r="AH589" s="18"/>
      <c r="BO589" s="18"/>
      <c r="BP589" s="18"/>
      <c r="CR589" s="18"/>
      <c r="CS589" s="18"/>
    </row>
    <row r="590" spans="2:97" ht="12.75">
      <c r="B590" s="18"/>
      <c r="C590" s="18"/>
      <c r="D590" s="18"/>
      <c r="AG590" s="18"/>
      <c r="AH590" s="18"/>
      <c r="BO590" s="18"/>
      <c r="BP590" s="18"/>
      <c r="CR590" s="18"/>
      <c r="CS590" s="18"/>
    </row>
    <row r="591" spans="2:97" ht="12.75">
      <c r="B591" s="18"/>
      <c r="C591" s="18"/>
      <c r="D591" s="18"/>
      <c r="AG591" s="18"/>
      <c r="AH591" s="18"/>
      <c r="BO591" s="18"/>
      <c r="BP591" s="18"/>
      <c r="CR591" s="18"/>
      <c r="CS591" s="18"/>
    </row>
    <row r="592" spans="2:97" ht="12.75">
      <c r="B592" s="18"/>
      <c r="C592" s="18"/>
      <c r="D592" s="18"/>
      <c r="AG592" s="18"/>
      <c r="AH592" s="18"/>
      <c r="BO592" s="18"/>
      <c r="BP592" s="18"/>
      <c r="CR592" s="18"/>
      <c r="CS592" s="18"/>
    </row>
    <row r="593" spans="2:97" ht="12.75">
      <c r="B593" s="18"/>
      <c r="C593" s="18"/>
      <c r="D593" s="18"/>
      <c r="AG593" s="18"/>
      <c r="AH593" s="18"/>
      <c r="BO593" s="18"/>
      <c r="BP593" s="18"/>
      <c r="CR593" s="18"/>
      <c r="CS593" s="18"/>
    </row>
    <row r="594" spans="2:97" ht="12.75">
      <c r="B594" s="18"/>
      <c r="C594" s="18"/>
      <c r="D594" s="18"/>
      <c r="AG594" s="18"/>
      <c r="AH594" s="18"/>
      <c r="BO594" s="18"/>
      <c r="BP594" s="18"/>
      <c r="CR594" s="18"/>
      <c r="CS594" s="18"/>
    </row>
    <row r="595" spans="2:97" ht="12.75">
      <c r="B595" s="18"/>
      <c r="C595" s="18"/>
      <c r="D595" s="18"/>
      <c r="AG595" s="18"/>
      <c r="AH595" s="18"/>
      <c r="BO595" s="18"/>
      <c r="BP595" s="18"/>
      <c r="CR595" s="18"/>
      <c r="CS595" s="18"/>
    </row>
    <row r="596" spans="2:97" ht="12.75">
      <c r="B596" s="18"/>
      <c r="C596" s="18"/>
      <c r="D596" s="18"/>
      <c r="AG596" s="18"/>
      <c r="AH596" s="18"/>
      <c r="BO596" s="18"/>
      <c r="BP596" s="18"/>
      <c r="CR596" s="18"/>
      <c r="CS596" s="18"/>
    </row>
    <row r="597" spans="2:97" ht="12.75">
      <c r="B597" s="18"/>
      <c r="C597" s="18"/>
      <c r="D597" s="18"/>
      <c r="AG597" s="18"/>
      <c r="AH597" s="18"/>
      <c r="BO597" s="18"/>
      <c r="BP597" s="18"/>
      <c r="CR597" s="18"/>
      <c r="CS597" s="18"/>
    </row>
    <row r="598" spans="2:97" ht="12.75">
      <c r="B598" s="18"/>
      <c r="C598" s="18"/>
      <c r="D598" s="18"/>
      <c r="AG598" s="18"/>
      <c r="AH598" s="18"/>
      <c r="BO598" s="18"/>
      <c r="BP598" s="18"/>
      <c r="CR598" s="18"/>
      <c r="CS598" s="18"/>
    </row>
    <row r="599" spans="2:97" ht="12.75">
      <c r="B599" s="18"/>
      <c r="C599" s="18"/>
      <c r="D599" s="18"/>
      <c r="AG599" s="18"/>
      <c r="AH599" s="18"/>
      <c r="BO599" s="18"/>
      <c r="BP599" s="18"/>
      <c r="CR599" s="18"/>
      <c r="CS599" s="18"/>
    </row>
    <row r="600" spans="2:97" ht="12.75">
      <c r="B600" s="18"/>
      <c r="C600" s="18"/>
      <c r="D600" s="18"/>
      <c r="AG600" s="18"/>
      <c r="AH600" s="18"/>
      <c r="BO600" s="18"/>
      <c r="BP600" s="18"/>
      <c r="CR600" s="18"/>
      <c r="CS600" s="18"/>
    </row>
    <row r="601" spans="2:97" ht="12.75">
      <c r="B601" s="18"/>
      <c r="C601" s="18"/>
      <c r="D601" s="18"/>
      <c r="AG601" s="18"/>
      <c r="AH601" s="18"/>
      <c r="BO601" s="18"/>
      <c r="BP601" s="18"/>
      <c r="CR601" s="18"/>
      <c r="CS601" s="18"/>
    </row>
    <row r="602" spans="2:97" ht="12.75">
      <c r="B602" s="18"/>
      <c r="C602" s="18"/>
      <c r="D602" s="18"/>
      <c r="AG602" s="18"/>
      <c r="AH602" s="18"/>
      <c r="BO602" s="18"/>
      <c r="BP602" s="18"/>
      <c r="CR602" s="18"/>
      <c r="CS602" s="18"/>
    </row>
    <row r="603" spans="2:97" ht="12.75">
      <c r="B603" s="18"/>
      <c r="C603" s="18"/>
      <c r="D603" s="18"/>
      <c r="AG603" s="18"/>
      <c r="AH603" s="18"/>
      <c r="BO603" s="18"/>
      <c r="BP603" s="18"/>
      <c r="CR603" s="18"/>
      <c r="CS603" s="18"/>
    </row>
    <row r="604" spans="2:97" ht="12.75">
      <c r="B604" s="18"/>
      <c r="C604" s="18"/>
      <c r="D604" s="18"/>
      <c r="AG604" s="18"/>
      <c r="AH604" s="18"/>
      <c r="BO604" s="18"/>
      <c r="BP604" s="18"/>
      <c r="CR604" s="18"/>
      <c r="CS604" s="18"/>
    </row>
    <row r="605" spans="2:97" ht="12.75">
      <c r="B605" s="18"/>
      <c r="C605" s="18"/>
      <c r="D605" s="18"/>
      <c r="AG605" s="18"/>
      <c r="AH605" s="18"/>
      <c r="BO605" s="18"/>
      <c r="BP605" s="18"/>
      <c r="CR605" s="18"/>
      <c r="CS605" s="18"/>
    </row>
    <row r="606" spans="2:97" ht="12.75">
      <c r="B606" s="18"/>
      <c r="C606" s="18"/>
      <c r="D606" s="18"/>
      <c r="AG606" s="18"/>
      <c r="AH606" s="18"/>
      <c r="BO606" s="18"/>
      <c r="BP606" s="18"/>
      <c r="CR606" s="18"/>
      <c r="CS606" s="18"/>
    </row>
    <row r="607" spans="2:97" ht="12.75">
      <c r="B607" s="18"/>
      <c r="C607" s="18"/>
      <c r="D607" s="18"/>
      <c r="AG607" s="18"/>
      <c r="AH607" s="18"/>
      <c r="BO607" s="18"/>
      <c r="BP607" s="18"/>
      <c r="CR607" s="18"/>
      <c r="CS607" s="18"/>
    </row>
    <row r="608" spans="2:97" ht="12.75">
      <c r="B608" s="18"/>
      <c r="C608" s="18"/>
      <c r="D608" s="18"/>
      <c r="AG608" s="18"/>
      <c r="AH608" s="18"/>
      <c r="BO608" s="18"/>
      <c r="BP608" s="18"/>
      <c r="CR608" s="18"/>
      <c r="CS608" s="18"/>
    </row>
    <row r="609" spans="2:97" ht="12.75">
      <c r="B609" s="18"/>
      <c r="C609" s="18"/>
      <c r="D609" s="18"/>
      <c r="AG609" s="18"/>
      <c r="AH609" s="18"/>
      <c r="BO609" s="18"/>
      <c r="BP609" s="18"/>
      <c r="CR609" s="18"/>
      <c r="CS609" s="18"/>
    </row>
    <row r="610" spans="2:97" ht="12.75">
      <c r="B610" s="18"/>
      <c r="C610" s="18"/>
      <c r="D610" s="18"/>
      <c r="AG610" s="18"/>
      <c r="AH610" s="18"/>
      <c r="BO610" s="18"/>
      <c r="BP610" s="18"/>
      <c r="CR610" s="18"/>
      <c r="CS610" s="18"/>
    </row>
    <row r="611" spans="2:97" ht="12.75">
      <c r="B611" s="18"/>
      <c r="C611" s="18"/>
      <c r="D611" s="18"/>
      <c r="AG611" s="18"/>
      <c r="AH611" s="18"/>
      <c r="BO611" s="18"/>
      <c r="BP611" s="18"/>
      <c r="CR611" s="18"/>
      <c r="CS611" s="18"/>
    </row>
    <row r="612" spans="2:97" ht="12.75">
      <c r="B612" s="18"/>
      <c r="C612" s="18"/>
      <c r="D612" s="18"/>
      <c r="AG612" s="18"/>
      <c r="AH612" s="18"/>
      <c r="BO612" s="18"/>
      <c r="BP612" s="18"/>
      <c r="CR612" s="18"/>
      <c r="CS612" s="18"/>
    </row>
    <row r="613" spans="2:97" ht="12.75">
      <c r="B613" s="18"/>
      <c r="C613" s="18"/>
      <c r="D613" s="18"/>
      <c r="AG613" s="18"/>
      <c r="AH613" s="18"/>
      <c r="BO613" s="18"/>
      <c r="BP613" s="18"/>
      <c r="CR613" s="18"/>
      <c r="CS613" s="18"/>
    </row>
    <row r="614" spans="2:97" ht="12.75">
      <c r="B614" s="18"/>
      <c r="C614" s="18"/>
      <c r="D614" s="18"/>
      <c r="AG614" s="18"/>
      <c r="AH614" s="18"/>
      <c r="BO614" s="18"/>
      <c r="BP614" s="18"/>
      <c r="CR614" s="18"/>
      <c r="CS614" s="18"/>
    </row>
    <row r="615" spans="2:97" ht="12.75">
      <c r="B615" s="18"/>
      <c r="C615" s="18"/>
      <c r="D615" s="18"/>
      <c r="AG615" s="18"/>
      <c r="AH615" s="18"/>
      <c r="BO615" s="18"/>
      <c r="BP615" s="18"/>
      <c r="CR615" s="18"/>
      <c r="CS615" s="18"/>
    </row>
    <row r="616" spans="2:97" ht="12.75">
      <c r="B616" s="18"/>
      <c r="C616" s="18"/>
      <c r="D616" s="18"/>
      <c r="AG616" s="18"/>
      <c r="AH616" s="18"/>
      <c r="BO616" s="18"/>
      <c r="BP616" s="18"/>
      <c r="CR616" s="18"/>
      <c r="CS616" s="18"/>
    </row>
    <row r="617" spans="2:97" ht="12.75">
      <c r="B617" s="18"/>
      <c r="C617" s="18"/>
      <c r="D617" s="18"/>
      <c r="AG617" s="18"/>
      <c r="AH617" s="18"/>
      <c r="BO617" s="18"/>
      <c r="BP617" s="18"/>
      <c r="CR617" s="18"/>
      <c r="CS617" s="18"/>
    </row>
    <row r="618" spans="2:97" ht="12.75">
      <c r="B618" s="18"/>
      <c r="C618" s="18"/>
      <c r="D618" s="18"/>
      <c r="AG618" s="18"/>
      <c r="AH618" s="18"/>
      <c r="BO618" s="18"/>
      <c r="BP618" s="18"/>
      <c r="CR618" s="18"/>
      <c r="CS618" s="18"/>
    </row>
    <row r="619" spans="2:97" ht="12.75">
      <c r="B619" s="18"/>
      <c r="C619" s="18"/>
      <c r="D619" s="18"/>
      <c r="AG619" s="18"/>
      <c r="AH619" s="18"/>
      <c r="BO619" s="18"/>
      <c r="BP619" s="18"/>
      <c r="CR619" s="18"/>
      <c r="CS619" s="18"/>
    </row>
    <row r="620" spans="2:97" ht="12.75">
      <c r="B620" s="18"/>
      <c r="C620" s="18"/>
      <c r="D620" s="18"/>
      <c r="AG620" s="18"/>
      <c r="AH620" s="18"/>
      <c r="BO620" s="18"/>
      <c r="BP620" s="18"/>
      <c r="CR620" s="18"/>
      <c r="CS620" s="18"/>
    </row>
    <row r="621" spans="2:97" ht="12.75">
      <c r="B621" s="18"/>
      <c r="C621" s="18"/>
      <c r="D621" s="18"/>
      <c r="AG621" s="18"/>
      <c r="AH621" s="18"/>
      <c r="BO621" s="18"/>
      <c r="BP621" s="18"/>
      <c r="CR621" s="18"/>
      <c r="CS621" s="18"/>
    </row>
    <row r="622" spans="2:97" ht="12.75">
      <c r="B622" s="18"/>
      <c r="C622" s="18"/>
      <c r="D622" s="18"/>
      <c r="AG622" s="18"/>
      <c r="AH622" s="18"/>
      <c r="BO622" s="18"/>
      <c r="BP622" s="18"/>
      <c r="CR622" s="18"/>
      <c r="CS622" s="18"/>
    </row>
    <row r="623" spans="2:97" ht="12.75">
      <c r="B623" s="18"/>
      <c r="C623" s="18"/>
      <c r="D623" s="18"/>
      <c r="AG623" s="18"/>
      <c r="AH623" s="18"/>
      <c r="BO623" s="18"/>
      <c r="BP623" s="18"/>
      <c r="CR623" s="18"/>
      <c r="CS623" s="18"/>
    </row>
    <row r="624" spans="2:97" ht="12.75">
      <c r="B624" s="18"/>
      <c r="C624" s="18"/>
      <c r="D624" s="18"/>
      <c r="AG624" s="18"/>
      <c r="AH624" s="18"/>
      <c r="BO624" s="18"/>
      <c r="BP624" s="18"/>
      <c r="CR624" s="18"/>
      <c r="CS624" s="18"/>
    </row>
    <row r="625" spans="2:97" ht="12.75">
      <c r="B625" s="18"/>
      <c r="C625" s="18"/>
      <c r="D625" s="18"/>
      <c r="AG625" s="18"/>
      <c r="AH625" s="18"/>
      <c r="BO625" s="18"/>
      <c r="BP625" s="18"/>
      <c r="CR625" s="18"/>
      <c r="CS625" s="18"/>
    </row>
    <row r="626" spans="2:97" ht="12.75">
      <c r="B626" s="18"/>
      <c r="C626" s="18"/>
      <c r="D626" s="18"/>
      <c r="AG626" s="18"/>
      <c r="AH626" s="18"/>
      <c r="BO626" s="18"/>
      <c r="BP626" s="18"/>
      <c r="CR626" s="18"/>
      <c r="CS626" s="18"/>
    </row>
    <row r="627" spans="2:97" ht="12.75">
      <c r="B627" s="18"/>
      <c r="C627" s="18"/>
      <c r="D627" s="18"/>
      <c r="AG627" s="18"/>
      <c r="AH627" s="18"/>
      <c r="BO627" s="18"/>
      <c r="BP627" s="18"/>
      <c r="CR627" s="18"/>
      <c r="CS627" s="18"/>
    </row>
    <row r="628" spans="2:97" ht="12.75">
      <c r="B628" s="18"/>
      <c r="C628" s="18"/>
      <c r="D628" s="18"/>
      <c r="AG628" s="18"/>
      <c r="AH628" s="18"/>
      <c r="BO628" s="18"/>
      <c r="BP628" s="18"/>
      <c r="CR628" s="18"/>
      <c r="CS628" s="18"/>
    </row>
    <row r="629" spans="2:97" ht="12.75">
      <c r="B629" s="18"/>
      <c r="C629" s="18"/>
      <c r="D629" s="18"/>
      <c r="AG629" s="18"/>
      <c r="AH629" s="18"/>
      <c r="BO629" s="18"/>
      <c r="BP629" s="18"/>
      <c r="CR629" s="18"/>
      <c r="CS629" s="18"/>
    </row>
    <row r="630" spans="2:97" ht="12.75">
      <c r="B630" s="18"/>
      <c r="C630" s="18"/>
      <c r="D630" s="18"/>
      <c r="AG630" s="18"/>
      <c r="AH630" s="18"/>
      <c r="BO630" s="18"/>
      <c r="BP630" s="18"/>
      <c r="CR630" s="18"/>
      <c r="CS630" s="18"/>
    </row>
    <row r="631" spans="2:97" ht="12.75">
      <c r="B631" s="18"/>
      <c r="C631" s="18"/>
      <c r="D631" s="18"/>
      <c r="AG631" s="18"/>
      <c r="AH631" s="18"/>
      <c r="BO631" s="18"/>
      <c r="BP631" s="18"/>
      <c r="CR631" s="18"/>
      <c r="CS631" s="18"/>
    </row>
    <row r="632" spans="2:97" ht="12.75">
      <c r="B632" s="18"/>
      <c r="C632" s="18"/>
      <c r="D632" s="18"/>
      <c r="AG632" s="18"/>
      <c r="AH632" s="18"/>
      <c r="BO632" s="18"/>
      <c r="BP632" s="18"/>
      <c r="CR632" s="18"/>
      <c r="CS632" s="18"/>
    </row>
    <row r="633" spans="2:97" ht="12.75">
      <c r="B633" s="18"/>
      <c r="C633" s="18"/>
      <c r="D633" s="18"/>
      <c r="AG633" s="18"/>
      <c r="AH633" s="18"/>
      <c r="BO633" s="18"/>
      <c r="BP633" s="18"/>
      <c r="CR633" s="18"/>
      <c r="CS633" s="18"/>
    </row>
    <row r="634" spans="2:97" ht="12.75">
      <c r="B634" s="18"/>
      <c r="C634" s="18"/>
      <c r="D634" s="18"/>
      <c r="AG634" s="18"/>
      <c r="AH634" s="18"/>
      <c r="BO634" s="18"/>
      <c r="BP634" s="18"/>
      <c r="CR634" s="18"/>
      <c r="CS634" s="18"/>
    </row>
    <row r="635" spans="2:97" ht="12.75">
      <c r="B635" s="18"/>
      <c r="C635" s="18"/>
      <c r="D635" s="18"/>
      <c r="AG635" s="18"/>
      <c r="AH635" s="18"/>
      <c r="BO635" s="18"/>
      <c r="BP635" s="18"/>
      <c r="CR635" s="18"/>
      <c r="CS635" s="18"/>
    </row>
    <row r="636" spans="2:97" ht="12.75">
      <c r="B636" s="18"/>
      <c r="C636" s="18"/>
      <c r="D636" s="18"/>
      <c r="AG636" s="18"/>
      <c r="AH636" s="18"/>
      <c r="BO636" s="18"/>
      <c r="BP636" s="18"/>
      <c r="CR636" s="18"/>
      <c r="CS636" s="18"/>
    </row>
    <row r="637" spans="2:97" ht="12.75">
      <c r="B637" s="18"/>
      <c r="C637" s="18"/>
      <c r="D637" s="18"/>
      <c r="AG637" s="18"/>
      <c r="AH637" s="18"/>
      <c r="BO637" s="18"/>
      <c r="BP637" s="18"/>
      <c r="CR637" s="18"/>
      <c r="CS637" s="18"/>
    </row>
    <row r="638" spans="2:97" ht="12.75">
      <c r="B638" s="18"/>
      <c r="C638" s="18"/>
      <c r="D638" s="18"/>
      <c r="AG638" s="18"/>
      <c r="AH638" s="18"/>
      <c r="BO638" s="18"/>
      <c r="BP638" s="18"/>
      <c r="CR638" s="18"/>
      <c r="CS638" s="18"/>
    </row>
    <row r="639" spans="2:97" ht="12.75">
      <c r="B639" s="18"/>
      <c r="C639" s="18"/>
      <c r="D639" s="18"/>
      <c r="AG639" s="18"/>
      <c r="AH639" s="18"/>
      <c r="BO639" s="18"/>
      <c r="BP639" s="18"/>
      <c r="CR639" s="18"/>
      <c r="CS639" s="18"/>
    </row>
    <row r="640" spans="2:97" ht="12.75">
      <c r="B640" s="18"/>
      <c r="C640" s="18"/>
      <c r="D640" s="18"/>
      <c r="AG640" s="18"/>
      <c r="AH640" s="18"/>
      <c r="BO640" s="18"/>
      <c r="BP640" s="18"/>
      <c r="CR640" s="18"/>
      <c r="CS640" s="18"/>
    </row>
    <row r="641" spans="2:97" ht="12.75">
      <c r="B641" s="18"/>
      <c r="C641" s="18"/>
      <c r="D641" s="18"/>
      <c r="AG641" s="18"/>
      <c r="AH641" s="18"/>
      <c r="BO641" s="18"/>
      <c r="BP641" s="18"/>
      <c r="CR641" s="18"/>
      <c r="CS641" s="18"/>
    </row>
    <row r="642" spans="2:97" ht="12.75">
      <c r="B642" s="18"/>
      <c r="C642" s="18"/>
      <c r="D642" s="18"/>
      <c r="AG642" s="18"/>
      <c r="AH642" s="18"/>
      <c r="BO642" s="18"/>
      <c r="BP642" s="18"/>
      <c r="CR642" s="18"/>
      <c r="CS642" s="18"/>
    </row>
    <row r="643" spans="2:97" ht="12.75">
      <c r="B643" s="18"/>
      <c r="C643" s="18"/>
      <c r="D643" s="18"/>
      <c r="AG643" s="18"/>
      <c r="AH643" s="18"/>
      <c r="BO643" s="18"/>
      <c r="BP643" s="18"/>
      <c r="CR643" s="18"/>
      <c r="CS643" s="18"/>
    </row>
    <row r="644" spans="2:97" ht="12.75">
      <c r="B644" s="18"/>
      <c r="C644" s="18"/>
      <c r="D644" s="18"/>
      <c r="AG644" s="18"/>
      <c r="AH644" s="18"/>
      <c r="BO644" s="18"/>
      <c r="BP644" s="18"/>
      <c r="CR644" s="18"/>
      <c r="CS644" s="18"/>
    </row>
    <row r="645" spans="2:97" ht="12.75">
      <c r="B645" s="18"/>
      <c r="C645" s="18"/>
      <c r="D645" s="18"/>
      <c r="AG645" s="18"/>
      <c r="AH645" s="18"/>
      <c r="BO645" s="18"/>
      <c r="BP645" s="18"/>
      <c r="CR645" s="18"/>
      <c r="CS645" s="18"/>
    </row>
    <row r="646" spans="2:97" ht="12.75">
      <c r="B646" s="18"/>
      <c r="C646" s="18"/>
      <c r="D646" s="18"/>
      <c r="AG646" s="18"/>
      <c r="AH646" s="18"/>
      <c r="BO646" s="18"/>
      <c r="BP646" s="18"/>
      <c r="CR646" s="18"/>
      <c r="CS646" s="18"/>
    </row>
    <row r="647" spans="2:97" ht="12.75">
      <c r="B647" s="18"/>
      <c r="C647" s="18"/>
      <c r="D647" s="18"/>
      <c r="AG647" s="18"/>
      <c r="AH647" s="18"/>
      <c r="BO647" s="18"/>
      <c r="BP647" s="18"/>
      <c r="CR647" s="18"/>
      <c r="CS647" s="18"/>
    </row>
    <row r="648" spans="2:97" ht="12.75">
      <c r="B648" s="18"/>
      <c r="C648" s="18"/>
      <c r="D648" s="18"/>
      <c r="AG648" s="18"/>
      <c r="AH648" s="18"/>
      <c r="BO648" s="18"/>
      <c r="BP648" s="18"/>
      <c r="CR648" s="18"/>
      <c r="CS648" s="18"/>
    </row>
    <row r="649" spans="2:97" ht="12.75">
      <c r="B649" s="18"/>
      <c r="C649" s="18"/>
      <c r="D649" s="18"/>
      <c r="AG649" s="18"/>
      <c r="AH649" s="18"/>
      <c r="BO649" s="18"/>
      <c r="BP649" s="18"/>
      <c r="CR649" s="18"/>
      <c r="CS649" s="18"/>
    </row>
    <row r="650" spans="2:97" ht="12.75">
      <c r="B650" s="18"/>
      <c r="C650" s="18"/>
      <c r="D650" s="18"/>
      <c r="AG650" s="18"/>
      <c r="AH650" s="18"/>
      <c r="BO650" s="18"/>
      <c r="BP650" s="18"/>
      <c r="CR650" s="18"/>
      <c r="CS650" s="18"/>
    </row>
    <row r="651" spans="2:97" ht="12.75">
      <c r="B651" s="18"/>
      <c r="C651" s="18"/>
      <c r="D651" s="18"/>
      <c r="AG651" s="18"/>
      <c r="AH651" s="18"/>
      <c r="BO651" s="18"/>
      <c r="BP651" s="18"/>
      <c r="CR651" s="18"/>
      <c r="CS651" s="18"/>
    </row>
    <row r="652" spans="2:97" ht="12.75">
      <c r="B652" s="18"/>
      <c r="C652" s="18"/>
      <c r="D652" s="18"/>
      <c r="AG652" s="18"/>
      <c r="AH652" s="18"/>
      <c r="BO652" s="18"/>
      <c r="BP652" s="18"/>
      <c r="CR652" s="18"/>
      <c r="CS652" s="18"/>
    </row>
    <row r="653" spans="2:97" ht="12.75">
      <c r="B653" s="18"/>
      <c r="C653" s="18"/>
      <c r="D653" s="18"/>
      <c r="AG653" s="18"/>
      <c r="AH653" s="18"/>
      <c r="BO653" s="18"/>
      <c r="BP653" s="18"/>
      <c r="CR653" s="18"/>
      <c r="CS653" s="18"/>
    </row>
    <row r="654" spans="2:97" ht="12.75">
      <c r="B654" s="18"/>
      <c r="C654" s="18"/>
      <c r="D654" s="18"/>
      <c r="AG654" s="18"/>
      <c r="AH654" s="18"/>
      <c r="BO654" s="18"/>
      <c r="BP654" s="18"/>
      <c r="CR654" s="18"/>
      <c r="CS654" s="18"/>
    </row>
    <row r="655" spans="2:97" ht="12.75">
      <c r="B655" s="18"/>
      <c r="C655" s="18"/>
      <c r="D655" s="18"/>
      <c r="AG655" s="18"/>
      <c r="AH655" s="18"/>
      <c r="BO655" s="18"/>
      <c r="BP655" s="18"/>
      <c r="CR655" s="18"/>
      <c r="CS655" s="18"/>
    </row>
    <row r="656" spans="2:97" ht="12.75">
      <c r="B656" s="18"/>
      <c r="C656" s="18"/>
      <c r="D656" s="18"/>
      <c r="AG656" s="18"/>
      <c r="AH656" s="18"/>
      <c r="BO656" s="18"/>
      <c r="BP656" s="18"/>
      <c r="CR656" s="18"/>
      <c r="CS656" s="18"/>
    </row>
    <row r="657" spans="2:97" ht="12.75">
      <c r="B657" s="18"/>
      <c r="C657" s="18"/>
      <c r="D657" s="18"/>
      <c r="AG657" s="18"/>
      <c r="AH657" s="18"/>
      <c r="BO657" s="18"/>
      <c r="BP657" s="18"/>
      <c r="CR657" s="18"/>
      <c r="CS657" s="18"/>
    </row>
    <row r="658" spans="2:97" ht="12.75">
      <c r="B658" s="18"/>
      <c r="C658" s="18"/>
      <c r="D658" s="18"/>
      <c r="AG658" s="18"/>
      <c r="AH658" s="18"/>
      <c r="BO658" s="18"/>
      <c r="BP658" s="18"/>
      <c r="CR658" s="18"/>
      <c r="CS658" s="18"/>
    </row>
    <row r="659" spans="2:97" ht="12.75">
      <c r="B659" s="18"/>
      <c r="C659" s="18"/>
      <c r="D659" s="18"/>
      <c r="AG659" s="18"/>
      <c r="AH659" s="18"/>
      <c r="BO659" s="18"/>
      <c r="BP659" s="18"/>
      <c r="CR659" s="18"/>
      <c r="CS659" s="18"/>
    </row>
    <row r="660" spans="2:97" ht="12.75">
      <c r="B660" s="18"/>
      <c r="C660" s="18"/>
      <c r="D660" s="18"/>
      <c r="AG660" s="18"/>
      <c r="AH660" s="18"/>
      <c r="BO660" s="18"/>
      <c r="BP660" s="18"/>
      <c r="CR660" s="18"/>
      <c r="CS660" s="18"/>
    </row>
    <row r="661" spans="2:97" ht="12.75">
      <c r="B661" s="18"/>
      <c r="C661" s="18"/>
      <c r="D661" s="18"/>
      <c r="AG661" s="18"/>
      <c r="AH661" s="18"/>
      <c r="BO661" s="18"/>
      <c r="BP661" s="18"/>
      <c r="CR661" s="18"/>
      <c r="CS661" s="18"/>
    </row>
    <row r="662" spans="2:97" ht="12.75">
      <c r="B662" s="18"/>
      <c r="C662" s="18"/>
      <c r="D662" s="18"/>
      <c r="AG662" s="18"/>
      <c r="AH662" s="18"/>
      <c r="BO662" s="18"/>
      <c r="BP662" s="18"/>
      <c r="CR662" s="18"/>
      <c r="CS662" s="18"/>
    </row>
    <row r="663" spans="2:97" ht="12.75">
      <c r="B663" s="18"/>
      <c r="C663" s="18"/>
      <c r="D663" s="18"/>
      <c r="AG663" s="18"/>
      <c r="AH663" s="18"/>
      <c r="BO663" s="18"/>
      <c r="BP663" s="18"/>
      <c r="CR663" s="18"/>
      <c r="CS663" s="18"/>
    </row>
    <row r="664" spans="2:97" ht="12.75">
      <c r="B664" s="18"/>
      <c r="C664" s="18"/>
      <c r="D664" s="18"/>
      <c r="AG664" s="18"/>
      <c r="AH664" s="18"/>
      <c r="BO664" s="18"/>
      <c r="BP664" s="18"/>
      <c r="CR664" s="18"/>
      <c r="CS664" s="18"/>
    </row>
    <row r="665" spans="2:97" ht="12.75">
      <c r="B665" s="18"/>
      <c r="C665" s="18"/>
      <c r="D665" s="18"/>
      <c r="AG665" s="18"/>
      <c r="AH665" s="18"/>
      <c r="BO665" s="18"/>
      <c r="BP665" s="18"/>
      <c r="CR665" s="18"/>
      <c r="CS665" s="18"/>
    </row>
    <row r="666" spans="2:97" ht="12.75">
      <c r="B666" s="18"/>
      <c r="C666" s="18"/>
      <c r="D666" s="18"/>
      <c r="AG666" s="18"/>
      <c r="AH666" s="18"/>
      <c r="BO666" s="18"/>
      <c r="BP666" s="18"/>
      <c r="CR666" s="18"/>
      <c r="CS666" s="18"/>
    </row>
    <row r="667" spans="2:97" ht="12.75">
      <c r="B667" s="18"/>
      <c r="C667" s="18"/>
      <c r="D667" s="18"/>
      <c r="AG667" s="18"/>
      <c r="AH667" s="18"/>
      <c r="BO667" s="18"/>
      <c r="BP667" s="18"/>
      <c r="CR667" s="18"/>
      <c r="CS667" s="18"/>
    </row>
    <row r="668" spans="2:97" ht="12.75">
      <c r="B668" s="18"/>
      <c r="C668" s="18"/>
      <c r="D668" s="18"/>
      <c r="AG668" s="18"/>
      <c r="AH668" s="18"/>
      <c r="BO668" s="18"/>
      <c r="BP668" s="18"/>
      <c r="CR668" s="18"/>
      <c r="CS668" s="18"/>
    </row>
    <row r="669" spans="2:97" ht="12.75">
      <c r="B669" s="18"/>
      <c r="C669" s="18"/>
      <c r="D669" s="18"/>
      <c r="AG669" s="18"/>
      <c r="AH669" s="18"/>
      <c r="BO669" s="18"/>
      <c r="BP669" s="18"/>
      <c r="CR669" s="18"/>
      <c r="CS669" s="18"/>
    </row>
    <row r="670" spans="2:97" ht="12.75">
      <c r="B670" s="18"/>
      <c r="C670" s="18"/>
      <c r="D670" s="18"/>
      <c r="AG670" s="18"/>
      <c r="AH670" s="18"/>
      <c r="BO670" s="18"/>
      <c r="BP670" s="18"/>
      <c r="CR670" s="18"/>
      <c r="CS670" s="18"/>
    </row>
    <row r="671" spans="2:97" ht="12.75">
      <c r="B671" s="18"/>
      <c r="C671" s="18"/>
      <c r="D671" s="18"/>
      <c r="AG671" s="18"/>
      <c r="AH671" s="18"/>
      <c r="BO671" s="18"/>
      <c r="BP671" s="18"/>
      <c r="CR671" s="18"/>
      <c r="CS671" s="18"/>
    </row>
    <row r="672" spans="2:97" ht="12.75">
      <c r="B672" s="18"/>
      <c r="C672" s="18"/>
      <c r="D672" s="18"/>
      <c r="AG672" s="18"/>
      <c r="AH672" s="18"/>
      <c r="BO672" s="18"/>
      <c r="BP672" s="18"/>
      <c r="CR672" s="18"/>
      <c r="CS672" s="18"/>
    </row>
    <row r="673" spans="2:97" ht="12.75">
      <c r="B673" s="18"/>
      <c r="C673" s="18"/>
      <c r="D673" s="18"/>
      <c r="AG673" s="18"/>
      <c r="AH673" s="18"/>
      <c r="BO673" s="18"/>
      <c r="BP673" s="18"/>
      <c r="CR673" s="18"/>
      <c r="CS673" s="18"/>
    </row>
    <row r="674" spans="2:97" ht="12.75">
      <c r="B674" s="18"/>
      <c r="C674" s="18"/>
      <c r="D674" s="18"/>
      <c r="AG674" s="18"/>
      <c r="AH674" s="18"/>
      <c r="BO674" s="18"/>
      <c r="BP674" s="18"/>
      <c r="CR674" s="18"/>
      <c r="CS674" s="18"/>
    </row>
    <row r="675" spans="2:97" ht="12.75">
      <c r="B675" s="18"/>
      <c r="C675" s="18"/>
      <c r="D675" s="18"/>
      <c r="AG675" s="18"/>
      <c r="AH675" s="18"/>
      <c r="BO675" s="18"/>
      <c r="BP675" s="18"/>
      <c r="CR675" s="18"/>
      <c r="CS675" s="18"/>
    </row>
    <row r="676" spans="2:97" ht="12.75">
      <c r="B676" s="18"/>
      <c r="C676" s="18"/>
      <c r="D676" s="18"/>
      <c r="AG676" s="18"/>
      <c r="AH676" s="18"/>
      <c r="BO676" s="18"/>
      <c r="BP676" s="18"/>
      <c r="CR676" s="18"/>
      <c r="CS676" s="18"/>
    </row>
    <row r="677" spans="2:97" ht="12.75">
      <c r="B677" s="18"/>
      <c r="C677" s="18"/>
      <c r="D677" s="18"/>
      <c r="AG677" s="18"/>
      <c r="AH677" s="18"/>
      <c r="BO677" s="18"/>
      <c r="BP677" s="18"/>
      <c r="CR677" s="18"/>
      <c r="CS677" s="18"/>
    </row>
    <row r="678" spans="2:97" ht="12.75">
      <c r="B678" s="18"/>
      <c r="C678" s="18"/>
      <c r="D678" s="18"/>
      <c r="AG678" s="18"/>
      <c r="AH678" s="18"/>
      <c r="BO678" s="18"/>
      <c r="BP678" s="18"/>
      <c r="CR678" s="18"/>
      <c r="CS678" s="18"/>
    </row>
    <row r="679" spans="2:97" ht="12.75">
      <c r="B679" s="18"/>
      <c r="C679" s="18"/>
      <c r="D679" s="18"/>
      <c r="AG679" s="18"/>
      <c r="AH679" s="18"/>
      <c r="BO679" s="18"/>
      <c r="BP679" s="18"/>
      <c r="CR679" s="18"/>
      <c r="CS679" s="18"/>
    </row>
    <row r="680" spans="2:97" ht="12.75">
      <c r="B680" s="18"/>
      <c r="C680" s="18"/>
      <c r="D680" s="18"/>
      <c r="AG680" s="18"/>
      <c r="AH680" s="18"/>
      <c r="BO680" s="18"/>
      <c r="BP680" s="18"/>
      <c r="CR680" s="18"/>
      <c r="CS680" s="18"/>
    </row>
    <row r="681" spans="2:97" ht="12.75">
      <c r="B681" s="18"/>
      <c r="C681" s="18"/>
      <c r="D681" s="18"/>
      <c r="AG681" s="18"/>
      <c r="AH681" s="18"/>
      <c r="BO681" s="18"/>
      <c r="BP681" s="18"/>
      <c r="CR681" s="18"/>
      <c r="CS681" s="18"/>
    </row>
    <row r="682" spans="2:97" ht="12.75">
      <c r="B682" s="18"/>
      <c r="C682" s="18"/>
      <c r="D682" s="18"/>
      <c r="AG682" s="18"/>
      <c r="AH682" s="18"/>
      <c r="BO682" s="18"/>
      <c r="BP682" s="18"/>
      <c r="CR682" s="18"/>
      <c r="CS682" s="18"/>
    </row>
    <row r="683" spans="2:97" ht="12.75">
      <c r="B683" s="18"/>
      <c r="C683" s="18"/>
      <c r="D683" s="18"/>
      <c r="AG683" s="18"/>
      <c r="AH683" s="18"/>
      <c r="BO683" s="18"/>
      <c r="BP683" s="18"/>
      <c r="CR683" s="18"/>
      <c r="CS683" s="18"/>
    </row>
    <row r="684" spans="2:97" ht="12.75">
      <c r="B684" s="18"/>
      <c r="C684" s="18"/>
      <c r="D684" s="18"/>
      <c r="AG684" s="18"/>
      <c r="AH684" s="18"/>
      <c r="BO684" s="18"/>
      <c r="BP684" s="18"/>
      <c r="CR684" s="18"/>
      <c r="CS684" s="18"/>
    </row>
    <row r="685" spans="2:97" ht="12.75">
      <c r="B685" s="18"/>
      <c r="C685" s="18"/>
      <c r="D685" s="18"/>
      <c r="AG685" s="18"/>
      <c r="AH685" s="18"/>
      <c r="BO685" s="18"/>
      <c r="BP685" s="18"/>
      <c r="CR685" s="18"/>
      <c r="CS685" s="18"/>
    </row>
    <row r="686" spans="2:97" ht="12.75">
      <c r="B686" s="18"/>
      <c r="C686" s="18"/>
      <c r="D686" s="18"/>
      <c r="AG686" s="18"/>
      <c r="AH686" s="18"/>
      <c r="BO686" s="18"/>
      <c r="BP686" s="18"/>
      <c r="CR686" s="18"/>
      <c r="CS686" s="18"/>
    </row>
    <row r="687" spans="2:97" ht="12.75">
      <c r="B687" s="18"/>
      <c r="C687" s="18"/>
      <c r="D687" s="18"/>
      <c r="AG687" s="18"/>
      <c r="AH687" s="18"/>
      <c r="BO687" s="18"/>
      <c r="BP687" s="18"/>
      <c r="CR687" s="18"/>
      <c r="CS687" s="18"/>
    </row>
    <row r="688" spans="2:97" ht="12.75">
      <c r="B688" s="18"/>
      <c r="C688" s="18"/>
      <c r="D688" s="18"/>
      <c r="AG688" s="18"/>
      <c r="AH688" s="18"/>
      <c r="BO688" s="18"/>
      <c r="BP688" s="18"/>
      <c r="CR688" s="18"/>
      <c r="CS688" s="18"/>
    </row>
    <row r="689" spans="2:97" ht="12.75">
      <c r="B689" s="18"/>
      <c r="C689" s="18"/>
      <c r="D689" s="18"/>
      <c r="AG689" s="18"/>
      <c r="AH689" s="18"/>
      <c r="BO689" s="18"/>
      <c r="BP689" s="18"/>
      <c r="CR689" s="18"/>
      <c r="CS689" s="18"/>
    </row>
    <row r="690" spans="2:97" ht="12.75">
      <c r="B690" s="18"/>
      <c r="C690" s="18"/>
      <c r="D690" s="18"/>
      <c r="AG690" s="18"/>
      <c r="AH690" s="18"/>
      <c r="BO690" s="18"/>
      <c r="BP690" s="18"/>
      <c r="CR690" s="18"/>
      <c r="CS690" s="18"/>
    </row>
    <row r="691" spans="2:97" ht="12.75">
      <c r="B691" s="18"/>
      <c r="C691" s="18"/>
      <c r="D691" s="18"/>
      <c r="AG691" s="18"/>
      <c r="AH691" s="18"/>
      <c r="BO691" s="18"/>
      <c r="BP691" s="18"/>
      <c r="CR691" s="18"/>
      <c r="CS691" s="18"/>
    </row>
    <row r="692" spans="2:97" ht="12.75">
      <c r="B692" s="18"/>
      <c r="C692" s="18"/>
      <c r="D692" s="18"/>
      <c r="AG692" s="18"/>
      <c r="AH692" s="18"/>
      <c r="BO692" s="18"/>
      <c r="BP692" s="18"/>
      <c r="CR692" s="18"/>
      <c r="CS692" s="18"/>
    </row>
    <row r="693" spans="2:97" ht="12.75">
      <c r="B693" s="18"/>
      <c r="C693" s="18"/>
      <c r="D693" s="18"/>
      <c r="AG693" s="18"/>
      <c r="AH693" s="18"/>
      <c r="BO693" s="18"/>
      <c r="BP693" s="18"/>
      <c r="CR693" s="18"/>
      <c r="CS693" s="18"/>
    </row>
    <row r="694" spans="2:97" ht="12.75">
      <c r="B694" s="18"/>
      <c r="C694" s="18"/>
      <c r="D694" s="18"/>
      <c r="AG694" s="18"/>
      <c r="AH694" s="18"/>
      <c r="BO694" s="18"/>
      <c r="BP694" s="18"/>
      <c r="CR694" s="18"/>
      <c r="CS694" s="18"/>
    </row>
    <row r="695" spans="2:97" ht="12.75">
      <c r="B695" s="18"/>
      <c r="C695" s="18"/>
      <c r="D695" s="18"/>
      <c r="AG695" s="18"/>
      <c r="AH695" s="18"/>
      <c r="BO695" s="18"/>
      <c r="BP695" s="18"/>
      <c r="CR695" s="18"/>
      <c r="CS695" s="18"/>
    </row>
    <row r="696" spans="2:97" ht="12.75">
      <c r="B696" s="18"/>
      <c r="C696" s="18"/>
      <c r="D696" s="18"/>
      <c r="AG696" s="18"/>
      <c r="AH696" s="18"/>
      <c r="BO696" s="18"/>
      <c r="BP696" s="18"/>
      <c r="CR696" s="18"/>
      <c r="CS696" s="18"/>
    </row>
    <row r="697" spans="2:97" ht="12.75">
      <c r="B697" s="18"/>
      <c r="C697" s="18"/>
      <c r="D697" s="18"/>
      <c r="AG697" s="18"/>
      <c r="AH697" s="18"/>
      <c r="BO697" s="18"/>
      <c r="BP697" s="18"/>
      <c r="CR697" s="18"/>
      <c r="CS697" s="18"/>
    </row>
    <row r="698" spans="2:97" ht="12.75">
      <c r="B698" s="18"/>
      <c r="C698" s="18"/>
      <c r="D698" s="18"/>
      <c r="AG698" s="18"/>
      <c r="AH698" s="18"/>
      <c r="BO698" s="18"/>
      <c r="BP698" s="18"/>
      <c r="CR698" s="18"/>
      <c r="CS698" s="18"/>
    </row>
    <row r="699" spans="2:97" ht="12.75">
      <c r="B699" s="18"/>
      <c r="C699" s="18"/>
      <c r="D699" s="18"/>
      <c r="AG699" s="18"/>
      <c r="AH699" s="18"/>
      <c r="BO699" s="18"/>
      <c r="BP699" s="18"/>
      <c r="CR699" s="18"/>
      <c r="CS699" s="18"/>
    </row>
    <row r="700" spans="2:97" ht="12.75">
      <c r="B700" s="18"/>
      <c r="C700" s="18"/>
      <c r="D700" s="18"/>
      <c r="AG700" s="18"/>
      <c r="AH700" s="18"/>
      <c r="BO700" s="18"/>
      <c r="BP700" s="18"/>
      <c r="CR700" s="18"/>
      <c r="CS700" s="18"/>
    </row>
    <row r="701" spans="2:97" ht="12.75">
      <c r="B701" s="18"/>
      <c r="C701" s="18"/>
      <c r="D701" s="18"/>
      <c r="AG701" s="18"/>
      <c r="AH701" s="18"/>
      <c r="BO701" s="18"/>
      <c r="BP701" s="18"/>
      <c r="CR701" s="18"/>
      <c r="CS701" s="18"/>
    </row>
    <row r="702" spans="2:97" ht="12.75">
      <c r="B702" s="18"/>
      <c r="C702" s="18"/>
      <c r="D702" s="18"/>
      <c r="AG702" s="18"/>
      <c r="AH702" s="18"/>
      <c r="BO702" s="18"/>
      <c r="BP702" s="18"/>
      <c r="CR702" s="18"/>
      <c r="CS702" s="18"/>
    </row>
    <row r="703" spans="2:97" ht="12.75">
      <c r="B703" s="18"/>
      <c r="C703" s="18"/>
      <c r="D703" s="18"/>
      <c r="AG703" s="18"/>
      <c r="AH703" s="18"/>
      <c r="BO703" s="18"/>
      <c r="BP703" s="18"/>
      <c r="CR703" s="18"/>
      <c r="CS703" s="18"/>
    </row>
    <row r="704" spans="2:97" ht="12.75">
      <c r="B704" s="18"/>
      <c r="C704" s="18"/>
      <c r="D704" s="18"/>
      <c r="AG704" s="18"/>
      <c r="AH704" s="18"/>
      <c r="BO704" s="18"/>
      <c r="BP704" s="18"/>
      <c r="CR704" s="18"/>
      <c r="CS704" s="18"/>
    </row>
    <row r="705" spans="2:97" ht="12.75">
      <c r="B705" s="18"/>
      <c r="C705" s="18"/>
      <c r="D705" s="18"/>
      <c r="AG705" s="18"/>
      <c r="AH705" s="18"/>
      <c r="BO705" s="18"/>
      <c r="BP705" s="18"/>
      <c r="CR705" s="18"/>
      <c r="CS705" s="18"/>
    </row>
    <row r="706" spans="2:97" ht="12.75">
      <c r="B706" s="18"/>
      <c r="C706" s="18"/>
      <c r="D706" s="18"/>
      <c r="AG706" s="18"/>
      <c r="AH706" s="18"/>
      <c r="BO706" s="18"/>
      <c r="BP706" s="18"/>
      <c r="CR706" s="18"/>
      <c r="CS706" s="18"/>
    </row>
    <row r="707" spans="2:97" ht="12.75">
      <c r="B707" s="18"/>
      <c r="C707" s="18"/>
      <c r="D707" s="18"/>
      <c r="AG707" s="18"/>
      <c r="AH707" s="18"/>
      <c r="BO707" s="18"/>
      <c r="BP707" s="18"/>
      <c r="CR707" s="18"/>
      <c r="CS707" s="18"/>
    </row>
    <row r="708" spans="2:97" ht="12.75">
      <c r="B708" s="18"/>
      <c r="C708" s="18"/>
      <c r="D708" s="18"/>
      <c r="AG708" s="18"/>
      <c r="AH708" s="18"/>
      <c r="BO708" s="18"/>
      <c r="BP708" s="18"/>
      <c r="CR708" s="18"/>
      <c r="CS708" s="18"/>
    </row>
    <row r="709" spans="2:97" ht="12.75">
      <c r="B709" s="18"/>
      <c r="C709" s="18"/>
      <c r="D709" s="18"/>
      <c r="AG709" s="18"/>
      <c r="AH709" s="18"/>
      <c r="BO709" s="18"/>
      <c r="BP709" s="18"/>
      <c r="CR709" s="18"/>
      <c r="CS709" s="18"/>
    </row>
    <row r="710" spans="2:97" ht="12.75">
      <c r="B710" s="18"/>
      <c r="C710" s="18"/>
      <c r="D710" s="18"/>
      <c r="AG710" s="18"/>
      <c r="AH710" s="18"/>
      <c r="BO710" s="18"/>
      <c r="BP710" s="18"/>
      <c r="CR710" s="18"/>
      <c r="CS710" s="18"/>
    </row>
    <row r="711" spans="2:97" ht="12.75">
      <c r="B711" s="18"/>
      <c r="C711" s="18"/>
      <c r="D711" s="18"/>
      <c r="AG711" s="18"/>
      <c r="AH711" s="18"/>
      <c r="BO711" s="18"/>
      <c r="BP711" s="18"/>
      <c r="CR711" s="18"/>
      <c r="CS711" s="18"/>
    </row>
    <row r="712" spans="2:97" ht="12.75">
      <c r="B712" s="18"/>
      <c r="C712" s="18"/>
      <c r="D712" s="18"/>
      <c r="AG712" s="18"/>
      <c r="AH712" s="18"/>
      <c r="BO712" s="18"/>
      <c r="BP712" s="18"/>
      <c r="CR712" s="18"/>
      <c r="CS712" s="18"/>
    </row>
    <row r="713" spans="2:97" ht="12.75">
      <c r="B713" s="18"/>
      <c r="C713" s="18"/>
      <c r="D713" s="18"/>
      <c r="AG713" s="18"/>
      <c r="AH713" s="18"/>
      <c r="BO713" s="18"/>
      <c r="BP713" s="18"/>
      <c r="CR713" s="18"/>
      <c r="CS713" s="18"/>
    </row>
    <row r="714" spans="2:97" ht="12.75">
      <c r="B714" s="18"/>
      <c r="C714" s="18"/>
      <c r="D714" s="18"/>
      <c r="AG714" s="18"/>
      <c r="AH714" s="18"/>
      <c r="BO714" s="18"/>
      <c r="BP714" s="18"/>
      <c r="CR714" s="18"/>
      <c r="CS714" s="18"/>
    </row>
    <row r="715" spans="2:97" ht="12.75">
      <c r="B715" s="18"/>
      <c r="C715" s="18"/>
      <c r="D715" s="18"/>
      <c r="AG715" s="18"/>
      <c r="AH715" s="18"/>
      <c r="BO715" s="18"/>
      <c r="BP715" s="18"/>
      <c r="CR715" s="18"/>
      <c r="CS715" s="18"/>
    </row>
    <row r="716" spans="2:97" ht="12.75">
      <c r="B716" s="18"/>
      <c r="C716" s="18"/>
      <c r="D716" s="18"/>
      <c r="AG716" s="18"/>
      <c r="AH716" s="18"/>
      <c r="BO716" s="18"/>
      <c r="BP716" s="18"/>
      <c r="CR716" s="18"/>
      <c r="CS716" s="18"/>
    </row>
    <row r="717" spans="2:97" ht="12.75">
      <c r="B717" s="18"/>
      <c r="C717" s="18"/>
      <c r="D717" s="18"/>
      <c r="AG717" s="18"/>
      <c r="AH717" s="18"/>
      <c r="BO717" s="18"/>
      <c r="BP717" s="18"/>
      <c r="CR717" s="18"/>
      <c r="CS717" s="18"/>
    </row>
    <row r="718" spans="2:97" ht="12.75">
      <c r="B718" s="18"/>
      <c r="C718" s="18"/>
      <c r="D718" s="18"/>
      <c r="AG718" s="18"/>
      <c r="AH718" s="18"/>
      <c r="BO718" s="18"/>
      <c r="BP718" s="18"/>
      <c r="CR718" s="18"/>
      <c r="CS718" s="18"/>
    </row>
    <row r="719" spans="2:97" ht="12.75">
      <c r="B719" s="18"/>
      <c r="C719" s="18"/>
      <c r="D719" s="18"/>
      <c r="AG719" s="18"/>
      <c r="AH719" s="18"/>
      <c r="BO719" s="18"/>
      <c r="BP719" s="18"/>
      <c r="CR719" s="18"/>
      <c r="CS719" s="18"/>
    </row>
    <row r="720" spans="2:97" ht="12.75">
      <c r="B720" s="18"/>
      <c r="C720" s="18"/>
      <c r="D720" s="18"/>
      <c r="AG720" s="18"/>
      <c r="AH720" s="18"/>
      <c r="BO720" s="18"/>
      <c r="BP720" s="18"/>
      <c r="CR720" s="18"/>
      <c r="CS720" s="18"/>
    </row>
    <row r="721" spans="2:97" ht="12.75">
      <c r="B721" s="18"/>
      <c r="C721" s="18"/>
      <c r="D721" s="18"/>
      <c r="AG721" s="18"/>
      <c r="AH721" s="18"/>
      <c r="BO721" s="18"/>
      <c r="BP721" s="18"/>
      <c r="CR721" s="18"/>
      <c r="CS721" s="18"/>
    </row>
    <row r="722" spans="2:97" ht="12.75">
      <c r="B722" s="18"/>
      <c r="C722" s="18"/>
      <c r="D722" s="18"/>
      <c r="AG722" s="18"/>
      <c r="AH722" s="18"/>
      <c r="BO722" s="18"/>
      <c r="BP722" s="18"/>
      <c r="CR722" s="18"/>
      <c r="CS722" s="18"/>
    </row>
    <row r="723" spans="2:97" ht="12.75">
      <c r="B723" s="18"/>
      <c r="C723" s="18"/>
      <c r="D723" s="18"/>
      <c r="AG723" s="18"/>
      <c r="AH723" s="18"/>
      <c r="BO723" s="18"/>
      <c r="BP723" s="18"/>
      <c r="CR723" s="18"/>
      <c r="CS723" s="18"/>
    </row>
    <row r="724" spans="2:97" ht="12.75">
      <c r="B724" s="18"/>
      <c r="C724" s="18"/>
      <c r="D724" s="18"/>
      <c r="AG724" s="18"/>
      <c r="AH724" s="18"/>
      <c r="BO724" s="18"/>
      <c r="BP724" s="18"/>
      <c r="CR724" s="18"/>
      <c r="CS724" s="18"/>
    </row>
    <row r="725" spans="2:97" ht="12.75">
      <c r="B725" s="18"/>
      <c r="C725" s="18"/>
      <c r="D725" s="18"/>
      <c r="AG725" s="18"/>
      <c r="AH725" s="18"/>
      <c r="BO725" s="18"/>
      <c r="BP725" s="18"/>
      <c r="CR725" s="18"/>
      <c r="CS725" s="18"/>
    </row>
    <row r="726" spans="2:97" ht="12.75">
      <c r="B726" s="18"/>
      <c r="C726" s="18"/>
      <c r="D726" s="18"/>
      <c r="AG726" s="18"/>
      <c r="AH726" s="18"/>
      <c r="BO726" s="18"/>
      <c r="BP726" s="18"/>
      <c r="CR726" s="18"/>
      <c r="CS726" s="18"/>
    </row>
    <row r="727" spans="2:97" ht="12.75">
      <c r="B727" s="18"/>
      <c r="C727" s="18"/>
      <c r="D727" s="18"/>
      <c r="AG727" s="18"/>
      <c r="AH727" s="18"/>
      <c r="BO727" s="18"/>
      <c r="BP727" s="18"/>
      <c r="CR727" s="18"/>
      <c r="CS727" s="18"/>
    </row>
    <row r="728" spans="2:97" ht="12.75">
      <c r="B728" s="18"/>
      <c r="C728" s="18"/>
      <c r="D728" s="18"/>
      <c r="AG728" s="18"/>
      <c r="AH728" s="18"/>
      <c r="BO728" s="18"/>
      <c r="BP728" s="18"/>
      <c r="CR728" s="18"/>
      <c r="CS728" s="18"/>
    </row>
    <row r="729" spans="2:97" ht="12.75">
      <c r="B729" s="18"/>
      <c r="C729" s="18"/>
      <c r="D729" s="18"/>
      <c r="AG729" s="18"/>
      <c r="AH729" s="18"/>
      <c r="BO729" s="18"/>
      <c r="BP729" s="18"/>
      <c r="CR729" s="18"/>
      <c r="CS729" s="18"/>
    </row>
    <row r="730" spans="2:97" ht="12.75">
      <c r="B730" s="18"/>
      <c r="C730" s="18"/>
      <c r="D730" s="18"/>
      <c r="AG730" s="18"/>
      <c r="AH730" s="18"/>
      <c r="BO730" s="18"/>
      <c r="BP730" s="18"/>
      <c r="CR730" s="18"/>
      <c r="CS730" s="18"/>
    </row>
    <row r="731" spans="2:97" ht="12.75">
      <c r="B731" s="18"/>
      <c r="C731" s="18"/>
      <c r="D731" s="18"/>
      <c r="AG731" s="18"/>
      <c r="AH731" s="18"/>
      <c r="BO731" s="18"/>
      <c r="BP731" s="18"/>
      <c r="CR731" s="18"/>
      <c r="CS731" s="18"/>
    </row>
    <row r="732" spans="2:97" ht="12.75">
      <c r="B732" s="18"/>
      <c r="C732" s="18"/>
      <c r="D732" s="18"/>
      <c r="AG732" s="18"/>
      <c r="AH732" s="18"/>
      <c r="BO732" s="18"/>
      <c r="BP732" s="18"/>
      <c r="CR732" s="18"/>
      <c r="CS732" s="18"/>
    </row>
    <row r="733" spans="2:97" ht="12.75">
      <c r="B733" s="18"/>
      <c r="C733" s="18"/>
      <c r="D733" s="18"/>
      <c r="AG733" s="18"/>
      <c r="AH733" s="18"/>
      <c r="BO733" s="18"/>
      <c r="BP733" s="18"/>
      <c r="CR733" s="18"/>
      <c r="CS733" s="18"/>
    </row>
    <row r="734" spans="2:97" ht="12.75">
      <c r="B734" s="18"/>
      <c r="C734" s="18"/>
      <c r="D734" s="18"/>
      <c r="AG734" s="18"/>
      <c r="AH734" s="18"/>
      <c r="BO734" s="18"/>
      <c r="BP734" s="18"/>
      <c r="CR734" s="18"/>
      <c r="CS734" s="18"/>
    </row>
    <row r="735" spans="2:97" ht="12.75">
      <c r="B735" s="18"/>
      <c r="C735" s="18"/>
      <c r="D735" s="18"/>
      <c r="AG735" s="18"/>
      <c r="AH735" s="18"/>
      <c r="BO735" s="18"/>
      <c r="BP735" s="18"/>
      <c r="CR735" s="18"/>
      <c r="CS735" s="18"/>
    </row>
    <row r="736" spans="2:97" ht="12.75">
      <c r="B736" s="18"/>
      <c r="C736" s="18"/>
      <c r="D736" s="18"/>
      <c r="AG736" s="18"/>
      <c r="AH736" s="18"/>
      <c r="BO736" s="18"/>
      <c r="BP736" s="18"/>
      <c r="CR736" s="18"/>
      <c r="CS736" s="18"/>
    </row>
    <row r="737" spans="2:97" ht="12.75">
      <c r="B737" s="18"/>
      <c r="C737" s="18"/>
      <c r="D737" s="18"/>
      <c r="AG737" s="18"/>
      <c r="AH737" s="18"/>
      <c r="BO737" s="18"/>
      <c r="BP737" s="18"/>
      <c r="CR737" s="18"/>
      <c r="CS737" s="18"/>
    </row>
    <row r="738" spans="2:97" ht="12.75">
      <c r="B738" s="18"/>
      <c r="C738" s="18"/>
      <c r="D738" s="18"/>
      <c r="AG738" s="18"/>
      <c r="AH738" s="18"/>
      <c r="BO738" s="18"/>
      <c r="BP738" s="18"/>
      <c r="CR738" s="18"/>
      <c r="CS738" s="18"/>
    </row>
    <row r="739" spans="2:97" ht="12.75">
      <c r="B739" s="18"/>
      <c r="C739" s="18"/>
      <c r="D739" s="18"/>
      <c r="AG739" s="18"/>
      <c r="AH739" s="18"/>
      <c r="BO739" s="18"/>
      <c r="BP739" s="18"/>
      <c r="CR739" s="18"/>
      <c r="CS739" s="18"/>
    </row>
    <row r="740" spans="2:97" ht="12.75">
      <c r="B740" s="18"/>
      <c r="C740" s="18"/>
      <c r="D740" s="18"/>
      <c r="AG740" s="18"/>
      <c r="AH740" s="18"/>
      <c r="BO740" s="18"/>
      <c r="BP740" s="18"/>
      <c r="CR740" s="18"/>
      <c r="CS740" s="18"/>
    </row>
    <row r="741" spans="2:97" ht="12.75">
      <c r="B741" s="18"/>
      <c r="C741" s="18"/>
      <c r="D741" s="18"/>
      <c r="AG741" s="18"/>
      <c r="AH741" s="18"/>
      <c r="BO741" s="18"/>
      <c r="BP741" s="18"/>
      <c r="CR741" s="18"/>
      <c r="CS741" s="18"/>
    </row>
    <row r="742" spans="2:97" ht="12.75">
      <c r="B742" s="18"/>
      <c r="C742" s="18"/>
      <c r="D742" s="18"/>
      <c r="AG742" s="18"/>
      <c r="AH742" s="18"/>
      <c r="BO742" s="18"/>
      <c r="BP742" s="18"/>
      <c r="CR742" s="18"/>
      <c r="CS742" s="18"/>
    </row>
    <row r="743" spans="2:97" ht="12.75">
      <c r="B743" s="18"/>
      <c r="C743" s="18"/>
      <c r="D743" s="18"/>
      <c r="AG743" s="18"/>
      <c r="AH743" s="18"/>
      <c r="BO743" s="18"/>
      <c r="BP743" s="18"/>
      <c r="CR743" s="18"/>
      <c r="CS743" s="18"/>
    </row>
    <row r="744" spans="2:97" ht="12.75">
      <c r="B744" s="18"/>
      <c r="C744" s="18"/>
      <c r="D744" s="18"/>
      <c r="AG744" s="18"/>
      <c r="AH744" s="18"/>
      <c r="BO744" s="18"/>
      <c r="BP744" s="18"/>
      <c r="CR744" s="18"/>
      <c r="CS744" s="18"/>
    </row>
    <row r="745" spans="2:97" ht="12.75">
      <c r="B745" s="18"/>
      <c r="C745" s="18"/>
      <c r="D745" s="18"/>
      <c r="AG745" s="18"/>
      <c r="AH745" s="18"/>
      <c r="BO745" s="18"/>
      <c r="BP745" s="18"/>
      <c r="CR745" s="18"/>
      <c r="CS745" s="18"/>
    </row>
    <row r="746" spans="2:97" ht="12.75">
      <c r="B746" s="18"/>
      <c r="C746" s="18"/>
      <c r="D746" s="18"/>
      <c r="AG746" s="18"/>
      <c r="AH746" s="18"/>
      <c r="BO746" s="18"/>
      <c r="BP746" s="18"/>
      <c r="CR746" s="18"/>
      <c r="CS746" s="18"/>
    </row>
    <row r="747" spans="2:97" ht="12.75">
      <c r="B747" s="18"/>
      <c r="C747" s="18"/>
      <c r="D747" s="18"/>
      <c r="AG747" s="18"/>
      <c r="AH747" s="18"/>
      <c r="BO747" s="18"/>
      <c r="BP747" s="18"/>
      <c r="CR747" s="18"/>
      <c r="CS747" s="18"/>
    </row>
    <row r="748" spans="2:97" ht="12.75">
      <c r="B748" s="18"/>
      <c r="C748" s="18"/>
      <c r="D748" s="18"/>
      <c r="AG748" s="18"/>
      <c r="AH748" s="18"/>
      <c r="BO748" s="18"/>
      <c r="BP748" s="18"/>
      <c r="CR748" s="18"/>
      <c r="CS748" s="18"/>
    </row>
    <row r="749" spans="2:97" ht="12.75">
      <c r="B749" s="18"/>
      <c r="C749" s="18"/>
      <c r="D749" s="18"/>
      <c r="AG749" s="18"/>
      <c r="AH749" s="18"/>
      <c r="BO749" s="18"/>
      <c r="BP749" s="18"/>
      <c r="CR749" s="18"/>
      <c r="CS749" s="18"/>
    </row>
    <row r="750" spans="2:97" ht="12.75">
      <c r="B750" s="18"/>
      <c r="C750" s="18"/>
      <c r="D750" s="18"/>
      <c r="AG750" s="18"/>
      <c r="AH750" s="18"/>
      <c r="BO750" s="18"/>
      <c r="BP750" s="18"/>
      <c r="CR750" s="18"/>
      <c r="CS750" s="18"/>
    </row>
    <row r="751" spans="2:97" ht="12.75">
      <c r="B751" s="18"/>
      <c r="C751" s="18"/>
      <c r="D751" s="18"/>
      <c r="AG751" s="18"/>
      <c r="AH751" s="18"/>
      <c r="BO751" s="18"/>
      <c r="BP751" s="18"/>
      <c r="CR751" s="18"/>
      <c r="CS751" s="18"/>
    </row>
    <row r="752" spans="2:97" ht="12.75">
      <c r="B752" s="18"/>
      <c r="C752" s="18"/>
      <c r="D752" s="18"/>
      <c r="AG752" s="18"/>
      <c r="AH752" s="18"/>
      <c r="BO752" s="18"/>
      <c r="BP752" s="18"/>
      <c r="CR752" s="18"/>
      <c r="CS752" s="18"/>
    </row>
    <row r="753" spans="2:97" ht="12.75">
      <c r="B753" s="18"/>
      <c r="C753" s="18"/>
      <c r="D753" s="18"/>
      <c r="AG753" s="18"/>
      <c r="AH753" s="18"/>
      <c r="BO753" s="18"/>
      <c r="BP753" s="18"/>
      <c r="CR753" s="18"/>
      <c r="CS753" s="18"/>
    </row>
    <row r="754" spans="2:97" ht="12.75">
      <c r="B754" s="18"/>
      <c r="C754" s="18"/>
      <c r="D754" s="18"/>
      <c r="AG754" s="18"/>
      <c r="AH754" s="18"/>
      <c r="BO754" s="18"/>
      <c r="BP754" s="18"/>
      <c r="CR754" s="18"/>
      <c r="CS754" s="18"/>
    </row>
    <row r="755" spans="2:97" ht="12.75">
      <c r="B755" s="18"/>
      <c r="C755" s="18"/>
      <c r="D755" s="18"/>
      <c r="AG755" s="18"/>
      <c r="AH755" s="18"/>
      <c r="BO755" s="18"/>
      <c r="BP755" s="18"/>
      <c r="CR755" s="18"/>
      <c r="CS755" s="18"/>
    </row>
    <row r="756" spans="2:97" ht="12.75">
      <c r="B756" s="18"/>
      <c r="C756" s="18"/>
      <c r="D756" s="18"/>
      <c r="AG756" s="18"/>
      <c r="AH756" s="18"/>
      <c r="BO756" s="18"/>
      <c r="BP756" s="18"/>
      <c r="CR756" s="18"/>
      <c r="CS756" s="18"/>
    </row>
    <row r="757" spans="2:97" ht="12.75">
      <c r="B757" s="18"/>
      <c r="C757" s="18"/>
      <c r="D757" s="18"/>
      <c r="AG757" s="18"/>
      <c r="AH757" s="18"/>
      <c r="BO757" s="18"/>
      <c r="BP757" s="18"/>
      <c r="CR757" s="18"/>
      <c r="CS757" s="18"/>
    </row>
    <row r="758" spans="2:97" ht="12.75">
      <c r="B758" s="18"/>
      <c r="C758" s="18"/>
      <c r="D758" s="18"/>
      <c r="AG758" s="18"/>
      <c r="AH758" s="18"/>
      <c r="BO758" s="18"/>
      <c r="BP758" s="18"/>
      <c r="CR758" s="18"/>
      <c r="CS758" s="18"/>
    </row>
    <row r="759" spans="2:97" ht="12.75">
      <c r="B759" s="18"/>
      <c r="C759" s="18"/>
      <c r="D759" s="18"/>
      <c r="AG759" s="18"/>
      <c r="AH759" s="18"/>
      <c r="BO759" s="18"/>
      <c r="BP759" s="18"/>
      <c r="CR759" s="18"/>
      <c r="CS759" s="18"/>
    </row>
    <row r="760" spans="2:97" ht="12.75">
      <c r="B760" s="18"/>
      <c r="C760" s="18"/>
      <c r="D760" s="18"/>
      <c r="AG760" s="18"/>
      <c r="AH760" s="18"/>
      <c r="BO760" s="18"/>
      <c r="BP760" s="18"/>
      <c r="CR760" s="18"/>
      <c r="CS760" s="18"/>
    </row>
    <row r="761" spans="2:97" ht="12.75">
      <c r="B761" s="18"/>
      <c r="C761" s="18"/>
      <c r="D761" s="18"/>
      <c r="AG761" s="18"/>
      <c r="AH761" s="18"/>
      <c r="BO761" s="18"/>
      <c r="BP761" s="18"/>
      <c r="CR761" s="18"/>
      <c r="CS761" s="18"/>
    </row>
    <row r="762" spans="2:97" ht="12.75">
      <c r="B762" s="18"/>
      <c r="C762" s="18"/>
      <c r="D762" s="18"/>
      <c r="AG762" s="18"/>
      <c r="AH762" s="18"/>
      <c r="BO762" s="18"/>
      <c r="BP762" s="18"/>
      <c r="CR762" s="18"/>
      <c r="CS762" s="18"/>
    </row>
    <row r="763" spans="2:97" ht="12.75">
      <c r="B763" s="18"/>
      <c r="C763" s="18"/>
      <c r="D763" s="18"/>
      <c r="AG763" s="18"/>
      <c r="AH763" s="18"/>
      <c r="BO763" s="18"/>
      <c r="BP763" s="18"/>
      <c r="CR763" s="18"/>
      <c r="CS763" s="18"/>
    </row>
    <row r="764" spans="2:97" ht="12.75">
      <c r="B764" s="18"/>
      <c r="C764" s="18"/>
      <c r="D764" s="18"/>
      <c r="AG764" s="18"/>
      <c r="AH764" s="18"/>
      <c r="BO764" s="18"/>
      <c r="BP764" s="18"/>
      <c r="CR764" s="18"/>
      <c r="CS764" s="18"/>
    </row>
    <row r="765" spans="2:97" ht="12.75">
      <c r="B765" s="18"/>
      <c r="C765" s="18"/>
      <c r="D765" s="18"/>
      <c r="AG765" s="18"/>
      <c r="AH765" s="18"/>
      <c r="BO765" s="18"/>
      <c r="BP765" s="18"/>
      <c r="CR765" s="18"/>
      <c r="CS765" s="18"/>
    </row>
    <row r="766" spans="2:97" ht="12.75">
      <c r="B766" s="18"/>
      <c r="C766" s="18"/>
      <c r="D766" s="18"/>
      <c r="AG766" s="18"/>
      <c r="AH766" s="18"/>
      <c r="BO766" s="18"/>
      <c r="BP766" s="18"/>
      <c r="CR766" s="18"/>
      <c r="CS766" s="18"/>
    </row>
    <row r="767" spans="2:97" ht="12.75">
      <c r="B767" s="18"/>
      <c r="C767" s="18"/>
      <c r="D767" s="18"/>
      <c r="AG767" s="18"/>
      <c r="AH767" s="18"/>
      <c r="BO767" s="18"/>
      <c r="BP767" s="18"/>
      <c r="CR767" s="18"/>
      <c r="CS767" s="18"/>
    </row>
    <row r="768" spans="2:97" ht="12.75">
      <c r="B768" s="18"/>
      <c r="C768" s="18"/>
      <c r="D768" s="18"/>
      <c r="AG768" s="18"/>
      <c r="AH768" s="18"/>
      <c r="BO768" s="18"/>
      <c r="BP768" s="18"/>
      <c r="CR768" s="18"/>
      <c r="CS768" s="18"/>
    </row>
    <row r="769" spans="2:97" ht="12.75">
      <c r="B769" s="18"/>
      <c r="C769" s="18"/>
      <c r="D769" s="18"/>
      <c r="AG769" s="18"/>
      <c r="AH769" s="18"/>
      <c r="BO769" s="18"/>
      <c r="BP769" s="18"/>
      <c r="CR769" s="18"/>
      <c r="CS769" s="18"/>
    </row>
    <row r="770" spans="2:97" ht="12.75">
      <c r="B770" s="18"/>
      <c r="C770" s="18"/>
      <c r="D770" s="18"/>
      <c r="AG770" s="18"/>
      <c r="AH770" s="18"/>
      <c r="BO770" s="18"/>
      <c r="BP770" s="18"/>
      <c r="CR770" s="18"/>
      <c r="CS770" s="18"/>
    </row>
    <row r="771" spans="2:97" ht="12.75">
      <c r="B771" s="18"/>
      <c r="C771" s="18"/>
      <c r="D771" s="18"/>
      <c r="AG771" s="18"/>
      <c r="AH771" s="18"/>
      <c r="BO771" s="18"/>
      <c r="BP771" s="18"/>
      <c r="CR771" s="18"/>
      <c r="CS771" s="18"/>
    </row>
    <row r="772" spans="2:97" ht="12.75">
      <c r="B772" s="18"/>
      <c r="C772" s="18"/>
      <c r="D772" s="18"/>
      <c r="AG772" s="18"/>
      <c r="AH772" s="18"/>
      <c r="BO772" s="18"/>
      <c r="BP772" s="18"/>
      <c r="CR772" s="18"/>
      <c r="CS772" s="18"/>
    </row>
    <row r="773" spans="2:97" ht="12.75">
      <c r="B773" s="18"/>
      <c r="C773" s="18"/>
      <c r="D773" s="18"/>
      <c r="AG773" s="18"/>
      <c r="AH773" s="18"/>
      <c r="BO773" s="18"/>
      <c r="BP773" s="18"/>
      <c r="CR773" s="18"/>
      <c r="CS773" s="18"/>
    </row>
    <row r="774" spans="2:97" ht="12.75">
      <c r="B774" s="18"/>
      <c r="C774" s="18"/>
      <c r="D774" s="18"/>
      <c r="AG774" s="18"/>
      <c r="AH774" s="18"/>
      <c r="BO774" s="18"/>
      <c r="BP774" s="18"/>
      <c r="CR774" s="18"/>
      <c r="CS774" s="18"/>
    </row>
    <row r="775" spans="2:97" ht="12.75">
      <c r="B775" s="18"/>
      <c r="C775" s="18"/>
      <c r="D775" s="18"/>
      <c r="AG775" s="18"/>
      <c r="AH775" s="18"/>
      <c r="BO775" s="18"/>
      <c r="BP775" s="18"/>
      <c r="CR775" s="18"/>
      <c r="CS775" s="18"/>
    </row>
    <row r="776" spans="2:97" ht="12.75">
      <c r="B776" s="18"/>
      <c r="C776" s="18"/>
      <c r="D776" s="18"/>
      <c r="AG776" s="18"/>
      <c r="AH776" s="18"/>
      <c r="BO776" s="18"/>
      <c r="BP776" s="18"/>
      <c r="CR776" s="18"/>
      <c r="CS776" s="18"/>
    </row>
    <row r="777" spans="2:97" ht="12.75">
      <c r="B777" s="18"/>
      <c r="C777" s="18"/>
      <c r="D777" s="18"/>
      <c r="AG777" s="18"/>
      <c r="AH777" s="18"/>
      <c r="BO777" s="18"/>
      <c r="BP777" s="18"/>
      <c r="CR777" s="18"/>
      <c r="CS777" s="18"/>
    </row>
    <row r="778" spans="2:97" ht="12.75">
      <c r="B778" s="18"/>
      <c r="C778" s="18"/>
      <c r="D778" s="18"/>
      <c r="AG778" s="18"/>
      <c r="AH778" s="18"/>
      <c r="BO778" s="18"/>
      <c r="BP778" s="18"/>
      <c r="CR778" s="18"/>
      <c r="CS778" s="18"/>
    </row>
    <row r="779" spans="2:97" ht="12.75">
      <c r="B779" s="18"/>
      <c r="C779" s="18"/>
      <c r="D779" s="18"/>
      <c r="AG779" s="18"/>
      <c r="AH779" s="18"/>
      <c r="BO779" s="18"/>
      <c r="BP779" s="18"/>
      <c r="CR779" s="18"/>
      <c r="CS779" s="18"/>
    </row>
    <row r="780" spans="2:97" ht="12.75">
      <c r="B780" s="18"/>
      <c r="C780" s="18"/>
      <c r="D780" s="18"/>
      <c r="AG780" s="18"/>
      <c r="AH780" s="18"/>
      <c r="BO780" s="18"/>
      <c r="BP780" s="18"/>
      <c r="CR780" s="18"/>
      <c r="CS780" s="18"/>
    </row>
    <row r="781" spans="2:97" ht="12.75">
      <c r="B781" s="18"/>
      <c r="C781" s="18"/>
      <c r="D781" s="18"/>
      <c r="AG781" s="18"/>
      <c r="AH781" s="18"/>
      <c r="BO781" s="18"/>
      <c r="BP781" s="18"/>
      <c r="CR781" s="18"/>
      <c r="CS781" s="18"/>
    </row>
    <row r="782" spans="2:97" ht="12.75">
      <c r="B782" s="18"/>
      <c r="C782" s="18"/>
      <c r="D782" s="18"/>
      <c r="AG782" s="18"/>
      <c r="AH782" s="18"/>
      <c r="BO782" s="18"/>
      <c r="BP782" s="18"/>
      <c r="CR782" s="18"/>
      <c r="CS782" s="18"/>
    </row>
    <row r="783" spans="2:97" ht="12.75">
      <c r="B783" s="18"/>
      <c r="C783" s="18"/>
      <c r="D783" s="18"/>
      <c r="AG783" s="18"/>
      <c r="AH783" s="18"/>
      <c r="BO783" s="18"/>
      <c r="BP783" s="18"/>
      <c r="CR783" s="18"/>
      <c r="CS783" s="18"/>
    </row>
    <row r="784" spans="2:97" ht="12.75">
      <c r="B784" s="18"/>
      <c r="C784" s="18"/>
      <c r="D784" s="18"/>
      <c r="AG784" s="18"/>
      <c r="AH784" s="18"/>
      <c r="BO784" s="18"/>
      <c r="BP784" s="18"/>
      <c r="CR784" s="18"/>
      <c r="CS784" s="18"/>
    </row>
    <row r="785" spans="2:97" ht="12.75">
      <c r="B785" s="18"/>
      <c r="C785" s="18"/>
      <c r="D785" s="18"/>
      <c r="AG785" s="18"/>
      <c r="AH785" s="18"/>
      <c r="BO785" s="18"/>
      <c r="BP785" s="18"/>
      <c r="CR785" s="18"/>
      <c r="CS785" s="18"/>
    </row>
    <row r="786" spans="2:97" ht="12.75">
      <c r="B786" s="18"/>
      <c r="C786" s="18"/>
      <c r="D786" s="18"/>
      <c r="AG786" s="18"/>
      <c r="AH786" s="18"/>
      <c r="BO786" s="18"/>
      <c r="BP786" s="18"/>
      <c r="CR786" s="18"/>
      <c r="CS786" s="18"/>
    </row>
    <row r="787" spans="2:97" ht="12.75">
      <c r="B787" s="18"/>
      <c r="C787" s="18"/>
      <c r="D787" s="18"/>
      <c r="AG787" s="18"/>
      <c r="AH787" s="18"/>
      <c r="BO787" s="18"/>
      <c r="BP787" s="18"/>
      <c r="CR787" s="18"/>
      <c r="CS787" s="18"/>
    </row>
    <row r="788" spans="2:97" ht="12.75">
      <c r="B788" s="18"/>
      <c r="C788" s="18"/>
      <c r="D788" s="18"/>
      <c r="AG788" s="18"/>
      <c r="AH788" s="18"/>
      <c r="BO788" s="18"/>
      <c r="BP788" s="18"/>
      <c r="CR788" s="18"/>
      <c r="CS788" s="18"/>
    </row>
    <row r="789" spans="2:97" ht="12.75">
      <c r="B789" s="18"/>
      <c r="C789" s="18"/>
      <c r="D789" s="18"/>
      <c r="AG789" s="18"/>
      <c r="AH789" s="18"/>
      <c r="BO789" s="18"/>
      <c r="BP789" s="18"/>
      <c r="CR789" s="18"/>
      <c r="CS789" s="18"/>
    </row>
    <row r="790" spans="2:97" ht="12.75">
      <c r="B790" s="18"/>
      <c r="C790" s="18"/>
      <c r="D790" s="18"/>
      <c r="AG790" s="18"/>
      <c r="AH790" s="18"/>
      <c r="BO790" s="18"/>
      <c r="BP790" s="18"/>
      <c r="CR790" s="18"/>
      <c r="CS790" s="18"/>
    </row>
    <row r="791" spans="2:97" ht="12.75">
      <c r="B791" s="18"/>
      <c r="C791" s="18"/>
      <c r="D791" s="18"/>
      <c r="AG791" s="18"/>
      <c r="AH791" s="18"/>
      <c r="BO791" s="18"/>
      <c r="BP791" s="18"/>
      <c r="CR791" s="18"/>
      <c r="CS791" s="18"/>
    </row>
    <row r="792" spans="2:97" ht="12.75">
      <c r="B792" s="18"/>
      <c r="C792" s="18"/>
      <c r="D792" s="18"/>
      <c r="AG792" s="18"/>
      <c r="AH792" s="18"/>
      <c r="BO792" s="18"/>
      <c r="BP792" s="18"/>
      <c r="CR792" s="18"/>
      <c r="CS792" s="18"/>
    </row>
    <row r="793" spans="2:97" ht="12.75">
      <c r="B793" s="18"/>
      <c r="C793" s="18"/>
      <c r="D793" s="18"/>
      <c r="AG793" s="18"/>
      <c r="AH793" s="18"/>
      <c r="BO793" s="18"/>
      <c r="BP793" s="18"/>
      <c r="CR793" s="18"/>
      <c r="CS793" s="18"/>
    </row>
    <row r="794" spans="2:97" ht="12.75">
      <c r="B794" s="18"/>
      <c r="C794" s="18"/>
      <c r="D794" s="18"/>
      <c r="AG794" s="18"/>
      <c r="AH794" s="18"/>
      <c r="BO794" s="18"/>
      <c r="BP794" s="18"/>
      <c r="CR794" s="18"/>
      <c r="CS794" s="18"/>
    </row>
    <row r="795" spans="2:97" ht="12.75">
      <c r="B795" s="18"/>
      <c r="C795" s="18"/>
      <c r="D795" s="18"/>
      <c r="AG795" s="18"/>
      <c r="AH795" s="18"/>
      <c r="BO795" s="18"/>
      <c r="BP795" s="18"/>
      <c r="CR795" s="18"/>
      <c r="CS795" s="18"/>
    </row>
    <row r="796" spans="2:97" ht="12.75">
      <c r="B796" s="18"/>
      <c r="C796" s="18"/>
      <c r="D796" s="18"/>
      <c r="AG796" s="18"/>
      <c r="AH796" s="18"/>
      <c r="BO796" s="18"/>
      <c r="BP796" s="18"/>
      <c r="CR796" s="18"/>
      <c r="CS796" s="18"/>
    </row>
    <row r="797" spans="2:97" ht="12.75">
      <c r="B797" s="18"/>
      <c r="C797" s="18"/>
      <c r="D797" s="18"/>
      <c r="AG797" s="18"/>
      <c r="AH797" s="18"/>
      <c r="BO797" s="18"/>
      <c r="BP797" s="18"/>
      <c r="CR797" s="18"/>
      <c r="CS797" s="18"/>
    </row>
    <row r="798" spans="2:97" ht="12.75">
      <c r="B798" s="18"/>
      <c r="C798" s="18"/>
      <c r="D798" s="18"/>
      <c r="AG798" s="18"/>
      <c r="AH798" s="18"/>
      <c r="BO798" s="18"/>
      <c r="BP798" s="18"/>
      <c r="CR798" s="18"/>
      <c r="CS798" s="18"/>
    </row>
    <row r="799" spans="2:97" ht="12.75">
      <c r="B799" s="18"/>
      <c r="C799" s="18"/>
      <c r="D799" s="18"/>
      <c r="AG799" s="18"/>
      <c r="AH799" s="18"/>
      <c r="BO799" s="18"/>
      <c r="BP799" s="18"/>
      <c r="CR799" s="18"/>
      <c r="CS799" s="18"/>
    </row>
    <row r="800" spans="2:97" ht="12.75">
      <c r="B800" s="18"/>
      <c r="C800" s="18"/>
      <c r="D800" s="18"/>
      <c r="AG800" s="18"/>
      <c r="AH800" s="18"/>
      <c r="BO800" s="18"/>
      <c r="BP800" s="18"/>
      <c r="CR800" s="18"/>
      <c r="CS800" s="18"/>
    </row>
    <row r="801" spans="2:97" ht="12.75">
      <c r="B801" s="18"/>
      <c r="C801" s="18"/>
      <c r="D801" s="18"/>
      <c r="AG801" s="18"/>
      <c r="AH801" s="18"/>
      <c r="BO801" s="18"/>
      <c r="BP801" s="18"/>
      <c r="CR801" s="18"/>
      <c r="CS801" s="18"/>
    </row>
    <row r="802" spans="2:97" ht="12.75">
      <c r="B802" s="18"/>
      <c r="C802" s="18"/>
      <c r="D802" s="18"/>
      <c r="AG802" s="18"/>
      <c r="AH802" s="18"/>
      <c r="BO802" s="18"/>
      <c r="BP802" s="18"/>
      <c r="CR802" s="18"/>
      <c r="CS802" s="18"/>
    </row>
    <row r="803" spans="2:97" ht="12.75">
      <c r="B803" s="18"/>
      <c r="C803" s="18"/>
      <c r="D803" s="18"/>
      <c r="AG803" s="18"/>
      <c r="AH803" s="18"/>
      <c r="BO803" s="18"/>
      <c r="BP803" s="18"/>
      <c r="CR803" s="18"/>
      <c r="CS803" s="18"/>
    </row>
    <row r="804" spans="2:97" ht="12.75">
      <c r="B804" s="18"/>
      <c r="C804" s="18"/>
      <c r="D804" s="18"/>
      <c r="AG804" s="18"/>
      <c r="AH804" s="18"/>
      <c r="BO804" s="18"/>
      <c r="BP804" s="18"/>
      <c r="CR804" s="18"/>
      <c r="CS804" s="18"/>
    </row>
    <row r="805" spans="2:97" ht="12.75">
      <c r="B805" s="18"/>
      <c r="C805" s="18"/>
      <c r="D805" s="18"/>
      <c r="AG805" s="18"/>
      <c r="AH805" s="18"/>
      <c r="BO805" s="18"/>
      <c r="BP805" s="18"/>
      <c r="CR805" s="18"/>
      <c r="CS805" s="18"/>
    </row>
    <row r="806" spans="2:97" ht="12.75">
      <c r="B806" s="18"/>
      <c r="C806" s="18"/>
      <c r="D806" s="18"/>
      <c r="AG806" s="18"/>
      <c r="AH806" s="18"/>
      <c r="BO806" s="18"/>
      <c r="BP806" s="18"/>
      <c r="CR806" s="18"/>
      <c r="CS806" s="18"/>
    </row>
    <row r="807" spans="2:97" ht="12.75">
      <c r="B807" s="18"/>
      <c r="C807" s="18"/>
      <c r="D807" s="18"/>
      <c r="AG807" s="18"/>
      <c r="AH807" s="18"/>
      <c r="BO807" s="18"/>
      <c r="BP807" s="18"/>
      <c r="CR807" s="18"/>
      <c r="CS807" s="18"/>
    </row>
    <row r="808" spans="2:97" ht="12.75">
      <c r="B808" s="18"/>
      <c r="C808" s="18"/>
      <c r="D808" s="18"/>
      <c r="AG808" s="18"/>
      <c r="AH808" s="18"/>
      <c r="BO808" s="18"/>
      <c r="BP808" s="18"/>
      <c r="CR808" s="18"/>
      <c r="CS808" s="18"/>
    </row>
    <row r="809" spans="2:97" ht="12.75">
      <c r="B809" s="18"/>
      <c r="C809" s="18"/>
      <c r="D809" s="18"/>
      <c r="AG809" s="18"/>
      <c r="AH809" s="18"/>
      <c r="BO809" s="18"/>
      <c r="BP809" s="18"/>
      <c r="CR809" s="18"/>
      <c r="CS809" s="18"/>
    </row>
    <row r="810" spans="2:97" ht="12.75">
      <c r="B810" s="18"/>
      <c r="C810" s="18"/>
      <c r="D810" s="18"/>
      <c r="AG810" s="18"/>
      <c r="AH810" s="18"/>
      <c r="BO810" s="18"/>
      <c r="BP810" s="18"/>
      <c r="CR810" s="18"/>
      <c r="CS810" s="18"/>
    </row>
    <row r="811" spans="2:97" ht="12.75">
      <c r="B811" s="18"/>
      <c r="C811" s="18"/>
      <c r="D811" s="18"/>
      <c r="AG811" s="18"/>
      <c r="AH811" s="18"/>
      <c r="BO811" s="18"/>
      <c r="BP811" s="18"/>
      <c r="CR811" s="18"/>
      <c r="CS811" s="18"/>
    </row>
    <row r="812" spans="2:97" ht="12.75">
      <c r="B812" s="18"/>
      <c r="C812" s="18"/>
      <c r="D812" s="18"/>
      <c r="AG812" s="18"/>
      <c r="AH812" s="18"/>
      <c r="BO812" s="18"/>
      <c r="BP812" s="18"/>
      <c r="CR812" s="18"/>
      <c r="CS812" s="18"/>
    </row>
    <row r="813" spans="2:97" ht="12.75">
      <c r="B813" s="18"/>
      <c r="C813" s="18"/>
      <c r="D813" s="18"/>
      <c r="AG813" s="18"/>
      <c r="AH813" s="18"/>
      <c r="BO813" s="18"/>
      <c r="BP813" s="18"/>
      <c r="CR813" s="18"/>
      <c r="CS813" s="18"/>
    </row>
    <row r="814" spans="2:97" ht="12.75">
      <c r="B814" s="18"/>
      <c r="C814" s="18"/>
      <c r="D814" s="18"/>
      <c r="AG814" s="18"/>
      <c r="AH814" s="18"/>
      <c r="BO814" s="18"/>
      <c r="BP814" s="18"/>
      <c r="CR814" s="18"/>
      <c r="CS814" s="18"/>
    </row>
    <row r="815" spans="2:97" ht="12.75">
      <c r="B815" s="18"/>
      <c r="C815" s="18"/>
      <c r="D815" s="18"/>
      <c r="AG815" s="18"/>
      <c r="AH815" s="18"/>
      <c r="BO815" s="18"/>
      <c r="BP815" s="18"/>
      <c r="CR815" s="18"/>
      <c r="CS815" s="18"/>
    </row>
    <row r="816" spans="2:97" ht="12.75">
      <c r="B816" s="18"/>
      <c r="C816" s="18"/>
      <c r="D816" s="18"/>
      <c r="AG816" s="18"/>
      <c r="AH816" s="18"/>
      <c r="BO816" s="18"/>
      <c r="BP816" s="18"/>
      <c r="CR816" s="18"/>
      <c r="CS816" s="18"/>
    </row>
    <row r="817" spans="2:97" ht="12.75">
      <c r="B817" s="18"/>
      <c r="C817" s="18"/>
      <c r="D817" s="18"/>
      <c r="AG817" s="18"/>
      <c r="AH817" s="18"/>
      <c r="BO817" s="18"/>
      <c r="BP817" s="18"/>
      <c r="CR817" s="18"/>
      <c r="CS817" s="18"/>
    </row>
    <row r="818" spans="2:97" ht="12.75">
      <c r="B818" s="18"/>
      <c r="C818" s="18"/>
      <c r="D818" s="18"/>
      <c r="AG818" s="18"/>
      <c r="AH818" s="18"/>
      <c r="BO818" s="18"/>
      <c r="BP818" s="18"/>
      <c r="CR818" s="18"/>
      <c r="CS818" s="18"/>
    </row>
    <row r="819" spans="2:97" ht="12.75">
      <c r="B819" s="18"/>
      <c r="C819" s="18"/>
      <c r="D819" s="18"/>
      <c r="AG819" s="18"/>
      <c r="AH819" s="18"/>
      <c r="BO819" s="18"/>
      <c r="BP819" s="18"/>
      <c r="CR819" s="18"/>
      <c r="CS819" s="18"/>
    </row>
    <row r="820" spans="2:97" ht="12.75">
      <c r="B820" s="18"/>
      <c r="C820" s="18"/>
      <c r="D820" s="18"/>
      <c r="AG820" s="18"/>
      <c r="AH820" s="18"/>
      <c r="BO820" s="18"/>
      <c r="BP820" s="18"/>
      <c r="CR820" s="18"/>
      <c r="CS820" s="18"/>
    </row>
    <row r="821" spans="2:97" ht="12.75">
      <c r="B821" s="18"/>
      <c r="C821" s="18"/>
      <c r="D821" s="18"/>
      <c r="AG821" s="18"/>
      <c r="AH821" s="18"/>
      <c r="BO821" s="18"/>
      <c r="BP821" s="18"/>
      <c r="CR821" s="18"/>
      <c r="CS821" s="18"/>
    </row>
    <row r="822" spans="2:97" ht="12.75">
      <c r="B822" s="18"/>
      <c r="C822" s="18"/>
      <c r="D822" s="18"/>
      <c r="AG822" s="18"/>
      <c r="AH822" s="18"/>
      <c r="BO822" s="18"/>
      <c r="BP822" s="18"/>
      <c r="CR822" s="18"/>
      <c r="CS822" s="18"/>
    </row>
    <row r="823" spans="2:97" ht="12.75">
      <c r="B823" s="18"/>
      <c r="C823" s="18"/>
      <c r="D823" s="18"/>
      <c r="AG823" s="18"/>
      <c r="AH823" s="18"/>
      <c r="BO823" s="18"/>
      <c r="BP823" s="18"/>
      <c r="CR823" s="18"/>
      <c r="CS823" s="18"/>
    </row>
    <row r="824" spans="2:97" ht="12.75">
      <c r="B824" s="18"/>
      <c r="C824" s="18"/>
      <c r="D824" s="18"/>
      <c r="AG824" s="18"/>
      <c r="AH824" s="18"/>
      <c r="BO824" s="18"/>
      <c r="BP824" s="18"/>
      <c r="CR824" s="18"/>
      <c r="CS824" s="18"/>
    </row>
    <row r="825" spans="2:97" ht="12.75">
      <c r="B825" s="18"/>
      <c r="C825" s="18"/>
      <c r="D825" s="18"/>
      <c r="AG825" s="18"/>
      <c r="AH825" s="18"/>
      <c r="BO825" s="18"/>
      <c r="BP825" s="18"/>
      <c r="CR825" s="18"/>
      <c r="CS825" s="18"/>
    </row>
    <row r="826" spans="2:97" ht="12.75">
      <c r="B826" s="18"/>
      <c r="C826" s="18"/>
      <c r="D826" s="18"/>
      <c r="AG826" s="18"/>
      <c r="AH826" s="18"/>
      <c r="BO826" s="18"/>
      <c r="BP826" s="18"/>
      <c r="CR826" s="18"/>
      <c r="CS826" s="18"/>
    </row>
    <row r="827" spans="2:97" ht="12.75">
      <c r="B827" s="18"/>
      <c r="C827" s="18"/>
      <c r="D827" s="18"/>
      <c r="AG827" s="18"/>
      <c r="AH827" s="18"/>
      <c r="BO827" s="18"/>
      <c r="BP827" s="18"/>
      <c r="CR827" s="18"/>
      <c r="CS827" s="18"/>
    </row>
    <row r="828" spans="2:97" ht="12.75">
      <c r="B828" s="18"/>
      <c r="C828" s="18"/>
      <c r="D828" s="18"/>
      <c r="AG828" s="18"/>
      <c r="AH828" s="18"/>
      <c r="BO828" s="18"/>
      <c r="BP828" s="18"/>
      <c r="CR828" s="18"/>
      <c r="CS828" s="18"/>
    </row>
    <row r="829" spans="2:97" ht="12.75">
      <c r="B829" s="18"/>
      <c r="C829" s="18"/>
      <c r="D829" s="18"/>
      <c r="AG829" s="18"/>
      <c r="AH829" s="18"/>
      <c r="BO829" s="18"/>
      <c r="BP829" s="18"/>
      <c r="CR829" s="18"/>
      <c r="CS829" s="18"/>
    </row>
    <row r="830" spans="2:97" ht="12.75">
      <c r="B830" s="18"/>
      <c r="C830" s="18"/>
      <c r="D830" s="18"/>
      <c r="AG830" s="18"/>
      <c r="AH830" s="18"/>
      <c r="BO830" s="18"/>
      <c r="BP830" s="18"/>
      <c r="CR830" s="18"/>
      <c r="CS830" s="18"/>
    </row>
    <row r="831" spans="2:97" ht="12.75">
      <c r="B831" s="18"/>
      <c r="C831" s="18"/>
      <c r="D831" s="18"/>
      <c r="AG831" s="18"/>
      <c r="AH831" s="18"/>
      <c r="BO831" s="18"/>
      <c r="BP831" s="18"/>
      <c r="CR831" s="18"/>
      <c r="CS831" s="18"/>
    </row>
    <row r="832" spans="2:97" ht="12.75">
      <c r="B832" s="18"/>
      <c r="C832" s="18"/>
      <c r="D832" s="18"/>
      <c r="AG832" s="18"/>
      <c r="AH832" s="18"/>
      <c r="BO832" s="18"/>
      <c r="BP832" s="18"/>
      <c r="CR832" s="18"/>
      <c r="CS832" s="18"/>
    </row>
    <row r="833" spans="2:97" ht="12.75">
      <c r="B833" s="18"/>
      <c r="C833" s="18"/>
      <c r="D833" s="18"/>
      <c r="AG833" s="18"/>
      <c r="AH833" s="18"/>
      <c r="BO833" s="18"/>
      <c r="BP833" s="18"/>
      <c r="CR833" s="18"/>
      <c r="CS833" s="18"/>
    </row>
    <row r="834" spans="2:97" ht="12.75">
      <c r="B834" s="18"/>
      <c r="C834" s="18"/>
      <c r="D834" s="18"/>
      <c r="AG834" s="18"/>
      <c r="AH834" s="18"/>
      <c r="BO834" s="18"/>
      <c r="BP834" s="18"/>
      <c r="CR834" s="18"/>
      <c r="CS834" s="18"/>
    </row>
    <row r="835" spans="2:97" ht="12.75">
      <c r="B835" s="18"/>
      <c r="C835" s="18"/>
      <c r="D835" s="18"/>
      <c r="AG835" s="18"/>
      <c r="AH835" s="18"/>
      <c r="BO835" s="18"/>
      <c r="BP835" s="18"/>
      <c r="CR835" s="18"/>
      <c r="CS835" s="18"/>
    </row>
    <row r="836" spans="2:97" ht="12.75">
      <c r="B836" s="18"/>
      <c r="C836" s="18"/>
      <c r="D836" s="18"/>
      <c r="AG836" s="18"/>
      <c r="AH836" s="18"/>
      <c r="BO836" s="18"/>
      <c r="BP836" s="18"/>
      <c r="CR836" s="18"/>
      <c r="CS836" s="18"/>
    </row>
    <row r="837" spans="2:97" ht="12.75">
      <c r="B837" s="18"/>
      <c r="C837" s="18"/>
      <c r="D837" s="18"/>
      <c r="AG837" s="18"/>
      <c r="AH837" s="18"/>
      <c r="BO837" s="18"/>
      <c r="BP837" s="18"/>
      <c r="CR837" s="18"/>
      <c r="CS837" s="18"/>
    </row>
    <row r="838" spans="2:97" ht="12.75">
      <c r="B838" s="18"/>
      <c r="C838" s="18"/>
      <c r="D838" s="18"/>
      <c r="AG838" s="18"/>
      <c r="AH838" s="18"/>
      <c r="BO838" s="18"/>
      <c r="BP838" s="18"/>
      <c r="CR838" s="18"/>
      <c r="CS838" s="18"/>
    </row>
    <row r="839" spans="2:97" ht="12.75">
      <c r="B839" s="18"/>
      <c r="C839" s="18"/>
      <c r="D839" s="18"/>
      <c r="AG839" s="18"/>
      <c r="AH839" s="18"/>
      <c r="BO839" s="18"/>
      <c r="BP839" s="18"/>
      <c r="CR839" s="18"/>
      <c r="CS839" s="18"/>
    </row>
    <row r="840" spans="2:97" ht="12.75">
      <c r="B840" s="18"/>
      <c r="C840" s="18"/>
      <c r="D840" s="18"/>
      <c r="AG840" s="18"/>
      <c r="AH840" s="18"/>
      <c r="BO840" s="18"/>
      <c r="BP840" s="18"/>
      <c r="CR840" s="18"/>
      <c r="CS840" s="18"/>
    </row>
    <row r="841" spans="2:97" ht="12.75">
      <c r="B841" s="18"/>
      <c r="C841" s="18"/>
      <c r="D841" s="18"/>
      <c r="AG841" s="18"/>
      <c r="AH841" s="18"/>
      <c r="BO841" s="18"/>
      <c r="BP841" s="18"/>
      <c r="CR841" s="18"/>
      <c r="CS841" s="18"/>
    </row>
    <row r="842" spans="2:97" ht="12.75">
      <c r="B842" s="18"/>
      <c r="C842" s="18"/>
      <c r="D842" s="18"/>
      <c r="AG842" s="18"/>
      <c r="AH842" s="18"/>
      <c r="BO842" s="18"/>
      <c r="BP842" s="18"/>
      <c r="CR842" s="18"/>
      <c r="CS842" s="18"/>
    </row>
    <row r="843" spans="2:97" ht="12.75">
      <c r="B843" s="18"/>
      <c r="C843" s="18"/>
      <c r="D843" s="18"/>
      <c r="AG843" s="18"/>
      <c r="AH843" s="18"/>
      <c r="BO843" s="18"/>
      <c r="BP843" s="18"/>
      <c r="CR843" s="18"/>
      <c r="CS843" s="18"/>
    </row>
    <row r="844" spans="2:97" ht="12.75">
      <c r="B844" s="18"/>
      <c r="C844" s="18"/>
      <c r="D844" s="18"/>
      <c r="AG844" s="18"/>
      <c r="AH844" s="18"/>
      <c r="BO844" s="18"/>
      <c r="BP844" s="18"/>
      <c r="CR844" s="18"/>
      <c r="CS844" s="18"/>
    </row>
    <row r="845" spans="2:97" ht="12.75">
      <c r="B845" s="18"/>
      <c r="C845" s="18"/>
      <c r="D845" s="18"/>
      <c r="AG845" s="18"/>
      <c r="AH845" s="18"/>
      <c r="BO845" s="18"/>
      <c r="BP845" s="18"/>
      <c r="CR845" s="18"/>
      <c r="CS845" s="18"/>
    </row>
    <row r="846" spans="2:97" ht="12.75">
      <c r="B846" s="18"/>
      <c r="C846" s="18"/>
      <c r="D846" s="18"/>
      <c r="AG846" s="18"/>
      <c r="AH846" s="18"/>
      <c r="BO846" s="18"/>
      <c r="BP846" s="18"/>
      <c r="CR846" s="18"/>
      <c r="CS846" s="18"/>
    </row>
    <row r="847" spans="2:97" ht="12.75">
      <c r="B847" s="18"/>
      <c r="C847" s="18"/>
      <c r="D847" s="18"/>
      <c r="AG847" s="18"/>
      <c r="AH847" s="18"/>
      <c r="BO847" s="18"/>
      <c r="BP847" s="18"/>
      <c r="CR847" s="18"/>
      <c r="CS847" s="18"/>
    </row>
    <row r="848" spans="2:97" ht="12.75">
      <c r="B848" s="18"/>
      <c r="C848" s="18"/>
      <c r="D848" s="18"/>
      <c r="AG848" s="18"/>
      <c r="AH848" s="18"/>
      <c r="BO848" s="18"/>
      <c r="BP848" s="18"/>
      <c r="CR848" s="18"/>
      <c r="CS848" s="18"/>
    </row>
    <row r="849" spans="2:97" ht="12.75">
      <c r="B849" s="18"/>
      <c r="C849" s="18"/>
      <c r="D849" s="18"/>
      <c r="AG849" s="18"/>
      <c r="AH849" s="18"/>
      <c r="BO849" s="18"/>
      <c r="BP849" s="18"/>
      <c r="CR849" s="18"/>
      <c r="CS849" s="18"/>
    </row>
    <row r="850" spans="2:97" ht="12.75">
      <c r="B850" s="18"/>
      <c r="C850" s="18"/>
      <c r="D850" s="18"/>
      <c r="AG850" s="18"/>
      <c r="AH850" s="18"/>
      <c r="BO850" s="18"/>
      <c r="BP850" s="18"/>
      <c r="CR850" s="18"/>
      <c r="CS850" s="18"/>
    </row>
    <row r="851" spans="2:97" ht="12.75">
      <c r="B851" s="18"/>
      <c r="C851" s="18"/>
      <c r="D851" s="18"/>
      <c r="AG851" s="18"/>
      <c r="AH851" s="18"/>
      <c r="BO851" s="18"/>
      <c r="BP851" s="18"/>
      <c r="CR851" s="18"/>
      <c r="CS851" s="18"/>
    </row>
    <row r="852" spans="2:97" ht="12.75">
      <c r="B852" s="18"/>
      <c r="C852" s="18"/>
      <c r="D852" s="18"/>
      <c r="AG852" s="18"/>
      <c r="AH852" s="18"/>
      <c r="BO852" s="18"/>
      <c r="BP852" s="18"/>
      <c r="CR852" s="18"/>
      <c r="CS852" s="18"/>
    </row>
    <row r="853" spans="2:97" ht="12.75">
      <c r="B853" s="18"/>
      <c r="C853" s="18"/>
      <c r="D853" s="18"/>
      <c r="AG853" s="18"/>
      <c r="AH853" s="18"/>
      <c r="BO853" s="18"/>
      <c r="BP853" s="18"/>
      <c r="CR853" s="18"/>
      <c r="CS853" s="18"/>
    </row>
    <row r="854" spans="2:97" ht="12.75">
      <c r="B854" s="18"/>
      <c r="C854" s="18"/>
      <c r="D854" s="18"/>
      <c r="AG854" s="18"/>
      <c r="AH854" s="18"/>
      <c r="BO854" s="18"/>
      <c r="BP854" s="18"/>
      <c r="CR854" s="18"/>
      <c r="CS854" s="18"/>
    </row>
    <row r="855" spans="2:97" ht="12.75">
      <c r="B855" s="18"/>
      <c r="C855" s="18"/>
      <c r="D855" s="18"/>
      <c r="AG855" s="18"/>
      <c r="AH855" s="18"/>
      <c r="BO855" s="18"/>
      <c r="BP855" s="18"/>
      <c r="CR855" s="18"/>
      <c r="CS855" s="18"/>
    </row>
    <row r="856" spans="2:97" ht="12.75">
      <c r="B856" s="18"/>
      <c r="C856" s="18"/>
      <c r="D856" s="18"/>
      <c r="AG856" s="18"/>
      <c r="AH856" s="18"/>
      <c r="BO856" s="18"/>
      <c r="BP856" s="18"/>
      <c r="CR856" s="18"/>
      <c r="CS856" s="18"/>
    </row>
    <row r="857" spans="2:97" ht="12.75">
      <c r="B857" s="18"/>
      <c r="C857" s="18"/>
      <c r="D857" s="18"/>
      <c r="AG857" s="18"/>
      <c r="AH857" s="18"/>
      <c r="BO857" s="18"/>
      <c r="BP857" s="18"/>
      <c r="CR857" s="18"/>
      <c r="CS857" s="18"/>
    </row>
    <row r="858" spans="2:97" ht="12.75">
      <c r="B858" s="18"/>
      <c r="C858" s="18"/>
      <c r="D858" s="18"/>
      <c r="AG858" s="18"/>
      <c r="AH858" s="18"/>
      <c r="BO858" s="18"/>
      <c r="BP858" s="18"/>
      <c r="CR858" s="18"/>
      <c r="CS858" s="18"/>
    </row>
    <row r="859" spans="2:97" ht="12.75">
      <c r="B859" s="18"/>
      <c r="C859" s="18"/>
      <c r="D859" s="18"/>
      <c r="AG859" s="18"/>
      <c r="AH859" s="18"/>
      <c r="BO859" s="18"/>
      <c r="BP859" s="18"/>
      <c r="CR859" s="18"/>
      <c r="CS859" s="18"/>
    </row>
    <row r="860" spans="2:97" ht="12.75">
      <c r="B860" s="18"/>
      <c r="C860" s="18"/>
      <c r="D860" s="18"/>
      <c r="AG860" s="18"/>
      <c r="AH860" s="18"/>
      <c r="BO860" s="18"/>
      <c r="BP860" s="18"/>
      <c r="CR860" s="18"/>
      <c r="CS860" s="18"/>
    </row>
    <row r="861" spans="2:97" ht="12.75">
      <c r="B861" s="18"/>
      <c r="C861" s="18"/>
      <c r="D861" s="18"/>
      <c r="AG861" s="18"/>
      <c r="AH861" s="18"/>
      <c r="BO861" s="18"/>
      <c r="BP861" s="18"/>
      <c r="CR861" s="18"/>
      <c r="CS861" s="18"/>
    </row>
    <row r="862" spans="2:97" ht="12.75">
      <c r="B862" s="18"/>
      <c r="C862" s="18"/>
      <c r="D862" s="18"/>
      <c r="AG862" s="18"/>
      <c r="AH862" s="18"/>
      <c r="BO862" s="18"/>
      <c r="BP862" s="18"/>
      <c r="CR862" s="18"/>
      <c r="CS862" s="18"/>
    </row>
    <row r="863" spans="2:97" ht="12.75">
      <c r="B863" s="18"/>
      <c r="C863" s="18"/>
      <c r="D863" s="18"/>
      <c r="AG863" s="18"/>
      <c r="AH863" s="18"/>
      <c r="BO863" s="18"/>
      <c r="BP863" s="18"/>
      <c r="CR863" s="18"/>
      <c r="CS863" s="18"/>
    </row>
    <row r="864" spans="2:97" ht="12.75">
      <c r="B864" s="18"/>
      <c r="C864" s="18"/>
      <c r="D864" s="18"/>
      <c r="AG864" s="18"/>
      <c r="AH864" s="18"/>
      <c r="BO864" s="18"/>
      <c r="BP864" s="18"/>
      <c r="CR864" s="18"/>
      <c r="CS864" s="18"/>
    </row>
    <row r="865" spans="2:97" ht="12.75">
      <c r="B865" s="18"/>
      <c r="C865" s="18"/>
      <c r="D865" s="18"/>
      <c r="AG865" s="18"/>
      <c r="AH865" s="18"/>
      <c r="BO865" s="18"/>
      <c r="BP865" s="18"/>
      <c r="CR865" s="18"/>
      <c r="CS865" s="18"/>
    </row>
    <row r="866" spans="2:97" ht="12.75">
      <c r="B866" s="18"/>
      <c r="C866" s="18"/>
      <c r="D866" s="18"/>
      <c r="AG866" s="18"/>
      <c r="AH866" s="18"/>
      <c r="BO866" s="18"/>
      <c r="BP866" s="18"/>
      <c r="CR866" s="18"/>
      <c r="CS866" s="18"/>
    </row>
    <row r="867" spans="2:97" ht="12.75">
      <c r="B867" s="18"/>
      <c r="C867" s="18"/>
      <c r="D867" s="18"/>
      <c r="AG867" s="18"/>
      <c r="AH867" s="18"/>
      <c r="BO867" s="18"/>
      <c r="BP867" s="18"/>
      <c r="CR867" s="18"/>
      <c r="CS867" s="18"/>
    </row>
    <row r="868" spans="2:97" ht="12.75">
      <c r="B868" s="18"/>
      <c r="C868" s="18"/>
      <c r="D868" s="18"/>
      <c r="AG868" s="18"/>
      <c r="AH868" s="18"/>
      <c r="BO868" s="18"/>
      <c r="BP868" s="18"/>
      <c r="CR868" s="18"/>
      <c r="CS868" s="18"/>
    </row>
    <row r="869" spans="2:97" ht="12.75">
      <c r="B869" s="18"/>
      <c r="C869" s="18"/>
      <c r="D869" s="18"/>
      <c r="AG869" s="18"/>
      <c r="AH869" s="18"/>
      <c r="BO869" s="18"/>
      <c r="BP869" s="18"/>
      <c r="CR869" s="18"/>
      <c r="CS869" s="18"/>
    </row>
    <row r="870" spans="2:97" ht="12.75">
      <c r="B870" s="18"/>
      <c r="C870" s="18"/>
      <c r="D870" s="18"/>
      <c r="AG870" s="18"/>
      <c r="AH870" s="18"/>
      <c r="BO870" s="18"/>
      <c r="BP870" s="18"/>
      <c r="CR870" s="18"/>
      <c r="CS870" s="18"/>
    </row>
    <row r="871" spans="2:97" ht="12.75">
      <c r="B871" s="18"/>
      <c r="C871" s="18"/>
      <c r="D871" s="18"/>
      <c r="AG871" s="18"/>
      <c r="AH871" s="18"/>
      <c r="BO871" s="18"/>
      <c r="BP871" s="18"/>
      <c r="CR871" s="18"/>
      <c r="CS871" s="18"/>
    </row>
    <row r="872" spans="2:97" ht="12.75">
      <c r="B872" s="18"/>
      <c r="C872" s="18"/>
      <c r="D872" s="18"/>
      <c r="AG872" s="18"/>
      <c r="AH872" s="18"/>
      <c r="BO872" s="18"/>
      <c r="BP872" s="18"/>
      <c r="CR872" s="18"/>
      <c r="CS872" s="18"/>
    </row>
    <row r="873" spans="2:97" ht="12.75">
      <c r="B873" s="18"/>
      <c r="C873" s="18"/>
      <c r="D873" s="18"/>
      <c r="AG873" s="18"/>
      <c r="AH873" s="18"/>
      <c r="BO873" s="18"/>
      <c r="BP873" s="18"/>
      <c r="CR873" s="18"/>
      <c r="CS873" s="18"/>
    </row>
    <row r="874" spans="2:97" ht="12.75">
      <c r="B874" s="18"/>
      <c r="C874" s="18"/>
      <c r="D874" s="18"/>
      <c r="AG874" s="18"/>
      <c r="AH874" s="18"/>
      <c r="BO874" s="18"/>
      <c r="BP874" s="18"/>
      <c r="CR874" s="18"/>
      <c r="CS874" s="18"/>
    </row>
    <row r="875" spans="2:97" ht="12.75">
      <c r="B875" s="18"/>
      <c r="C875" s="18"/>
      <c r="D875" s="18"/>
      <c r="AG875" s="18"/>
      <c r="AH875" s="18"/>
      <c r="BO875" s="18"/>
      <c r="BP875" s="18"/>
      <c r="CR875" s="18"/>
      <c r="CS875" s="18"/>
    </row>
    <row r="876" spans="2:97" ht="12.75">
      <c r="B876" s="18"/>
      <c r="C876" s="18"/>
      <c r="D876" s="18"/>
      <c r="AG876" s="18"/>
      <c r="AH876" s="18"/>
      <c r="BO876" s="18"/>
      <c r="BP876" s="18"/>
      <c r="CR876" s="18"/>
      <c r="CS876" s="18"/>
    </row>
    <row r="877" spans="2:97" ht="12.75">
      <c r="B877" s="18"/>
      <c r="C877" s="18"/>
      <c r="D877" s="18"/>
      <c r="AG877" s="18"/>
      <c r="AH877" s="18"/>
      <c r="BO877" s="18"/>
      <c r="BP877" s="18"/>
      <c r="CR877" s="18"/>
      <c r="CS877" s="18"/>
    </row>
    <row r="878" spans="2:97" ht="12.75">
      <c r="B878" s="18"/>
      <c r="C878" s="18"/>
      <c r="D878" s="18"/>
      <c r="AG878" s="18"/>
      <c r="AH878" s="18"/>
      <c r="BO878" s="18"/>
      <c r="BP878" s="18"/>
      <c r="CR878" s="18"/>
      <c r="CS878" s="18"/>
    </row>
    <row r="879" spans="2:97" ht="12.75">
      <c r="B879" s="18"/>
      <c r="C879" s="18"/>
      <c r="D879" s="18"/>
      <c r="AG879" s="18"/>
      <c r="AH879" s="18"/>
      <c r="BO879" s="18"/>
      <c r="BP879" s="18"/>
      <c r="CR879" s="18"/>
      <c r="CS879" s="18"/>
    </row>
    <row r="880" spans="2:97" ht="12.75">
      <c r="B880" s="18"/>
      <c r="C880" s="18"/>
      <c r="D880" s="18"/>
      <c r="AG880" s="18"/>
      <c r="AH880" s="18"/>
      <c r="BO880" s="18"/>
      <c r="BP880" s="18"/>
      <c r="CR880" s="18"/>
      <c r="CS880" s="18"/>
    </row>
    <row r="881" spans="2:97" ht="12.75">
      <c r="B881" s="18"/>
      <c r="C881" s="18"/>
      <c r="D881" s="18"/>
      <c r="AG881" s="18"/>
      <c r="AH881" s="18"/>
      <c r="BO881" s="18"/>
      <c r="BP881" s="18"/>
      <c r="CR881" s="18"/>
      <c r="CS881" s="18"/>
    </row>
    <row r="882" spans="2:97" ht="12.75">
      <c r="B882" s="18"/>
      <c r="C882" s="18"/>
      <c r="D882" s="18"/>
      <c r="AG882" s="18"/>
      <c r="AH882" s="18"/>
      <c r="BO882" s="18"/>
      <c r="BP882" s="18"/>
      <c r="CR882" s="18"/>
      <c r="CS882" s="18"/>
    </row>
    <row r="883" spans="2:97" ht="12.75">
      <c r="B883" s="18"/>
      <c r="C883" s="18"/>
      <c r="D883" s="18"/>
      <c r="AG883" s="18"/>
      <c r="AH883" s="18"/>
      <c r="BO883" s="18"/>
      <c r="BP883" s="18"/>
      <c r="CR883" s="18"/>
      <c r="CS883" s="18"/>
    </row>
    <row r="884" spans="2:97" ht="12.75">
      <c r="B884" s="18"/>
      <c r="C884" s="18"/>
      <c r="D884" s="18"/>
      <c r="AG884" s="18"/>
      <c r="AH884" s="18"/>
      <c r="BO884" s="18"/>
      <c r="BP884" s="18"/>
      <c r="CR884" s="18"/>
      <c r="CS884" s="18"/>
    </row>
    <row r="885" spans="2:97" ht="12.75">
      <c r="B885" s="18"/>
      <c r="C885" s="18"/>
      <c r="D885" s="18"/>
      <c r="AG885" s="18"/>
      <c r="AH885" s="18"/>
      <c r="BO885" s="18"/>
      <c r="BP885" s="18"/>
      <c r="CR885" s="18"/>
      <c r="CS885" s="18"/>
    </row>
    <row r="886" spans="2:97" ht="12.75">
      <c r="B886" s="18"/>
      <c r="C886" s="18"/>
      <c r="D886" s="18"/>
      <c r="AG886" s="18"/>
      <c r="AH886" s="18"/>
      <c r="BO886" s="18"/>
      <c r="BP886" s="18"/>
      <c r="CR886" s="18"/>
      <c r="CS886" s="18"/>
    </row>
    <row r="887" spans="2:97" ht="12.75">
      <c r="B887" s="18"/>
      <c r="C887" s="18"/>
      <c r="D887" s="18"/>
      <c r="AG887" s="18"/>
      <c r="AH887" s="18"/>
      <c r="BO887" s="18"/>
      <c r="BP887" s="18"/>
      <c r="CR887" s="18"/>
      <c r="CS887" s="18"/>
    </row>
    <row r="888" spans="2:97" ht="12.75">
      <c r="B888" s="18"/>
      <c r="C888" s="18"/>
      <c r="D888" s="18"/>
      <c r="AG888" s="18"/>
      <c r="AH888" s="18"/>
      <c r="BO888" s="18"/>
      <c r="BP888" s="18"/>
      <c r="CR888" s="18"/>
      <c r="CS888" s="18"/>
    </row>
    <row r="889" spans="2:97" ht="12.75">
      <c r="B889" s="18"/>
      <c r="C889" s="18"/>
      <c r="D889" s="18"/>
      <c r="AG889" s="18"/>
      <c r="AH889" s="18"/>
      <c r="BO889" s="18"/>
      <c r="BP889" s="18"/>
      <c r="CR889" s="18"/>
      <c r="CS889" s="18"/>
    </row>
    <row r="890" spans="2:97" ht="12.75">
      <c r="B890" s="18"/>
      <c r="C890" s="18"/>
      <c r="D890" s="18"/>
      <c r="AG890" s="18"/>
      <c r="AH890" s="18"/>
      <c r="BO890" s="18"/>
      <c r="BP890" s="18"/>
      <c r="CR890" s="18"/>
      <c r="CS890" s="18"/>
    </row>
    <row r="891" spans="2:97" ht="12.75">
      <c r="B891" s="18"/>
      <c r="C891" s="18"/>
      <c r="D891" s="18"/>
      <c r="AG891" s="18"/>
      <c r="AH891" s="18"/>
      <c r="BO891" s="18"/>
      <c r="BP891" s="18"/>
      <c r="CR891" s="18"/>
      <c r="CS891" s="18"/>
    </row>
    <row r="892" spans="2:97" ht="12.75">
      <c r="B892" s="18"/>
      <c r="C892" s="18"/>
      <c r="D892" s="18"/>
      <c r="AG892" s="18"/>
      <c r="AH892" s="18"/>
      <c r="BO892" s="18"/>
      <c r="BP892" s="18"/>
      <c r="CR892" s="18"/>
      <c r="CS892" s="18"/>
    </row>
    <row r="893" spans="2:97" ht="12.75">
      <c r="B893" s="18"/>
      <c r="C893" s="18"/>
      <c r="D893" s="18"/>
      <c r="AG893" s="18"/>
      <c r="AH893" s="18"/>
      <c r="BO893" s="18"/>
      <c r="BP893" s="18"/>
      <c r="CR893" s="18"/>
      <c r="CS893" s="18"/>
    </row>
    <row r="894" spans="2:97" ht="12.75">
      <c r="B894" s="18"/>
      <c r="C894" s="18"/>
      <c r="D894" s="18"/>
      <c r="AG894" s="18"/>
      <c r="AH894" s="18"/>
      <c r="BO894" s="18"/>
      <c r="BP894" s="18"/>
      <c r="CR894" s="18"/>
      <c r="CS894" s="18"/>
    </row>
    <row r="895" spans="2:97" ht="12.75">
      <c r="B895" s="18"/>
      <c r="C895" s="18"/>
      <c r="D895" s="18"/>
      <c r="AG895" s="18"/>
      <c r="AH895" s="18"/>
      <c r="BO895" s="18"/>
      <c r="BP895" s="18"/>
      <c r="CR895" s="18"/>
      <c r="CS895" s="18"/>
    </row>
    <row r="896" spans="2:97" ht="12.75">
      <c r="B896" s="18"/>
      <c r="C896" s="18"/>
      <c r="D896" s="18"/>
      <c r="AG896" s="18"/>
      <c r="AH896" s="18"/>
      <c r="BO896" s="18"/>
      <c r="BP896" s="18"/>
      <c r="CR896" s="18"/>
      <c r="CS896" s="18"/>
    </row>
    <row r="897" spans="2:97" ht="12.75">
      <c r="B897" s="18"/>
      <c r="C897" s="18"/>
      <c r="D897" s="18"/>
      <c r="AG897" s="18"/>
      <c r="AH897" s="18"/>
      <c r="BO897" s="18"/>
      <c r="BP897" s="18"/>
      <c r="CR897" s="18"/>
      <c r="CS897" s="18"/>
    </row>
    <row r="898" spans="2:97" ht="12.75">
      <c r="B898" s="18"/>
      <c r="C898" s="18"/>
      <c r="D898" s="18"/>
      <c r="AG898" s="18"/>
      <c r="AH898" s="18"/>
      <c r="BO898" s="18"/>
      <c r="BP898" s="18"/>
      <c r="CR898" s="18"/>
      <c r="CS898" s="18"/>
    </row>
    <row r="899" spans="2:97" ht="12.75">
      <c r="B899" s="18"/>
      <c r="C899" s="18"/>
      <c r="D899" s="18"/>
      <c r="AG899" s="18"/>
      <c r="AH899" s="18"/>
      <c r="BO899" s="18"/>
      <c r="BP899" s="18"/>
      <c r="CR899" s="18"/>
      <c r="CS899" s="18"/>
    </row>
    <row r="900" spans="2:97" ht="12.75">
      <c r="B900" s="18"/>
      <c r="C900" s="18"/>
      <c r="D900" s="18"/>
      <c r="AG900" s="18"/>
      <c r="AH900" s="18"/>
      <c r="BO900" s="18"/>
      <c r="BP900" s="18"/>
      <c r="CR900" s="18"/>
      <c r="CS900" s="18"/>
    </row>
    <row r="901" spans="2:97" ht="12.75">
      <c r="B901" s="18"/>
      <c r="C901" s="18"/>
      <c r="D901" s="18"/>
      <c r="AG901" s="18"/>
      <c r="AH901" s="18"/>
      <c r="BO901" s="18"/>
      <c r="BP901" s="18"/>
      <c r="CR901" s="18"/>
      <c r="CS901" s="18"/>
    </row>
    <row r="902" spans="2:97" ht="12.75">
      <c r="B902" s="18"/>
      <c r="C902" s="18"/>
      <c r="D902" s="18"/>
      <c r="AG902" s="18"/>
      <c r="AH902" s="18"/>
      <c r="BO902" s="18"/>
      <c r="BP902" s="18"/>
      <c r="CR902" s="18"/>
      <c r="CS902" s="18"/>
    </row>
    <row r="903" spans="2:97" ht="12.75">
      <c r="B903" s="18"/>
      <c r="C903" s="18"/>
      <c r="D903" s="18"/>
      <c r="AG903" s="18"/>
      <c r="AH903" s="18"/>
      <c r="BO903" s="18"/>
      <c r="BP903" s="18"/>
      <c r="CR903" s="18"/>
      <c r="CS903" s="18"/>
    </row>
    <row r="904" spans="2:97" ht="12.75">
      <c r="B904" s="18"/>
      <c r="C904" s="18"/>
      <c r="D904" s="18"/>
      <c r="AG904" s="18"/>
      <c r="AH904" s="18"/>
      <c r="BO904" s="18"/>
      <c r="BP904" s="18"/>
      <c r="CR904" s="18"/>
      <c r="CS904" s="18"/>
    </row>
    <row r="905" spans="2:97" ht="12.75">
      <c r="B905" s="18"/>
      <c r="C905" s="18"/>
      <c r="D905" s="18"/>
      <c r="AG905" s="18"/>
      <c r="AH905" s="18"/>
      <c r="BO905" s="18"/>
      <c r="BP905" s="18"/>
      <c r="CR905" s="18"/>
      <c r="CS905" s="18"/>
    </row>
    <row r="906" spans="2:97" ht="12.75">
      <c r="B906" s="18"/>
      <c r="C906" s="18"/>
      <c r="D906" s="18"/>
      <c r="AG906" s="18"/>
      <c r="AH906" s="18"/>
      <c r="BO906" s="18"/>
      <c r="BP906" s="18"/>
      <c r="CR906" s="18"/>
      <c r="CS906" s="18"/>
    </row>
    <row r="907" spans="2:97" ht="12.75">
      <c r="B907" s="18"/>
      <c r="C907" s="18"/>
      <c r="D907" s="18"/>
      <c r="AG907" s="18"/>
      <c r="AH907" s="18"/>
      <c r="BO907" s="18"/>
      <c r="BP907" s="18"/>
      <c r="CR907" s="18"/>
      <c r="CS907" s="18"/>
    </row>
    <row r="908" spans="2:97" ht="12.75">
      <c r="B908" s="18"/>
      <c r="C908" s="18"/>
      <c r="D908" s="18"/>
      <c r="AG908" s="18"/>
      <c r="AH908" s="18"/>
      <c r="BO908" s="18"/>
      <c r="BP908" s="18"/>
      <c r="CR908" s="18"/>
      <c r="CS908" s="18"/>
    </row>
    <row r="909" spans="2:97" ht="12.75">
      <c r="B909" s="18"/>
      <c r="C909" s="18"/>
      <c r="D909" s="18"/>
      <c r="AG909" s="18"/>
      <c r="AH909" s="18"/>
      <c r="BO909" s="18"/>
      <c r="BP909" s="18"/>
      <c r="CR909" s="18"/>
      <c r="CS909" s="18"/>
    </row>
    <row r="910" spans="2:97" ht="12.75">
      <c r="B910" s="18"/>
      <c r="C910" s="18"/>
      <c r="D910" s="18"/>
      <c r="AG910" s="18"/>
      <c r="AH910" s="18"/>
      <c r="BO910" s="18"/>
      <c r="BP910" s="18"/>
      <c r="CR910" s="18"/>
      <c r="CS910" s="18"/>
    </row>
    <row r="911" spans="2:97" ht="12.75">
      <c r="B911" s="18"/>
      <c r="C911" s="18"/>
      <c r="D911" s="18"/>
      <c r="AG911" s="18"/>
      <c r="AH911" s="18"/>
      <c r="BO911" s="18"/>
      <c r="BP911" s="18"/>
      <c r="CR911" s="18"/>
      <c r="CS911" s="18"/>
    </row>
    <row r="912" spans="2:97" ht="12.75">
      <c r="B912" s="18"/>
      <c r="C912" s="18"/>
      <c r="D912" s="18"/>
      <c r="AG912" s="18"/>
      <c r="AH912" s="18"/>
      <c r="BO912" s="18"/>
      <c r="BP912" s="18"/>
      <c r="CR912" s="18"/>
      <c r="CS912" s="18"/>
    </row>
    <row r="913" spans="2:97" ht="12.75">
      <c r="B913" s="18"/>
      <c r="C913" s="18"/>
      <c r="D913" s="18"/>
      <c r="AG913" s="18"/>
      <c r="AH913" s="18"/>
      <c r="BO913" s="18"/>
      <c r="BP913" s="18"/>
      <c r="CR913" s="18"/>
      <c r="CS913" s="18"/>
    </row>
    <row r="914" spans="2:97" ht="12.75">
      <c r="B914" s="18"/>
      <c r="C914" s="18"/>
      <c r="D914" s="18"/>
      <c r="AG914" s="18"/>
      <c r="AH914" s="18"/>
      <c r="BO914" s="18"/>
      <c r="BP914" s="18"/>
      <c r="CR914" s="18"/>
      <c r="CS914" s="18"/>
    </row>
    <row r="915" spans="2:97" ht="12.75">
      <c r="B915" s="18"/>
      <c r="C915" s="18"/>
      <c r="D915" s="18"/>
      <c r="AG915" s="18"/>
      <c r="AH915" s="18"/>
      <c r="BO915" s="18"/>
      <c r="BP915" s="18"/>
      <c r="CR915" s="18"/>
      <c r="CS915" s="18"/>
    </row>
    <row r="916" spans="2:97" ht="12.75">
      <c r="B916" s="18"/>
      <c r="C916" s="18"/>
      <c r="D916" s="18"/>
      <c r="AG916" s="18"/>
      <c r="AH916" s="18"/>
      <c r="BO916" s="18"/>
      <c r="BP916" s="18"/>
      <c r="CR916" s="18"/>
      <c r="CS916" s="18"/>
    </row>
    <row r="917" spans="2:97" ht="12.75">
      <c r="B917" s="18"/>
      <c r="C917" s="18"/>
      <c r="D917" s="18"/>
      <c r="AG917" s="18"/>
      <c r="AH917" s="18"/>
      <c r="BO917" s="18"/>
      <c r="BP917" s="18"/>
      <c r="CR917" s="18"/>
      <c r="CS917" s="18"/>
    </row>
    <row r="918" spans="2:97" ht="12.75">
      <c r="B918" s="18"/>
      <c r="C918" s="18"/>
      <c r="D918" s="18"/>
      <c r="AG918" s="18"/>
      <c r="AH918" s="18"/>
      <c r="BO918" s="18"/>
      <c r="BP918" s="18"/>
      <c r="CR918" s="18"/>
      <c r="CS918" s="18"/>
    </row>
    <row r="919" spans="2:97" ht="12.75">
      <c r="B919" s="18"/>
      <c r="C919" s="18"/>
      <c r="D919" s="18"/>
      <c r="AG919" s="18"/>
      <c r="AH919" s="18"/>
      <c r="BO919" s="18"/>
      <c r="BP919" s="18"/>
      <c r="CR919" s="18"/>
      <c r="CS919" s="18"/>
    </row>
    <row r="920" spans="2:97" ht="12.75">
      <c r="B920" s="18"/>
      <c r="C920" s="18"/>
      <c r="D920" s="18"/>
      <c r="AG920" s="18"/>
      <c r="AH920" s="18"/>
      <c r="BO920" s="18"/>
      <c r="BP920" s="18"/>
      <c r="CR920" s="18"/>
      <c r="CS920" s="18"/>
    </row>
    <row r="921" spans="2:97" ht="12.75">
      <c r="B921" s="18"/>
      <c r="C921" s="18"/>
      <c r="D921" s="18"/>
      <c r="AG921" s="18"/>
      <c r="AH921" s="18"/>
      <c r="BO921" s="18"/>
      <c r="BP921" s="18"/>
      <c r="CR921" s="18"/>
      <c r="CS921" s="18"/>
    </row>
    <row r="922" spans="2:97" ht="12.75">
      <c r="B922" s="18"/>
      <c r="C922" s="18"/>
      <c r="D922" s="18"/>
      <c r="AG922" s="18"/>
      <c r="AH922" s="18"/>
      <c r="BO922" s="18"/>
      <c r="BP922" s="18"/>
      <c r="CR922" s="18"/>
      <c r="CS922" s="18"/>
    </row>
    <row r="923" spans="2:97" ht="12.75">
      <c r="B923" s="18"/>
      <c r="C923" s="18"/>
      <c r="D923" s="18"/>
      <c r="AG923" s="18"/>
      <c r="AH923" s="18"/>
      <c r="BO923" s="18"/>
      <c r="BP923" s="18"/>
      <c r="CR923" s="18"/>
      <c r="CS923" s="18"/>
    </row>
    <row r="924" spans="2:97" ht="12.75">
      <c r="B924" s="18"/>
      <c r="C924" s="18"/>
      <c r="D924" s="18"/>
      <c r="AG924" s="18"/>
      <c r="AH924" s="18"/>
      <c r="BO924" s="18"/>
      <c r="BP924" s="18"/>
      <c r="CR924" s="18"/>
      <c r="CS924" s="18"/>
    </row>
    <row r="925" spans="2:97" ht="12.75">
      <c r="B925" s="18"/>
      <c r="C925" s="18"/>
      <c r="D925" s="18"/>
      <c r="AG925" s="18"/>
      <c r="AH925" s="18"/>
      <c r="BO925" s="18"/>
      <c r="BP925" s="18"/>
      <c r="CR925" s="18"/>
      <c r="CS925" s="18"/>
    </row>
    <row r="926" spans="2:97" ht="12.75">
      <c r="B926" s="18"/>
      <c r="C926" s="18"/>
      <c r="D926" s="18"/>
      <c r="AG926" s="18"/>
      <c r="AH926" s="18"/>
      <c r="BO926" s="18"/>
      <c r="BP926" s="18"/>
      <c r="CR926" s="18"/>
      <c r="CS926" s="18"/>
    </row>
    <row r="927" spans="2:97" ht="12.75">
      <c r="B927" s="18"/>
      <c r="C927" s="18"/>
      <c r="D927" s="18"/>
      <c r="AG927" s="18"/>
      <c r="AH927" s="18"/>
      <c r="BO927" s="18"/>
      <c r="BP927" s="18"/>
      <c r="CR927" s="18"/>
      <c r="CS927" s="18"/>
    </row>
    <row r="928" spans="2:97" ht="12.75">
      <c r="B928" s="18"/>
      <c r="C928" s="18"/>
      <c r="D928" s="18"/>
      <c r="AG928" s="18"/>
      <c r="AH928" s="18"/>
      <c r="BO928" s="18"/>
      <c r="BP928" s="18"/>
      <c r="CR928" s="18"/>
      <c r="CS928" s="18"/>
    </row>
    <row r="929" spans="2:97" ht="12.75">
      <c r="B929" s="18"/>
      <c r="C929" s="18"/>
      <c r="D929" s="18"/>
      <c r="AG929" s="18"/>
      <c r="AH929" s="18"/>
      <c r="BO929" s="18"/>
      <c r="BP929" s="18"/>
      <c r="CR929" s="18"/>
      <c r="CS929" s="18"/>
    </row>
    <row r="930" spans="2:97" ht="12.75">
      <c r="B930" s="18"/>
      <c r="C930" s="18"/>
      <c r="D930" s="18"/>
      <c r="AG930" s="18"/>
      <c r="AH930" s="18"/>
      <c r="BO930" s="18"/>
      <c r="BP930" s="18"/>
      <c r="CR930" s="18"/>
      <c r="CS930" s="18"/>
    </row>
    <row r="931" spans="2:97" ht="12.75">
      <c r="B931" s="18"/>
      <c r="C931" s="18"/>
      <c r="D931" s="18"/>
      <c r="AG931" s="18"/>
      <c r="AH931" s="18"/>
      <c r="BO931" s="18"/>
      <c r="BP931" s="18"/>
      <c r="CR931" s="18"/>
      <c r="CS931" s="18"/>
    </row>
    <row r="932" spans="2:97" ht="12.75">
      <c r="B932" s="18"/>
      <c r="C932" s="18"/>
      <c r="D932" s="18"/>
      <c r="AG932" s="18"/>
      <c r="AH932" s="18"/>
      <c r="BO932" s="18"/>
      <c r="BP932" s="18"/>
      <c r="CR932" s="18"/>
      <c r="CS932" s="18"/>
    </row>
    <row r="933" spans="2:97" ht="12.75">
      <c r="B933" s="18"/>
      <c r="C933" s="18"/>
      <c r="D933" s="18"/>
      <c r="AG933" s="18"/>
      <c r="AH933" s="18"/>
      <c r="BO933" s="18"/>
      <c r="BP933" s="18"/>
      <c r="CR933" s="18"/>
      <c r="CS933" s="18"/>
    </row>
    <row r="934" spans="2:97" ht="12.75">
      <c r="B934" s="18"/>
      <c r="C934" s="18"/>
      <c r="D934" s="18"/>
      <c r="AG934" s="18"/>
      <c r="AH934" s="18"/>
      <c r="BO934" s="18"/>
      <c r="BP934" s="18"/>
      <c r="CR934" s="18"/>
      <c r="CS934" s="18"/>
    </row>
    <row r="935" spans="2:97" ht="12.75">
      <c r="B935" s="18"/>
      <c r="C935" s="18"/>
      <c r="D935" s="18"/>
      <c r="AG935" s="18"/>
      <c r="AH935" s="18"/>
      <c r="BO935" s="18"/>
      <c r="BP935" s="18"/>
      <c r="CR935" s="18"/>
      <c r="CS935" s="18"/>
    </row>
    <row r="936" spans="2:97" ht="12.75">
      <c r="B936" s="18"/>
      <c r="C936" s="18"/>
      <c r="D936" s="18"/>
      <c r="AG936" s="18"/>
      <c r="AH936" s="18"/>
      <c r="BO936" s="18"/>
      <c r="BP936" s="18"/>
      <c r="CR936" s="18"/>
      <c r="CS936" s="18"/>
    </row>
    <row r="937" spans="2:97" ht="12.75">
      <c r="B937" s="18"/>
      <c r="C937" s="18"/>
      <c r="D937" s="18"/>
      <c r="AG937" s="18"/>
      <c r="AH937" s="18"/>
      <c r="BO937" s="18"/>
      <c r="BP937" s="18"/>
      <c r="CR937" s="18"/>
      <c r="CS937" s="18"/>
    </row>
    <row r="938" spans="2:97" ht="12.75">
      <c r="B938" s="18"/>
      <c r="C938" s="18"/>
      <c r="D938" s="18"/>
      <c r="AG938" s="18"/>
      <c r="AH938" s="18"/>
      <c r="BO938" s="18"/>
      <c r="BP938" s="18"/>
      <c r="CR938" s="18"/>
      <c r="CS938" s="18"/>
    </row>
    <row r="939" spans="2:97" ht="12.75">
      <c r="B939" s="18"/>
      <c r="C939" s="18"/>
      <c r="D939" s="18"/>
      <c r="AG939" s="18"/>
      <c r="AH939" s="18"/>
      <c r="BO939" s="18"/>
      <c r="BP939" s="18"/>
      <c r="CR939" s="18"/>
      <c r="CS939" s="18"/>
    </row>
    <row r="940" spans="2:97" ht="12.75">
      <c r="B940" s="18"/>
      <c r="C940" s="18"/>
      <c r="D940" s="18"/>
      <c r="AG940" s="18"/>
      <c r="AH940" s="18"/>
      <c r="BO940" s="18"/>
      <c r="BP940" s="18"/>
      <c r="CR940" s="18"/>
      <c r="CS940" s="18"/>
    </row>
    <row r="941" spans="2:97" ht="12.75">
      <c r="B941" s="18"/>
      <c r="C941" s="18"/>
      <c r="D941" s="18"/>
      <c r="AG941" s="18"/>
      <c r="AH941" s="18"/>
      <c r="BO941" s="18"/>
      <c r="BP941" s="18"/>
      <c r="CR941" s="18"/>
      <c r="CS941" s="18"/>
    </row>
    <row r="942" spans="2:97" ht="12.75">
      <c r="B942" s="18"/>
      <c r="C942" s="18"/>
      <c r="D942" s="18"/>
      <c r="AG942" s="18"/>
      <c r="AH942" s="18"/>
      <c r="BO942" s="18"/>
      <c r="BP942" s="18"/>
      <c r="CR942" s="18"/>
      <c r="CS942" s="18"/>
    </row>
    <row r="943" spans="2:97" ht="12.75">
      <c r="B943" s="18"/>
      <c r="C943" s="18"/>
      <c r="D943" s="18"/>
      <c r="AG943" s="18"/>
      <c r="AH943" s="18"/>
      <c r="BO943" s="18"/>
      <c r="BP943" s="18"/>
      <c r="CR943" s="18"/>
      <c r="CS943" s="18"/>
    </row>
    <row r="944" spans="2:97" ht="12.75">
      <c r="B944" s="18"/>
      <c r="C944" s="18"/>
      <c r="D944" s="18"/>
      <c r="AG944" s="18"/>
      <c r="AH944" s="18"/>
      <c r="BO944" s="18"/>
      <c r="BP944" s="18"/>
      <c r="CR944" s="18"/>
      <c r="CS944" s="18"/>
    </row>
    <row r="945" spans="2:97" ht="12.75">
      <c r="B945" s="18"/>
      <c r="C945" s="18"/>
      <c r="D945" s="18"/>
      <c r="AG945" s="18"/>
      <c r="AH945" s="18"/>
      <c r="BO945" s="18"/>
      <c r="BP945" s="18"/>
      <c r="CR945" s="18"/>
      <c r="CS945" s="18"/>
    </row>
    <row r="946" spans="2:97" ht="12.75">
      <c r="B946" s="18"/>
      <c r="C946" s="18"/>
      <c r="D946" s="18"/>
      <c r="AG946" s="18"/>
      <c r="AH946" s="18"/>
      <c r="BO946" s="18"/>
      <c r="BP946" s="18"/>
      <c r="CR946" s="18"/>
      <c r="CS946" s="18"/>
    </row>
    <row r="947" spans="2:97" ht="12.75">
      <c r="B947" s="18"/>
      <c r="C947" s="18"/>
      <c r="D947" s="18"/>
      <c r="AG947" s="18"/>
      <c r="AH947" s="18"/>
      <c r="BO947" s="18"/>
      <c r="BP947" s="18"/>
      <c r="CR947" s="18"/>
      <c r="CS947" s="18"/>
    </row>
    <row r="948" spans="2:97" ht="12.75">
      <c r="B948" s="18"/>
      <c r="C948" s="18"/>
      <c r="D948" s="18"/>
      <c r="AG948" s="18"/>
      <c r="AH948" s="18"/>
      <c r="BO948" s="18"/>
      <c r="BP948" s="18"/>
      <c r="CR948" s="18"/>
      <c r="CS948" s="18"/>
    </row>
    <row r="949" spans="2:97" ht="12.75">
      <c r="B949" s="18"/>
      <c r="C949" s="18"/>
      <c r="D949" s="18"/>
      <c r="AG949" s="18"/>
      <c r="AH949" s="18"/>
      <c r="BO949" s="18"/>
      <c r="BP949" s="18"/>
      <c r="CR949" s="18"/>
      <c r="CS949" s="18"/>
    </row>
    <row r="950" spans="2:97" ht="12.75">
      <c r="B950" s="18"/>
      <c r="C950" s="18"/>
      <c r="D950" s="18"/>
      <c r="AG950" s="18"/>
      <c r="AH950" s="18"/>
      <c r="BO950" s="18"/>
      <c r="BP950" s="18"/>
      <c r="CR950" s="18"/>
      <c r="CS950" s="18"/>
    </row>
    <row r="951" spans="2:97" ht="12.75">
      <c r="B951" s="18"/>
      <c r="C951" s="18"/>
      <c r="D951" s="18"/>
      <c r="AG951" s="18"/>
      <c r="AH951" s="18"/>
      <c r="BO951" s="18"/>
      <c r="BP951" s="18"/>
      <c r="CR951" s="18"/>
      <c r="CS951" s="18"/>
    </row>
    <row r="952" spans="2:97" ht="12.75">
      <c r="B952" s="18"/>
      <c r="C952" s="18"/>
      <c r="D952" s="18"/>
      <c r="AG952" s="18"/>
      <c r="AH952" s="18"/>
      <c r="BO952" s="18"/>
      <c r="BP952" s="18"/>
      <c r="CR952" s="18"/>
      <c r="CS952" s="18"/>
    </row>
    <row r="953" spans="2:97" ht="12.75">
      <c r="B953" s="18"/>
      <c r="C953" s="18"/>
      <c r="D953" s="18"/>
      <c r="AG953" s="18"/>
      <c r="AH953" s="18"/>
      <c r="BO953" s="18"/>
      <c r="BP953" s="18"/>
      <c r="CR953" s="18"/>
      <c r="CS953" s="18"/>
    </row>
    <row r="954" spans="2:97" ht="12.75">
      <c r="B954" s="18"/>
      <c r="C954" s="18"/>
      <c r="D954" s="18"/>
      <c r="AG954" s="18"/>
      <c r="AH954" s="18"/>
      <c r="BO954" s="18"/>
      <c r="BP954" s="18"/>
      <c r="CR954" s="18"/>
      <c r="CS954" s="18"/>
    </row>
    <row r="955" spans="2:97" ht="12.75">
      <c r="B955" s="18"/>
      <c r="C955" s="18"/>
      <c r="D955" s="18"/>
      <c r="AG955" s="18"/>
      <c r="AH955" s="18"/>
      <c r="BO955" s="18"/>
      <c r="BP955" s="18"/>
      <c r="CR955" s="18"/>
      <c r="CS955" s="18"/>
    </row>
    <row r="956" spans="2:97" ht="12.75">
      <c r="B956" s="18"/>
      <c r="C956" s="18"/>
      <c r="D956" s="18"/>
      <c r="AG956" s="18"/>
      <c r="AH956" s="18"/>
      <c r="BO956" s="18"/>
      <c r="BP956" s="18"/>
      <c r="CR956" s="18"/>
      <c r="CS956" s="18"/>
    </row>
    <row r="957" spans="2:97" ht="12.75">
      <c r="B957" s="18"/>
      <c r="C957" s="18"/>
      <c r="D957" s="18"/>
      <c r="AG957" s="18"/>
      <c r="AH957" s="18"/>
      <c r="BO957" s="18"/>
      <c r="BP957" s="18"/>
      <c r="CR957" s="18"/>
      <c r="CS957" s="18"/>
    </row>
    <row r="958" spans="2:97" ht="12.75">
      <c r="B958" s="18"/>
      <c r="C958" s="18"/>
      <c r="D958" s="18"/>
      <c r="AG958" s="18"/>
      <c r="AH958" s="18"/>
      <c r="BO958" s="18"/>
      <c r="BP958" s="18"/>
      <c r="CR958" s="18"/>
      <c r="CS958" s="18"/>
    </row>
    <row r="959" spans="2:97" ht="12.75">
      <c r="B959" s="18"/>
      <c r="C959" s="18"/>
      <c r="D959" s="18"/>
      <c r="AG959" s="18"/>
      <c r="AH959" s="18"/>
      <c r="BO959" s="18"/>
      <c r="BP959" s="18"/>
      <c r="CR959" s="18"/>
      <c r="CS959" s="18"/>
    </row>
    <row r="960" spans="2:97" ht="12.75">
      <c r="B960" s="18"/>
      <c r="C960" s="18"/>
      <c r="D960" s="18"/>
      <c r="AG960" s="18"/>
      <c r="AH960" s="18"/>
      <c r="BO960" s="18"/>
      <c r="BP960" s="18"/>
      <c r="CR960" s="18"/>
      <c r="CS960" s="18"/>
    </row>
    <row r="961" spans="2:97" ht="12.75">
      <c r="B961" s="18"/>
      <c r="C961" s="18"/>
      <c r="D961" s="18"/>
      <c r="AG961" s="18"/>
      <c r="AH961" s="18"/>
      <c r="BO961" s="18"/>
      <c r="BP961" s="18"/>
      <c r="CR961" s="18"/>
      <c r="CS961" s="18"/>
    </row>
    <row r="962" spans="2:97" ht="12.75">
      <c r="B962" s="18"/>
      <c r="C962" s="18"/>
      <c r="D962" s="18"/>
      <c r="AG962" s="18"/>
      <c r="AH962" s="18"/>
      <c r="BO962" s="18"/>
      <c r="BP962" s="18"/>
      <c r="CR962" s="18"/>
      <c r="CS962" s="18"/>
    </row>
    <row r="963" spans="2:97" ht="12.75">
      <c r="B963" s="18"/>
      <c r="C963" s="18"/>
      <c r="D963" s="18"/>
      <c r="AG963" s="18"/>
      <c r="AH963" s="18"/>
      <c r="BO963" s="18"/>
      <c r="BP963" s="18"/>
      <c r="CR963" s="18"/>
      <c r="CS963" s="18"/>
    </row>
    <row r="964" spans="2:97" ht="12.75">
      <c r="B964" s="18"/>
      <c r="C964" s="18"/>
      <c r="D964" s="18"/>
      <c r="AG964" s="18"/>
      <c r="AH964" s="18"/>
      <c r="BO964" s="18"/>
      <c r="BP964" s="18"/>
      <c r="CR964" s="18"/>
      <c r="CS964" s="18"/>
    </row>
    <row r="965" spans="2:97" ht="12.75">
      <c r="B965" s="18"/>
      <c r="C965" s="18"/>
      <c r="D965" s="18"/>
      <c r="AG965" s="18"/>
      <c r="AH965" s="18"/>
      <c r="BO965" s="18"/>
      <c r="BP965" s="18"/>
      <c r="CR965" s="18"/>
      <c r="CS965" s="18"/>
    </row>
    <row r="966" spans="2:97" ht="12.75">
      <c r="B966" s="18"/>
      <c r="C966" s="18"/>
      <c r="D966" s="18"/>
      <c r="AG966" s="18"/>
      <c r="AH966" s="18"/>
      <c r="BO966" s="18"/>
      <c r="BP966" s="18"/>
      <c r="CR966" s="18"/>
      <c r="CS966" s="18"/>
    </row>
    <row r="967" spans="2:97" ht="12.75">
      <c r="B967" s="18"/>
      <c r="C967" s="18"/>
      <c r="D967" s="18"/>
      <c r="AG967" s="18"/>
      <c r="AH967" s="18"/>
      <c r="BO967" s="18"/>
      <c r="BP967" s="18"/>
      <c r="CR967" s="18"/>
      <c r="CS967" s="18"/>
    </row>
    <row r="968" spans="2:97" ht="12.75">
      <c r="B968" s="18"/>
      <c r="C968" s="18"/>
      <c r="D968" s="18"/>
      <c r="AG968" s="18"/>
      <c r="AH968" s="18"/>
      <c r="BO968" s="18"/>
      <c r="BP968" s="18"/>
      <c r="CR968" s="18"/>
      <c r="CS968" s="18"/>
    </row>
    <row r="969" spans="2:97" ht="12.75">
      <c r="B969" s="18"/>
      <c r="C969" s="18"/>
      <c r="D969" s="18"/>
      <c r="AG969" s="18"/>
      <c r="AH969" s="18"/>
      <c r="BO969" s="18"/>
      <c r="BP969" s="18"/>
      <c r="CR969" s="18"/>
      <c r="CS969" s="18"/>
    </row>
    <row r="970" spans="2:97" ht="12.75">
      <c r="B970" s="18"/>
      <c r="C970" s="18"/>
      <c r="D970" s="18"/>
      <c r="AG970" s="18"/>
      <c r="AH970" s="18"/>
      <c r="BO970" s="18"/>
      <c r="BP970" s="18"/>
      <c r="CR970" s="18"/>
      <c r="CS970" s="18"/>
    </row>
    <row r="971" spans="2:97" ht="12.75">
      <c r="B971" s="18"/>
      <c r="C971" s="18"/>
      <c r="D971" s="18"/>
      <c r="AG971" s="18"/>
      <c r="AH971" s="18"/>
      <c r="BO971" s="18"/>
      <c r="BP971" s="18"/>
      <c r="CR971" s="18"/>
      <c r="CS971" s="18"/>
    </row>
    <row r="972" spans="2:97" ht="12.75">
      <c r="B972" s="18"/>
      <c r="C972" s="18"/>
      <c r="D972" s="18"/>
      <c r="AG972" s="18"/>
      <c r="AH972" s="18"/>
      <c r="BO972" s="18"/>
      <c r="BP972" s="18"/>
      <c r="CR972" s="18"/>
      <c r="CS972" s="18"/>
    </row>
    <row r="973" spans="2:97" ht="12.75">
      <c r="B973" s="18"/>
      <c r="C973" s="18"/>
      <c r="D973" s="18"/>
      <c r="AG973" s="18"/>
      <c r="AH973" s="18"/>
      <c r="BO973" s="18"/>
      <c r="BP973" s="18"/>
      <c r="CR973" s="18"/>
      <c r="CS973" s="18"/>
    </row>
  </sheetData>
  <sheetProtection/>
  <mergeCells count="1452">
    <mergeCell ref="AK27:AK28"/>
    <mergeCell ref="AJ28:AJ29"/>
    <mergeCell ref="AK17:AK18"/>
    <mergeCell ref="AJ18:AJ19"/>
    <mergeCell ref="AK19:AK20"/>
    <mergeCell ref="AJ20:AJ21"/>
    <mergeCell ref="AK21:AK22"/>
    <mergeCell ref="AJ22:AJ23"/>
    <mergeCell ref="AK23:AK24"/>
    <mergeCell ref="AJ24:AJ25"/>
    <mergeCell ref="AK25:AK26"/>
    <mergeCell ref="AJ26:AJ27"/>
    <mergeCell ref="AJ6:AK6"/>
    <mergeCell ref="AJ8:AJ9"/>
    <mergeCell ref="AK9:AK10"/>
    <mergeCell ref="AJ10:AJ11"/>
    <mergeCell ref="AK11:AK12"/>
    <mergeCell ref="AJ12:AJ13"/>
    <mergeCell ref="AK13:AK14"/>
    <mergeCell ref="AJ14:AJ15"/>
    <mergeCell ref="AK15:AK16"/>
    <mergeCell ref="AJ16:AJ17"/>
    <mergeCell ref="K57:K58"/>
    <mergeCell ref="K59:K60"/>
    <mergeCell ref="K61:K62"/>
    <mergeCell ref="K63:K64"/>
    <mergeCell ref="K65:K66"/>
    <mergeCell ref="K67:K68"/>
    <mergeCell ref="D61:D62"/>
    <mergeCell ref="D63:D64"/>
    <mergeCell ref="D65:D66"/>
    <mergeCell ref="D67:D68"/>
    <mergeCell ref="D38:D39"/>
    <mergeCell ref="D40:D41"/>
    <mergeCell ref="D57:D58"/>
    <mergeCell ref="X51:Y51"/>
    <mergeCell ref="Z51:AA51"/>
    <mergeCell ref="AB51:AC51"/>
    <mergeCell ref="AD51:AE51"/>
    <mergeCell ref="AF51:AG51"/>
    <mergeCell ref="AH51:AI51"/>
    <mergeCell ref="L51:M51"/>
    <mergeCell ref="N51:O51"/>
    <mergeCell ref="P51:Q51"/>
    <mergeCell ref="R51:S51"/>
    <mergeCell ref="T51:U51"/>
    <mergeCell ref="V51:W51"/>
    <mergeCell ref="U21:U22"/>
    <mergeCell ref="T22:T23"/>
    <mergeCell ref="U23:U24"/>
    <mergeCell ref="T24:T25"/>
    <mergeCell ref="T18:T19"/>
    <mergeCell ref="U19:U20"/>
    <mergeCell ref="T20:T21"/>
    <mergeCell ref="U25:U26"/>
    <mergeCell ref="T26:T27"/>
    <mergeCell ref="Q23:Q24"/>
    <mergeCell ref="S21:S22"/>
    <mergeCell ref="R24:R25"/>
    <mergeCell ref="T6:U6"/>
    <mergeCell ref="T8:T9"/>
    <mergeCell ref="U9:U10"/>
    <mergeCell ref="T10:T11"/>
    <mergeCell ref="U11:U12"/>
    <mergeCell ref="T12:T13"/>
    <mergeCell ref="R18:R19"/>
    <mergeCell ref="AC9:AC10"/>
    <mergeCell ref="AB10:AB11"/>
    <mergeCell ref="AC11:AC12"/>
    <mergeCell ref="AB12:AB13"/>
    <mergeCell ref="AC13:AC14"/>
    <mergeCell ref="U17:U18"/>
    <mergeCell ref="U13:U14"/>
    <mergeCell ref="X8:X9"/>
    <mergeCell ref="AA17:AA18"/>
    <mergeCell ref="Z18:Z19"/>
    <mergeCell ref="AB8:AB9"/>
    <mergeCell ref="O27:O28"/>
    <mergeCell ref="S27:S28"/>
    <mergeCell ref="S25:S26"/>
    <mergeCell ref="R22:R23"/>
    <mergeCell ref="S23:S24"/>
    <mergeCell ref="O25:O26"/>
    <mergeCell ref="T28:T29"/>
    <mergeCell ref="R12:R13"/>
    <mergeCell ref="R16:R17"/>
    <mergeCell ref="B28:B29"/>
    <mergeCell ref="C27:C28"/>
    <mergeCell ref="E26:E27"/>
    <mergeCell ref="M27:M28"/>
    <mergeCell ref="I28:I29"/>
    <mergeCell ref="U27:U28"/>
    <mergeCell ref="L28:L29"/>
    <mergeCell ref="N28:N29"/>
    <mergeCell ref="N26:N27"/>
    <mergeCell ref="R26:R27"/>
    <mergeCell ref="B20:B21"/>
    <mergeCell ref="B22:B23"/>
    <mergeCell ref="B24:B25"/>
    <mergeCell ref="B26:B27"/>
    <mergeCell ref="C19:C20"/>
    <mergeCell ref="B18:B19"/>
    <mergeCell ref="C17:C18"/>
    <mergeCell ref="B16:B17"/>
    <mergeCell ref="C25:C26"/>
    <mergeCell ref="Q27:Q28"/>
    <mergeCell ref="P28:P29"/>
    <mergeCell ref="O21:O22"/>
    <mergeCell ref="M25:M26"/>
    <mergeCell ref="R20:R21"/>
    <mergeCell ref="R28:R29"/>
    <mergeCell ref="N22:N23"/>
    <mergeCell ref="N24:N25"/>
    <mergeCell ref="P22:P23"/>
    <mergeCell ref="N20:N21"/>
    <mergeCell ref="E28:E29"/>
    <mergeCell ref="F25:F26"/>
    <mergeCell ref="E24:E25"/>
    <mergeCell ref="E20:E21"/>
    <mergeCell ref="F27:F28"/>
    <mergeCell ref="L26:L27"/>
    <mergeCell ref="L20:L21"/>
    <mergeCell ref="G20:G21"/>
    <mergeCell ref="G24:G25"/>
    <mergeCell ref="G28:G29"/>
    <mergeCell ref="P8:P9"/>
    <mergeCell ref="S17:S18"/>
    <mergeCell ref="S11:S12"/>
    <mergeCell ref="C23:C24"/>
    <mergeCell ref="C15:C16"/>
    <mergeCell ref="F23:F24"/>
    <mergeCell ref="C21:C22"/>
    <mergeCell ref="M23:M24"/>
    <mergeCell ref="L24:L25"/>
    <mergeCell ref="O23:O24"/>
    <mergeCell ref="R6:S6"/>
    <mergeCell ref="R8:R9"/>
    <mergeCell ref="S9:S10"/>
    <mergeCell ref="R14:R15"/>
    <mergeCell ref="S15:S16"/>
    <mergeCell ref="O19:O20"/>
    <mergeCell ref="P20:P21"/>
    <mergeCell ref="Q21:Q22"/>
    <mergeCell ref="P6:Q6"/>
    <mergeCell ref="N6:O6"/>
    <mergeCell ref="N18:N19"/>
    <mergeCell ref="O17:O18"/>
    <mergeCell ref="O13:O14"/>
    <mergeCell ref="O15:O16"/>
    <mergeCell ref="M17:M18"/>
    <mergeCell ref="N12:N13"/>
    <mergeCell ref="N16:N17"/>
    <mergeCell ref="M21:M22"/>
    <mergeCell ref="L16:L17"/>
    <mergeCell ref="M15:M16"/>
    <mergeCell ref="L18:L19"/>
    <mergeCell ref="J19:J20"/>
    <mergeCell ref="L14:L15"/>
    <mergeCell ref="M19:M20"/>
    <mergeCell ref="E6:F6"/>
    <mergeCell ref="F19:F20"/>
    <mergeCell ref="H23:H24"/>
    <mergeCell ref="H21:H22"/>
    <mergeCell ref="L22:L23"/>
    <mergeCell ref="H15:H16"/>
    <mergeCell ref="G10:G11"/>
    <mergeCell ref="I20:I21"/>
    <mergeCell ref="I22:I23"/>
    <mergeCell ref="E22:E23"/>
    <mergeCell ref="J25:J26"/>
    <mergeCell ref="J27:J28"/>
    <mergeCell ref="F21:F22"/>
    <mergeCell ref="F17:F18"/>
    <mergeCell ref="G18:G19"/>
    <mergeCell ref="H27:H28"/>
    <mergeCell ref="H25:H26"/>
    <mergeCell ref="I6:J6"/>
    <mergeCell ref="G6:H6"/>
    <mergeCell ref="G16:G17"/>
    <mergeCell ref="I16:I17"/>
    <mergeCell ref="I18:I19"/>
    <mergeCell ref="C9:C10"/>
    <mergeCell ref="G14:G15"/>
    <mergeCell ref="E16:E17"/>
    <mergeCell ref="I12:I13"/>
    <mergeCell ref="I14:I15"/>
    <mergeCell ref="O9:O10"/>
    <mergeCell ref="I10:I11"/>
    <mergeCell ref="L6:M6"/>
    <mergeCell ref="I8:I9"/>
    <mergeCell ref="N8:N9"/>
    <mergeCell ref="L8:L9"/>
    <mergeCell ref="N10:N11"/>
    <mergeCell ref="M9:M10"/>
    <mergeCell ref="L10:L11"/>
    <mergeCell ref="M11:M12"/>
    <mergeCell ref="B12:B13"/>
    <mergeCell ref="E12:E13"/>
    <mergeCell ref="G12:G13"/>
    <mergeCell ref="E10:E11"/>
    <mergeCell ref="B8:B9"/>
    <mergeCell ref="B10:B11"/>
    <mergeCell ref="C11:C12"/>
    <mergeCell ref="F11:F12"/>
    <mergeCell ref="E8:E9"/>
    <mergeCell ref="F9:F10"/>
    <mergeCell ref="G8:G9"/>
    <mergeCell ref="F13:F14"/>
    <mergeCell ref="J13:J14"/>
    <mergeCell ref="J21:J22"/>
    <mergeCell ref="B14:B15"/>
    <mergeCell ref="H17:H18"/>
    <mergeCell ref="H19:H20"/>
    <mergeCell ref="H11:H12"/>
    <mergeCell ref="H9:H10"/>
    <mergeCell ref="C13:C14"/>
    <mergeCell ref="Y23:Y24"/>
    <mergeCell ref="X24:X25"/>
    <mergeCell ref="J9:J10"/>
    <mergeCell ref="J11:J12"/>
    <mergeCell ref="J15:J16"/>
    <mergeCell ref="J17:J18"/>
    <mergeCell ref="O11:O12"/>
    <mergeCell ref="N14:N15"/>
    <mergeCell ref="M13:M14"/>
    <mergeCell ref="Y25:Y26"/>
    <mergeCell ref="L12:L13"/>
    <mergeCell ref="I26:I27"/>
    <mergeCell ref="E14:E15"/>
    <mergeCell ref="H13:H14"/>
    <mergeCell ref="F15:F16"/>
    <mergeCell ref="E18:E19"/>
    <mergeCell ref="G22:G23"/>
    <mergeCell ref="G26:G27"/>
    <mergeCell ref="I24:I25"/>
    <mergeCell ref="J23:J24"/>
    <mergeCell ref="X6:Y6"/>
    <mergeCell ref="S19:S20"/>
    <mergeCell ref="S13:S14"/>
    <mergeCell ref="Z6:AA6"/>
    <mergeCell ref="AA15:AA16"/>
    <mergeCell ref="Z16:Z17"/>
    <mergeCell ref="Y15:Y16"/>
    <mergeCell ref="T14:T15"/>
    <mergeCell ref="U15:U16"/>
    <mergeCell ref="T16:T17"/>
    <mergeCell ref="AD6:AE6"/>
    <mergeCell ref="Z8:Z9"/>
    <mergeCell ref="AA9:AA10"/>
    <mergeCell ref="Z10:Z11"/>
    <mergeCell ref="AA11:AA12"/>
    <mergeCell ref="Z12:Z13"/>
    <mergeCell ref="AA13:AA14"/>
    <mergeCell ref="AB6:AC6"/>
    <mergeCell ref="AB14:AB15"/>
    <mergeCell ref="Z14:Z15"/>
    <mergeCell ref="Z24:Z25"/>
    <mergeCell ref="AA25:AA26"/>
    <mergeCell ref="Z26:Z27"/>
    <mergeCell ref="AA27:AA28"/>
    <mergeCell ref="Z28:Z29"/>
    <mergeCell ref="Z20:Z21"/>
    <mergeCell ref="Z22:Z23"/>
    <mergeCell ref="AA23:AA24"/>
    <mergeCell ref="AA19:AA20"/>
    <mergeCell ref="AA21:AA22"/>
    <mergeCell ref="AC15:AC16"/>
    <mergeCell ref="AB20:AB21"/>
    <mergeCell ref="AB16:AB17"/>
    <mergeCell ref="AC17:AC18"/>
    <mergeCell ref="AB18:AB19"/>
    <mergeCell ref="AC25:AC26"/>
    <mergeCell ref="AB26:AB27"/>
    <mergeCell ref="AC19:AC20"/>
    <mergeCell ref="AC21:AC22"/>
    <mergeCell ref="AB22:AB23"/>
    <mergeCell ref="AC27:AC28"/>
    <mergeCell ref="AB28:AB29"/>
    <mergeCell ref="AD18:AD19"/>
    <mergeCell ref="AD20:AD21"/>
    <mergeCell ref="AC23:AC24"/>
    <mergeCell ref="AB24:AB25"/>
    <mergeCell ref="AE21:AE22"/>
    <mergeCell ref="AD22:AD23"/>
    <mergeCell ref="AE23:AE24"/>
    <mergeCell ref="AE17:AE18"/>
    <mergeCell ref="AD24:AD25"/>
    <mergeCell ref="AE25:AE26"/>
    <mergeCell ref="AD26:AD27"/>
    <mergeCell ref="AE27:AE28"/>
    <mergeCell ref="AD28:AD29"/>
    <mergeCell ref="AE9:AE10"/>
    <mergeCell ref="AD10:AD11"/>
    <mergeCell ref="AE11:AE12"/>
    <mergeCell ref="AD12:AD13"/>
    <mergeCell ref="AE13:AE14"/>
    <mergeCell ref="AE19:AE20"/>
    <mergeCell ref="AD14:AD15"/>
    <mergeCell ref="AE15:AE16"/>
    <mergeCell ref="AD8:AD9"/>
    <mergeCell ref="AD16:AD17"/>
    <mergeCell ref="Y9:Y10"/>
    <mergeCell ref="X10:X11"/>
    <mergeCell ref="Y11:Y12"/>
    <mergeCell ref="X12:X13"/>
    <mergeCell ref="Y13:Y14"/>
    <mergeCell ref="X14:X15"/>
    <mergeCell ref="X26:X27"/>
    <mergeCell ref="Y27:Y28"/>
    <mergeCell ref="X28:X29"/>
    <mergeCell ref="X16:X17"/>
    <mergeCell ref="Y17:Y18"/>
    <mergeCell ref="X18:X19"/>
    <mergeCell ref="Y19:Y20"/>
    <mergeCell ref="X20:X21"/>
    <mergeCell ref="Y21:Y22"/>
    <mergeCell ref="X22:X23"/>
    <mergeCell ref="Q9:Q10"/>
    <mergeCell ref="P10:P11"/>
    <mergeCell ref="Q11:Q12"/>
    <mergeCell ref="P24:P25"/>
    <mergeCell ref="Q25:Q26"/>
    <mergeCell ref="P26:P27"/>
    <mergeCell ref="P12:P13"/>
    <mergeCell ref="Q13:Q14"/>
    <mergeCell ref="P14:P15"/>
    <mergeCell ref="Q15:Q16"/>
    <mergeCell ref="P16:P17"/>
    <mergeCell ref="Q17:Q18"/>
    <mergeCell ref="P18:P19"/>
    <mergeCell ref="V6:W6"/>
    <mergeCell ref="V8:V9"/>
    <mergeCell ref="W9:W10"/>
    <mergeCell ref="V10:V11"/>
    <mergeCell ref="W11:W12"/>
    <mergeCell ref="Q19:Q20"/>
    <mergeCell ref="R10:R11"/>
    <mergeCell ref="V12:V13"/>
    <mergeCell ref="W13:W14"/>
    <mergeCell ref="V14:V15"/>
    <mergeCell ref="W15:W16"/>
    <mergeCell ref="V16:V17"/>
    <mergeCell ref="W17:W18"/>
    <mergeCell ref="V18:V19"/>
    <mergeCell ref="W19:W20"/>
    <mergeCell ref="V20:V21"/>
    <mergeCell ref="W21:W22"/>
    <mergeCell ref="V22:V23"/>
    <mergeCell ref="W23:W24"/>
    <mergeCell ref="V24:V25"/>
    <mergeCell ref="W25:W26"/>
    <mergeCell ref="V26:V27"/>
    <mergeCell ref="W27:W28"/>
    <mergeCell ref="V28:V29"/>
    <mergeCell ref="E36:F36"/>
    <mergeCell ref="G36:H36"/>
    <mergeCell ref="I36:J36"/>
    <mergeCell ref="L36:M36"/>
    <mergeCell ref="N36:O36"/>
    <mergeCell ref="P36:Q36"/>
    <mergeCell ref="R36:S36"/>
    <mergeCell ref="T36:U36"/>
    <mergeCell ref="V36:W36"/>
    <mergeCell ref="X36:Y36"/>
    <mergeCell ref="Z36:AA36"/>
    <mergeCell ref="Q39:Q40"/>
    <mergeCell ref="R38:R39"/>
    <mergeCell ref="Z38:Z39"/>
    <mergeCell ref="AD36:AE36"/>
    <mergeCell ref="AB36:AC36"/>
    <mergeCell ref="T38:T39"/>
    <mergeCell ref="V38:V39"/>
    <mergeCell ref="X38:X39"/>
    <mergeCell ref="B38:B39"/>
    <mergeCell ref="E38:E39"/>
    <mergeCell ref="G38:G39"/>
    <mergeCell ref="I38:I39"/>
    <mergeCell ref="L38:L39"/>
    <mergeCell ref="F39:F40"/>
    <mergeCell ref="AB38:AB39"/>
    <mergeCell ref="S39:S40"/>
    <mergeCell ref="U39:U40"/>
    <mergeCell ref="W39:W40"/>
    <mergeCell ref="Y39:Y40"/>
    <mergeCell ref="N38:N39"/>
    <mergeCell ref="K38:K39"/>
    <mergeCell ref="P38:P39"/>
    <mergeCell ref="P40:P41"/>
    <mergeCell ref="W41:W42"/>
    <mergeCell ref="AC39:AC40"/>
    <mergeCell ref="AE39:AE40"/>
    <mergeCell ref="B40:B41"/>
    <mergeCell ref="E40:E41"/>
    <mergeCell ref="G40:G41"/>
    <mergeCell ref="I40:I41"/>
    <mergeCell ref="L40:L41"/>
    <mergeCell ref="AD38:AD39"/>
    <mergeCell ref="C39:C40"/>
    <mergeCell ref="K40:K41"/>
    <mergeCell ref="R40:R41"/>
    <mergeCell ref="T40:T41"/>
    <mergeCell ref="V40:V41"/>
    <mergeCell ref="X40:X41"/>
    <mergeCell ref="O41:O42"/>
    <mergeCell ref="Q41:Q42"/>
    <mergeCell ref="S41:S42"/>
    <mergeCell ref="U41:U42"/>
    <mergeCell ref="O39:O40"/>
    <mergeCell ref="AI41:AI42"/>
    <mergeCell ref="C41:C42"/>
    <mergeCell ref="F41:F42"/>
    <mergeCell ref="H41:H42"/>
    <mergeCell ref="J41:J42"/>
    <mergeCell ref="M41:M42"/>
    <mergeCell ref="N40:N41"/>
    <mergeCell ref="H39:H40"/>
    <mergeCell ref="J39:J40"/>
    <mergeCell ref="M39:M40"/>
    <mergeCell ref="AA41:AA42"/>
    <mergeCell ref="AC41:AC42"/>
    <mergeCell ref="AE41:AE42"/>
    <mergeCell ref="Z40:Z41"/>
    <mergeCell ref="AB40:AB41"/>
    <mergeCell ref="AD40:AD41"/>
    <mergeCell ref="AA39:AA40"/>
    <mergeCell ref="B42:B43"/>
    <mergeCell ref="E42:E43"/>
    <mergeCell ref="G42:G43"/>
    <mergeCell ref="I42:I43"/>
    <mergeCell ref="L42:L43"/>
    <mergeCell ref="N42:N43"/>
    <mergeCell ref="H43:H44"/>
    <mergeCell ref="J43:J44"/>
    <mergeCell ref="M43:M44"/>
    <mergeCell ref="C43:C44"/>
    <mergeCell ref="AC43:AC44"/>
    <mergeCell ref="AB44:AB45"/>
    <mergeCell ref="P42:P43"/>
    <mergeCell ref="R42:R43"/>
    <mergeCell ref="T42:T43"/>
    <mergeCell ref="U43:U44"/>
    <mergeCell ref="V42:V43"/>
    <mergeCell ref="X42:X43"/>
    <mergeCell ref="P44:P45"/>
    <mergeCell ref="Y41:Y42"/>
    <mergeCell ref="AE43:AE44"/>
    <mergeCell ref="B44:B45"/>
    <mergeCell ref="E44:E45"/>
    <mergeCell ref="G44:G45"/>
    <mergeCell ref="I44:I45"/>
    <mergeCell ref="L44:L45"/>
    <mergeCell ref="N44:N45"/>
    <mergeCell ref="Z42:Z43"/>
    <mergeCell ref="AB42:AB43"/>
    <mergeCell ref="AD42:AD43"/>
    <mergeCell ref="F43:F44"/>
    <mergeCell ref="R44:R45"/>
    <mergeCell ref="T44:T45"/>
    <mergeCell ref="V44:V45"/>
    <mergeCell ref="X44:X45"/>
    <mergeCell ref="Z44:Z45"/>
    <mergeCell ref="K42:K43"/>
    <mergeCell ref="K44:K45"/>
    <mergeCell ref="O43:O44"/>
    <mergeCell ref="Q43:Q44"/>
    <mergeCell ref="E51:F51"/>
    <mergeCell ref="G51:H51"/>
    <mergeCell ref="I51:J51"/>
    <mergeCell ref="D53:D54"/>
    <mergeCell ref="D55:D56"/>
    <mergeCell ref="K53:K54"/>
    <mergeCell ref="K55:K56"/>
    <mergeCell ref="H54:H55"/>
    <mergeCell ref="J54:J55"/>
    <mergeCell ref="AD44:AD45"/>
    <mergeCell ref="R53:R54"/>
    <mergeCell ref="T53:T54"/>
    <mergeCell ref="V53:V54"/>
    <mergeCell ref="X53:X54"/>
    <mergeCell ref="P53:P54"/>
    <mergeCell ref="S43:S44"/>
    <mergeCell ref="W43:W44"/>
    <mergeCell ref="Y43:Y44"/>
    <mergeCell ref="AA43:AA44"/>
    <mergeCell ref="B53:B54"/>
    <mergeCell ref="E53:E54"/>
    <mergeCell ref="G53:G54"/>
    <mergeCell ref="I53:I54"/>
    <mergeCell ref="L53:L54"/>
    <mergeCell ref="O54:O55"/>
    <mergeCell ref="C54:C55"/>
    <mergeCell ref="F54:F55"/>
    <mergeCell ref="M54:M55"/>
    <mergeCell ref="N53:N54"/>
    <mergeCell ref="Q54:Q55"/>
    <mergeCell ref="S54:S55"/>
    <mergeCell ref="U54:U55"/>
    <mergeCell ref="AC58:AC59"/>
    <mergeCell ref="Z53:Z54"/>
    <mergeCell ref="AB53:AB54"/>
    <mergeCell ref="AA56:AA57"/>
    <mergeCell ref="AC56:AC57"/>
    <mergeCell ref="W54:W55"/>
    <mergeCell ref="Y54:Y55"/>
    <mergeCell ref="AE54:AE55"/>
    <mergeCell ref="AH55:AH56"/>
    <mergeCell ref="AE56:AE57"/>
    <mergeCell ref="AH61:AH62"/>
    <mergeCell ref="P55:P56"/>
    <mergeCell ref="R55:R56"/>
    <mergeCell ref="T55:T56"/>
    <mergeCell ref="AA54:AA55"/>
    <mergeCell ref="AC54:AC55"/>
    <mergeCell ref="Z55:Z56"/>
    <mergeCell ref="AH67:AH68"/>
    <mergeCell ref="AD53:AD54"/>
    <mergeCell ref="AD55:AD56"/>
    <mergeCell ref="AI54:AI55"/>
    <mergeCell ref="B55:B56"/>
    <mergeCell ref="E55:E56"/>
    <mergeCell ref="G55:G56"/>
    <mergeCell ref="I55:I56"/>
    <mergeCell ref="L55:L56"/>
    <mergeCell ref="N55:N56"/>
    <mergeCell ref="AB55:AB56"/>
    <mergeCell ref="U56:U57"/>
    <mergeCell ref="V55:V56"/>
    <mergeCell ref="X55:X56"/>
    <mergeCell ref="Z57:Z58"/>
    <mergeCell ref="V57:V58"/>
    <mergeCell ref="W56:W57"/>
    <mergeCell ref="Y56:Y57"/>
    <mergeCell ref="I57:I58"/>
    <mergeCell ref="L57:L58"/>
    <mergeCell ref="N57:N58"/>
    <mergeCell ref="C56:C57"/>
    <mergeCell ref="F56:F57"/>
    <mergeCell ref="J58:J59"/>
    <mergeCell ref="H56:H57"/>
    <mergeCell ref="J56:J57"/>
    <mergeCell ref="M56:M57"/>
    <mergeCell ref="D59:D60"/>
    <mergeCell ref="V59:V60"/>
    <mergeCell ref="Q56:Q57"/>
    <mergeCell ref="S58:S59"/>
    <mergeCell ref="U58:U59"/>
    <mergeCell ref="B59:B60"/>
    <mergeCell ref="E59:E60"/>
    <mergeCell ref="G59:G60"/>
    <mergeCell ref="I59:I60"/>
    <mergeCell ref="L59:L60"/>
    <mergeCell ref="G57:G58"/>
    <mergeCell ref="C58:C59"/>
    <mergeCell ref="F58:F59"/>
    <mergeCell ref="H58:H59"/>
    <mergeCell ref="B57:B58"/>
    <mergeCell ref="E57:E58"/>
    <mergeCell ref="R59:R60"/>
    <mergeCell ref="C60:C61"/>
    <mergeCell ref="F60:F61"/>
    <mergeCell ref="H60:H61"/>
    <mergeCell ref="J60:J61"/>
    <mergeCell ref="M60:M61"/>
    <mergeCell ref="N59:N60"/>
    <mergeCell ref="M58:M59"/>
    <mergeCell ref="Q58:Q59"/>
    <mergeCell ref="R57:R58"/>
    <mergeCell ref="O60:O61"/>
    <mergeCell ref="Q60:Q61"/>
    <mergeCell ref="O56:O57"/>
    <mergeCell ref="S60:S61"/>
    <mergeCell ref="U60:U61"/>
    <mergeCell ref="O58:O59"/>
    <mergeCell ref="R61:R62"/>
    <mergeCell ref="T61:T62"/>
    <mergeCell ref="P57:P58"/>
    <mergeCell ref="S56:S57"/>
    <mergeCell ref="P59:P60"/>
    <mergeCell ref="T59:T60"/>
    <mergeCell ref="T57:T58"/>
    <mergeCell ref="AC60:AC61"/>
    <mergeCell ref="AE60:AE61"/>
    <mergeCell ref="Z59:Z60"/>
    <mergeCell ref="AB59:AB60"/>
    <mergeCell ref="AD59:AD60"/>
    <mergeCell ref="AA58:AA59"/>
    <mergeCell ref="AE58:AE59"/>
    <mergeCell ref="AB57:AB58"/>
    <mergeCell ref="AD61:AD62"/>
    <mergeCell ref="AD57:AD58"/>
    <mergeCell ref="AI60:AI61"/>
    <mergeCell ref="B61:B62"/>
    <mergeCell ref="E61:E62"/>
    <mergeCell ref="G61:G62"/>
    <mergeCell ref="I61:I62"/>
    <mergeCell ref="L61:L62"/>
    <mergeCell ref="N61:N62"/>
    <mergeCell ref="P61:P62"/>
    <mergeCell ref="Z61:Z62"/>
    <mergeCell ref="AB61:AB62"/>
    <mergeCell ref="W60:W61"/>
    <mergeCell ref="Y60:Y61"/>
    <mergeCell ref="AA60:AA61"/>
    <mergeCell ref="Z63:Z64"/>
    <mergeCell ref="AB63:AB64"/>
    <mergeCell ref="Y64:Y65"/>
    <mergeCell ref="X59:X60"/>
    <mergeCell ref="W58:W59"/>
    <mergeCell ref="Y58:Y59"/>
    <mergeCell ref="X57:X58"/>
    <mergeCell ref="M62:M63"/>
    <mergeCell ref="O62:O63"/>
    <mergeCell ref="W62:W63"/>
    <mergeCell ref="Y62:Y63"/>
    <mergeCell ref="AA62:AA63"/>
    <mergeCell ref="AC62:AC63"/>
    <mergeCell ref="B63:B64"/>
    <mergeCell ref="E63:E64"/>
    <mergeCell ref="G63:G64"/>
    <mergeCell ref="I63:I64"/>
    <mergeCell ref="L63:L64"/>
    <mergeCell ref="N63:N64"/>
    <mergeCell ref="C62:C63"/>
    <mergeCell ref="F62:F63"/>
    <mergeCell ref="H62:H63"/>
    <mergeCell ref="J62:J63"/>
    <mergeCell ref="U64:U65"/>
    <mergeCell ref="W64:W65"/>
    <mergeCell ref="Q62:Q63"/>
    <mergeCell ref="S62:S63"/>
    <mergeCell ref="U62:U63"/>
    <mergeCell ref="AE62:AE63"/>
    <mergeCell ref="R65:R66"/>
    <mergeCell ref="T65:T66"/>
    <mergeCell ref="V65:V66"/>
    <mergeCell ref="AE66:AE67"/>
    <mergeCell ref="O64:O65"/>
    <mergeCell ref="Q64:Q65"/>
    <mergeCell ref="P63:P64"/>
    <mergeCell ref="V61:V62"/>
    <mergeCell ref="X61:X62"/>
    <mergeCell ref="R63:R64"/>
    <mergeCell ref="T63:T64"/>
    <mergeCell ref="V63:V64"/>
    <mergeCell ref="X63:X64"/>
    <mergeCell ref="S64:S65"/>
    <mergeCell ref="B65:B66"/>
    <mergeCell ref="E65:E66"/>
    <mergeCell ref="G65:G66"/>
    <mergeCell ref="I65:I66"/>
    <mergeCell ref="L65:L66"/>
    <mergeCell ref="AD63:AD64"/>
    <mergeCell ref="C64:C65"/>
    <mergeCell ref="F64:F65"/>
    <mergeCell ref="H64:H65"/>
    <mergeCell ref="J64:J65"/>
    <mergeCell ref="O66:O67"/>
    <mergeCell ref="Q66:Q67"/>
    <mergeCell ref="S66:S67"/>
    <mergeCell ref="U66:U67"/>
    <mergeCell ref="P67:P68"/>
    <mergeCell ref="R67:R68"/>
    <mergeCell ref="S68:S69"/>
    <mergeCell ref="T67:T68"/>
    <mergeCell ref="T69:T70"/>
    <mergeCell ref="AC66:AC67"/>
    <mergeCell ref="C66:C67"/>
    <mergeCell ref="F66:F67"/>
    <mergeCell ref="H66:H67"/>
    <mergeCell ref="J66:J67"/>
    <mergeCell ref="M66:M67"/>
    <mergeCell ref="N65:N66"/>
    <mergeCell ref="M64:M65"/>
    <mergeCell ref="P65:P66"/>
    <mergeCell ref="X65:X66"/>
    <mergeCell ref="X67:X68"/>
    <mergeCell ref="Y66:Y67"/>
    <mergeCell ref="AE68:AE69"/>
    <mergeCell ref="AI66:AI67"/>
    <mergeCell ref="Z65:Z66"/>
    <mergeCell ref="AB65:AB66"/>
    <mergeCell ref="AD65:AD66"/>
    <mergeCell ref="AA64:AA65"/>
    <mergeCell ref="AC64:AC65"/>
    <mergeCell ref="AE64:AE65"/>
    <mergeCell ref="B67:B68"/>
    <mergeCell ref="E67:E68"/>
    <mergeCell ref="G67:G68"/>
    <mergeCell ref="I67:I68"/>
    <mergeCell ref="L67:L68"/>
    <mergeCell ref="N67:N68"/>
    <mergeCell ref="J68:J69"/>
    <mergeCell ref="M68:M69"/>
    <mergeCell ref="C68:C69"/>
    <mergeCell ref="F68:F69"/>
    <mergeCell ref="H68:H69"/>
    <mergeCell ref="O68:O69"/>
    <mergeCell ref="Z67:Z68"/>
    <mergeCell ref="AB67:AB68"/>
    <mergeCell ref="W68:W69"/>
    <mergeCell ref="Y68:Y69"/>
    <mergeCell ref="AA68:AA69"/>
    <mergeCell ref="U68:U69"/>
    <mergeCell ref="AB69:AB70"/>
    <mergeCell ref="Z69:Z70"/>
    <mergeCell ref="AB122:AB123"/>
    <mergeCell ref="AD122:AD123"/>
    <mergeCell ref="AF122:AF123"/>
    <mergeCell ref="AH122:AH123"/>
    <mergeCell ref="V67:V68"/>
    <mergeCell ref="Q68:Q69"/>
    <mergeCell ref="AD67:AD68"/>
    <mergeCell ref="AC68:AC69"/>
    <mergeCell ref="W66:W67"/>
    <mergeCell ref="AA66:AA67"/>
    <mergeCell ref="AG121:AG122"/>
    <mergeCell ref="AI121:AI122"/>
    <mergeCell ref="B122:B123"/>
    <mergeCell ref="E122:E123"/>
    <mergeCell ref="G122:G123"/>
    <mergeCell ref="I122:I123"/>
    <mergeCell ref="L122:L123"/>
    <mergeCell ref="N122:N123"/>
    <mergeCell ref="P122:P123"/>
    <mergeCell ref="R122:R123"/>
    <mergeCell ref="M121:M122"/>
    <mergeCell ref="W121:W122"/>
    <mergeCell ref="Y121:Y122"/>
    <mergeCell ref="AA121:AA122"/>
    <mergeCell ref="AC121:AC122"/>
    <mergeCell ref="AE121:AE122"/>
    <mergeCell ref="T122:T123"/>
    <mergeCell ref="V122:V123"/>
    <mergeCell ref="X122:X123"/>
    <mergeCell ref="Z122:Z123"/>
    <mergeCell ref="P120:P121"/>
    <mergeCell ref="R120:R121"/>
    <mergeCell ref="T120:T121"/>
    <mergeCell ref="V120:V121"/>
    <mergeCell ref="X120:X121"/>
    <mergeCell ref="O121:O122"/>
    <mergeCell ref="Q121:Q122"/>
    <mergeCell ref="S121:S122"/>
    <mergeCell ref="U121:U122"/>
    <mergeCell ref="B120:B121"/>
    <mergeCell ref="E120:E121"/>
    <mergeCell ref="G120:G121"/>
    <mergeCell ref="I120:I121"/>
    <mergeCell ref="L120:L121"/>
    <mergeCell ref="N120:N121"/>
    <mergeCell ref="C121:C122"/>
    <mergeCell ref="F121:F122"/>
    <mergeCell ref="H121:H122"/>
    <mergeCell ref="J121:J122"/>
    <mergeCell ref="AA119:AA120"/>
    <mergeCell ref="AC119:AC120"/>
    <mergeCell ref="AE119:AE120"/>
    <mergeCell ref="AG119:AG120"/>
    <mergeCell ref="AI119:AI120"/>
    <mergeCell ref="Z120:Z121"/>
    <mergeCell ref="AB120:AB121"/>
    <mergeCell ref="AD120:AD121"/>
    <mergeCell ref="AF120:AF121"/>
    <mergeCell ref="AH120:AH121"/>
    <mergeCell ref="AB118:AB119"/>
    <mergeCell ref="AD118:AD119"/>
    <mergeCell ref="AF118:AF119"/>
    <mergeCell ref="AH118:AH119"/>
    <mergeCell ref="C119:C120"/>
    <mergeCell ref="F119:F120"/>
    <mergeCell ref="H119:H120"/>
    <mergeCell ref="J119:J120"/>
    <mergeCell ref="M119:M120"/>
    <mergeCell ref="O119:O120"/>
    <mergeCell ref="R118:R119"/>
    <mergeCell ref="T118:T119"/>
    <mergeCell ref="V118:V119"/>
    <mergeCell ref="X118:X119"/>
    <mergeCell ref="Z118:Z119"/>
    <mergeCell ref="Q119:Q120"/>
    <mergeCell ref="S119:S120"/>
    <mergeCell ref="U119:U120"/>
    <mergeCell ref="W119:W120"/>
    <mergeCell ref="Y119:Y120"/>
    <mergeCell ref="AC117:AC118"/>
    <mergeCell ref="AE117:AE118"/>
    <mergeCell ref="AG117:AG118"/>
    <mergeCell ref="B118:B119"/>
    <mergeCell ref="E118:E119"/>
    <mergeCell ref="G118:G119"/>
    <mergeCell ref="I118:I119"/>
    <mergeCell ref="L118:L119"/>
    <mergeCell ref="N118:N119"/>
    <mergeCell ref="P118:P119"/>
    <mergeCell ref="C117:C118"/>
    <mergeCell ref="F117:F118"/>
    <mergeCell ref="H117:H118"/>
    <mergeCell ref="J117:J118"/>
    <mergeCell ref="T116:T117"/>
    <mergeCell ref="V116:V117"/>
    <mergeCell ref="M117:M118"/>
    <mergeCell ref="O117:O118"/>
    <mergeCell ref="Q117:Q118"/>
    <mergeCell ref="S117:S118"/>
    <mergeCell ref="AG115:AG116"/>
    <mergeCell ref="X116:X117"/>
    <mergeCell ref="Z116:Z117"/>
    <mergeCell ref="AB116:AB117"/>
    <mergeCell ref="AD116:AD117"/>
    <mergeCell ref="B116:B117"/>
    <mergeCell ref="K116:K117"/>
    <mergeCell ref="L116:L117"/>
    <mergeCell ref="N116:N117"/>
    <mergeCell ref="P116:P117"/>
    <mergeCell ref="E116:E117"/>
    <mergeCell ref="G116:G117"/>
    <mergeCell ref="I116:I117"/>
    <mergeCell ref="W115:W116"/>
    <mergeCell ref="Y115:Y116"/>
    <mergeCell ref="AA115:AA116"/>
    <mergeCell ref="R116:R117"/>
    <mergeCell ref="U117:U118"/>
    <mergeCell ref="W117:W118"/>
    <mergeCell ref="Y117:Y118"/>
    <mergeCell ref="Q115:Q116"/>
    <mergeCell ref="S115:S116"/>
    <mergeCell ref="U115:U116"/>
    <mergeCell ref="C115:C116"/>
    <mergeCell ref="F115:F116"/>
    <mergeCell ref="H115:H116"/>
    <mergeCell ref="J115:J116"/>
    <mergeCell ref="M115:M116"/>
    <mergeCell ref="O115:O116"/>
    <mergeCell ref="D116:D117"/>
    <mergeCell ref="V114:V115"/>
    <mergeCell ref="X114:X115"/>
    <mergeCell ref="Z114:Z115"/>
    <mergeCell ref="AB114:AB115"/>
    <mergeCell ref="AD114:AD115"/>
    <mergeCell ref="AF114:AF115"/>
    <mergeCell ref="AC115:AC116"/>
    <mergeCell ref="AE115:AE116"/>
    <mergeCell ref="AF116:AF117"/>
    <mergeCell ref="AA117:AA118"/>
    <mergeCell ref="AI113:AI114"/>
    <mergeCell ref="B114:B115"/>
    <mergeCell ref="G114:G115"/>
    <mergeCell ref="I114:I115"/>
    <mergeCell ref="K114:K115"/>
    <mergeCell ref="L114:L115"/>
    <mergeCell ref="N114:N115"/>
    <mergeCell ref="P114:P115"/>
    <mergeCell ref="R114:R115"/>
    <mergeCell ref="T114:T115"/>
    <mergeCell ref="AH112:AH113"/>
    <mergeCell ref="C113:C114"/>
    <mergeCell ref="F113:F114"/>
    <mergeCell ref="H113:H114"/>
    <mergeCell ref="J113:J114"/>
    <mergeCell ref="U113:U114"/>
    <mergeCell ref="AE113:AE114"/>
    <mergeCell ref="AG113:AG114"/>
    <mergeCell ref="D114:D115"/>
    <mergeCell ref="E114:E115"/>
    <mergeCell ref="X112:X113"/>
    <mergeCell ref="Z112:Z113"/>
    <mergeCell ref="AB112:AB113"/>
    <mergeCell ref="AD112:AD113"/>
    <mergeCell ref="AF112:AF113"/>
    <mergeCell ref="W113:W114"/>
    <mergeCell ref="Y113:Y114"/>
    <mergeCell ref="AA113:AA114"/>
    <mergeCell ref="AC113:AC114"/>
    <mergeCell ref="AA111:AA112"/>
    <mergeCell ref="L112:L113"/>
    <mergeCell ref="N112:N113"/>
    <mergeCell ref="P112:P113"/>
    <mergeCell ref="R112:R113"/>
    <mergeCell ref="T112:T113"/>
    <mergeCell ref="M113:M114"/>
    <mergeCell ref="O113:O114"/>
    <mergeCell ref="Q113:Q114"/>
    <mergeCell ref="S113:S114"/>
    <mergeCell ref="AE111:AE112"/>
    <mergeCell ref="AG111:AG112"/>
    <mergeCell ref="AI111:AI112"/>
    <mergeCell ref="B112:B113"/>
    <mergeCell ref="D112:D113"/>
    <mergeCell ref="E112:E113"/>
    <mergeCell ref="G112:G113"/>
    <mergeCell ref="I112:I113"/>
    <mergeCell ref="AD110:AD111"/>
    <mergeCell ref="K112:K113"/>
    <mergeCell ref="AF110:AF111"/>
    <mergeCell ref="AH110:AH111"/>
    <mergeCell ref="C111:C112"/>
    <mergeCell ref="F111:F112"/>
    <mergeCell ref="H111:H112"/>
    <mergeCell ref="J111:J112"/>
    <mergeCell ref="M111:M112"/>
    <mergeCell ref="O111:O112"/>
    <mergeCell ref="Q111:Q112"/>
    <mergeCell ref="L110:L111"/>
    <mergeCell ref="N110:N111"/>
    <mergeCell ref="P110:P111"/>
    <mergeCell ref="R110:R111"/>
    <mergeCell ref="T110:T111"/>
    <mergeCell ref="V110:V111"/>
    <mergeCell ref="S111:S112"/>
    <mergeCell ref="U111:U112"/>
    <mergeCell ref="V112:V113"/>
    <mergeCell ref="U109:U110"/>
    <mergeCell ref="B110:B111"/>
    <mergeCell ref="D110:D111"/>
    <mergeCell ref="E110:E111"/>
    <mergeCell ref="G110:G111"/>
    <mergeCell ref="I110:I111"/>
    <mergeCell ref="K110:K111"/>
    <mergeCell ref="W109:W110"/>
    <mergeCell ref="Y109:Y110"/>
    <mergeCell ref="AA109:AA110"/>
    <mergeCell ref="AC109:AC110"/>
    <mergeCell ref="AE109:AE110"/>
    <mergeCell ref="X110:X111"/>
    <mergeCell ref="Z110:Z111"/>
    <mergeCell ref="AB110:AB111"/>
    <mergeCell ref="W111:W112"/>
    <mergeCell ref="AC111:AC112"/>
    <mergeCell ref="AH114:AH115"/>
    <mergeCell ref="AI115:AI116"/>
    <mergeCell ref="AH116:AH117"/>
    <mergeCell ref="AI117:AI118"/>
    <mergeCell ref="AD73:AD74"/>
    <mergeCell ref="X108:X109"/>
    <mergeCell ref="AH108:AH109"/>
    <mergeCell ref="AG109:AG110"/>
    <mergeCell ref="AI109:AI110"/>
    <mergeCell ref="Y111:Y112"/>
    <mergeCell ref="L108:L109"/>
    <mergeCell ref="N108:N109"/>
    <mergeCell ref="P108:P109"/>
    <mergeCell ref="R108:R109"/>
    <mergeCell ref="T108:T109"/>
    <mergeCell ref="V108:V109"/>
    <mergeCell ref="M109:M110"/>
    <mergeCell ref="O109:O110"/>
    <mergeCell ref="Q109:Q110"/>
    <mergeCell ref="S109:S110"/>
    <mergeCell ref="B108:B109"/>
    <mergeCell ref="D108:D109"/>
    <mergeCell ref="E108:E109"/>
    <mergeCell ref="G108:G109"/>
    <mergeCell ref="I108:I109"/>
    <mergeCell ref="K108:K109"/>
    <mergeCell ref="C109:C110"/>
    <mergeCell ref="F109:F110"/>
    <mergeCell ref="H109:H110"/>
    <mergeCell ref="J109:J110"/>
    <mergeCell ref="AE107:AE108"/>
    <mergeCell ref="AG107:AG108"/>
    <mergeCell ref="AI107:AI108"/>
    <mergeCell ref="Z108:Z109"/>
    <mergeCell ref="AB108:AB109"/>
    <mergeCell ref="AD108:AD109"/>
    <mergeCell ref="AF108:AF109"/>
    <mergeCell ref="AH106:AH107"/>
    <mergeCell ref="AB106:AB107"/>
    <mergeCell ref="AD106:AD107"/>
    <mergeCell ref="M107:M108"/>
    <mergeCell ref="O107:O108"/>
    <mergeCell ref="Q107:Q108"/>
    <mergeCell ref="S107:S108"/>
    <mergeCell ref="U107:U108"/>
    <mergeCell ref="W107:W108"/>
    <mergeCell ref="Y107:Y108"/>
    <mergeCell ref="AA107:AA108"/>
    <mergeCell ref="AC107:AC108"/>
    <mergeCell ref="B106:B107"/>
    <mergeCell ref="K106:K107"/>
    <mergeCell ref="L106:L107"/>
    <mergeCell ref="N106:N107"/>
    <mergeCell ref="P106:P107"/>
    <mergeCell ref="Z106:Z107"/>
    <mergeCell ref="C107:C108"/>
    <mergeCell ref="F107:F108"/>
    <mergeCell ref="H107:H108"/>
    <mergeCell ref="J107:J108"/>
    <mergeCell ref="W105:W106"/>
    <mergeCell ref="AG105:AG106"/>
    <mergeCell ref="AI105:AI106"/>
    <mergeCell ref="R106:R107"/>
    <mergeCell ref="T106:T107"/>
    <mergeCell ref="V106:V107"/>
    <mergeCell ref="X106:X107"/>
    <mergeCell ref="AF106:AF107"/>
    <mergeCell ref="D106:D107"/>
    <mergeCell ref="E106:E107"/>
    <mergeCell ref="G106:G107"/>
    <mergeCell ref="I106:I107"/>
    <mergeCell ref="Q105:Q106"/>
    <mergeCell ref="S105:S106"/>
    <mergeCell ref="X104:X105"/>
    <mergeCell ref="Z104:Z105"/>
    <mergeCell ref="AB104:AB105"/>
    <mergeCell ref="AH104:AH105"/>
    <mergeCell ref="Y105:Y106"/>
    <mergeCell ref="AA105:AA106"/>
    <mergeCell ref="AC105:AC106"/>
    <mergeCell ref="AE105:AE106"/>
    <mergeCell ref="C105:C106"/>
    <mergeCell ref="F105:F106"/>
    <mergeCell ref="H105:H106"/>
    <mergeCell ref="J105:J106"/>
    <mergeCell ref="M105:M106"/>
    <mergeCell ref="AD104:AD105"/>
    <mergeCell ref="AG103:AG104"/>
    <mergeCell ref="AI103:AI104"/>
    <mergeCell ref="B104:B105"/>
    <mergeCell ref="D104:D105"/>
    <mergeCell ref="L104:L105"/>
    <mergeCell ref="N104:N105"/>
    <mergeCell ref="R104:R105"/>
    <mergeCell ref="T104:T105"/>
    <mergeCell ref="V104:V105"/>
    <mergeCell ref="AF104:AF105"/>
    <mergeCell ref="H70:H71"/>
    <mergeCell ref="J70:J71"/>
    <mergeCell ref="AE84:AE85"/>
    <mergeCell ref="AE86:AE87"/>
    <mergeCell ref="AE88:AE89"/>
    <mergeCell ref="AE103:AE104"/>
    <mergeCell ref="AC103:AC104"/>
    <mergeCell ref="P69:P70"/>
    <mergeCell ref="R69:R70"/>
    <mergeCell ref="AC70:AC71"/>
    <mergeCell ref="X69:X70"/>
    <mergeCell ref="B69:B70"/>
    <mergeCell ref="E69:E70"/>
    <mergeCell ref="G69:G70"/>
    <mergeCell ref="I69:I70"/>
    <mergeCell ref="L69:L70"/>
    <mergeCell ref="N69:N70"/>
    <mergeCell ref="C70:C71"/>
    <mergeCell ref="F70:F71"/>
    <mergeCell ref="AE70:AE71"/>
    <mergeCell ref="B71:B72"/>
    <mergeCell ref="E71:E72"/>
    <mergeCell ref="G71:G72"/>
    <mergeCell ref="I71:I72"/>
    <mergeCell ref="L71:L72"/>
    <mergeCell ref="AD69:AD70"/>
    <mergeCell ref="W70:W71"/>
    <mergeCell ref="Y70:Y71"/>
    <mergeCell ref="AA70:AA71"/>
    <mergeCell ref="R73:R74"/>
    <mergeCell ref="T73:T74"/>
    <mergeCell ref="V73:V74"/>
    <mergeCell ref="M70:M71"/>
    <mergeCell ref="O70:O71"/>
    <mergeCell ref="Q70:Q71"/>
    <mergeCell ref="S70:S71"/>
    <mergeCell ref="V69:V70"/>
    <mergeCell ref="N73:N74"/>
    <mergeCell ref="B73:B74"/>
    <mergeCell ref="E73:E74"/>
    <mergeCell ref="G73:G74"/>
    <mergeCell ref="I73:I74"/>
    <mergeCell ref="L73:L74"/>
    <mergeCell ref="AD71:AD72"/>
    <mergeCell ref="N71:N72"/>
    <mergeCell ref="J72:J73"/>
    <mergeCell ref="M72:M73"/>
    <mergeCell ref="C72:C73"/>
    <mergeCell ref="AC72:AC73"/>
    <mergeCell ref="V71:V72"/>
    <mergeCell ref="X71:X72"/>
    <mergeCell ref="Z71:Z72"/>
    <mergeCell ref="AB71:AB72"/>
    <mergeCell ref="Z73:Z74"/>
    <mergeCell ref="AB73:AB74"/>
    <mergeCell ref="W72:W73"/>
    <mergeCell ref="Y72:Y73"/>
    <mergeCell ref="X73:X74"/>
    <mergeCell ref="AA103:AA104"/>
    <mergeCell ref="E104:E105"/>
    <mergeCell ref="G104:G105"/>
    <mergeCell ref="I104:I105"/>
    <mergeCell ref="K104:K105"/>
    <mergeCell ref="AA72:AA73"/>
    <mergeCell ref="Q72:Q73"/>
    <mergeCell ref="R71:R72"/>
    <mergeCell ref="U70:U71"/>
    <mergeCell ref="U72:U73"/>
    <mergeCell ref="W103:W104"/>
    <mergeCell ref="Y103:Y104"/>
    <mergeCell ref="P104:P105"/>
    <mergeCell ref="E81:F81"/>
    <mergeCell ref="G81:H81"/>
    <mergeCell ref="I81:J81"/>
    <mergeCell ref="L81:M81"/>
    <mergeCell ref="N81:O81"/>
    <mergeCell ref="O105:O106"/>
    <mergeCell ref="U105:U106"/>
    <mergeCell ref="AB81:AC81"/>
    <mergeCell ref="AD81:AE81"/>
    <mergeCell ref="P81:Q81"/>
    <mergeCell ref="R81:S81"/>
    <mergeCell ref="T81:U81"/>
    <mergeCell ref="V81:W81"/>
    <mergeCell ref="X81:Y81"/>
    <mergeCell ref="B83:B84"/>
    <mergeCell ref="E83:E84"/>
    <mergeCell ref="G83:G84"/>
    <mergeCell ref="I83:I84"/>
    <mergeCell ref="L83:L84"/>
    <mergeCell ref="N83:N84"/>
    <mergeCell ref="F84:F85"/>
    <mergeCell ref="H84:H85"/>
    <mergeCell ref="J84:J85"/>
    <mergeCell ref="P83:P84"/>
    <mergeCell ref="AB83:AB84"/>
    <mergeCell ref="AD83:AD84"/>
    <mergeCell ref="AC84:AC85"/>
    <mergeCell ref="AB85:AB86"/>
    <mergeCell ref="AD85:AD86"/>
    <mergeCell ref="U86:U87"/>
    <mergeCell ref="Y84:Y85"/>
    <mergeCell ref="AA84:AA85"/>
    <mergeCell ref="V85:V86"/>
    <mergeCell ref="T83:T84"/>
    <mergeCell ref="V83:V84"/>
    <mergeCell ref="X83:X84"/>
    <mergeCell ref="Z83:Z84"/>
    <mergeCell ref="Q84:Q85"/>
    <mergeCell ref="S84:S85"/>
    <mergeCell ref="U84:U85"/>
    <mergeCell ref="W84:W85"/>
    <mergeCell ref="R83:R84"/>
    <mergeCell ref="X85:X86"/>
    <mergeCell ref="Z85:Z86"/>
    <mergeCell ref="Q86:Q87"/>
    <mergeCell ref="B85:B86"/>
    <mergeCell ref="E85:E86"/>
    <mergeCell ref="G85:G86"/>
    <mergeCell ref="I85:I86"/>
    <mergeCell ref="L85:L86"/>
    <mergeCell ref="N85:N86"/>
    <mergeCell ref="C84:C85"/>
    <mergeCell ref="R85:R86"/>
    <mergeCell ref="T85:T86"/>
    <mergeCell ref="S86:S87"/>
    <mergeCell ref="P87:P88"/>
    <mergeCell ref="R87:R88"/>
    <mergeCell ref="T87:T88"/>
    <mergeCell ref="M86:M87"/>
    <mergeCell ref="O86:O87"/>
    <mergeCell ref="P85:P86"/>
    <mergeCell ref="M84:M85"/>
    <mergeCell ref="O84:O85"/>
    <mergeCell ref="W86:W87"/>
    <mergeCell ref="Y86:Y87"/>
    <mergeCell ref="AA86:AA87"/>
    <mergeCell ref="AC86:AC87"/>
    <mergeCell ref="V87:V88"/>
    <mergeCell ref="X87:X88"/>
    <mergeCell ref="Z87:Z88"/>
    <mergeCell ref="AB87:AB88"/>
    <mergeCell ref="AC88:AC89"/>
    <mergeCell ref="AB89:AB90"/>
    <mergeCell ref="B87:B88"/>
    <mergeCell ref="E87:E88"/>
    <mergeCell ref="G87:G88"/>
    <mergeCell ref="I87:I88"/>
    <mergeCell ref="L87:L88"/>
    <mergeCell ref="N87:N88"/>
    <mergeCell ref="C86:C87"/>
    <mergeCell ref="F86:F87"/>
    <mergeCell ref="H86:H87"/>
    <mergeCell ref="J86:J87"/>
    <mergeCell ref="AD87:AD88"/>
    <mergeCell ref="C88:C89"/>
    <mergeCell ref="F88:F89"/>
    <mergeCell ref="H88:H89"/>
    <mergeCell ref="J88:J89"/>
    <mergeCell ref="M88:M89"/>
    <mergeCell ref="O88:O89"/>
    <mergeCell ref="Q88:Q89"/>
    <mergeCell ref="S88:S89"/>
    <mergeCell ref="U88:U89"/>
    <mergeCell ref="P91:P92"/>
    <mergeCell ref="B89:B90"/>
    <mergeCell ref="E89:E90"/>
    <mergeCell ref="G89:G90"/>
    <mergeCell ref="I89:I90"/>
    <mergeCell ref="L89:L90"/>
    <mergeCell ref="N89:N90"/>
    <mergeCell ref="M90:M91"/>
    <mergeCell ref="B91:B92"/>
    <mergeCell ref="E91:E92"/>
    <mergeCell ref="V89:V90"/>
    <mergeCell ref="X89:X90"/>
    <mergeCell ref="Z91:Z92"/>
    <mergeCell ref="S90:S91"/>
    <mergeCell ref="U90:U91"/>
    <mergeCell ref="W90:W91"/>
    <mergeCell ref="Y88:Y89"/>
    <mergeCell ref="X91:X92"/>
    <mergeCell ref="S92:S93"/>
    <mergeCell ref="C90:C91"/>
    <mergeCell ref="F90:F91"/>
    <mergeCell ref="H90:H91"/>
    <mergeCell ref="J90:J91"/>
    <mergeCell ref="C92:C93"/>
    <mergeCell ref="F92:F93"/>
    <mergeCell ref="H92:H93"/>
    <mergeCell ref="J92:J93"/>
    <mergeCell ref="G91:G92"/>
    <mergeCell ref="I91:I92"/>
    <mergeCell ref="L91:L92"/>
    <mergeCell ref="N91:N92"/>
    <mergeCell ref="O90:O91"/>
    <mergeCell ref="Q90:Q91"/>
    <mergeCell ref="Y90:Y91"/>
    <mergeCell ref="P89:P90"/>
    <mergeCell ref="M92:M93"/>
    <mergeCell ref="R89:R90"/>
    <mergeCell ref="T89:T90"/>
    <mergeCell ref="O92:O93"/>
    <mergeCell ref="AE92:AE93"/>
    <mergeCell ref="AB91:AB92"/>
    <mergeCell ref="W92:W93"/>
    <mergeCell ref="Y92:Y93"/>
    <mergeCell ref="AA92:AA93"/>
    <mergeCell ref="AC90:AC91"/>
    <mergeCell ref="AE90:AE91"/>
    <mergeCell ref="AC92:AC93"/>
    <mergeCell ref="Q92:Q93"/>
    <mergeCell ref="AD91:AD92"/>
    <mergeCell ref="U92:U93"/>
    <mergeCell ref="AA90:AA91"/>
    <mergeCell ref="V91:V92"/>
    <mergeCell ref="R91:R92"/>
    <mergeCell ref="T91:T92"/>
    <mergeCell ref="AD89:AD90"/>
    <mergeCell ref="AA88:AA89"/>
    <mergeCell ref="Z89:Z90"/>
    <mergeCell ref="AG25:AG26"/>
    <mergeCell ref="AI25:AI26"/>
    <mergeCell ref="AF26:AF27"/>
    <mergeCell ref="AH26:AH27"/>
    <mergeCell ref="AG27:AG28"/>
    <mergeCell ref="AI27:AI28"/>
    <mergeCell ref="AF28:AF29"/>
    <mergeCell ref="AH28:AH29"/>
    <mergeCell ref="AF20:AF21"/>
    <mergeCell ref="AH20:AH21"/>
    <mergeCell ref="AG21:AG22"/>
    <mergeCell ref="AI21:AI22"/>
    <mergeCell ref="AF22:AF23"/>
    <mergeCell ref="AH22:AH23"/>
    <mergeCell ref="AG23:AG24"/>
    <mergeCell ref="AI23:AI24"/>
    <mergeCell ref="AF24:AF25"/>
    <mergeCell ref="AH24:AH25"/>
    <mergeCell ref="AG15:AG16"/>
    <mergeCell ref="AI15:AI16"/>
    <mergeCell ref="AF16:AF17"/>
    <mergeCell ref="AH16:AH17"/>
    <mergeCell ref="AG17:AG18"/>
    <mergeCell ref="AI17:AI18"/>
    <mergeCell ref="AF18:AF19"/>
    <mergeCell ref="AH18:AH19"/>
    <mergeCell ref="AG19:AG20"/>
    <mergeCell ref="AI19:AI20"/>
    <mergeCell ref="Z102:Z103"/>
    <mergeCell ref="AB102:AB103"/>
    <mergeCell ref="AD102:AD103"/>
    <mergeCell ref="AF102:AF103"/>
    <mergeCell ref="AH102:AH103"/>
    <mergeCell ref="C103:C104"/>
    <mergeCell ref="F103:F104"/>
    <mergeCell ref="H103:H104"/>
    <mergeCell ref="J103:J104"/>
    <mergeCell ref="M103:M104"/>
    <mergeCell ref="N102:N103"/>
    <mergeCell ref="P102:P103"/>
    <mergeCell ref="R102:R103"/>
    <mergeCell ref="T102:T103"/>
    <mergeCell ref="V102:V103"/>
    <mergeCell ref="X102:X103"/>
    <mergeCell ref="O103:O104"/>
    <mergeCell ref="S103:S104"/>
    <mergeCell ref="Q103:Q104"/>
    <mergeCell ref="U103:U104"/>
    <mergeCell ref="AD100:AE100"/>
    <mergeCell ref="AF100:AG100"/>
    <mergeCell ref="AH100:AI100"/>
    <mergeCell ref="B102:B103"/>
    <mergeCell ref="D102:D103"/>
    <mergeCell ref="E102:E103"/>
    <mergeCell ref="G102:G103"/>
    <mergeCell ref="I102:I103"/>
    <mergeCell ref="K102:K103"/>
    <mergeCell ref="L102:L103"/>
    <mergeCell ref="R100:S100"/>
    <mergeCell ref="T100:U100"/>
    <mergeCell ref="V100:W100"/>
    <mergeCell ref="X100:Y100"/>
    <mergeCell ref="Z100:AA100"/>
    <mergeCell ref="AB100:AC100"/>
    <mergeCell ref="E100:F100"/>
    <mergeCell ref="G100:H100"/>
    <mergeCell ref="I100:J100"/>
    <mergeCell ref="L100:M100"/>
    <mergeCell ref="N100:O100"/>
    <mergeCell ref="P100:Q100"/>
    <mergeCell ref="AI68:AI69"/>
    <mergeCell ref="AG68:AG69"/>
    <mergeCell ref="D83:D84"/>
    <mergeCell ref="D85:D86"/>
    <mergeCell ref="D87:D88"/>
    <mergeCell ref="K83:K84"/>
    <mergeCell ref="K85:K86"/>
    <mergeCell ref="K87:K88"/>
    <mergeCell ref="AF69:AF70"/>
    <mergeCell ref="W88:W89"/>
    <mergeCell ref="AF67:AF68"/>
    <mergeCell ref="AG66:AG67"/>
    <mergeCell ref="AH65:AH66"/>
    <mergeCell ref="AF65:AF66"/>
    <mergeCell ref="AI64:AI65"/>
    <mergeCell ref="AG64:AG65"/>
    <mergeCell ref="AH63:AH64"/>
    <mergeCell ref="AF63:AF64"/>
    <mergeCell ref="AI62:AI63"/>
    <mergeCell ref="AG62:AG63"/>
    <mergeCell ref="AF61:AF62"/>
    <mergeCell ref="AG60:AG61"/>
    <mergeCell ref="AH59:AH60"/>
    <mergeCell ref="AF59:AF60"/>
    <mergeCell ref="AI58:AI59"/>
    <mergeCell ref="AG58:AG59"/>
    <mergeCell ref="AH57:AH58"/>
    <mergeCell ref="AF57:AF58"/>
    <mergeCell ref="AI56:AI57"/>
    <mergeCell ref="AG56:AG57"/>
    <mergeCell ref="AF55:AF56"/>
    <mergeCell ref="AG54:AG55"/>
    <mergeCell ref="AH53:AH54"/>
    <mergeCell ref="AF53:AF54"/>
    <mergeCell ref="AH44:AH45"/>
    <mergeCell ref="AF44:AF45"/>
    <mergeCell ref="AI43:AI44"/>
    <mergeCell ref="AG43:AG44"/>
    <mergeCell ref="AF42:AF43"/>
    <mergeCell ref="AG41:AG42"/>
    <mergeCell ref="AH40:AH41"/>
    <mergeCell ref="AF40:AF41"/>
    <mergeCell ref="AI39:AI40"/>
    <mergeCell ref="AG39:AG40"/>
    <mergeCell ref="AH38:AH39"/>
    <mergeCell ref="AF38:AF39"/>
    <mergeCell ref="AF36:AG36"/>
    <mergeCell ref="AH10:AH11"/>
    <mergeCell ref="AG11:AG12"/>
    <mergeCell ref="AI11:AI12"/>
    <mergeCell ref="AF12:AF13"/>
    <mergeCell ref="AH12:AH13"/>
    <mergeCell ref="AG13:AG14"/>
    <mergeCell ref="AI13:AI14"/>
    <mergeCell ref="AF14:AF15"/>
    <mergeCell ref="AH14:AH15"/>
    <mergeCell ref="AF6:AG6"/>
    <mergeCell ref="AH6:AI6"/>
    <mergeCell ref="K12:K13"/>
    <mergeCell ref="K14:K15"/>
    <mergeCell ref="K16:K17"/>
    <mergeCell ref="AF8:AF9"/>
    <mergeCell ref="AH8:AH9"/>
    <mergeCell ref="AG9:AG10"/>
    <mergeCell ref="AI9:AI10"/>
    <mergeCell ref="AF10:AF11"/>
    <mergeCell ref="AK121:AK122"/>
    <mergeCell ref="AJ122:AJ123"/>
    <mergeCell ref="D8:D9"/>
    <mergeCell ref="D10:D11"/>
    <mergeCell ref="D12:D13"/>
    <mergeCell ref="D14:D15"/>
    <mergeCell ref="K8:K9"/>
    <mergeCell ref="K10:K11"/>
    <mergeCell ref="AH42:AH43"/>
    <mergeCell ref="AH36:AI36"/>
    <mergeCell ref="AK111:AK112"/>
    <mergeCell ref="AJ112:AJ113"/>
    <mergeCell ref="AK113:AK114"/>
    <mergeCell ref="AJ114:AJ115"/>
    <mergeCell ref="AK115:AK116"/>
    <mergeCell ref="AJ116:AJ117"/>
    <mergeCell ref="AK117:AK118"/>
    <mergeCell ref="AJ118:AJ119"/>
    <mergeCell ref="AK119:AK120"/>
    <mergeCell ref="AJ120:AJ121"/>
    <mergeCell ref="AJ100:AK100"/>
    <mergeCell ref="AJ102:AJ103"/>
    <mergeCell ref="AK103:AK104"/>
    <mergeCell ref="AJ104:AJ105"/>
    <mergeCell ref="AK105:AK106"/>
    <mergeCell ref="AJ106:AJ107"/>
    <mergeCell ref="AK107:AK108"/>
    <mergeCell ref="AJ108:AJ109"/>
    <mergeCell ref="AK109:AK110"/>
    <mergeCell ref="AJ110:AJ111"/>
    <mergeCell ref="AG88:AG89"/>
    <mergeCell ref="AI88:AI89"/>
    <mergeCell ref="AF89:AF90"/>
    <mergeCell ref="AH89:AH90"/>
    <mergeCell ref="AG90:AG91"/>
    <mergeCell ref="AI90:AI91"/>
    <mergeCell ref="AF91:AF92"/>
    <mergeCell ref="AH91:AH92"/>
    <mergeCell ref="AG92:AG93"/>
    <mergeCell ref="AI92:AI93"/>
    <mergeCell ref="AF83:AF84"/>
    <mergeCell ref="AH83:AH84"/>
    <mergeCell ref="AG84:AG85"/>
    <mergeCell ref="AI84:AI85"/>
    <mergeCell ref="AF85:AF86"/>
    <mergeCell ref="AH85:AH86"/>
    <mergeCell ref="AG86:AG87"/>
    <mergeCell ref="AI86:AI87"/>
    <mergeCell ref="AF87:AF88"/>
    <mergeCell ref="AH87:AH88"/>
    <mergeCell ref="AI72:AI73"/>
    <mergeCell ref="AG72:AG73"/>
    <mergeCell ref="AE72:AE73"/>
    <mergeCell ref="O72:O73"/>
    <mergeCell ref="AF81:AG81"/>
    <mergeCell ref="AH81:AI81"/>
    <mergeCell ref="T71:T72"/>
    <mergeCell ref="S72:S73"/>
    <mergeCell ref="P71:P72"/>
    <mergeCell ref="Z81:AA81"/>
    <mergeCell ref="H72:H73"/>
    <mergeCell ref="F72:F73"/>
    <mergeCell ref="AH71:AH72"/>
    <mergeCell ref="AF71:AF72"/>
    <mergeCell ref="AI70:AI71"/>
    <mergeCell ref="AG70:AG71"/>
    <mergeCell ref="AH69:AH70"/>
    <mergeCell ref="AH73:AH74"/>
    <mergeCell ref="AF73:AF74"/>
    <mergeCell ref="P73:P7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98" r:id="rId1"/>
  <rowBreaks count="2" manualBreakCount="2">
    <brk id="49" min="1" max="37" man="1"/>
    <brk id="98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SheetLayoutView="115" workbookViewId="0" topLeftCell="A1">
      <selection activeCell="A1" sqref="A1"/>
    </sheetView>
  </sheetViews>
  <sheetFormatPr defaultColWidth="3.421875" defaultRowHeight="12.75"/>
  <cols>
    <col min="1" max="1" width="42.28125" style="3" customWidth="1"/>
    <col min="2" max="2" width="8.57421875" style="3" customWidth="1"/>
    <col min="3" max="3" width="3.7109375" style="3" customWidth="1"/>
    <col min="4" max="4" width="5.421875" style="3" customWidth="1"/>
    <col min="5" max="5" width="10.7109375" style="3" customWidth="1"/>
    <col min="6" max="6" width="5.7109375" style="3" customWidth="1"/>
    <col min="7" max="7" width="3.7109375" style="3" customWidth="1"/>
    <col min="8" max="9" width="2.28125" style="3" customWidth="1"/>
    <col min="10" max="10" width="7.8515625" style="3" customWidth="1"/>
    <col min="11" max="12" width="2.00390625" style="3" customWidth="1"/>
    <col min="13" max="13" width="0.9921875" style="3" customWidth="1"/>
    <col min="14" max="15" width="1.28515625" style="3" customWidth="1"/>
    <col min="16" max="16" width="10.7109375" style="3" customWidth="1"/>
    <col min="17" max="17" width="2.28125" style="3" customWidth="1"/>
    <col min="18" max="18" width="0.9921875" style="3" customWidth="1"/>
    <col min="19" max="16384" width="3.421875" style="3" customWidth="1"/>
  </cols>
  <sheetData>
    <row r="1" ht="25.5" customHeight="1">
      <c r="A1" s="43" t="s">
        <v>6</v>
      </c>
    </row>
    <row r="2" spans="1:12" ht="13.5" customHeight="1">
      <c r="A2"/>
      <c r="B2"/>
      <c r="C2"/>
      <c r="D2" s="44"/>
      <c r="E2" s="44"/>
      <c r="F2" s="34"/>
      <c r="J2" s="35"/>
      <c r="K2" s="35"/>
      <c r="L2" s="35"/>
    </row>
    <row r="3" spans="1:12" ht="13.5" customHeight="1">
      <c r="A3" s="42" t="s">
        <v>23</v>
      </c>
      <c r="B3">
        <v>31.14</v>
      </c>
      <c r="C3" t="s">
        <v>13</v>
      </c>
      <c r="D3" s="44"/>
      <c r="E3" s="44"/>
      <c r="F3" s="34"/>
      <c r="J3" s="35"/>
      <c r="K3" s="35"/>
      <c r="L3" s="35"/>
    </row>
    <row r="4" spans="1:12" ht="13.5" customHeight="1">
      <c r="A4" s="42"/>
      <c r="B4"/>
      <c r="C4"/>
      <c r="D4" s="44"/>
      <c r="E4" s="44"/>
      <c r="F4" s="34"/>
      <c r="J4" s="35"/>
      <c r="K4" s="35"/>
      <c r="L4" s="35"/>
    </row>
    <row r="5" spans="1:12" ht="13.5" customHeight="1">
      <c r="A5" s="42" t="s">
        <v>28</v>
      </c>
      <c r="B5"/>
      <c r="C5"/>
      <c r="D5" s="44"/>
      <c r="E5" s="44"/>
      <c r="F5" s="34"/>
      <c r="J5" s="35"/>
      <c r="K5" s="35"/>
      <c r="L5" s="35"/>
    </row>
    <row r="6" spans="1:10" ht="13.5" customHeight="1">
      <c r="A6" s="53" t="s">
        <v>29</v>
      </c>
      <c r="B6"/>
      <c r="C6"/>
      <c r="D6"/>
      <c r="E6" s="36"/>
      <c r="J6" s="40"/>
    </row>
    <row r="7" spans="1:10" ht="13.5" customHeight="1">
      <c r="A7" s="41" t="s">
        <v>44</v>
      </c>
      <c r="B7" s="41">
        <v>1.2</v>
      </c>
      <c r="C7" s="41" t="s">
        <v>0</v>
      </c>
      <c r="D7"/>
      <c r="E7" s="36"/>
      <c r="J7" s="40"/>
    </row>
    <row r="8" spans="1:10" ht="13.5" customHeight="1">
      <c r="A8" s="41" t="s">
        <v>45</v>
      </c>
      <c r="B8" s="41">
        <v>1.3</v>
      </c>
      <c r="C8" s="41" t="s">
        <v>0</v>
      </c>
      <c r="D8"/>
      <c r="E8" s="36"/>
      <c r="J8" s="40"/>
    </row>
    <row r="9" spans="1:18" ht="13.5" customHeight="1">
      <c r="A9" s="41" t="s">
        <v>46</v>
      </c>
      <c r="B9" s="41">
        <v>7</v>
      </c>
      <c r="C9" s="41"/>
      <c r="D9"/>
      <c r="E9" s="36"/>
      <c r="J9" s="36"/>
      <c r="K9" s="36"/>
      <c r="L9" s="36"/>
      <c r="M9" s="36"/>
      <c r="Q9" s="36"/>
      <c r="R9" s="36"/>
    </row>
    <row r="10" spans="1:18" ht="13.5" customHeight="1">
      <c r="A10" s="33" t="s">
        <v>30</v>
      </c>
      <c r="B10">
        <f>(B7+B8)*B9</f>
        <v>17.5</v>
      </c>
      <c r="C10" s="33" t="s">
        <v>0</v>
      </c>
      <c r="D10"/>
      <c r="F10" s="35"/>
      <c r="J10" s="36"/>
      <c r="K10" s="36"/>
      <c r="L10" s="36"/>
      <c r="Q10" s="36"/>
      <c r="R10" s="36"/>
    </row>
    <row r="11" spans="1:18" ht="20.25" customHeight="1">
      <c r="A11" s="33"/>
      <c r="B11"/>
      <c r="C11" s="33"/>
      <c r="D11" s="71"/>
      <c r="E11" s="71"/>
      <c r="F11" s="35"/>
      <c r="J11" s="36"/>
      <c r="K11" s="36"/>
      <c r="L11" s="36"/>
      <c r="Q11" s="36"/>
      <c r="R11" s="36"/>
    </row>
    <row r="12" spans="1:4" ht="13.5" customHeight="1">
      <c r="A12" s="53" t="s">
        <v>59</v>
      </c>
      <c r="B12"/>
      <c r="C12"/>
      <c r="D12"/>
    </row>
    <row r="13" spans="1:12" ht="13.5" customHeight="1">
      <c r="A13" s="41" t="s">
        <v>18</v>
      </c>
      <c r="B13" s="41">
        <v>21</v>
      </c>
      <c r="C13" s="41" t="s">
        <v>0</v>
      </c>
      <c r="D13"/>
      <c r="J13" s="36"/>
      <c r="K13" s="36"/>
      <c r="L13" s="36"/>
    </row>
    <row r="14" spans="1:12" ht="13.5" customHeight="1">
      <c r="A14" s="41" t="s">
        <v>31</v>
      </c>
      <c r="B14" s="41">
        <v>2</v>
      </c>
      <c r="C14" s="41"/>
      <c r="D14"/>
      <c r="J14" s="36"/>
      <c r="K14" s="36"/>
      <c r="L14" s="36"/>
    </row>
    <row r="15" spans="1:12" ht="13.5" customHeight="1">
      <c r="A15" s="33" t="s">
        <v>33</v>
      </c>
      <c r="B15" s="33">
        <f>2*B13*B14</f>
        <v>84</v>
      </c>
      <c r="C15" s="33" t="s">
        <v>0</v>
      </c>
      <c r="D15"/>
      <c r="J15" s="36"/>
      <c r="K15" s="36"/>
      <c r="L15" s="36"/>
    </row>
    <row r="16" spans="1:12" ht="13.5" customHeight="1">
      <c r="A16" s="33"/>
      <c r="B16" s="33"/>
      <c r="C16" s="33"/>
      <c r="D16"/>
      <c r="J16" s="36"/>
      <c r="K16" s="36"/>
      <c r="L16" s="36"/>
    </row>
    <row r="17" spans="1:12" ht="13.5" customHeight="1">
      <c r="A17" s="53" t="s">
        <v>60</v>
      </c>
      <c r="B17" s="33"/>
      <c r="C17" s="33"/>
      <c r="D17"/>
      <c r="J17" s="36"/>
      <c r="K17" s="36"/>
      <c r="L17" s="36"/>
    </row>
    <row r="18" spans="1:12" ht="13.5" customHeight="1">
      <c r="A18" s="41" t="s">
        <v>61</v>
      </c>
      <c r="B18" s="41">
        <v>8</v>
      </c>
      <c r="C18" s="41"/>
      <c r="D18"/>
      <c r="E18" s="42"/>
      <c r="F18" s="51"/>
      <c r="G18" s="41"/>
      <c r="J18" s="36"/>
      <c r="K18" s="36"/>
      <c r="L18" s="36"/>
    </row>
    <row r="19" spans="1:12" ht="13.5" customHeight="1">
      <c r="A19" s="41" t="s">
        <v>65</v>
      </c>
      <c r="B19" s="41">
        <v>4.55</v>
      </c>
      <c r="C19" s="41" t="s">
        <v>0</v>
      </c>
      <c r="D19"/>
      <c r="E19" s="53"/>
      <c r="F19" s="51"/>
      <c r="G19" s="41"/>
      <c r="J19" s="36"/>
      <c r="K19" s="36"/>
      <c r="L19" s="36"/>
    </row>
    <row r="20" spans="1:12" ht="13.5" customHeight="1">
      <c r="A20" s="41" t="s">
        <v>64</v>
      </c>
      <c r="B20" s="41">
        <v>3.2</v>
      </c>
      <c r="C20" s="41" t="s">
        <v>13</v>
      </c>
      <c r="D20"/>
      <c r="E20" s="41"/>
      <c r="F20" s="51"/>
      <c r="G20" s="41"/>
      <c r="J20" s="36"/>
      <c r="K20" s="36"/>
      <c r="L20" s="36"/>
    </row>
    <row r="21" spans="1:12" ht="13.5" customHeight="1">
      <c r="A21" s="33" t="s">
        <v>62</v>
      </c>
      <c r="B21" s="33">
        <f>B18*B19</f>
        <v>36.4</v>
      </c>
      <c r="C21" s="33" t="s">
        <v>0</v>
      </c>
      <c r="D21"/>
      <c r="E21" s="33"/>
      <c r="F21" s="25"/>
      <c r="G21" s="33"/>
      <c r="J21" s="36"/>
      <c r="K21" s="36"/>
      <c r="L21" s="36"/>
    </row>
    <row r="22" spans="1:12" ht="13.5" customHeight="1">
      <c r="A22" s="33" t="s">
        <v>63</v>
      </c>
      <c r="B22" s="33">
        <f>B18*B20</f>
        <v>25.6</v>
      </c>
      <c r="C22" s="33" t="s">
        <v>13</v>
      </c>
      <c r="D22"/>
      <c r="E22" s="33"/>
      <c r="F22" s="51"/>
      <c r="G22" s="41"/>
      <c r="J22" s="36"/>
      <c r="K22" s="36"/>
      <c r="L22" s="36"/>
    </row>
    <row r="23" spans="1:12" ht="13.5" customHeight="1">
      <c r="A23" s="53" t="s">
        <v>219</v>
      </c>
      <c r="B23" s="33"/>
      <c r="C23" s="33"/>
      <c r="D23"/>
      <c r="E23" s="33"/>
      <c r="F23" s="51"/>
      <c r="G23" s="41"/>
      <c r="J23" s="36"/>
      <c r="K23" s="36"/>
      <c r="L23" s="36"/>
    </row>
    <row r="24" spans="1:12" ht="13.5" customHeight="1">
      <c r="A24" s="41" t="s">
        <v>223</v>
      </c>
      <c r="B24" s="41">
        <v>15</v>
      </c>
      <c r="C24" s="41" t="s">
        <v>15</v>
      </c>
      <c r="D24"/>
      <c r="E24" s="33"/>
      <c r="F24" s="51"/>
      <c r="G24" s="41"/>
      <c r="J24" s="36"/>
      <c r="K24" s="36"/>
      <c r="L24" s="36"/>
    </row>
    <row r="25" spans="1:12" ht="13.5" customHeight="1">
      <c r="A25" s="41" t="s">
        <v>221</v>
      </c>
      <c r="B25" s="41">
        <v>15</v>
      </c>
      <c r="C25" s="41" t="s">
        <v>15</v>
      </c>
      <c r="D25"/>
      <c r="E25" s="33"/>
      <c r="F25" s="51"/>
      <c r="G25" s="41"/>
      <c r="J25" s="36"/>
      <c r="K25" s="36"/>
      <c r="L25" s="36"/>
    </row>
    <row r="26" spans="1:12" ht="13.5" customHeight="1">
      <c r="A26" s="33" t="s">
        <v>222</v>
      </c>
      <c r="B26" s="33">
        <f>B18*B24</f>
        <v>120</v>
      </c>
      <c r="C26" s="33" t="s">
        <v>15</v>
      </c>
      <c r="D26"/>
      <c r="E26" s="33"/>
      <c r="F26" s="51"/>
      <c r="G26" s="41"/>
      <c r="J26" s="36"/>
      <c r="K26" s="36"/>
      <c r="L26" s="36"/>
    </row>
    <row r="27" spans="1:12" ht="13.5" customHeight="1">
      <c r="A27" s="33" t="s">
        <v>220</v>
      </c>
      <c r="B27" s="105">
        <f>0.15*B18*B25</f>
        <v>18</v>
      </c>
      <c r="C27" s="33" t="s">
        <v>0</v>
      </c>
      <c r="D27"/>
      <c r="E27" s="33"/>
      <c r="F27" s="51"/>
      <c r="G27" s="41"/>
      <c r="J27" s="36"/>
      <c r="K27" s="36"/>
      <c r="L27" s="36"/>
    </row>
    <row r="28" spans="1:12" ht="13.5" customHeight="1">
      <c r="A28" s="33"/>
      <c r="B28" s="33"/>
      <c r="C28" s="33"/>
      <c r="D28"/>
      <c r="E28" s="53"/>
      <c r="F28" s="51"/>
      <c r="G28" s="41"/>
      <c r="J28" s="36"/>
      <c r="K28" s="36"/>
      <c r="L28" s="36"/>
    </row>
    <row r="29" spans="1:12" ht="13.5" customHeight="1">
      <c r="A29" s="53" t="s">
        <v>85</v>
      </c>
      <c r="B29" s="33"/>
      <c r="C29" s="33"/>
      <c r="D29"/>
      <c r="E29" s="41"/>
      <c r="F29" s="51"/>
      <c r="G29" s="41"/>
      <c r="J29" s="36"/>
      <c r="K29" s="36"/>
      <c r="L29" s="36"/>
    </row>
    <row r="30" spans="1:12" ht="13.5" customHeight="1">
      <c r="A30" s="41"/>
      <c r="B30" s="51"/>
      <c r="C30" s="41"/>
      <c r="D30"/>
      <c r="E30" s="41"/>
      <c r="F30" s="51"/>
      <c r="G30" s="41"/>
      <c r="J30" s="36"/>
      <c r="K30" s="36"/>
      <c r="L30" s="36"/>
    </row>
    <row r="31" spans="1:12" ht="13.5" customHeight="1">
      <c r="A31" s="42" t="s">
        <v>211</v>
      </c>
      <c r="B31" s="51"/>
      <c r="C31" s="41"/>
      <c r="D31"/>
      <c r="E31" s="41"/>
      <c r="F31" s="51"/>
      <c r="G31" s="41"/>
      <c r="J31" s="36"/>
      <c r="K31" s="36"/>
      <c r="L31" s="36"/>
    </row>
    <row r="32" spans="1:12" ht="13.5" customHeight="1">
      <c r="A32" s="41" t="s">
        <v>71</v>
      </c>
      <c r="B32" s="51">
        <v>7</v>
      </c>
      <c r="C32" s="41" t="s">
        <v>15</v>
      </c>
      <c r="D32"/>
      <c r="E32" s="41"/>
      <c r="F32" s="51"/>
      <c r="G32" s="41"/>
      <c r="J32" s="36"/>
      <c r="K32" s="36"/>
      <c r="L32" s="36"/>
    </row>
    <row r="33" spans="1:12" ht="13.5" customHeight="1">
      <c r="A33" s="41" t="s">
        <v>70</v>
      </c>
      <c r="B33" s="51">
        <v>4</v>
      </c>
      <c r="C33" s="41" t="s">
        <v>15</v>
      </c>
      <c r="D33"/>
      <c r="E33" s="41"/>
      <c r="F33" s="51"/>
      <c r="G33" s="41"/>
      <c r="J33" s="36"/>
      <c r="K33" s="36"/>
      <c r="L33" s="36"/>
    </row>
    <row r="34" spans="1:12" ht="13.5" customHeight="1">
      <c r="A34" s="41" t="s">
        <v>236</v>
      </c>
      <c r="B34" s="107">
        <v>14</v>
      </c>
      <c r="C34" s="41" t="s">
        <v>15</v>
      </c>
      <c r="D34"/>
      <c r="E34" s="33"/>
      <c r="F34" s="25"/>
      <c r="G34" s="33"/>
      <c r="J34" s="36"/>
      <c r="K34" s="36"/>
      <c r="L34" s="36"/>
    </row>
    <row r="35" spans="1:12" ht="13.5" customHeight="1">
      <c r="A35" s="41" t="s">
        <v>237</v>
      </c>
      <c r="B35" s="107">
        <v>6</v>
      </c>
      <c r="C35" s="41" t="s">
        <v>0</v>
      </c>
      <c r="D35"/>
      <c r="E35" s="33"/>
      <c r="F35" s="25"/>
      <c r="G35" s="33"/>
      <c r="J35" s="36"/>
      <c r="K35" s="36"/>
      <c r="L35" s="36"/>
    </row>
    <row r="36" spans="1:12" ht="13.5" customHeight="1">
      <c r="A36" s="41" t="s">
        <v>250</v>
      </c>
      <c r="B36" s="107">
        <v>34.5</v>
      </c>
      <c r="C36" s="41" t="s">
        <v>73</v>
      </c>
      <c r="D36"/>
      <c r="E36" s="33"/>
      <c r="F36" s="25"/>
      <c r="G36" s="33"/>
      <c r="J36" s="36"/>
      <c r="K36" s="36"/>
      <c r="L36" s="36"/>
    </row>
    <row r="37" spans="1:12" ht="13.5" customHeight="1">
      <c r="A37" s="33" t="s">
        <v>251</v>
      </c>
      <c r="B37" s="104">
        <f>B34*B35</f>
        <v>84</v>
      </c>
      <c r="C37" s="33" t="s">
        <v>0</v>
      </c>
      <c r="D37"/>
      <c r="E37" s="33"/>
      <c r="F37" s="25"/>
      <c r="G37" s="33"/>
      <c r="J37" s="36"/>
      <c r="K37" s="36"/>
      <c r="L37" s="36"/>
    </row>
    <row r="38" spans="1:12" ht="13.5" customHeight="1">
      <c r="A38" s="33" t="s">
        <v>252</v>
      </c>
      <c r="B38" s="104">
        <f>B36*B37</f>
        <v>2898</v>
      </c>
      <c r="C38" s="33" t="s">
        <v>76</v>
      </c>
      <c r="D38"/>
      <c r="E38" s="33"/>
      <c r="F38" s="25"/>
      <c r="G38" s="33"/>
      <c r="J38" s="36"/>
      <c r="K38" s="36"/>
      <c r="L38" s="36"/>
    </row>
    <row r="39" spans="1:12" ht="13.5" customHeight="1">
      <c r="A39" s="33"/>
      <c r="B39" s="104"/>
      <c r="C39" s="41"/>
      <c r="D39"/>
      <c r="E39" s="33"/>
      <c r="F39" s="25"/>
      <c r="G39" s="33"/>
      <c r="J39" s="36"/>
      <c r="K39" s="36"/>
      <c r="L39" s="36"/>
    </row>
    <row r="40" spans="1:12" ht="13.5" customHeight="1">
      <c r="A40" s="33" t="s">
        <v>162</v>
      </c>
      <c r="B40" s="104"/>
      <c r="C40" s="33"/>
      <c r="D40"/>
      <c r="E40" s="33"/>
      <c r="F40" s="25"/>
      <c r="G40" s="33"/>
      <c r="J40" s="36"/>
      <c r="K40" s="36"/>
      <c r="L40" s="36"/>
    </row>
    <row r="41" spans="1:12" ht="13.5" customHeight="1">
      <c r="A41" s="108" t="s">
        <v>235</v>
      </c>
      <c r="B41" s="107">
        <v>6</v>
      </c>
      <c r="C41" s="41" t="s">
        <v>0</v>
      </c>
      <c r="D41"/>
      <c r="E41" s="33"/>
      <c r="F41" s="25"/>
      <c r="G41" s="33"/>
      <c r="J41" s="36"/>
      <c r="K41" s="36"/>
      <c r="L41" s="36"/>
    </row>
    <row r="42" spans="1:12" ht="13.5" customHeight="1">
      <c r="A42" s="33" t="s">
        <v>253</v>
      </c>
      <c r="B42" s="104">
        <f>B34*B41</f>
        <v>84</v>
      </c>
      <c r="C42" s="41" t="s">
        <v>0</v>
      </c>
      <c r="D42"/>
      <c r="E42" s="33"/>
      <c r="F42" s="25"/>
      <c r="G42" s="33"/>
      <c r="J42" s="36"/>
      <c r="K42" s="36"/>
      <c r="L42" s="36"/>
    </row>
    <row r="43" spans="1:12" ht="13.5" customHeight="1">
      <c r="A43" s="33"/>
      <c r="B43" s="104"/>
      <c r="C43" s="41"/>
      <c r="D43"/>
      <c r="E43" s="33"/>
      <c r="F43" s="25"/>
      <c r="G43" s="33"/>
      <c r="J43" s="36"/>
      <c r="K43" s="36"/>
      <c r="L43" s="36"/>
    </row>
    <row r="44" spans="1:12" ht="13.5" customHeight="1">
      <c r="A44" s="41" t="s">
        <v>238</v>
      </c>
      <c r="B44" s="107">
        <v>1.7</v>
      </c>
      <c r="C44" s="41" t="s">
        <v>0</v>
      </c>
      <c r="D44"/>
      <c r="E44" s="33"/>
      <c r="F44" s="25"/>
      <c r="G44" s="33"/>
      <c r="J44" s="36"/>
      <c r="K44" s="36"/>
      <c r="L44" s="36"/>
    </row>
    <row r="45" spans="1:12" ht="13.5" customHeight="1">
      <c r="A45" s="41" t="s">
        <v>258</v>
      </c>
      <c r="B45" s="107">
        <f>2*23</f>
        <v>46</v>
      </c>
      <c r="C45" s="41" t="s">
        <v>73</v>
      </c>
      <c r="D45"/>
      <c r="E45" s="33"/>
      <c r="F45" s="25"/>
      <c r="G45" s="33"/>
      <c r="J45" s="36"/>
      <c r="K45" s="36"/>
      <c r="L45" s="36"/>
    </row>
    <row r="46" spans="1:12" ht="13.5" customHeight="1">
      <c r="A46" s="41" t="s">
        <v>255</v>
      </c>
      <c r="B46" s="107">
        <v>1</v>
      </c>
      <c r="C46" s="41" t="s">
        <v>15</v>
      </c>
      <c r="D46"/>
      <c r="E46" s="33"/>
      <c r="F46" s="25"/>
      <c r="G46" s="33"/>
      <c r="J46" s="36"/>
      <c r="K46" s="36"/>
      <c r="L46" s="36"/>
    </row>
    <row r="47" spans="1:12" ht="13.5" customHeight="1">
      <c r="A47" s="33" t="s">
        <v>254</v>
      </c>
      <c r="B47" s="33">
        <f>B33*(B44*B46)</f>
        <v>6.8</v>
      </c>
      <c r="C47" s="33" t="s">
        <v>0</v>
      </c>
      <c r="D47"/>
      <c r="E47" s="33"/>
      <c r="F47" s="25"/>
      <c r="G47" s="33"/>
      <c r="J47" s="36"/>
      <c r="K47" s="36"/>
      <c r="L47" s="36"/>
    </row>
    <row r="48" spans="1:12" ht="13.5" customHeight="1">
      <c r="A48" s="33" t="s">
        <v>257</v>
      </c>
      <c r="B48" s="33">
        <f>B47*B45</f>
        <v>312.8</v>
      </c>
      <c r="C48" s="33" t="s">
        <v>76</v>
      </c>
      <c r="D48"/>
      <c r="E48" s="33"/>
      <c r="F48" s="25"/>
      <c r="G48" s="33"/>
      <c r="J48" s="36"/>
      <c r="K48" s="36"/>
      <c r="L48" s="36"/>
    </row>
    <row r="49" spans="1:12" ht="13.5" customHeight="1">
      <c r="A49" s="33" t="s">
        <v>256</v>
      </c>
      <c r="B49" s="33">
        <f>B32*(B44*B46)*B45</f>
        <v>547.4</v>
      </c>
      <c r="C49" s="33" t="s">
        <v>76</v>
      </c>
      <c r="D49"/>
      <c r="E49" s="33"/>
      <c r="F49" s="25"/>
      <c r="G49" s="33"/>
      <c r="J49" s="36"/>
      <c r="K49" s="36"/>
      <c r="L49" s="36"/>
    </row>
    <row r="50" spans="1:12" ht="13.5" customHeight="1">
      <c r="A50" s="33" t="s">
        <v>247</v>
      </c>
      <c r="B50" s="104"/>
      <c r="C50" s="33"/>
      <c r="D50"/>
      <c r="E50" s="33"/>
      <c r="F50" s="25"/>
      <c r="G50" s="33"/>
      <c r="J50" s="36"/>
      <c r="K50" s="36"/>
      <c r="L50" s="36"/>
    </row>
    <row r="51" spans="1:12" ht="13.5" customHeight="1">
      <c r="A51" s="33"/>
      <c r="B51"/>
      <c r="C51" s="33"/>
      <c r="D51"/>
      <c r="E51" s="33"/>
      <c r="F51" s="25"/>
      <c r="G51" s="33"/>
      <c r="J51" s="36"/>
      <c r="K51" s="36"/>
      <c r="L51" s="36"/>
    </row>
    <row r="52" spans="1:12" ht="13.5" customHeight="1">
      <c r="A52" s="33" t="s">
        <v>248</v>
      </c>
      <c r="B52">
        <v>3.9</v>
      </c>
      <c r="C52" s="33" t="s">
        <v>0</v>
      </c>
      <c r="D52"/>
      <c r="E52" s="33"/>
      <c r="F52" s="25"/>
      <c r="G52" s="33"/>
      <c r="J52" s="36"/>
      <c r="K52" s="36"/>
      <c r="L52" s="36"/>
    </row>
    <row r="53" spans="1:12" ht="13.5" customHeight="1">
      <c r="A53" s="41" t="s">
        <v>270</v>
      </c>
      <c r="B53" s="41">
        <v>36.3</v>
      </c>
      <c r="C53" s="41" t="s">
        <v>73</v>
      </c>
      <c r="D53"/>
      <c r="E53" s="33"/>
      <c r="F53" s="25"/>
      <c r="G53" s="33"/>
      <c r="J53" s="36"/>
      <c r="K53" s="36"/>
      <c r="L53" s="36"/>
    </row>
    <row r="54" spans="1:12" ht="13.5" customHeight="1">
      <c r="A54" s="41" t="s">
        <v>249</v>
      </c>
      <c r="B54" s="41">
        <v>1</v>
      </c>
      <c r="C54" s="41" t="s">
        <v>15</v>
      </c>
      <c r="D54"/>
      <c r="E54" s="33"/>
      <c r="F54" s="25"/>
      <c r="G54" s="33"/>
      <c r="J54" s="36"/>
      <c r="K54" s="36"/>
      <c r="L54" s="36"/>
    </row>
    <row r="55" spans="1:12" ht="13.5" customHeight="1">
      <c r="A55" s="33" t="s">
        <v>74</v>
      </c>
      <c r="B55" s="33">
        <f>B33*(B52*B54)</f>
        <v>15.6</v>
      </c>
      <c r="C55" s="33" t="s">
        <v>0</v>
      </c>
      <c r="D55"/>
      <c r="E55" s="33"/>
      <c r="F55" s="25"/>
      <c r="G55" s="33"/>
      <c r="J55" s="36"/>
      <c r="K55" s="36"/>
      <c r="L55" s="36"/>
    </row>
    <row r="56" spans="1:12" ht="13.5" customHeight="1">
      <c r="A56" s="33" t="s">
        <v>75</v>
      </c>
      <c r="B56" s="33">
        <f>B55*B53</f>
        <v>566.28</v>
      </c>
      <c r="C56" s="33" t="s">
        <v>76</v>
      </c>
      <c r="D56"/>
      <c r="E56" s="33"/>
      <c r="F56" s="25"/>
      <c r="G56" s="33"/>
      <c r="J56" s="36"/>
      <c r="K56" s="36"/>
      <c r="L56" s="36"/>
    </row>
    <row r="57" spans="1:12" ht="13.5" customHeight="1">
      <c r="A57" s="33" t="s">
        <v>77</v>
      </c>
      <c r="B57" s="33">
        <f>B32*(B52*B54)*B53</f>
        <v>990.9899999999999</v>
      </c>
      <c r="C57" s="33" t="s">
        <v>76</v>
      </c>
      <c r="D57"/>
      <c r="E57" s="33"/>
      <c r="F57" s="25"/>
      <c r="G57" s="33"/>
      <c r="J57" s="36"/>
      <c r="K57" s="36"/>
      <c r="L57" s="36"/>
    </row>
    <row r="58" spans="1:12" ht="13.5" customHeight="1">
      <c r="A58" s="33"/>
      <c r="B58" s="33"/>
      <c r="C58" s="33"/>
      <c r="D58"/>
      <c r="E58" s="33"/>
      <c r="F58" s="25"/>
      <c r="G58" s="33"/>
      <c r="J58" s="36"/>
      <c r="K58" s="36"/>
      <c r="L58" s="36"/>
    </row>
    <row r="59" spans="1:12" ht="13.5" customHeight="1">
      <c r="A59" s="41" t="s">
        <v>79</v>
      </c>
      <c r="B59" s="41">
        <v>1</v>
      </c>
      <c r="C59" s="41" t="s">
        <v>15</v>
      </c>
      <c r="D59"/>
      <c r="E59" s="33"/>
      <c r="F59" s="25"/>
      <c r="G59" s="33"/>
      <c r="J59" s="36"/>
      <c r="K59" s="36"/>
      <c r="L59" s="36"/>
    </row>
    <row r="60" spans="1:12" ht="27.75" customHeight="1">
      <c r="A60" s="106" t="s">
        <v>259</v>
      </c>
      <c r="B60" s="41">
        <v>1</v>
      </c>
      <c r="C60" s="41" t="s">
        <v>15</v>
      </c>
      <c r="D60"/>
      <c r="E60" s="33"/>
      <c r="F60" s="25"/>
      <c r="G60" s="33"/>
      <c r="J60" s="36"/>
      <c r="K60" s="36"/>
      <c r="L60" s="36"/>
    </row>
    <row r="61" spans="1:12" ht="13.5" customHeight="1">
      <c r="A61" s="33" t="s">
        <v>81</v>
      </c>
      <c r="B61">
        <f>B32*B59</f>
        <v>7</v>
      </c>
      <c r="C61" s="33" t="s">
        <v>15</v>
      </c>
      <c r="D61"/>
      <c r="E61" s="33"/>
      <c r="F61" s="25"/>
      <c r="G61" s="33"/>
      <c r="J61" s="36"/>
      <c r="K61" s="36"/>
      <c r="L61" s="36"/>
    </row>
    <row r="62" spans="1:12" ht="13.5" customHeight="1">
      <c r="A62" s="33" t="s">
        <v>82</v>
      </c>
      <c r="B62">
        <f>B33*B59</f>
        <v>4</v>
      </c>
      <c r="C62" s="33" t="s">
        <v>15</v>
      </c>
      <c r="D62"/>
      <c r="E62" s="33"/>
      <c r="F62" s="25"/>
      <c r="G62" s="33"/>
      <c r="J62" s="36"/>
      <c r="K62" s="36"/>
      <c r="L62" s="36"/>
    </row>
    <row r="63" spans="1:12" ht="13.5" customHeight="1">
      <c r="A63" s="33" t="s">
        <v>83</v>
      </c>
      <c r="B63">
        <f>B60*B32</f>
        <v>7</v>
      </c>
      <c r="C63" s="33" t="s">
        <v>15</v>
      </c>
      <c r="D63"/>
      <c r="E63" s="33"/>
      <c r="F63" s="25"/>
      <c r="G63" s="33"/>
      <c r="J63" s="36"/>
      <c r="K63" s="36"/>
      <c r="L63" s="36"/>
    </row>
    <row r="64" spans="1:12" ht="29.25" customHeight="1">
      <c r="A64" s="71" t="s">
        <v>84</v>
      </c>
      <c r="B64">
        <f>B60*B33</f>
        <v>4</v>
      </c>
      <c r="C64" s="33" t="s">
        <v>15</v>
      </c>
      <c r="D64"/>
      <c r="E64" s="33"/>
      <c r="F64" s="25"/>
      <c r="G64" s="33"/>
      <c r="J64" s="36"/>
      <c r="K64" s="36"/>
      <c r="L64" s="36"/>
    </row>
    <row r="65" spans="1:12" ht="13.5" customHeight="1">
      <c r="A65" s="33" t="s">
        <v>67</v>
      </c>
      <c r="B65">
        <f>1.5*3*(B61+B63)</f>
        <v>63</v>
      </c>
      <c r="C65" s="33" t="s">
        <v>13</v>
      </c>
      <c r="D65"/>
      <c r="E65" s="33"/>
      <c r="F65" s="25"/>
      <c r="G65" s="33"/>
      <c r="J65" s="36"/>
      <c r="K65" s="36"/>
      <c r="L65" s="36"/>
    </row>
    <row r="66" spans="1:12" ht="13.5" customHeight="1">
      <c r="A66" s="33"/>
      <c r="B66" s="33"/>
      <c r="C66" s="33"/>
      <c r="D66"/>
      <c r="E66" s="33"/>
      <c r="F66" s="25"/>
      <c r="G66" s="33"/>
      <c r="J66" s="36"/>
      <c r="K66" s="36"/>
      <c r="L66" s="36"/>
    </row>
    <row r="67" spans="1:12" ht="13.5" customHeight="1">
      <c r="A67" s="33" t="s">
        <v>269</v>
      </c>
      <c r="B67" s="33">
        <f>1.5*3*B32</f>
        <v>31.5</v>
      </c>
      <c r="C67" s="33" t="s">
        <v>13</v>
      </c>
      <c r="D67"/>
      <c r="E67" s="33"/>
      <c r="F67" s="25"/>
      <c r="G67" s="33"/>
      <c r="J67" s="36"/>
      <c r="K67" s="36"/>
      <c r="L67" s="36"/>
    </row>
    <row r="68" spans="1:12" ht="13.5" customHeight="1">
      <c r="A68" s="33"/>
      <c r="B68" s="104"/>
      <c r="C68" s="33"/>
      <c r="D68"/>
      <c r="E68" s="33"/>
      <c r="F68" s="25"/>
      <c r="G68" s="33"/>
      <c r="J68" s="36"/>
      <c r="K68" s="36"/>
      <c r="L68" s="36"/>
    </row>
    <row r="69" spans="1:12" ht="13.5" customHeight="1">
      <c r="A69" s="33" t="s">
        <v>213</v>
      </c>
      <c r="B69" s="104">
        <f>0.1*68.86</f>
        <v>6.886</v>
      </c>
      <c r="C69" s="33" t="s">
        <v>14</v>
      </c>
      <c r="D69"/>
      <c r="E69" s="33"/>
      <c r="F69" s="25"/>
      <c r="G69" s="33"/>
      <c r="J69" s="36"/>
      <c r="K69" s="36"/>
      <c r="L69" s="36"/>
    </row>
    <row r="70" spans="1:12" ht="13.5" customHeight="1">
      <c r="A70" s="33"/>
      <c r="B70" s="104"/>
      <c r="C70" s="33"/>
      <c r="D70"/>
      <c r="E70" s="33"/>
      <c r="F70" s="25"/>
      <c r="G70" s="33"/>
      <c r="J70" s="36"/>
      <c r="K70" s="36"/>
      <c r="L70" s="36"/>
    </row>
    <row r="71" spans="1:12" ht="13.5" customHeight="1">
      <c r="A71" s="33" t="s">
        <v>268</v>
      </c>
      <c r="B71" s="25">
        <v>75.25</v>
      </c>
      <c r="C71" s="33" t="s">
        <v>13</v>
      </c>
      <c r="D71"/>
      <c r="E71" s="33"/>
      <c r="F71" s="25"/>
      <c r="G71" s="33"/>
      <c r="J71" s="36"/>
      <c r="K71" s="36"/>
      <c r="L71" s="36"/>
    </row>
    <row r="72" spans="1:12" ht="13.5" customHeight="1">
      <c r="A72" s="53"/>
      <c r="B72" s="25"/>
      <c r="C72" s="33"/>
      <c r="D72"/>
      <c r="E72" s="53"/>
      <c r="F72" s="25"/>
      <c r="G72" s="33"/>
      <c r="J72" s="36"/>
      <c r="K72" s="36"/>
      <c r="L72" s="36"/>
    </row>
    <row r="73" spans="1:12" ht="13.5" customHeight="1">
      <c r="A73" s="42" t="s">
        <v>216</v>
      </c>
      <c r="B73" s="51"/>
      <c r="C73" s="41"/>
      <c r="D73"/>
      <c r="E73" s="41"/>
      <c r="F73" s="51"/>
      <c r="G73" s="41"/>
      <c r="J73" s="36"/>
      <c r="K73" s="36"/>
      <c r="L73" s="36"/>
    </row>
    <row r="74" spans="1:12" ht="13.5" customHeight="1">
      <c r="A74" s="33" t="s">
        <v>215</v>
      </c>
      <c r="B74" s="25">
        <v>18.5</v>
      </c>
      <c r="C74" s="33" t="s">
        <v>0</v>
      </c>
      <c r="D74"/>
      <c r="E74" s="41"/>
      <c r="F74" s="51"/>
      <c r="G74" s="41"/>
      <c r="J74" s="36"/>
      <c r="K74" s="36"/>
      <c r="L74" s="36"/>
    </row>
    <row r="75" spans="1:12" ht="13.5" customHeight="1">
      <c r="A75" s="33"/>
      <c r="B75" s="25"/>
      <c r="C75" s="33"/>
      <c r="D75"/>
      <c r="E75" s="33"/>
      <c r="F75" s="25"/>
      <c r="G75" s="33"/>
      <c r="J75" s="36"/>
      <c r="K75" s="36"/>
      <c r="L75" s="36"/>
    </row>
    <row r="76" spans="1:12" ht="12.75" customHeight="1">
      <c r="A76" s="42" t="s">
        <v>151</v>
      </c>
      <c r="B76"/>
      <c r="C76"/>
      <c r="D76"/>
      <c r="E76" s="53"/>
      <c r="F76" s="5"/>
      <c r="G76"/>
      <c r="J76" s="36"/>
      <c r="K76" s="36"/>
      <c r="L76" s="36"/>
    </row>
    <row r="77" spans="1:12" ht="13.5" customHeight="1">
      <c r="A77" s="41" t="s">
        <v>19</v>
      </c>
      <c r="B77" s="41">
        <v>0.15</v>
      </c>
      <c r="C77" s="41" t="s">
        <v>0</v>
      </c>
      <c r="D77"/>
      <c r="E77" s="41"/>
      <c r="F77" s="51"/>
      <c r="G77" s="41"/>
      <c r="J77" s="36"/>
      <c r="K77" s="36"/>
      <c r="L77" s="36"/>
    </row>
    <row r="78" spans="1:12" ht="13.5" customHeight="1">
      <c r="A78" s="41" t="s">
        <v>16</v>
      </c>
      <c r="B78" s="41">
        <f>19.9-5.4</f>
        <v>14.499999999999998</v>
      </c>
      <c r="C78" s="41" t="s">
        <v>13</v>
      </c>
      <c r="D78"/>
      <c r="E78" s="41"/>
      <c r="F78" s="51"/>
      <c r="G78" s="41"/>
      <c r="J78" s="36"/>
      <c r="K78" s="36"/>
      <c r="L78" s="36"/>
    </row>
    <row r="79" spans="1:12" ht="13.5" customHeight="1">
      <c r="A79" s="33" t="s">
        <v>152</v>
      </c>
      <c r="B79">
        <f>B77+B78</f>
        <v>14.649999999999999</v>
      </c>
      <c r="C79" s="33" t="s">
        <v>14</v>
      </c>
      <c r="D79"/>
      <c r="E79" s="41"/>
      <c r="F79" s="51"/>
      <c r="G79" s="41"/>
      <c r="J79" s="36"/>
      <c r="K79" s="36"/>
      <c r="L79" s="36"/>
    </row>
    <row r="80" spans="1:12" ht="13.5" customHeight="1">
      <c r="A80" s="33"/>
      <c r="B80" s="5"/>
      <c r="C80" s="33"/>
      <c r="D80"/>
      <c r="E80" s="33"/>
      <c r="F80" s="5"/>
      <c r="G80" s="33"/>
      <c r="J80" s="36"/>
      <c r="K80" s="36"/>
      <c r="L80" s="36"/>
    </row>
    <row r="81" spans="1:6" ht="26.25">
      <c r="A81" s="96" t="s">
        <v>153</v>
      </c>
      <c r="B81">
        <v>14.04</v>
      </c>
      <c r="C81" s="33" t="s">
        <v>13</v>
      </c>
      <c r="E81" s="49"/>
      <c r="F81" s="2"/>
    </row>
    <row r="82" spans="1:14" ht="12.75">
      <c r="A82" s="33" t="s">
        <v>218</v>
      </c>
      <c r="B82">
        <f>B81</f>
        <v>14.04</v>
      </c>
      <c r="C82" s="33" t="s">
        <v>13</v>
      </c>
      <c r="E82" s="50"/>
      <c r="F82" s="52"/>
      <c r="G82" s="35"/>
      <c r="H82" s="36"/>
      <c r="I82" s="36"/>
      <c r="L82" s="36"/>
      <c r="M82" s="36"/>
      <c r="N82" s="36"/>
    </row>
    <row r="83" spans="1:12" ht="13.5" customHeight="1">
      <c r="A83" s="41"/>
      <c r="B83" s="51"/>
      <c r="C83" s="41"/>
      <c r="D83"/>
      <c r="E83" s="41"/>
      <c r="F83" s="51"/>
      <c r="G83" s="41"/>
      <c r="J83" s="36"/>
      <c r="K83" s="36"/>
      <c r="L83" s="36"/>
    </row>
    <row r="84" spans="1:12" ht="13.5" customHeight="1">
      <c r="A84" s="42" t="s">
        <v>246</v>
      </c>
      <c r="B84" s="25">
        <f>1.4*20</f>
        <v>28</v>
      </c>
      <c r="C84" s="33" t="s">
        <v>14</v>
      </c>
      <c r="D84"/>
      <c r="E84" s="41"/>
      <c r="F84" s="51"/>
      <c r="G84" s="41"/>
      <c r="J84" s="36"/>
      <c r="K84" s="36"/>
      <c r="L84" s="36"/>
    </row>
    <row r="85" spans="1:12" ht="13.5" customHeight="1">
      <c r="A85" s="41"/>
      <c r="B85" s="51"/>
      <c r="C85" s="41"/>
      <c r="D85"/>
      <c r="E85" s="41"/>
      <c r="F85" s="51"/>
      <c r="G85" s="41"/>
      <c r="J85" s="36"/>
      <c r="K85" s="36"/>
      <c r="L85" s="36"/>
    </row>
    <row r="86" spans="1:14" ht="12.75">
      <c r="A86" s="49" t="s">
        <v>224</v>
      </c>
      <c r="B86" s="52"/>
      <c r="C86" s="14"/>
      <c r="E86" s="14"/>
      <c r="F86" s="52"/>
      <c r="G86" s="14"/>
      <c r="H86" s="36"/>
      <c r="I86" s="36"/>
      <c r="L86" s="36"/>
      <c r="M86" s="36"/>
      <c r="N86" s="36"/>
    </row>
    <row r="87" spans="1:14" ht="12.75">
      <c r="A87" s="54" t="s">
        <v>35</v>
      </c>
      <c r="B87" s="55">
        <v>0.6</v>
      </c>
      <c r="C87" s="54" t="s">
        <v>0</v>
      </c>
      <c r="E87" s="14"/>
      <c r="F87" s="52"/>
      <c r="G87" s="14"/>
      <c r="H87" s="36"/>
      <c r="I87" s="36"/>
      <c r="L87" s="36"/>
      <c r="M87" s="36"/>
      <c r="N87" s="36"/>
    </row>
    <row r="88" spans="1:14" ht="12.75">
      <c r="A88" s="54" t="s">
        <v>189</v>
      </c>
      <c r="B88" s="55">
        <v>0.4</v>
      </c>
      <c r="C88" s="46" t="s">
        <v>0</v>
      </c>
      <c r="G88" s="36"/>
      <c r="H88" s="36"/>
      <c r="I88" s="36"/>
      <c r="L88" s="36"/>
      <c r="M88" s="36"/>
      <c r="N88" s="36"/>
    </row>
    <row r="89" spans="1:14" ht="12.75">
      <c r="A89" s="54" t="s">
        <v>102</v>
      </c>
      <c r="B89" s="55">
        <v>23</v>
      </c>
      <c r="C89" s="54" t="s">
        <v>0</v>
      </c>
      <c r="G89" s="36"/>
      <c r="H89" s="36"/>
      <c r="I89" s="36"/>
      <c r="L89" s="36"/>
      <c r="M89" s="36"/>
      <c r="N89" s="36"/>
    </row>
    <row r="90" spans="1:14" ht="12.75">
      <c r="A90" s="14" t="s">
        <v>225</v>
      </c>
      <c r="B90" s="52">
        <f>B87*B88*B89</f>
        <v>5.52</v>
      </c>
      <c r="C90" s="14" t="s">
        <v>14</v>
      </c>
      <c r="D90" s="35"/>
      <c r="H90" s="39"/>
      <c r="I90" s="39"/>
      <c r="J90" s="45"/>
      <c r="M90" s="39"/>
      <c r="N90" s="45"/>
    </row>
    <row r="91" spans="1:12" ht="13.5" customHeight="1">
      <c r="A91" s="14" t="s">
        <v>20</v>
      </c>
      <c r="B91" s="25">
        <f>B89*B88+B87*B88*5</f>
        <v>10.4</v>
      </c>
      <c r="C91" s="14" t="s">
        <v>13</v>
      </c>
      <c r="D91"/>
      <c r="J91" s="36"/>
      <c r="K91" s="36"/>
      <c r="L91" s="36"/>
    </row>
    <row r="92" spans="1:14" ht="12.75">
      <c r="A92" s="14" t="s">
        <v>226</v>
      </c>
      <c r="B92" s="14">
        <f>B87*B89</f>
        <v>13.799999999999999</v>
      </c>
      <c r="C92" s="14" t="s">
        <v>13</v>
      </c>
      <c r="H92" s="39"/>
      <c r="I92" s="39"/>
      <c r="J92" s="45"/>
      <c r="M92" s="39"/>
      <c r="N92" s="45"/>
    </row>
    <row r="93" spans="1:3" ht="12.75">
      <c r="A93" s="50" t="s">
        <v>217</v>
      </c>
      <c r="B93" s="2"/>
      <c r="C93" s="14"/>
    </row>
    <row r="94" spans="1:3" ht="12.75">
      <c r="A94" s="54" t="s">
        <v>31</v>
      </c>
      <c r="B94" s="54">
        <v>3</v>
      </c>
      <c r="C94" s="54" t="s">
        <v>15</v>
      </c>
    </row>
    <row r="95" spans="1:12" ht="13.5" customHeight="1">
      <c r="A95" s="41" t="s">
        <v>228</v>
      </c>
      <c r="B95" s="41">
        <v>4</v>
      </c>
      <c r="C95" s="41" t="s">
        <v>15</v>
      </c>
      <c r="D95"/>
      <c r="E95" s="33"/>
      <c r="F95" s="51"/>
      <c r="G95" s="41"/>
      <c r="J95" s="36"/>
      <c r="K95" s="36"/>
      <c r="L95" s="36"/>
    </row>
    <row r="96" spans="1:12" ht="13.5" customHeight="1">
      <c r="A96" s="41" t="s">
        <v>221</v>
      </c>
      <c r="B96" s="41">
        <v>4</v>
      </c>
      <c r="C96" s="41" t="s">
        <v>15</v>
      </c>
      <c r="D96"/>
      <c r="E96" s="33"/>
      <c r="F96" s="51"/>
      <c r="G96" s="41"/>
      <c r="J96" s="36"/>
      <c r="K96" s="36"/>
      <c r="L96" s="36"/>
    </row>
    <row r="97" spans="1:12" ht="31.5" customHeight="1">
      <c r="A97" s="106" t="s">
        <v>230</v>
      </c>
      <c r="B97" s="41">
        <f>B94*B95</f>
        <v>12</v>
      </c>
      <c r="C97" s="41" t="s">
        <v>15</v>
      </c>
      <c r="D97"/>
      <c r="E97" s="33"/>
      <c r="F97" s="51"/>
      <c r="G97" s="41"/>
      <c r="J97" s="36"/>
      <c r="K97" s="36"/>
      <c r="L97" s="36"/>
    </row>
    <row r="98" spans="1:12" ht="13.5" customHeight="1">
      <c r="A98" s="14" t="s">
        <v>233</v>
      </c>
      <c r="B98" s="33">
        <f>0.5*B97*2</f>
        <v>12</v>
      </c>
      <c r="C98" s="33" t="s">
        <v>76</v>
      </c>
      <c r="D98"/>
      <c r="E98" s="33"/>
      <c r="F98" s="51"/>
      <c r="G98" s="41"/>
      <c r="J98" s="36"/>
      <c r="K98" s="36"/>
      <c r="L98" s="36"/>
    </row>
    <row r="99" spans="1:12" ht="13.5" customHeight="1">
      <c r="A99" s="33" t="s">
        <v>229</v>
      </c>
      <c r="B99" s="105">
        <f>0.25*B94*B96</f>
        <v>3</v>
      </c>
      <c r="C99" s="33" t="s">
        <v>0</v>
      </c>
      <c r="D99"/>
      <c r="E99" s="33"/>
      <c r="F99" s="51"/>
      <c r="G99" s="41"/>
      <c r="J99" s="36"/>
      <c r="K99" s="36"/>
      <c r="L99" s="36"/>
    </row>
    <row r="100" spans="1:3" ht="12.75">
      <c r="A100" s="50" t="s">
        <v>231</v>
      </c>
      <c r="B100" s="55"/>
      <c r="C100" s="54"/>
    </row>
    <row r="101" spans="1:3" ht="12.75">
      <c r="A101" s="14" t="s">
        <v>232</v>
      </c>
      <c r="B101" s="52">
        <v>324.4</v>
      </c>
      <c r="C101" s="14" t="s">
        <v>76</v>
      </c>
    </row>
    <row r="102" spans="1:3" ht="12.75">
      <c r="A102" s="50" t="s">
        <v>227</v>
      </c>
      <c r="B102" s="51"/>
      <c r="C102" s="54"/>
    </row>
    <row r="103" spans="1:3" ht="26.25">
      <c r="A103" s="94" t="s">
        <v>234</v>
      </c>
      <c r="B103" s="2">
        <f>2*0.8+0.95+2*1.05+3*1.15+3*1.2+1.1+1+0.9</f>
        <v>14.7</v>
      </c>
      <c r="C103" s="14" t="s">
        <v>0</v>
      </c>
    </row>
    <row r="104" spans="1:3" ht="12.75">
      <c r="A104" s="50"/>
      <c r="B104" s="2"/>
      <c r="C104" s="14"/>
    </row>
    <row r="105" spans="1:3" ht="12.75">
      <c r="A105" s="42" t="s">
        <v>146</v>
      </c>
      <c r="B105"/>
      <c r="C105"/>
    </row>
    <row r="106" spans="1:3" ht="39">
      <c r="A106" s="71" t="s">
        <v>139</v>
      </c>
      <c r="B106">
        <v>17.3</v>
      </c>
      <c r="C106" s="33" t="s">
        <v>0</v>
      </c>
    </row>
    <row r="107" spans="1:3" ht="26.25">
      <c r="A107" s="71" t="s">
        <v>122</v>
      </c>
      <c r="B107">
        <v>21.6</v>
      </c>
      <c r="C107" s="33" t="s">
        <v>0</v>
      </c>
    </row>
    <row r="108" spans="1:3" ht="12.75">
      <c r="A108" s="41" t="s">
        <v>119</v>
      </c>
      <c r="B108" s="41">
        <f>1.25*(0.3*0.3*0.6)</f>
        <v>0.0675</v>
      </c>
      <c r="C108" s="41" t="s">
        <v>14</v>
      </c>
    </row>
    <row r="109" spans="1:3" ht="12.75">
      <c r="A109" s="41" t="s">
        <v>120</v>
      </c>
      <c r="B109" s="41">
        <f>ROUND(B107/2,0)</f>
        <v>11</v>
      </c>
      <c r="C109" s="41" t="s">
        <v>15</v>
      </c>
    </row>
    <row r="110" spans="1:3" ht="12.75">
      <c r="A110" s="33" t="s">
        <v>121</v>
      </c>
      <c r="B110">
        <f>B108*B109</f>
        <v>0.7425</v>
      </c>
      <c r="C110" s="33" t="s">
        <v>14</v>
      </c>
    </row>
    <row r="111" spans="1:3" ht="12.75">
      <c r="A111" s="33" t="s">
        <v>123</v>
      </c>
      <c r="B111"/>
      <c r="C111" s="33"/>
    </row>
    <row r="112" spans="1:3" ht="12.75">
      <c r="A112" s="41" t="s">
        <v>124</v>
      </c>
      <c r="B112" s="41">
        <f>0.2*0.2</f>
        <v>0.04000000000000001</v>
      </c>
      <c r="C112" s="41" t="s">
        <v>13</v>
      </c>
    </row>
    <row r="113" spans="1:3" ht="12.75">
      <c r="A113" s="41" t="s">
        <v>129</v>
      </c>
      <c r="B113" s="41">
        <v>4</v>
      </c>
      <c r="C113" s="41" t="s">
        <v>125</v>
      </c>
    </row>
    <row r="114" spans="1:3" ht="12.75">
      <c r="A114" s="41" t="s">
        <v>126</v>
      </c>
      <c r="B114" s="41">
        <v>4</v>
      </c>
      <c r="C114" s="41" t="s">
        <v>125</v>
      </c>
    </row>
    <row r="115" spans="1:3" ht="12.75">
      <c r="A115" s="41" t="s">
        <v>127</v>
      </c>
      <c r="B115" s="41">
        <v>0.2</v>
      </c>
      <c r="C115" s="41" t="s">
        <v>0</v>
      </c>
    </row>
    <row r="116" spans="1:3" ht="12.75">
      <c r="A116" s="33" t="s">
        <v>124</v>
      </c>
      <c r="B116" s="33">
        <f>B112*B109</f>
        <v>0.44000000000000006</v>
      </c>
      <c r="C116" s="33" t="s">
        <v>13</v>
      </c>
    </row>
    <row r="117" spans="1:3" ht="12.75">
      <c r="A117" s="33" t="s">
        <v>128</v>
      </c>
      <c r="B117" s="33">
        <f>B113*B109</f>
        <v>44</v>
      </c>
      <c r="C117" s="33" t="s">
        <v>15</v>
      </c>
    </row>
    <row r="118" spans="1:3" ht="12.75">
      <c r="A118" s="33" t="s">
        <v>126</v>
      </c>
      <c r="B118" s="33">
        <f>B114*B109</f>
        <v>44</v>
      </c>
      <c r="C118" s="33" t="s">
        <v>15</v>
      </c>
    </row>
    <row r="119" spans="1:3" ht="12.75">
      <c r="A119" s="33" t="s">
        <v>127</v>
      </c>
      <c r="B119" s="33">
        <f>B115*B109</f>
        <v>2.2</v>
      </c>
      <c r="C119" s="33" t="s">
        <v>0</v>
      </c>
    </row>
    <row r="120" spans="1:3" ht="12.75">
      <c r="A120" s="33" t="s">
        <v>150</v>
      </c>
      <c r="B120" s="97">
        <f>0.2*0.2*0.01*B109</f>
        <v>0.004400000000000001</v>
      </c>
      <c r="C120" s="33" t="s">
        <v>14</v>
      </c>
    </row>
    <row r="121" spans="1:3" ht="12.75">
      <c r="A121" s="14"/>
      <c r="B121" s="52"/>
      <c r="C121" s="14"/>
    </row>
    <row r="122" spans="1:3" ht="12.75">
      <c r="A122" s="49" t="s">
        <v>271</v>
      </c>
      <c r="B122" s="2"/>
      <c r="C122" s="14"/>
    </row>
    <row r="123" spans="1:3" ht="12.75">
      <c r="A123" s="54" t="s">
        <v>272</v>
      </c>
      <c r="B123" s="54">
        <v>1.6</v>
      </c>
      <c r="C123" s="54" t="s">
        <v>0</v>
      </c>
    </row>
    <row r="124" spans="1:3" ht="12.75">
      <c r="A124" s="41" t="s">
        <v>273</v>
      </c>
      <c r="B124" s="51">
        <v>3</v>
      </c>
      <c r="C124" s="41" t="s">
        <v>0</v>
      </c>
    </row>
    <row r="125" spans="1:3" ht="12.75">
      <c r="A125" s="41" t="s">
        <v>274</v>
      </c>
      <c r="B125" s="107">
        <v>1</v>
      </c>
      <c r="C125" s="41"/>
    </row>
    <row r="126" spans="1:3" ht="12.75">
      <c r="A126" s="46" t="s">
        <v>275</v>
      </c>
      <c r="B126" s="54">
        <f>B123*B124+B123*B125*B123/2</f>
        <v>6.080000000000001</v>
      </c>
      <c r="C126" s="54" t="s">
        <v>13</v>
      </c>
    </row>
    <row r="127" spans="1:3" ht="12.75">
      <c r="A127" s="54" t="s">
        <v>18</v>
      </c>
      <c r="B127" s="54">
        <v>21</v>
      </c>
      <c r="C127" s="54" t="s">
        <v>0</v>
      </c>
    </row>
    <row r="128" spans="1:3" ht="12.75">
      <c r="A128" s="14" t="s">
        <v>276</v>
      </c>
      <c r="B128" s="14">
        <f>B126*B127</f>
        <v>127.68000000000002</v>
      </c>
      <c r="C128" s="14" t="s">
        <v>14</v>
      </c>
    </row>
    <row r="129" spans="1:3" ht="12.75">
      <c r="A129" s="14" t="s">
        <v>277</v>
      </c>
      <c r="B129" s="109">
        <f>SQRT(B123^2+(B125*B123)^2)*B127</f>
        <v>47.517575695736</v>
      </c>
      <c r="C129" s="14" t="s">
        <v>13</v>
      </c>
    </row>
    <row r="131" spans="1:3" ht="12.75">
      <c r="A131" s="42"/>
      <c r="B131" s="51"/>
      <c r="C131" s="41"/>
    </row>
    <row r="132" spans="1:3" ht="12.75">
      <c r="A132" s="33"/>
      <c r="B132" s="25"/>
      <c r="C132" s="33"/>
    </row>
    <row r="133" spans="1:3" ht="12.75">
      <c r="A133" s="33"/>
      <c r="B133" s="25"/>
      <c r="C133" s="33"/>
    </row>
    <row r="134" spans="1:3" ht="12.75">
      <c r="A134" s="42"/>
      <c r="B134" s="51"/>
      <c r="C134" s="41"/>
    </row>
    <row r="135" spans="1:3" ht="12.75">
      <c r="A135" s="53"/>
      <c r="B135" s="51"/>
      <c r="C135" s="41"/>
    </row>
    <row r="136" spans="1:3" ht="12.75">
      <c r="A136" s="41"/>
      <c r="B136" s="51"/>
      <c r="C136" s="41"/>
    </row>
    <row r="137" spans="1:3" ht="12.75">
      <c r="A137" s="41"/>
      <c r="B137" s="51"/>
      <c r="C137" s="41"/>
    </row>
    <row r="138" spans="1:3" ht="12.75">
      <c r="A138" s="33"/>
      <c r="B138" s="25"/>
      <c r="C138" s="33"/>
    </row>
    <row r="139" spans="1:3" ht="12.75">
      <c r="A139" s="33"/>
      <c r="B139" s="51"/>
      <c r="C139" s="41"/>
    </row>
    <row r="140" spans="1:3" ht="12.75">
      <c r="A140" s="53"/>
      <c r="B140" s="51"/>
      <c r="C140" s="41"/>
    </row>
    <row r="141" spans="1:3" ht="12.75">
      <c r="A141" s="41"/>
      <c r="B141" s="51"/>
      <c r="C141" s="41"/>
    </row>
    <row r="142" spans="1:3" ht="12.75">
      <c r="A142" s="41"/>
      <c r="B142" s="51"/>
      <c r="C142" s="41"/>
    </row>
    <row r="143" spans="1:3" ht="12.75">
      <c r="A143" s="33"/>
      <c r="B143" s="25"/>
      <c r="C143" s="33"/>
    </row>
    <row r="144" spans="1:3" ht="12.75">
      <c r="A144" s="33"/>
      <c r="B144" s="25"/>
      <c r="C144" s="41"/>
    </row>
    <row r="145" spans="1:3" ht="12.75">
      <c r="A145" s="33"/>
      <c r="B145" s="25"/>
      <c r="C145" s="41"/>
    </row>
    <row r="146" spans="1:3" ht="12.75">
      <c r="A146" s="53"/>
      <c r="B146" s="25"/>
      <c r="C146" s="33"/>
    </row>
    <row r="147" spans="1:3" ht="12.75">
      <c r="A147" s="41"/>
      <c r="B147" s="51"/>
      <c r="C147" s="41"/>
    </row>
    <row r="148" spans="1:3" ht="12.75">
      <c r="A148" s="41"/>
      <c r="B148" s="51"/>
      <c r="C148" s="41"/>
    </row>
    <row r="149" spans="1:3" ht="12.75">
      <c r="A149" s="33"/>
      <c r="B149" s="25"/>
      <c r="C149" s="41"/>
    </row>
    <row r="150" spans="1:3" ht="12.75">
      <c r="A150" s="33"/>
      <c r="B150" s="25"/>
      <c r="C150" s="33"/>
    </row>
    <row r="151" spans="1:3" ht="12.75">
      <c r="A151" s="53"/>
      <c r="B151" s="5"/>
      <c r="C151"/>
    </row>
    <row r="152" spans="1:3" ht="12.75">
      <c r="A152" s="41"/>
      <c r="B152" s="51"/>
      <c r="C152" s="41"/>
    </row>
    <row r="153" spans="1:3" ht="12.75">
      <c r="A153" s="41"/>
      <c r="B153" s="51"/>
      <c r="C153" s="41"/>
    </row>
    <row r="154" spans="1:3" ht="12.75">
      <c r="A154" s="41"/>
      <c r="B154" s="51"/>
      <c r="C154" s="41"/>
    </row>
    <row r="155" spans="1:3" ht="12.75">
      <c r="A155" s="33"/>
      <c r="B155" s="5"/>
      <c r="C155" s="33"/>
    </row>
    <row r="156" spans="1:2" ht="12.75">
      <c r="A156" s="49"/>
      <c r="B156" s="2"/>
    </row>
    <row r="157" spans="1:3" ht="12.75">
      <c r="A157" s="50"/>
      <c r="B157" s="52"/>
      <c r="C157" s="35"/>
    </row>
    <row r="158" spans="1:3" ht="12.75">
      <c r="A158" s="41"/>
      <c r="B158" s="51"/>
      <c r="C158" s="41"/>
    </row>
    <row r="159" spans="1:3" ht="12.75">
      <c r="A159" s="41"/>
      <c r="B159" s="51"/>
      <c r="C159" s="41"/>
    </row>
    <row r="160" spans="1:3" ht="12.75">
      <c r="A160" s="14"/>
      <c r="B160" s="52"/>
      <c r="C160" s="14"/>
    </row>
    <row r="161" spans="1:3" ht="12.75">
      <c r="A161" s="14"/>
      <c r="B161" s="52"/>
      <c r="C161" s="14"/>
    </row>
    <row r="162" spans="1:3" ht="12.75">
      <c r="A162" s="49"/>
      <c r="B162" s="2"/>
      <c r="C162" s="14"/>
    </row>
    <row r="163" spans="1:3" ht="12.75">
      <c r="A163" s="35"/>
      <c r="C163" s="35"/>
    </row>
    <row r="164" spans="1:3" ht="12.75">
      <c r="A164" s="35"/>
      <c r="C164" s="35"/>
    </row>
    <row r="165" spans="1:3" ht="12.75">
      <c r="A165" s="35"/>
      <c r="C165" s="35"/>
    </row>
    <row r="167" spans="10:12" ht="12.75">
      <c r="J167" s="36"/>
      <c r="K167" s="36"/>
      <c r="L167" s="36"/>
    </row>
    <row r="168" spans="1:12" ht="12.75">
      <c r="A168" s="49"/>
      <c r="B168" s="36"/>
      <c r="C168" s="36"/>
      <c r="J168" s="36"/>
      <c r="K168" s="36"/>
      <c r="L168" s="36"/>
    </row>
    <row r="169" spans="1:13" ht="12.75">
      <c r="A169" s="50"/>
      <c r="D169" s="35"/>
      <c r="K169" s="39"/>
      <c r="L169" s="39"/>
      <c r="M169" s="45"/>
    </row>
    <row r="170" spans="1:3" ht="12.75">
      <c r="A170" s="54"/>
      <c r="B170" s="46"/>
      <c r="C170" s="46"/>
    </row>
    <row r="171" spans="1:12" ht="12.75">
      <c r="A171" s="54"/>
      <c r="B171" s="46"/>
      <c r="C171" s="46"/>
      <c r="J171" s="36"/>
      <c r="K171" s="36"/>
      <c r="L171" s="36"/>
    </row>
    <row r="172" spans="1:12" ht="12.75">
      <c r="A172" s="47"/>
      <c r="B172" s="35"/>
      <c r="C172" s="35"/>
      <c r="J172" s="36"/>
      <c r="K172" s="36"/>
      <c r="L172" s="36"/>
    </row>
    <row r="173" spans="1:13" ht="12.75">
      <c r="A173" s="53"/>
      <c r="B173"/>
      <c r="C173"/>
      <c r="J173" s="35"/>
      <c r="K173" s="39"/>
      <c r="L173" s="39"/>
      <c r="M173" s="45"/>
    </row>
    <row r="174" spans="1:3" ht="12.75">
      <c r="A174" s="54"/>
      <c r="B174" s="46"/>
      <c r="C174" s="46"/>
    </row>
    <row r="175" spans="1:12" ht="12.75">
      <c r="A175" s="54"/>
      <c r="B175" s="46"/>
      <c r="C175" s="46"/>
      <c r="J175" s="36"/>
      <c r="K175" s="36"/>
      <c r="L175" s="36"/>
    </row>
    <row r="176" spans="1:12" ht="12.75">
      <c r="A176" s="14"/>
      <c r="B176" s="35"/>
      <c r="C176" s="35"/>
      <c r="J176" s="36"/>
      <c r="K176" s="36"/>
      <c r="L176" s="36"/>
    </row>
    <row r="177" spans="1:12" ht="12.75">
      <c r="A177" s="50"/>
      <c r="B177" s="63"/>
      <c r="C177" s="35"/>
      <c r="J177" s="36"/>
      <c r="K177" s="36"/>
      <c r="L177" s="36"/>
    </row>
    <row r="178" spans="1:12" ht="12.75">
      <c r="A178" s="65"/>
      <c r="B178" s="46"/>
      <c r="C178" s="46"/>
      <c r="J178" s="36"/>
      <c r="K178" s="36"/>
      <c r="L178" s="36"/>
    </row>
    <row r="179" spans="1:12" ht="12.75">
      <c r="A179" s="54"/>
      <c r="B179" s="46"/>
      <c r="C179" s="46"/>
      <c r="J179" s="36"/>
      <c r="K179" s="36"/>
      <c r="L179" s="36"/>
    </row>
    <row r="180" spans="1:12" ht="12.75">
      <c r="A180" s="14"/>
      <c r="B180" s="35"/>
      <c r="C180" s="35"/>
      <c r="J180" s="36"/>
      <c r="K180" s="36"/>
      <c r="L180" s="36"/>
    </row>
    <row r="181" spans="1:12" ht="12.75">
      <c r="A181" s="14"/>
      <c r="B181" s="35"/>
      <c r="C181" s="14"/>
      <c r="J181" s="36"/>
      <c r="K181" s="36"/>
      <c r="L181" s="36"/>
    </row>
    <row r="182" spans="1:13" ht="12.75">
      <c r="A182" s="50"/>
      <c r="B182" s="36"/>
      <c r="C182" s="36"/>
      <c r="K182" s="39"/>
      <c r="L182" s="39"/>
      <c r="M182" s="45"/>
    </row>
    <row r="183" spans="1:3" ht="12.75">
      <c r="A183" s="65"/>
      <c r="B183" s="46"/>
      <c r="C183" s="46"/>
    </row>
    <row r="184" spans="1:3" ht="12.75">
      <c r="A184" s="54"/>
      <c r="B184" s="46"/>
      <c r="C184" s="46"/>
    </row>
    <row r="185" spans="1:3" ht="12.75">
      <c r="A185" s="14"/>
      <c r="B185" s="35"/>
      <c r="C185" s="35"/>
    </row>
    <row r="186" spans="1:3" ht="12.75">
      <c r="A186" s="50"/>
      <c r="B186" s="63"/>
      <c r="C186" s="35"/>
    </row>
    <row r="187" spans="1:3" ht="12.75">
      <c r="A187" s="54"/>
      <c r="B187" s="46"/>
      <c r="C187" s="46"/>
    </row>
    <row r="188" spans="1:3" ht="12.75">
      <c r="A188" s="54"/>
      <c r="B188" s="46"/>
      <c r="C188" s="46"/>
    </row>
    <row r="189" spans="1:3" ht="12.75">
      <c r="A189" s="14"/>
      <c r="B189" s="35"/>
      <c r="C189" s="35"/>
    </row>
    <row r="191" ht="45" customHeight="1"/>
    <row r="192" ht="12.75" customHeight="1"/>
    <row r="193" ht="12.75" customHeight="1"/>
    <row r="194" ht="12.75" customHeight="1"/>
    <row r="198" ht="12.75">
      <c r="D198" s="35"/>
    </row>
    <row r="199" ht="12.75">
      <c r="D199" s="35"/>
    </row>
    <row r="204" spans="2:4" ht="12.75">
      <c r="B204" s="36"/>
      <c r="C204" s="36"/>
      <c r="D204" s="35"/>
    </row>
    <row r="205" spans="2:3" ht="12.75">
      <c r="B205" s="39"/>
      <c r="C205" s="39"/>
    </row>
    <row r="207" spans="2:3" ht="12.75">
      <c r="B207" s="36"/>
      <c r="C207" s="36"/>
    </row>
    <row r="208" spans="2:4" ht="12.75">
      <c r="B208" s="36"/>
      <c r="C208" s="36"/>
      <c r="D208" s="35"/>
    </row>
    <row r="209" spans="2:3" ht="12.75">
      <c r="B209" s="39"/>
      <c r="C209" s="39"/>
    </row>
    <row r="211" spans="2:3" ht="12.75">
      <c r="B211" s="36"/>
      <c r="C211" s="36"/>
    </row>
    <row r="212" spans="2:4" ht="12.75">
      <c r="B212" s="36"/>
      <c r="C212" s="36"/>
      <c r="D212" s="35"/>
    </row>
    <row r="213" spans="2:3" ht="12.75">
      <c r="B213" s="39"/>
      <c r="C213" s="39"/>
    </row>
    <row r="215" ht="12.75">
      <c r="B215" s="36"/>
    </row>
    <row r="216" ht="12.75">
      <c r="B216" s="36"/>
    </row>
    <row r="217" spans="2:3" ht="12.75">
      <c r="B217" s="39"/>
      <c r="C217" s="35"/>
    </row>
    <row r="219" spans="2:3" ht="12.75">
      <c r="B219" s="36"/>
      <c r="C219" s="36"/>
    </row>
    <row r="220" spans="2:3" ht="12.75">
      <c r="B220" s="36"/>
      <c r="C220" s="36"/>
    </row>
    <row r="223" spans="2:3" ht="12.75">
      <c r="B223" s="36"/>
      <c r="C223" s="36"/>
    </row>
    <row r="224" spans="2:3" ht="12.75">
      <c r="B224" s="36"/>
      <c r="C224" s="36"/>
    </row>
    <row r="226" spans="2:3" ht="12.75">
      <c r="B226" s="36"/>
      <c r="C226" s="36"/>
    </row>
    <row r="228" ht="12.75">
      <c r="B228" s="36"/>
    </row>
    <row r="229" ht="12.75">
      <c r="B229" s="36"/>
    </row>
    <row r="230" ht="12.75">
      <c r="C230" s="35"/>
    </row>
    <row r="232" spans="2:3" ht="12.75">
      <c r="B232" s="36"/>
      <c r="C232" s="36"/>
    </row>
    <row r="233" spans="2:4" ht="12.75">
      <c r="B233" s="36"/>
      <c r="C233" s="36"/>
      <c r="D233" s="35"/>
    </row>
    <row r="234" spans="2:3" ht="12.75">
      <c r="B234" s="39"/>
      <c r="C234" s="39"/>
    </row>
    <row r="236" spans="2:3" ht="12.75">
      <c r="B236" s="38"/>
      <c r="C236" s="38"/>
    </row>
    <row r="237" spans="2:3" ht="12.75">
      <c r="B237" s="36"/>
      <c r="C237" s="36"/>
    </row>
    <row r="238" spans="2:4" ht="12.75">
      <c r="B238" s="36"/>
      <c r="C238" s="36"/>
      <c r="D238" s="35"/>
    </row>
    <row r="239" spans="2:3" ht="12.75">
      <c r="B239" s="39"/>
      <c r="C239" s="39"/>
    </row>
    <row r="241" spans="2:3" ht="12.75">
      <c r="B241" s="36"/>
      <c r="C241" s="36"/>
    </row>
    <row r="242" spans="2:4" ht="12.75">
      <c r="B242" s="36"/>
      <c r="C242" s="36"/>
      <c r="D242" s="35"/>
    </row>
    <row r="243" spans="2:3" ht="12.75">
      <c r="B243" s="39"/>
      <c r="C243" s="39"/>
    </row>
    <row r="245" spans="2:3" ht="12.75">
      <c r="B245" s="36"/>
      <c r="C245" s="36"/>
    </row>
    <row r="246" spans="2:4" ht="12.75">
      <c r="B246" s="36"/>
      <c r="C246" s="36"/>
      <c r="D246" s="35"/>
    </row>
    <row r="247" spans="2:3" ht="12.75">
      <c r="B247" s="39"/>
      <c r="C247" s="39"/>
    </row>
    <row r="249" ht="12.75">
      <c r="B249" s="36"/>
    </row>
    <row r="250" ht="12.75">
      <c r="B250" s="36"/>
    </row>
    <row r="251" spans="2:3" ht="12.75">
      <c r="B251" s="39"/>
      <c r="C251" s="35"/>
    </row>
    <row r="253" spans="2:3" ht="12.75">
      <c r="B253" s="36"/>
      <c r="C253" s="36"/>
    </row>
    <row r="254" spans="2:3" ht="12.75">
      <c r="B254" s="36"/>
      <c r="C254" s="36"/>
    </row>
    <row r="257" spans="2:3" ht="12.75">
      <c r="B257" s="36"/>
      <c r="C257" s="36"/>
    </row>
    <row r="258" spans="2:3" ht="12.75">
      <c r="B258" s="36"/>
      <c r="C258" s="36"/>
    </row>
    <row r="260" spans="2:3" ht="12.75">
      <c r="B260" s="36"/>
      <c r="C260" s="36"/>
    </row>
    <row r="261" ht="12.75">
      <c r="B261" s="36"/>
    </row>
    <row r="262" ht="12.75">
      <c r="B262" s="36"/>
    </row>
    <row r="263" spans="2:3" ht="12.75">
      <c r="B263" s="39"/>
      <c r="C263" s="35"/>
    </row>
    <row r="265" spans="2:3" ht="12.75">
      <c r="B265" s="36"/>
      <c r="C265" s="36"/>
    </row>
    <row r="266" spans="2:4" ht="12.75">
      <c r="B266" s="36"/>
      <c r="C266" s="36"/>
      <c r="D266" s="35"/>
    </row>
    <row r="267" spans="2:3" ht="12.75">
      <c r="B267" s="39"/>
      <c r="C267" s="39"/>
    </row>
    <row r="269" ht="12.75">
      <c r="C269" s="36"/>
    </row>
    <row r="270" spans="3:4" ht="12.75">
      <c r="C270" s="36"/>
      <c r="D270" s="35"/>
    </row>
    <row r="271" ht="12.75">
      <c r="C271" s="39"/>
    </row>
    <row r="273" spans="2:3" ht="12.75">
      <c r="B273" s="38"/>
      <c r="C273" s="38"/>
    </row>
    <row r="274" spans="2:3" ht="12.75">
      <c r="B274" s="36"/>
      <c r="C274" s="36"/>
    </row>
    <row r="275" spans="2:4" ht="12.75">
      <c r="B275" s="36"/>
      <c r="C275" s="36"/>
      <c r="D275" s="35"/>
    </row>
    <row r="276" spans="2:3" ht="12.75">
      <c r="B276" s="39"/>
      <c r="C276" s="39"/>
    </row>
    <row r="278" spans="2:3" ht="12.75">
      <c r="B278" s="36"/>
      <c r="C278" s="36"/>
    </row>
    <row r="279" spans="2:4" ht="12.75">
      <c r="B279" s="36"/>
      <c r="C279" s="36"/>
      <c r="D279" s="35"/>
    </row>
    <row r="280" spans="2:3" ht="12.75">
      <c r="B280" s="39"/>
      <c r="C280" s="39"/>
    </row>
    <row r="282" spans="2:3" ht="12.75">
      <c r="B282" s="36"/>
      <c r="C282" s="36"/>
    </row>
    <row r="283" spans="2:4" ht="12.75">
      <c r="B283" s="36"/>
      <c r="C283" s="36"/>
      <c r="D283" s="35"/>
    </row>
    <row r="284" spans="2:3" ht="12.75">
      <c r="B284" s="39"/>
      <c r="C284" s="39"/>
    </row>
    <row r="286" ht="12.75">
      <c r="B286" s="36"/>
    </row>
    <row r="287" ht="12.75">
      <c r="B287" s="36"/>
    </row>
    <row r="288" spans="2:3" ht="12.75">
      <c r="B288" s="39"/>
      <c r="C288" s="35"/>
    </row>
    <row r="290" spans="2:3" ht="12.75">
      <c r="B290" s="36"/>
      <c r="C290" s="36"/>
    </row>
    <row r="291" spans="2:3" ht="12.75">
      <c r="B291" s="36"/>
      <c r="C291" s="36"/>
    </row>
    <row r="294" spans="2:3" ht="12.75">
      <c r="B294" s="36"/>
      <c r="C294" s="36"/>
    </row>
    <row r="295" spans="2:3" ht="12.75">
      <c r="B295" s="36"/>
      <c r="C295" s="36"/>
    </row>
    <row r="297" spans="2:3" ht="12.75">
      <c r="B297" s="36"/>
      <c r="C297" s="36"/>
    </row>
    <row r="299" ht="12.75">
      <c r="B299" s="36"/>
    </row>
    <row r="300" ht="12.75">
      <c r="B300" s="36"/>
    </row>
    <row r="301" spans="2:3" ht="12.75">
      <c r="B301" s="39"/>
      <c r="C301" s="35"/>
    </row>
    <row r="303" spans="2:3" ht="12.75">
      <c r="B303" s="36"/>
      <c r="C303" s="36"/>
    </row>
    <row r="304" spans="2:4" ht="12.75">
      <c r="B304" s="36"/>
      <c r="C304" s="36"/>
      <c r="D304" s="35"/>
    </row>
    <row r="305" spans="2:3" ht="12.75">
      <c r="B305" s="39"/>
      <c r="C305" s="39"/>
    </row>
    <row r="307" ht="12.75">
      <c r="C307" s="36"/>
    </row>
    <row r="308" spans="3:4" ht="12.75">
      <c r="C308" s="36"/>
      <c r="D308" s="35"/>
    </row>
    <row r="309" ht="12.75">
      <c r="C309" s="39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rowBreaks count="2" manualBreakCount="2">
    <brk id="159" max="255" man="1"/>
    <brk id="17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5"/>
  <sheetViews>
    <sheetView zoomScalePageLayoutView="0" workbookViewId="0" topLeftCell="A76">
      <selection activeCell="A98" sqref="A98"/>
    </sheetView>
  </sheetViews>
  <sheetFormatPr defaultColWidth="9.140625" defaultRowHeight="12.75"/>
  <cols>
    <col min="1" max="1" width="44.140625" style="0" customWidth="1"/>
  </cols>
  <sheetData>
    <row r="1" ht="21">
      <c r="A1" s="43" t="s">
        <v>11</v>
      </c>
    </row>
    <row r="3" ht="12.75">
      <c r="A3" s="42" t="s">
        <v>28</v>
      </c>
    </row>
    <row r="4" ht="12.75">
      <c r="A4" s="53" t="s">
        <v>29</v>
      </c>
    </row>
    <row r="5" spans="1:3" ht="12.75">
      <c r="A5" s="41" t="s">
        <v>44</v>
      </c>
      <c r="B5" s="41">
        <v>1.7</v>
      </c>
      <c r="C5" s="41" t="s">
        <v>0</v>
      </c>
    </row>
    <row r="6" spans="1:3" ht="12.75">
      <c r="A6" s="41" t="s">
        <v>45</v>
      </c>
      <c r="B6" s="41">
        <v>1.6</v>
      </c>
      <c r="C6" s="41" t="s">
        <v>0</v>
      </c>
    </row>
    <row r="7" spans="1:3" ht="12.75">
      <c r="A7" s="41" t="s">
        <v>46</v>
      </c>
      <c r="B7" s="41">
        <v>4</v>
      </c>
      <c r="C7" s="41"/>
    </row>
    <row r="8" spans="1:3" ht="12.75">
      <c r="A8" s="33" t="s">
        <v>30</v>
      </c>
      <c r="B8">
        <f>(B5+B6)*B7</f>
        <v>13.2</v>
      </c>
      <c r="C8" s="33" t="s">
        <v>0</v>
      </c>
    </row>
    <row r="9" spans="1:3" ht="12.75">
      <c r="A9" s="33"/>
      <c r="C9" s="33"/>
    </row>
    <row r="10" ht="12.75">
      <c r="A10" s="53" t="s">
        <v>59</v>
      </c>
    </row>
    <row r="11" spans="1:3" ht="12.75">
      <c r="A11" s="41" t="s">
        <v>18</v>
      </c>
      <c r="B11" s="41">
        <v>12</v>
      </c>
      <c r="C11" s="41" t="s">
        <v>0</v>
      </c>
    </row>
    <row r="12" spans="1:3" ht="12.75">
      <c r="A12" s="41" t="s">
        <v>31</v>
      </c>
      <c r="B12" s="41">
        <v>2</v>
      </c>
      <c r="C12" s="41"/>
    </row>
    <row r="13" spans="1:3" ht="12.75">
      <c r="A13" s="33" t="s">
        <v>33</v>
      </c>
      <c r="B13" s="33">
        <f>2*B11*B12</f>
        <v>48</v>
      </c>
      <c r="C13" s="33" t="s">
        <v>0</v>
      </c>
    </row>
    <row r="14" spans="1:3" ht="12.75">
      <c r="A14" s="33"/>
      <c r="B14" s="33"/>
      <c r="C14" s="33"/>
    </row>
    <row r="15" spans="1:3" ht="12.75">
      <c r="A15" s="53" t="s">
        <v>60</v>
      </c>
      <c r="B15" s="33"/>
      <c r="C15" s="33"/>
    </row>
    <row r="16" spans="1:3" ht="12.75">
      <c r="A16" s="41" t="s">
        <v>61</v>
      </c>
      <c r="B16" s="41">
        <v>5</v>
      </c>
      <c r="C16" s="41"/>
    </row>
    <row r="17" spans="1:3" ht="12.75">
      <c r="A17" s="41" t="s">
        <v>65</v>
      </c>
      <c r="B17" s="41">
        <v>5.65</v>
      </c>
      <c r="C17" s="41" t="s">
        <v>0</v>
      </c>
    </row>
    <row r="18" spans="1:3" ht="12.75">
      <c r="A18" s="41" t="s">
        <v>64</v>
      </c>
      <c r="B18" s="41">
        <v>2.99</v>
      </c>
      <c r="C18" s="41" t="s">
        <v>13</v>
      </c>
    </row>
    <row r="19" spans="1:3" ht="12.75">
      <c r="A19" s="33" t="s">
        <v>62</v>
      </c>
      <c r="B19" s="33">
        <f>B16*B17</f>
        <v>28.25</v>
      </c>
      <c r="C19" s="33" t="s">
        <v>0</v>
      </c>
    </row>
    <row r="20" spans="1:3" ht="12.75">
      <c r="A20" s="33" t="s">
        <v>63</v>
      </c>
      <c r="B20" s="33">
        <f>B16*B18</f>
        <v>14.950000000000001</v>
      </c>
      <c r="C20" s="33" t="s">
        <v>13</v>
      </c>
    </row>
    <row r="21" spans="1:3" ht="12.75">
      <c r="A21" s="33"/>
      <c r="B21" s="33"/>
      <c r="C21" s="33"/>
    </row>
    <row r="22" spans="1:3" ht="12.75">
      <c r="A22" s="53" t="s">
        <v>85</v>
      </c>
      <c r="B22" s="33"/>
      <c r="C22" s="33"/>
    </row>
    <row r="23" spans="1:3" ht="12.75">
      <c r="A23" s="33"/>
      <c r="B23" s="33"/>
      <c r="C23" s="33"/>
    </row>
    <row r="24" spans="1:3" ht="12.75">
      <c r="A24" s="53" t="s">
        <v>49</v>
      </c>
      <c r="B24" s="33"/>
      <c r="C24" s="33"/>
    </row>
    <row r="25" spans="1:3" ht="12.75">
      <c r="A25" s="41" t="s">
        <v>18</v>
      </c>
      <c r="B25" s="41">
        <v>12</v>
      </c>
      <c r="C25" s="41" t="s">
        <v>0</v>
      </c>
    </row>
    <row r="26" spans="1:3" ht="12.75">
      <c r="A26" s="33" t="s">
        <v>50</v>
      </c>
      <c r="B26" s="33">
        <v>0.3</v>
      </c>
      <c r="C26" s="33" t="s">
        <v>0</v>
      </c>
    </row>
    <row r="27" spans="1:3" ht="12.75">
      <c r="A27" s="33" t="s">
        <v>154</v>
      </c>
      <c r="B27" s="33">
        <f>B25*B26</f>
        <v>3.5999999999999996</v>
      </c>
      <c r="C27" s="33" t="s">
        <v>13</v>
      </c>
    </row>
    <row r="28" spans="1:3" ht="12.75">
      <c r="A28" s="33"/>
      <c r="B28" s="33"/>
      <c r="C28" s="33"/>
    </row>
    <row r="29" spans="1:3" ht="12.75">
      <c r="A29" s="53" t="s">
        <v>51</v>
      </c>
      <c r="B29" s="33"/>
      <c r="C29" s="33"/>
    </row>
    <row r="30" spans="1:3" ht="12.75">
      <c r="A30" s="41" t="s">
        <v>52</v>
      </c>
      <c r="B30" s="41">
        <v>36.3</v>
      </c>
      <c r="C30" s="41" t="s">
        <v>13</v>
      </c>
    </row>
    <row r="31" spans="1:3" ht="12.75">
      <c r="A31" s="41" t="s">
        <v>53</v>
      </c>
      <c r="B31" s="41" t="s">
        <v>54</v>
      </c>
      <c r="C31" s="41"/>
    </row>
    <row r="32" spans="1:3" ht="12.75">
      <c r="A32" s="41" t="s">
        <v>55</v>
      </c>
      <c r="B32" s="41">
        <v>1</v>
      </c>
      <c r="C32" s="41" t="s">
        <v>13</v>
      </c>
    </row>
    <row r="33" spans="1:3" ht="12.75">
      <c r="A33" s="41" t="s">
        <v>56</v>
      </c>
      <c r="B33" s="41"/>
      <c r="C33" s="41"/>
    </row>
    <row r="34" spans="1:3" ht="12.75">
      <c r="A34" s="33" t="s">
        <v>57</v>
      </c>
      <c r="B34" s="33">
        <f>ROUND(B30/1/1,0)</f>
        <v>36</v>
      </c>
      <c r="C34" s="33" t="s">
        <v>15</v>
      </c>
    </row>
    <row r="35" spans="1:3" ht="12.75">
      <c r="A35" s="33" t="s">
        <v>58</v>
      </c>
      <c r="B35" s="33">
        <f>B32*B34</f>
        <v>36</v>
      </c>
      <c r="C35" s="33" t="s">
        <v>0</v>
      </c>
    </row>
    <row r="36" spans="1:3" ht="12.75">
      <c r="A36" s="33"/>
      <c r="B36" s="33"/>
      <c r="C36" s="33"/>
    </row>
    <row r="37" ht="12.75">
      <c r="A37" s="42" t="s">
        <v>66</v>
      </c>
    </row>
    <row r="38" spans="1:3" ht="12.75">
      <c r="A38" s="41" t="s">
        <v>79</v>
      </c>
      <c r="B38" s="41">
        <v>1</v>
      </c>
      <c r="C38" s="41" t="s">
        <v>15</v>
      </c>
    </row>
    <row r="39" spans="1:3" ht="12.75">
      <c r="A39" s="41" t="s">
        <v>80</v>
      </c>
      <c r="B39" s="41">
        <v>1</v>
      </c>
      <c r="C39" s="41" t="s">
        <v>15</v>
      </c>
    </row>
    <row r="40" spans="1:3" ht="12.75">
      <c r="A40" s="41" t="s">
        <v>70</v>
      </c>
      <c r="B40" s="41">
        <v>2</v>
      </c>
      <c r="C40" s="41" t="s">
        <v>15</v>
      </c>
    </row>
    <row r="41" spans="1:3" ht="12.75">
      <c r="A41" s="41" t="s">
        <v>71</v>
      </c>
      <c r="B41" s="41">
        <v>6</v>
      </c>
      <c r="C41" s="41" t="s">
        <v>15</v>
      </c>
    </row>
    <row r="42" spans="1:3" ht="12.75">
      <c r="A42" s="33" t="s">
        <v>81</v>
      </c>
      <c r="B42">
        <f>B41*B38</f>
        <v>6</v>
      </c>
      <c r="C42" s="33" t="s">
        <v>15</v>
      </c>
    </row>
    <row r="43" spans="1:3" ht="12.75">
      <c r="A43" s="33" t="s">
        <v>82</v>
      </c>
      <c r="B43">
        <f>B38*B40</f>
        <v>2</v>
      </c>
      <c r="C43" s="33" t="s">
        <v>15</v>
      </c>
    </row>
    <row r="44" spans="1:3" ht="12.75">
      <c r="A44" s="33" t="s">
        <v>83</v>
      </c>
      <c r="B44">
        <f>B39*B41</f>
        <v>6</v>
      </c>
      <c r="C44" s="33" t="s">
        <v>15</v>
      </c>
    </row>
    <row r="45" spans="1:3" ht="26.25">
      <c r="A45" s="71" t="s">
        <v>84</v>
      </c>
      <c r="B45">
        <f>B39*B40</f>
        <v>2</v>
      </c>
      <c r="C45" s="33" t="s">
        <v>15</v>
      </c>
    </row>
    <row r="46" spans="1:3" ht="12.75">
      <c r="A46" s="33" t="s">
        <v>67</v>
      </c>
      <c r="B46">
        <f>1.5*3*(B42+B44)</f>
        <v>54</v>
      </c>
      <c r="C46" s="33" t="s">
        <v>13</v>
      </c>
    </row>
    <row r="47" spans="1:3" ht="12.75">
      <c r="A47" s="33" t="s">
        <v>269</v>
      </c>
      <c r="B47" s="33">
        <f>1.5*3*B41</f>
        <v>27</v>
      </c>
      <c r="C47" s="33" t="s">
        <v>13</v>
      </c>
    </row>
    <row r="49" spans="1:3" ht="12.75">
      <c r="A49" s="33" t="s">
        <v>68</v>
      </c>
      <c r="B49">
        <v>3.9</v>
      </c>
      <c r="C49" s="33" t="s">
        <v>0</v>
      </c>
    </row>
    <row r="50" spans="1:3" ht="12.75">
      <c r="A50" s="33" t="s">
        <v>69</v>
      </c>
      <c r="B50">
        <v>3.1</v>
      </c>
      <c r="C50" s="33" t="s">
        <v>0</v>
      </c>
    </row>
    <row r="51" spans="1:3" ht="12.75">
      <c r="A51" s="41" t="s">
        <v>260</v>
      </c>
      <c r="B51" s="41">
        <v>2</v>
      </c>
      <c r="C51" s="41" t="s">
        <v>15</v>
      </c>
    </row>
    <row r="52" spans="1:3" ht="12.75">
      <c r="A52" s="41" t="s">
        <v>261</v>
      </c>
      <c r="B52" s="41">
        <v>2</v>
      </c>
      <c r="C52" s="41" t="s">
        <v>15</v>
      </c>
    </row>
    <row r="53" spans="1:3" ht="12.75">
      <c r="A53" s="41" t="s">
        <v>72</v>
      </c>
      <c r="B53" s="41">
        <v>19.5</v>
      </c>
      <c r="C53" s="41" t="s">
        <v>73</v>
      </c>
    </row>
    <row r="54" spans="1:3" ht="12.75">
      <c r="A54" s="41" t="s">
        <v>262</v>
      </c>
      <c r="B54" s="41">
        <v>3</v>
      </c>
      <c r="C54" s="41" t="s">
        <v>15</v>
      </c>
    </row>
    <row r="55" spans="1:3" ht="12.75">
      <c r="A55" s="41" t="s">
        <v>263</v>
      </c>
      <c r="B55" s="41">
        <v>4</v>
      </c>
      <c r="C55" s="41" t="s">
        <v>15</v>
      </c>
    </row>
    <row r="56" spans="1:3" ht="12.75">
      <c r="A56" s="33" t="s">
        <v>74</v>
      </c>
      <c r="B56" s="33">
        <f>B51*(B49*B54+B50*B55)</f>
        <v>48.2</v>
      </c>
      <c r="C56" s="33" t="s">
        <v>0</v>
      </c>
    </row>
    <row r="57" spans="1:3" ht="12.75">
      <c r="A57" s="33" t="s">
        <v>75</v>
      </c>
      <c r="B57" s="33">
        <f>B56*B53</f>
        <v>939.9000000000001</v>
      </c>
      <c r="C57" s="33" t="s">
        <v>76</v>
      </c>
    </row>
    <row r="58" spans="1:3" ht="12.75">
      <c r="A58" s="33" t="s">
        <v>77</v>
      </c>
      <c r="B58" s="33">
        <f>(B52*(B49*B54+B50*B55))*B53</f>
        <v>939.9000000000001</v>
      </c>
      <c r="C58" s="33" t="s">
        <v>76</v>
      </c>
    </row>
    <row r="60" spans="1:3" ht="12.75">
      <c r="A60" s="33" t="s">
        <v>264</v>
      </c>
      <c r="B60">
        <v>6.2</v>
      </c>
      <c r="C60" s="33" t="s">
        <v>0</v>
      </c>
    </row>
    <row r="61" spans="1:3" ht="12.75">
      <c r="A61" s="33" t="s">
        <v>265</v>
      </c>
      <c r="B61">
        <f>2*B60</f>
        <v>12.4</v>
      </c>
      <c r="C61" s="33" t="s">
        <v>0</v>
      </c>
    </row>
    <row r="62" spans="1:3" ht="12.75">
      <c r="A62" s="33" t="s">
        <v>267</v>
      </c>
      <c r="B62">
        <f>7*1.34</f>
        <v>9.38</v>
      </c>
      <c r="C62" s="33" t="s">
        <v>0</v>
      </c>
    </row>
    <row r="63" spans="1:3" ht="12.75">
      <c r="A63" s="33" t="s">
        <v>266</v>
      </c>
      <c r="B63">
        <f>B60</f>
        <v>6.2</v>
      </c>
      <c r="C63" s="33" t="s">
        <v>0</v>
      </c>
    </row>
    <row r="64" spans="1:3" ht="12.75">
      <c r="A64" s="33"/>
      <c r="C64" s="33"/>
    </row>
    <row r="65" spans="1:3" ht="12.75">
      <c r="A65" s="33" t="s">
        <v>78</v>
      </c>
      <c r="B65">
        <v>6.2</v>
      </c>
      <c r="C65" s="33" t="s">
        <v>0</v>
      </c>
    </row>
    <row r="66" spans="1:3" ht="12.75">
      <c r="A66" s="33" t="s">
        <v>265</v>
      </c>
      <c r="B66">
        <f>2*B65</f>
        <v>12.4</v>
      </c>
      <c r="C66" s="33" t="s">
        <v>0</v>
      </c>
    </row>
    <row r="67" spans="1:3" ht="12.75">
      <c r="A67" s="33" t="s">
        <v>267</v>
      </c>
      <c r="B67">
        <f>7*1.34</f>
        <v>9.38</v>
      </c>
      <c r="C67" s="33" t="s">
        <v>0</v>
      </c>
    </row>
    <row r="68" spans="1:3" ht="12.75">
      <c r="A68" s="33" t="s">
        <v>266</v>
      </c>
      <c r="B68">
        <f>B65</f>
        <v>6.2</v>
      </c>
      <c r="C68" s="33" t="s">
        <v>0</v>
      </c>
    </row>
    <row r="70" ht="12.75">
      <c r="A70" s="42" t="s">
        <v>146</v>
      </c>
    </row>
    <row r="71" spans="1:3" ht="26.25">
      <c r="A71" s="71" t="s">
        <v>122</v>
      </c>
      <c r="B71">
        <v>12</v>
      </c>
      <c r="C71" s="33" t="s">
        <v>0</v>
      </c>
    </row>
    <row r="72" spans="1:3" ht="12.75">
      <c r="A72" s="41" t="s">
        <v>119</v>
      </c>
      <c r="B72" s="41">
        <f>1.25*(0.3*0.3*0.6)</f>
        <v>0.0675</v>
      </c>
      <c r="C72" s="41" t="s">
        <v>14</v>
      </c>
    </row>
    <row r="73" spans="1:3" ht="12.75">
      <c r="A73" s="41" t="s">
        <v>120</v>
      </c>
      <c r="B73" s="41">
        <f>ROUND(B71/2,0)</f>
        <v>6</v>
      </c>
      <c r="C73" s="41" t="s">
        <v>15</v>
      </c>
    </row>
    <row r="74" spans="1:3" ht="12.75">
      <c r="A74" s="33" t="s">
        <v>121</v>
      </c>
      <c r="B74">
        <f>B72*B73</f>
        <v>0.405</v>
      </c>
      <c r="C74" s="33" t="s">
        <v>14</v>
      </c>
    </row>
    <row r="75" spans="1:3" ht="12.75">
      <c r="A75" s="33" t="s">
        <v>123</v>
      </c>
      <c r="C75" s="33"/>
    </row>
    <row r="76" spans="1:3" ht="12.75">
      <c r="A76" s="41" t="s">
        <v>124</v>
      </c>
      <c r="B76" s="41">
        <f>0.2*0.2</f>
        <v>0.04000000000000001</v>
      </c>
      <c r="C76" s="41" t="s">
        <v>13</v>
      </c>
    </row>
    <row r="77" spans="1:3" ht="12.75">
      <c r="A77" s="41" t="s">
        <v>129</v>
      </c>
      <c r="B77" s="41">
        <v>4</v>
      </c>
      <c r="C77" s="41" t="s">
        <v>125</v>
      </c>
    </row>
    <row r="78" spans="1:3" ht="12.75">
      <c r="A78" s="41" t="s">
        <v>126</v>
      </c>
      <c r="B78" s="41">
        <v>4</v>
      </c>
      <c r="C78" s="41" t="s">
        <v>125</v>
      </c>
    </row>
    <row r="79" spans="1:3" ht="12.75">
      <c r="A79" s="41" t="s">
        <v>127</v>
      </c>
      <c r="B79" s="41">
        <v>0.2</v>
      </c>
      <c r="C79" s="41" t="s">
        <v>0</v>
      </c>
    </row>
    <row r="80" spans="1:3" ht="12.75">
      <c r="A80" s="33" t="s">
        <v>124</v>
      </c>
      <c r="B80" s="33">
        <f>B76*B73</f>
        <v>0.24000000000000005</v>
      </c>
      <c r="C80" s="33" t="s">
        <v>13</v>
      </c>
    </row>
    <row r="81" spans="1:3" ht="12.75">
      <c r="A81" s="33" t="s">
        <v>128</v>
      </c>
      <c r="B81" s="33">
        <f>B77*B73</f>
        <v>24</v>
      </c>
      <c r="C81" s="33" t="s">
        <v>15</v>
      </c>
    </row>
    <row r="82" spans="1:3" ht="12.75">
      <c r="A82" s="33" t="s">
        <v>126</v>
      </c>
      <c r="B82" s="33">
        <f>B78*B73</f>
        <v>24</v>
      </c>
      <c r="C82" s="33" t="s">
        <v>15</v>
      </c>
    </row>
    <row r="83" spans="1:3" ht="12.75">
      <c r="A83" s="33" t="s">
        <v>127</v>
      </c>
      <c r="B83" s="33">
        <f>B79*B73</f>
        <v>1.2000000000000002</v>
      </c>
      <c r="C83" s="33" t="s">
        <v>0</v>
      </c>
    </row>
    <row r="84" spans="1:3" ht="12.75">
      <c r="A84" s="33" t="s">
        <v>150</v>
      </c>
      <c r="B84" s="97">
        <f>0.2*0.2*0.01*B73</f>
        <v>0.0024000000000000002</v>
      </c>
      <c r="C84" s="33" t="s">
        <v>14</v>
      </c>
    </row>
    <row r="86" ht="12.75">
      <c r="A86" s="42" t="s">
        <v>151</v>
      </c>
    </row>
    <row r="87" spans="1:3" ht="12.75">
      <c r="A87" s="41" t="s">
        <v>19</v>
      </c>
      <c r="B87" s="41">
        <v>0.15</v>
      </c>
      <c r="C87" s="41" t="s">
        <v>0</v>
      </c>
    </row>
    <row r="88" spans="1:3" ht="12.75">
      <c r="A88" s="41" t="s">
        <v>16</v>
      </c>
      <c r="B88" s="41">
        <v>5.4</v>
      </c>
      <c r="C88" s="41" t="s">
        <v>13</v>
      </c>
    </row>
    <row r="89" spans="1:3" ht="12.75">
      <c r="A89" s="33" t="s">
        <v>152</v>
      </c>
      <c r="B89">
        <f>B87+B88</f>
        <v>5.550000000000001</v>
      </c>
      <c r="C89" s="33" t="s">
        <v>14</v>
      </c>
    </row>
    <row r="91" spans="1:3" ht="26.25">
      <c r="A91" s="96" t="s">
        <v>153</v>
      </c>
      <c r="B91">
        <v>6.1</v>
      </c>
      <c r="C91" s="33" t="s">
        <v>13</v>
      </c>
    </row>
    <row r="92" spans="1:3" ht="12.75">
      <c r="A92" s="33" t="s">
        <v>218</v>
      </c>
      <c r="B92">
        <f>B91</f>
        <v>6.1</v>
      </c>
      <c r="C92" s="33" t="s">
        <v>13</v>
      </c>
    </row>
    <row r="94" ht="12.75">
      <c r="A94" s="42" t="s">
        <v>156</v>
      </c>
    </row>
    <row r="95" spans="1:3" ht="12.75">
      <c r="A95" s="33" t="s">
        <v>155</v>
      </c>
      <c r="B95">
        <v>0.8</v>
      </c>
      <c r="C95" s="33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28">
      <selection activeCell="A66" sqref="A66:C66"/>
    </sheetView>
  </sheetViews>
  <sheetFormatPr defaultColWidth="9.140625" defaultRowHeight="12.75"/>
  <cols>
    <col min="1" max="1" width="38.28125" style="0" customWidth="1"/>
    <col min="2" max="2" width="15.00390625" style="0" customWidth="1"/>
  </cols>
  <sheetData>
    <row r="1" ht="21">
      <c r="A1" s="43" t="s">
        <v>12</v>
      </c>
    </row>
    <row r="3" spans="1:3" ht="12.75">
      <c r="A3" s="42" t="s">
        <v>23</v>
      </c>
      <c r="B3">
        <f>106.82-21-17.5</f>
        <v>68.32</v>
      </c>
      <c r="C3" t="s">
        <v>13</v>
      </c>
    </row>
    <row r="4" ht="12.75">
      <c r="A4" s="42"/>
    </row>
    <row r="5" ht="12.75">
      <c r="A5" s="42" t="s">
        <v>28</v>
      </c>
    </row>
    <row r="6" ht="12.75">
      <c r="A6" s="53" t="s">
        <v>29</v>
      </c>
    </row>
    <row r="7" spans="1:3" ht="12.75">
      <c r="A7" s="41" t="s">
        <v>44</v>
      </c>
      <c r="B7" s="41">
        <v>1.2</v>
      </c>
      <c r="C7" s="41" t="s">
        <v>0</v>
      </c>
    </row>
    <row r="8" spans="1:3" ht="12.75">
      <c r="A8" s="41" t="s">
        <v>45</v>
      </c>
      <c r="B8" s="41">
        <v>1.3</v>
      </c>
      <c r="C8" s="41" t="s">
        <v>0</v>
      </c>
    </row>
    <row r="9" spans="1:3" ht="12.75">
      <c r="A9" s="41" t="s">
        <v>46</v>
      </c>
      <c r="B9" s="41">
        <v>21</v>
      </c>
      <c r="C9" s="41"/>
    </row>
    <row r="10" spans="1:3" ht="12.75">
      <c r="A10" s="33" t="s">
        <v>30</v>
      </c>
      <c r="B10">
        <f>(B7+B8)*B9</f>
        <v>52.5</v>
      </c>
      <c r="C10" s="33" t="s">
        <v>0</v>
      </c>
    </row>
    <row r="11" spans="1:3" ht="12.75">
      <c r="A11" s="33"/>
      <c r="C11" s="33"/>
    </row>
    <row r="12" ht="12.75">
      <c r="A12" s="53" t="s">
        <v>59</v>
      </c>
    </row>
    <row r="13" spans="1:3" ht="12.75">
      <c r="A13" s="41" t="s">
        <v>18</v>
      </c>
      <c r="B13" s="41">
        <v>63</v>
      </c>
      <c r="C13" s="41" t="s">
        <v>0</v>
      </c>
    </row>
    <row r="14" spans="1:3" ht="12.75">
      <c r="A14" s="41" t="s">
        <v>31</v>
      </c>
      <c r="B14" s="41">
        <v>2</v>
      </c>
      <c r="C14" s="41"/>
    </row>
    <row r="15" spans="1:3" ht="12.75">
      <c r="A15" s="33" t="s">
        <v>33</v>
      </c>
      <c r="B15" s="33">
        <f>2*B13*B14</f>
        <v>252</v>
      </c>
      <c r="C15" s="33" t="s">
        <v>0</v>
      </c>
    </row>
    <row r="16" spans="1:3" ht="12.75">
      <c r="A16" s="33"/>
      <c r="B16" s="33"/>
      <c r="C16" s="33"/>
    </row>
    <row r="17" spans="1:3" ht="12.75">
      <c r="A17" s="53" t="s">
        <v>60</v>
      </c>
      <c r="B17" s="33"/>
      <c r="C17" s="33"/>
    </row>
    <row r="18" spans="1:3" ht="12.75">
      <c r="A18" s="41" t="s">
        <v>61</v>
      </c>
      <c r="B18" s="41">
        <v>10</v>
      </c>
      <c r="C18" s="41"/>
    </row>
    <row r="19" spans="1:3" ht="12.75">
      <c r="A19" s="41" t="s">
        <v>65</v>
      </c>
      <c r="B19" s="41">
        <v>4.5</v>
      </c>
      <c r="C19" s="41" t="s">
        <v>0</v>
      </c>
    </row>
    <row r="20" spans="1:3" ht="12.75">
      <c r="A20" s="41" t="s">
        <v>64</v>
      </c>
      <c r="B20" s="41">
        <v>2.4</v>
      </c>
      <c r="C20" s="41" t="s">
        <v>13</v>
      </c>
    </row>
    <row r="21" spans="1:3" ht="12.75">
      <c r="A21" s="41" t="s">
        <v>113</v>
      </c>
      <c r="B21" s="41">
        <v>1.25</v>
      </c>
      <c r="C21" s="41" t="s">
        <v>0</v>
      </c>
    </row>
    <row r="22" spans="1:3" ht="12.75">
      <c r="A22" s="41" t="s">
        <v>114</v>
      </c>
      <c r="B22" s="59">
        <f>1.25*0.95</f>
        <v>1.1875</v>
      </c>
      <c r="C22" s="41" t="s">
        <v>13</v>
      </c>
    </row>
    <row r="23" spans="1:3" ht="12.75">
      <c r="A23" s="33" t="s">
        <v>62</v>
      </c>
      <c r="B23" s="33">
        <f>B18*B19+B21</f>
        <v>46.25</v>
      </c>
      <c r="C23" s="33" t="s">
        <v>0</v>
      </c>
    </row>
    <row r="24" spans="1:3" ht="12.75">
      <c r="A24" s="33" t="s">
        <v>63</v>
      </c>
      <c r="B24" s="33">
        <f>B18*B20+B22</f>
        <v>25.1875</v>
      </c>
      <c r="C24" s="33" t="s">
        <v>13</v>
      </c>
    </row>
    <row r="25" spans="1:3" ht="12.75">
      <c r="A25" s="33"/>
      <c r="B25" s="33"/>
      <c r="C25" s="33"/>
    </row>
    <row r="26" spans="1:3" ht="12.75">
      <c r="A26" s="53" t="s">
        <v>85</v>
      </c>
      <c r="B26" s="33"/>
      <c r="C26" s="33"/>
    </row>
    <row r="27" ht="12.75">
      <c r="A27" s="42"/>
    </row>
    <row r="28" spans="1:3" ht="12.75">
      <c r="A28" s="49" t="s">
        <v>130</v>
      </c>
      <c r="B28" s="3">
        <v>33.4</v>
      </c>
      <c r="C28" s="35" t="s">
        <v>13</v>
      </c>
    </row>
    <row r="29" spans="1:3" ht="12.75">
      <c r="A29" s="14" t="s">
        <v>132</v>
      </c>
      <c r="B29" s="35">
        <f>B28</f>
        <v>33.4</v>
      </c>
      <c r="C29" s="14" t="s">
        <v>13</v>
      </c>
    </row>
    <row r="30" spans="1:3" ht="12.75">
      <c r="A30" s="14" t="s">
        <v>133</v>
      </c>
      <c r="B30" s="35">
        <f>0.36*12.4</f>
        <v>4.4639999999999995</v>
      </c>
      <c r="C30" s="14" t="s">
        <v>14</v>
      </c>
    </row>
    <row r="31" spans="1:3" ht="12.75">
      <c r="A31" s="14" t="s">
        <v>134</v>
      </c>
      <c r="B31" s="35">
        <f>B28</f>
        <v>33.4</v>
      </c>
      <c r="C31" s="14" t="s">
        <v>13</v>
      </c>
    </row>
    <row r="32" spans="1:3" ht="12.75">
      <c r="A32" s="14" t="s">
        <v>135</v>
      </c>
      <c r="B32" s="35">
        <f>B28</f>
        <v>33.4</v>
      </c>
      <c r="C32" s="14" t="s">
        <v>13</v>
      </c>
    </row>
    <row r="33" spans="1:3" ht="12.75">
      <c r="A33" s="49"/>
      <c r="B33" s="3"/>
      <c r="C33" s="35"/>
    </row>
    <row r="34" spans="1:3" ht="12.75">
      <c r="A34" s="49" t="s">
        <v>131</v>
      </c>
      <c r="B34" s="3">
        <v>4</v>
      </c>
      <c r="C34" s="35" t="s">
        <v>13</v>
      </c>
    </row>
    <row r="35" spans="1:3" ht="12.75">
      <c r="A35" s="14" t="s">
        <v>136</v>
      </c>
      <c r="B35" s="35">
        <f>B36*0.2+B37*0.18</f>
        <v>1.368</v>
      </c>
      <c r="C35" s="14" t="s">
        <v>14</v>
      </c>
    </row>
    <row r="36" spans="1:3" ht="12.75">
      <c r="A36" s="14" t="s">
        <v>137</v>
      </c>
      <c r="B36" s="35">
        <f>2.7*1.2</f>
        <v>3.24</v>
      </c>
      <c r="C36" s="14" t="s">
        <v>13</v>
      </c>
    </row>
    <row r="37" spans="1:3" ht="12.75">
      <c r="A37" s="14" t="s">
        <v>138</v>
      </c>
      <c r="B37" s="35">
        <f>B34</f>
        <v>4</v>
      </c>
      <c r="C37" s="14" t="s">
        <v>13</v>
      </c>
    </row>
    <row r="38" spans="1:3" ht="12.75">
      <c r="A38" s="54"/>
      <c r="B38" s="46"/>
      <c r="C38" s="46"/>
    </row>
    <row r="39" spans="1:3" ht="12.75">
      <c r="A39" s="49" t="s">
        <v>96</v>
      </c>
      <c r="B39" s="35">
        <v>15.5</v>
      </c>
      <c r="C39" s="35" t="s">
        <v>0</v>
      </c>
    </row>
    <row r="40" spans="1:3" ht="12.75">
      <c r="A40" s="14" t="s">
        <v>109</v>
      </c>
      <c r="B40" s="46"/>
      <c r="C40" s="46"/>
    </row>
    <row r="41" spans="1:3" ht="12.75">
      <c r="A41" s="49"/>
      <c r="B41" s="46"/>
      <c r="C41" s="46"/>
    </row>
    <row r="42" spans="1:3" ht="12.75">
      <c r="A42" s="49" t="s">
        <v>101</v>
      </c>
      <c r="B42" s="46"/>
      <c r="C42" s="46"/>
    </row>
    <row r="43" spans="1:3" s="41" customFormat="1" ht="12.75">
      <c r="A43" s="54" t="s">
        <v>102</v>
      </c>
      <c r="B43" s="46">
        <v>15</v>
      </c>
      <c r="C43" s="46" t="s">
        <v>0</v>
      </c>
    </row>
    <row r="44" spans="1:3" s="41" customFormat="1" ht="12.75">
      <c r="A44" s="54" t="s">
        <v>103</v>
      </c>
      <c r="B44" s="46">
        <v>1</v>
      </c>
      <c r="C44" s="46" t="s">
        <v>0</v>
      </c>
    </row>
    <row r="45" spans="1:3" s="41" customFormat="1" ht="12.75">
      <c r="A45" s="14" t="s">
        <v>104</v>
      </c>
      <c r="B45" s="35">
        <f>B43*B44</f>
        <v>15</v>
      </c>
      <c r="C45" s="35" t="s">
        <v>13</v>
      </c>
    </row>
    <row r="46" spans="1:3" s="41" customFormat="1" ht="12.75">
      <c r="A46" s="14" t="s">
        <v>105</v>
      </c>
      <c r="B46" s="35">
        <f>B43</f>
        <v>15</v>
      </c>
      <c r="C46" s="35" t="s">
        <v>0</v>
      </c>
    </row>
    <row r="47" spans="1:3" s="41" customFormat="1" ht="12.75">
      <c r="A47" s="14" t="s">
        <v>108</v>
      </c>
      <c r="B47" s="35">
        <f>B43</f>
        <v>15</v>
      </c>
      <c r="C47" s="35" t="s">
        <v>0</v>
      </c>
    </row>
    <row r="48" spans="1:3" s="41" customFormat="1" ht="12.75">
      <c r="A48" s="93" t="s">
        <v>106</v>
      </c>
      <c r="B48" s="46">
        <v>0.42</v>
      </c>
      <c r="C48" s="46" t="s">
        <v>13</v>
      </c>
    </row>
    <row r="49" spans="1:3" s="41" customFormat="1" ht="12.75">
      <c r="A49" s="94" t="s">
        <v>107</v>
      </c>
      <c r="B49" s="35">
        <f>B48*B43</f>
        <v>6.3</v>
      </c>
      <c r="C49" s="35" t="s">
        <v>14</v>
      </c>
    </row>
    <row r="51" ht="12.75">
      <c r="A51" s="42" t="s">
        <v>97</v>
      </c>
    </row>
    <row r="52" spans="1:3" ht="12.75">
      <c r="A52" s="54" t="s">
        <v>26</v>
      </c>
      <c r="B52" s="46">
        <v>17.36</v>
      </c>
      <c r="C52" s="46" t="s">
        <v>0</v>
      </c>
    </row>
    <row r="53" spans="1:3" ht="12.75">
      <c r="A53" s="54" t="s">
        <v>98</v>
      </c>
      <c r="B53" s="46">
        <v>0.2</v>
      </c>
      <c r="C53" s="46" t="s">
        <v>0</v>
      </c>
    </row>
    <row r="54" spans="1:3" ht="12.75">
      <c r="A54" s="54" t="s">
        <v>99</v>
      </c>
      <c r="B54" s="46">
        <v>0.5</v>
      </c>
      <c r="C54" s="46" t="s">
        <v>0</v>
      </c>
    </row>
    <row r="55" spans="1:3" ht="12.75">
      <c r="A55" s="54" t="s">
        <v>148</v>
      </c>
      <c r="B55" s="46">
        <f>17.5*0.2</f>
        <v>3.5</v>
      </c>
      <c r="C55" s="46" t="s">
        <v>14</v>
      </c>
    </row>
    <row r="56" spans="1:3" ht="12.75">
      <c r="A56" s="14" t="s">
        <v>21</v>
      </c>
      <c r="B56" s="35">
        <f>(B52-5.3)*B53*B54+5.3*1.2*B53+B55</f>
        <v>5.978</v>
      </c>
      <c r="C56" s="35" t="s">
        <v>14</v>
      </c>
    </row>
    <row r="57" spans="1:3" ht="12.75">
      <c r="A57" s="14" t="s">
        <v>149</v>
      </c>
      <c r="B57" s="35">
        <f>17.5*0.8</f>
        <v>14</v>
      </c>
      <c r="C57" s="14" t="s">
        <v>14</v>
      </c>
    </row>
    <row r="58" spans="1:3" ht="12.75">
      <c r="A58" s="50"/>
      <c r="B58" s="63"/>
      <c r="C58" s="35"/>
    </row>
    <row r="59" spans="1:3" ht="12.75">
      <c r="A59" s="49" t="s">
        <v>147</v>
      </c>
      <c r="B59" s="46"/>
      <c r="C59" s="46"/>
    </row>
    <row r="60" spans="1:3" ht="12.75">
      <c r="A60" s="54" t="s">
        <v>26</v>
      </c>
      <c r="B60" s="46">
        <v>14.2</v>
      </c>
      <c r="C60" s="46" t="s">
        <v>0</v>
      </c>
    </row>
    <row r="61" spans="1:3" ht="12.75">
      <c r="A61" s="54" t="s">
        <v>98</v>
      </c>
      <c r="B61" s="46">
        <v>0.35</v>
      </c>
      <c r="C61" s="46" t="s">
        <v>0</v>
      </c>
    </row>
    <row r="62" spans="1:3" ht="12.75">
      <c r="A62" s="54" t="s">
        <v>99</v>
      </c>
      <c r="B62" s="46">
        <v>2.5</v>
      </c>
      <c r="C62" s="46" t="s">
        <v>0</v>
      </c>
    </row>
    <row r="63" spans="1:3" ht="12.75">
      <c r="A63" s="14" t="s">
        <v>21</v>
      </c>
      <c r="B63" s="35">
        <f>B60*B61*B62</f>
        <v>12.424999999999999</v>
      </c>
      <c r="C63" s="35" t="s">
        <v>14</v>
      </c>
    </row>
    <row r="65" ht="12.75">
      <c r="A65" s="42" t="s">
        <v>146</v>
      </c>
    </row>
    <row r="66" spans="1:3" ht="39">
      <c r="A66" s="71" t="s">
        <v>139</v>
      </c>
      <c r="B66">
        <v>38.3</v>
      </c>
      <c r="C66" s="33" t="s">
        <v>0</v>
      </c>
    </row>
    <row r="67" spans="1:3" ht="26.25">
      <c r="A67" s="71" t="s">
        <v>122</v>
      </c>
      <c r="B67">
        <f>89-12-21.5</f>
        <v>55.5</v>
      </c>
      <c r="C67" s="33" t="s">
        <v>0</v>
      </c>
    </row>
    <row r="68" spans="1:3" ht="12.75">
      <c r="A68" s="41" t="s">
        <v>119</v>
      </c>
      <c r="B68" s="41">
        <f>1.25*(0.3*0.3*0.6)</f>
        <v>0.0675</v>
      </c>
      <c r="C68" s="41" t="s">
        <v>14</v>
      </c>
    </row>
    <row r="69" spans="1:3" ht="12.75">
      <c r="A69" s="41" t="s">
        <v>120</v>
      </c>
      <c r="B69" s="41">
        <f>ROUND(B67/2,0)</f>
        <v>28</v>
      </c>
      <c r="C69" s="41" t="s">
        <v>15</v>
      </c>
    </row>
    <row r="70" spans="1:3" ht="12.75">
      <c r="A70" s="33" t="s">
        <v>121</v>
      </c>
      <c r="B70">
        <f>B68*B69</f>
        <v>1.8900000000000001</v>
      </c>
      <c r="C70" s="33" t="s">
        <v>14</v>
      </c>
    </row>
    <row r="71" spans="1:3" ht="12.75">
      <c r="A71" s="33" t="s">
        <v>123</v>
      </c>
      <c r="C71" s="33"/>
    </row>
    <row r="72" spans="1:3" ht="12.75">
      <c r="A72" s="41" t="s">
        <v>124</v>
      </c>
      <c r="B72" s="41">
        <f>0.2*0.2</f>
        <v>0.04000000000000001</v>
      </c>
      <c r="C72" s="41" t="s">
        <v>13</v>
      </c>
    </row>
    <row r="73" spans="1:3" ht="12.75">
      <c r="A73" s="41" t="s">
        <v>129</v>
      </c>
      <c r="B73" s="41">
        <v>4</v>
      </c>
      <c r="C73" s="41" t="s">
        <v>125</v>
      </c>
    </row>
    <row r="74" spans="1:3" ht="12.75">
      <c r="A74" s="41" t="s">
        <v>126</v>
      </c>
      <c r="B74" s="41">
        <v>4</v>
      </c>
      <c r="C74" s="41" t="s">
        <v>125</v>
      </c>
    </row>
    <row r="75" spans="1:3" ht="12.75">
      <c r="A75" s="41" t="s">
        <v>127</v>
      </c>
      <c r="B75" s="41">
        <v>0.2</v>
      </c>
      <c r="C75" s="41" t="s">
        <v>0</v>
      </c>
    </row>
    <row r="76" spans="1:3" ht="12.75">
      <c r="A76" s="33" t="s">
        <v>124</v>
      </c>
      <c r="B76" s="33">
        <f>B72*B69</f>
        <v>1.12</v>
      </c>
      <c r="C76" s="33" t="s">
        <v>13</v>
      </c>
    </row>
    <row r="77" spans="1:3" ht="12.75">
      <c r="A77" s="33" t="s">
        <v>128</v>
      </c>
      <c r="B77" s="33">
        <f>B73*B69</f>
        <v>112</v>
      </c>
      <c r="C77" s="33" t="s">
        <v>15</v>
      </c>
    </row>
    <row r="78" spans="1:3" ht="12.75">
      <c r="A78" s="33" t="s">
        <v>126</v>
      </c>
      <c r="B78" s="33">
        <f>B74*B69</f>
        <v>112</v>
      </c>
      <c r="C78" s="33" t="s">
        <v>15</v>
      </c>
    </row>
    <row r="79" spans="1:3" ht="12.75">
      <c r="A79" s="33" t="s">
        <v>127</v>
      </c>
      <c r="B79" s="33">
        <f>B75*B69</f>
        <v>5.6000000000000005</v>
      </c>
      <c r="C79" s="33" t="s">
        <v>0</v>
      </c>
    </row>
    <row r="80" spans="1:3" ht="12.75">
      <c r="A80" s="33" t="s">
        <v>150</v>
      </c>
      <c r="B80" s="97">
        <f>0.2*0.2*0.01*B69</f>
        <v>0.011200000000000002</v>
      </c>
      <c r="C80" s="33" t="s">
        <v>14</v>
      </c>
    </row>
    <row r="81" spans="1:3" ht="12.75">
      <c r="A81" s="33"/>
      <c r="B81" s="97"/>
      <c r="C81" s="33"/>
    </row>
    <row r="82" ht="12.75">
      <c r="A82" s="42" t="s">
        <v>145</v>
      </c>
    </row>
    <row r="83" ht="12.75">
      <c r="A83" s="53" t="s">
        <v>140</v>
      </c>
    </row>
    <row r="84" spans="1:3" ht="12.75">
      <c r="A84" s="33" t="s">
        <v>141</v>
      </c>
      <c r="B84">
        <v>11.2</v>
      </c>
      <c r="C84" s="33" t="s">
        <v>0</v>
      </c>
    </row>
    <row r="85" spans="1:3" ht="12.75">
      <c r="A85" s="33" t="s">
        <v>142</v>
      </c>
      <c r="B85">
        <f>B84</f>
        <v>11.2</v>
      </c>
      <c r="C85" s="33" t="s">
        <v>0</v>
      </c>
    </row>
    <row r="86" spans="1:3" ht="12.75">
      <c r="A86" s="33" t="s">
        <v>143</v>
      </c>
      <c r="B86">
        <v>5.4</v>
      </c>
      <c r="C86" s="33" t="s">
        <v>0</v>
      </c>
    </row>
    <row r="87" spans="1:3" ht="12.75">
      <c r="A87" s="41" t="s">
        <v>119</v>
      </c>
      <c r="B87" s="41">
        <f>1.25*(0.3*0.3*0.6)</f>
        <v>0.0675</v>
      </c>
      <c r="C87" s="41" t="s">
        <v>14</v>
      </c>
    </row>
    <row r="88" spans="1:3" ht="12.75">
      <c r="A88" s="41" t="s">
        <v>144</v>
      </c>
      <c r="B88" s="41">
        <f>ROUND(B85/2,0)+ROUND(B86/2,0)</f>
        <v>9</v>
      </c>
      <c r="C88" s="41" t="s">
        <v>15</v>
      </c>
    </row>
    <row r="89" spans="1:3" ht="12.75">
      <c r="A89" s="41"/>
      <c r="B89" s="41"/>
      <c r="C89" s="41"/>
    </row>
    <row r="90" spans="1:3" ht="12.75">
      <c r="A90" s="42" t="s">
        <v>118</v>
      </c>
      <c r="B90">
        <v>72.6</v>
      </c>
      <c r="C90" s="33" t="s">
        <v>0</v>
      </c>
    </row>
    <row r="92" spans="1:3" ht="26.25">
      <c r="A92" s="96" t="s">
        <v>160</v>
      </c>
      <c r="B92">
        <v>1</v>
      </c>
      <c r="C92" s="33" t="s">
        <v>15</v>
      </c>
    </row>
    <row r="94" ht="12.75">
      <c r="A94" s="42" t="s">
        <v>158</v>
      </c>
    </row>
    <row r="95" spans="1:3" ht="12.75">
      <c r="A95" s="33" t="s">
        <v>157</v>
      </c>
      <c r="B95" s="33">
        <f>2*1</f>
        <v>2</v>
      </c>
      <c r="C95" s="33" t="s">
        <v>0</v>
      </c>
    </row>
    <row r="96" spans="1:3" ht="12.75">
      <c r="A96" s="33" t="s">
        <v>155</v>
      </c>
      <c r="B96">
        <f>2*1.2</f>
        <v>2.4</v>
      </c>
      <c r="C96" s="33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33">
      <selection activeCell="D49" sqref="D49"/>
    </sheetView>
  </sheetViews>
  <sheetFormatPr defaultColWidth="9.140625" defaultRowHeight="12.75"/>
  <cols>
    <col min="1" max="1" width="42.8515625" style="0" customWidth="1"/>
  </cols>
  <sheetData>
    <row r="1" ht="21">
      <c r="A1" s="43" t="s">
        <v>25</v>
      </c>
    </row>
    <row r="3" ht="12.75">
      <c r="A3" s="42" t="s">
        <v>28</v>
      </c>
    </row>
    <row r="4" spans="1:4" s="3" customFormat="1" ht="12.75">
      <c r="A4" s="53" t="s">
        <v>29</v>
      </c>
      <c r="B4"/>
      <c r="C4"/>
      <c r="D4"/>
    </row>
    <row r="5" spans="1:4" s="3" customFormat="1" ht="12.75">
      <c r="A5" s="41" t="s">
        <v>44</v>
      </c>
      <c r="B5" s="41">
        <v>1.7</v>
      </c>
      <c r="C5" s="41" t="s">
        <v>0</v>
      </c>
      <c r="D5"/>
    </row>
    <row r="6" spans="1:4" s="3" customFormat="1" ht="12.75">
      <c r="A6" s="41" t="s">
        <v>45</v>
      </c>
      <c r="B6" s="41">
        <v>1.6</v>
      </c>
      <c r="C6" s="41" t="s">
        <v>0</v>
      </c>
      <c r="D6"/>
    </row>
    <row r="7" spans="1:4" s="3" customFormat="1" ht="12.75">
      <c r="A7" s="41" t="s">
        <v>46</v>
      </c>
      <c r="B7" s="41">
        <v>7</v>
      </c>
      <c r="C7" s="41"/>
      <c r="D7"/>
    </row>
    <row r="8" spans="1:4" s="3" customFormat="1" ht="12.75">
      <c r="A8" s="33" t="s">
        <v>30</v>
      </c>
      <c r="B8">
        <f>(B5+B6)*B7</f>
        <v>23.099999999999998</v>
      </c>
      <c r="C8" s="33" t="s">
        <v>0</v>
      </c>
      <c r="D8"/>
    </row>
    <row r="9" spans="1:4" s="3" customFormat="1" ht="12.75">
      <c r="A9" s="33"/>
      <c r="B9"/>
      <c r="C9" s="33"/>
      <c r="D9"/>
    </row>
    <row r="10" spans="1:4" s="3" customFormat="1" ht="12.75">
      <c r="A10" s="53" t="s">
        <v>59</v>
      </c>
      <c r="B10"/>
      <c r="C10"/>
      <c r="D10"/>
    </row>
    <row r="11" spans="1:4" s="3" customFormat="1" ht="12.75">
      <c r="A11" s="41" t="s">
        <v>18</v>
      </c>
      <c r="B11" s="41">
        <v>22</v>
      </c>
      <c r="C11" s="41" t="s">
        <v>0</v>
      </c>
      <c r="D11"/>
    </row>
    <row r="12" spans="1:4" s="3" customFormat="1" ht="12.75">
      <c r="A12" s="41" t="s">
        <v>31</v>
      </c>
      <c r="B12" s="41">
        <v>2</v>
      </c>
      <c r="C12" s="41"/>
      <c r="D12"/>
    </row>
    <row r="13" spans="1:4" s="3" customFormat="1" ht="12.75">
      <c r="A13" s="33" t="s">
        <v>33</v>
      </c>
      <c r="B13" s="33">
        <f>2*B11*B12</f>
        <v>88</v>
      </c>
      <c r="C13" s="33" t="s">
        <v>0</v>
      </c>
      <c r="D13"/>
    </row>
    <row r="14" spans="1:14" s="3" customFormat="1" ht="12.75">
      <c r="A14" s="33"/>
      <c r="B14" s="33"/>
      <c r="C14" s="33"/>
      <c r="D14"/>
      <c r="G14" s="36"/>
      <c r="H14" s="36"/>
      <c r="I14" s="36"/>
      <c r="L14" s="36"/>
      <c r="M14" s="36"/>
      <c r="N14" s="36"/>
    </row>
    <row r="15" spans="1:14" s="3" customFormat="1" ht="12.75">
      <c r="A15" s="53" t="s">
        <v>60</v>
      </c>
      <c r="B15" s="33"/>
      <c r="C15" s="33"/>
      <c r="D15"/>
      <c r="G15" s="36"/>
      <c r="H15" s="36"/>
      <c r="I15" s="36"/>
      <c r="L15" s="36"/>
      <c r="M15" s="36"/>
      <c r="N15" s="36"/>
    </row>
    <row r="16" spans="1:14" s="3" customFormat="1" ht="12.75">
      <c r="A16" s="41" t="s">
        <v>61</v>
      </c>
      <c r="B16" s="41">
        <v>10</v>
      </c>
      <c r="C16" s="41"/>
      <c r="D16"/>
      <c r="G16" s="36"/>
      <c r="H16" s="36"/>
      <c r="I16" s="36"/>
      <c r="L16" s="36"/>
      <c r="M16" s="36"/>
      <c r="N16" s="36"/>
    </row>
    <row r="17" spans="1:14" s="3" customFormat="1" ht="12" customHeight="1">
      <c r="A17" s="41" t="s">
        <v>65</v>
      </c>
      <c r="B17" s="41">
        <v>6.4</v>
      </c>
      <c r="C17" s="41" t="s">
        <v>0</v>
      </c>
      <c r="D17"/>
      <c r="G17" s="36"/>
      <c r="H17" s="36"/>
      <c r="I17" s="36"/>
      <c r="L17" s="36"/>
      <c r="M17" s="36"/>
      <c r="N17" s="36"/>
    </row>
    <row r="18" spans="1:12" s="3" customFormat="1" ht="13.5" customHeight="1">
      <c r="A18" s="41" t="s">
        <v>64</v>
      </c>
      <c r="B18" s="41">
        <v>3.25</v>
      </c>
      <c r="C18" s="41" t="s">
        <v>13</v>
      </c>
      <c r="D18"/>
      <c r="J18" s="36"/>
      <c r="K18" s="36"/>
      <c r="L18" s="36"/>
    </row>
    <row r="19" spans="1:12" s="3" customFormat="1" ht="13.5" customHeight="1">
      <c r="A19" s="33" t="s">
        <v>62</v>
      </c>
      <c r="B19" s="33">
        <f>B16*B17</f>
        <v>64</v>
      </c>
      <c r="C19" s="33" t="s">
        <v>0</v>
      </c>
      <c r="D19"/>
      <c r="J19" s="36"/>
      <c r="K19" s="36"/>
      <c r="L19" s="36"/>
    </row>
    <row r="20" spans="1:12" s="3" customFormat="1" ht="13.5" customHeight="1">
      <c r="A20" s="33" t="s">
        <v>63</v>
      </c>
      <c r="B20" s="33">
        <f>B16*B18</f>
        <v>32.5</v>
      </c>
      <c r="C20" s="33" t="s">
        <v>13</v>
      </c>
      <c r="D20"/>
      <c r="J20" s="36"/>
      <c r="K20" s="36"/>
      <c r="L20" s="36"/>
    </row>
    <row r="21" spans="1:12" s="3" customFormat="1" ht="13.5" customHeight="1">
      <c r="A21" s="33"/>
      <c r="B21" s="33"/>
      <c r="C21" s="33"/>
      <c r="D21"/>
      <c r="J21" s="36"/>
      <c r="K21" s="36"/>
      <c r="L21" s="36"/>
    </row>
    <row r="22" spans="1:12" s="3" customFormat="1" ht="13.5" customHeight="1">
      <c r="A22" s="53" t="s">
        <v>85</v>
      </c>
      <c r="B22" s="33"/>
      <c r="C22" s="33"/>
      <c r="D22"/>
      <c r="J22" s="36"/>
      <c r="K22" s="36"/>
      <c r="L22" s="36"/>
    </row>
    <row r="23" spans="1:13" s="3" customFormat="1" ht="13.5" customHeight="1">
      <c r="A23" s="33"/>
      <c r="B23" s="33"/>
      <c r="C23" s="33"/>
      <c r="D23"/>
      <c r="K23" s="39"/>
      <c r="L23" s="39"/>
      <c r="M23" s="45"/>
    </row>
    <row r="24" spans="1:4" s="3" customFormat="1" ht="13.5" customHeight="1">
      <c r="A24" s="53" t="s">
        <v>49</v>
      </c>
      <c r="B24" s="33"/>
      <c r="C24" s="33"/>
      <c r="D24"/>
    </row>
    <row r="25" spans="1:12" s="3" customFormat="1" ht="13.5" customHeight="1">
      <c r="A25" s="41" t="s">
        <v>18</v>
      </c>
      <c r="B25" s="41">
        <v>22</v>
      </c>
      <c r="C25" s="41" t="s">
        <v>0</v>
      </c>
      <c r="D25"/>
      <c r="J25" s="36"/>
      <c r="K25" s="36"/>
      <c r="L25" s="36"/>
    </row>
    <row r="26" spans="1:12" s="3" customFormat="1" ht="13.5" customHeight="1">
      <c r="A26" s="33" t="s">
        <v>50</v>
      </c>
      <c r="B26" s="33">
        <v>0.3</v>
      </c>
      <c r="C26" s="33" t="s">
        <v>0</v>
      </c>
      <c r="D26"/>
      <c r="J26" s="36"/>
      <c r="K26" s="36"/>
      <c r="L26" s="36"/>
    </row>
    <row r="27" spans="1:12" s="3" customFormat="1" ht="13.5" customHeight="1">
      <c r="A27" s="33" t="s">
        <v>154</v>
      </c>
      <c r="B27" s="33">
        <f>B25*B26</f>
        <v>6.6</v>
      </c>
      <c r="C27" s="33" t="s">
        <v>13</v>
      </c>
      <c r="D27"/>
      <c r="J27" s="36"/>
      <c r="K27" s="36"/>
      <c r="L27" s="36"/>
    </row>
    <row r="28" spans="1:13" s="3" customFormat="1" ht="13.5" customHeight="1">
      <c r="A28" s="33"/>
      <c r="B28" s="33"/>
      <c r="C28" s="33"/>
      <c r="D28"/>
      <c r="K28" s="39"/>
      <c r="L28" s="39"/>
      <c r="M28" s="45"/>
    </row>
    <row r="29" spans="1:4" s="3" customFormat="1" ht="13.5" customHeight="1">
      <c r="A29" s="53" t="s">
        <v>51</v>
      </c>
      <c r="B29" s="33"/>
      <c r="C29" s="33"/>
      <c r="D29"/>
    </row>
    <row r="30" spans="1:13" s="3" customFormat="1" ht="13.5" customHeight="1">
      <c r="A30" s="41" t="s">
        <v>52</v>
      </c>
      <c r="B30" s="41">
        <v>69.87</v>
      </c>
      <c r="C30" s="41" t="s">
        <v>13</v>
      </c>
      <c r="D30"/>
      <c r="K30" s="39"/>
      <c r="L30" s="39"/>
      <c r="M30" s="45"/>
    </row>
    <row r="31" spans="1:12" s="3" customFormat="1" ht="13.5" customHeight="1">
      <c r="A31" s="41" t="s">
        <v>53</v>
      </c>
      <c r="B31" s="41" t="s">
        <v>54</v>
      </c>
      <c r="C31" s="41"/>
      <c r="D31"/>
      <c r="J31" s="36"/>
      <c r="K31" s="36"/>
      <c r="L31" s="36"/>
    </row>
    <row r="32" spans="1:4" s="3" customFormat="1" ht="13.5" customHeight="1">
      <c r="A32" s="41" t="s">
        <v>55</v>
      </c>
      <c r="B32" s="41">
        <v>1</v>
      </c>
      <c r="C32" s="41" t="s">
        <v>13</v>
      </c>
      <c r="D32"/>
    </row>
    <row r="33" spans="1:12" s="3" customFormat="1" ht="13.5" customHeight="1">
      <c r="A33" s="41" t="s">
        <v>56</v>
      </c>
      <c r="B33" s="41"/>
      <c r="C33" s="41"/>
      <c r="D33"/>
      <c r="J33" s="36"/>
      <c r="K33" s="36"/>
      <c r="L33" s="36"/>
    </row>
    <row r="34" spans="1:12" s="3" customFormat="1" ht="13.5" customHeight="1">
      <c r="A34" s="33" t="s">
        <v>57</v>
      </c>
      <c r="B34" s="33">
        <f>ROUND(B30/1/1,0)</f>
        <v>70</v>
      </c>
      <c r="C34" s="33" t="s">
        <v>15</v>
      </c>
      <c r="D34"/>
      <c r="J34" s="36"/>
      <c r="K34" s="36"/>
      <c r="L34" s="36"/>
    </row>
    <row r="35" spans="1:13" s="3" customFormat="1" ht="13.5" customHeight="1">
      <c r="A35" s="33" t="s">
        <v>58</v>
      </c>
      <c r="B35" s="33">
        <f>B32*B34</f>
        <v>70</v>
      </c>
      <c r="C35" s="33" t="s">
        <v>0</v>
      </c>
      <c r="D35"/>
      <c r="J35" s="35"/>
      <c r="K35" s="39"/>
      <c r="L35" s="39"/>
      <c r="M35" s="45"/>
    </row>
    <row r="36" spans="1:4" s="3" customFormat="1" ht="12.75">
      <c r="A36" s="33"/>
      <c r="B36" s="33"/>
      <c r="C36" s="33"/>
      <c r="D36"/>
    </row>
    <row r="37" ht="12.75">
      <c r="A37" s="42" t="s">
        <v>66</v>
      </c>
    </row>
    <row r="38" spans="1:3" ht="12.75">
      <c r="A38" s="41" t="s">
        <v>79</v>
      </c>
      <c r="B38" s="41">
        <v>1</v>
      </c>
      <c r="C38" s="41" t="s">
        <v>15</v>
      </c>
    </row>
    <row r="39" spans="1:3" ht="12.75">
      <c r="A39" s="41" t="s">
        <v>80</v>
      </c>
      <c r="B39" s="41">
        <v>1</v>
      </c>
      <c r="C39" s="41" t="s">
        <v>15</v>
      </c>
    </row>
    <row r="40" spans="1:3" ht="12.75">
      <c r="A40" s="41" t="s">
        <v>70</v>
      </c>
      <c r="B40" s="41">
        <v>4</v>
      </c>
      <c r="C40" s="41" t="s">
        <v>15</v>
      </c>
    </row>
    <row r="41" spans="1:3" ht="12.75">
      <c r="A41" s="41" t="s">
        <v>71</v>
      </c>
      <c r="B41" s="41">
        <v>11</v>
      </c>
      <c r="C41" s="41" t="s">
        <v>15</v>
      </c>
    </row>
    <row r="42" spans="1:3" ht="12.75">
      <c r="A42" s="33" t="s">
        <v>81</v>
      </c>
      <c r="B42">
        <f>B41*B38</f>
        <v>11</v>
      </c>
      <c r="C42" s="33" t="s">
        <v>15</v>
      </c>
    </row>
    <row r="43" spans="1:3" ht="12.75">
      <c r="A43" s="33" t="s">
        <v>82</v>
      </c>
      <c r="B43">
        <f>B38*B40</f>
        <v>4</v>
      </c>
      <c r="C43" s="33" t="s">
        <v>15</v>
      </c>
    </row>
    <row r="44" spans="1:3" ht="12.75">
      <c r="A44" s="33" t="s">
        <v>83</v>
      </c>
      <c r="B44">
        <f>B39*B41</f>
        <v>11</v>
      </c>
      <c r="C44" s="33" t="s">
        <v>15</v>
      </c>
    </row>
    <row r="45" spans="1:3" ht="26.25">
      <c r="A45" s="71" t="s">
        <v>84</v>
      </c>
      <c r="B45">
        <f>B39*B40</f>
        <v>4</v>
      </c>
      <c r="C45" s="33" t="s">
        <v>15</v>
      </c>
    </row>
    <row r="46" spans="1:3" ht="12.75">
      <c r="A46" s="33" t="s">
        <v>67</v>
      </c>
      <c r="B46">
        <f>1.5*3*(B42+B44)</f>
        <v>99</v>
      </c>
      <c r="C46" s="33" t="s">
        <v>13</v>
      </c>
    </row>
    <row r="47" spans="1:3" ht="12.75">
      <c r="A47" s="33" t="s">
        <v>269</v>
      </c>
      <c r="B47" s="33">
        <f>1.5*3*B41</f>
        <v>49.5</v>
      </c>
      <c r="C47" s="33" t="s">
        <v>13</v>
      </c>
    </row>
    <row r="49" spans="1:3" ht="12.75">
      <c r="A49" s="33" t="s">
        <v>68</v>
      </c>
      <c r="B49">
        <v>3.9</v>
      </c>
      <c r="C49" s="33" t="s">
        <v>0</v>
      </c>
    </row>
    <row r="50" spans="1:3" ht="12.75">
      <c r="A50" s="33" t="s">
        <v>69</v>
      </c>
      <c r="B50">
        <v>3.1</v>
      </c>
      <c r="C50" s="33" t="s">
        <v>0</v>
      </c>
    </row>
    <row r="51" spans="1:3" ht="12.75">
      <c r="A51" s="41" t="s">
        <v>260</v>
      </c>
      <c r="B51" s="41">
        <v>2</v>
      </c>
      <c r="C51" s="41" t="s">
        <v>15</v>
      </c>
    </row>
    <row r="52" spans="1:3" ht="12.75">
      <c r="A52" s="41" t="s">
        <v>261</v>
      </c>
      <c r="B52" s="41">
        <v>4</v>
      </c>
      <c r="C52" s="41" t="s">
        <v>15</v>
      </c>
    </row>
    <row r="53" spans="1:3" ht="12.75">
      <c r="A53" s="41" t="s">
        <v>72</v>
      </c>
      <c r="B53" s="41">
        <v>19.5</v>
      </c>
      <c r="C53" s="41" t="s">
        <v>73</v>
      </c>
    </row>
    <row r="54" spans="1:3" ht="12.75">
      <c r="A54" s="41" t="s">
        <v>262</v>
      </c>
      <c r="B54" s="41">
        <v>3</v>
      </c>
      <c r="C54" s="41" t="s">
        <v>15</v>
      </c>
    </row>
    <row r="55" spans="1:3" ht="12.75">
      <c r="A55" s="41" t="s">
        <v>263</v>
      </c>
      <c r="B55" s="41">
        <v>4</v>
      </c>
      <c r="C55" s="41" t="s">
        <v>15</v>
      </c>
    </row>
    <row r="56" spans="1:3" ht="12.75">
      <c r="A56" s="33" t="s">
        <v>74</v>
      </c>
      <c r="B56" s="33">
        <f>B51*(B49*B54+B50*B55)</f>
        <v>48.2</v>
      </c>
      <c r="C56" s="33" t="s">
        <v>0</v>
      </c>
    </row>
    <row r="57" spans="1:3" ht="12.75">
      <c r="A57" s="33" t="s">
        <v>75</v>
      </c>
      <c r="B57" s="33">
        <f>B56*B53</f>
        <v>939.9000000000001</v>
      </c>
      <c r="C57" s="33" t="s">
        <v>76</v>
      </c>
    </row>
    <row r="58" spans="1:3" ht="12.75">
      <c r="A58" s="33" t="s">
        <v>77</v>
      </c>
      <c r="B58" s="33">
        <f>(B52*(B49*B54+B50*B55))*B53</f>
        <v>1879.8000000000002</v>
      </c>
      <c r="C58" s="33" t="s">
        <v>76</v>
      </c>
    </row>
    <row r="60" spans="1:3" ht="12.75">
      <c r="A60" s="33" t="s">
        <v>264</v>
      </c>
      <c r="B60">
        <v>6.2</v>
      </c>
      <c r="C60" s="33" t="s">
        <v>0</v>
      </c>
    </row>
    <row r="61" spans="1:3" ht="12.75">
      <c r="A61" s="33" t="s">
        <v>265</v>
      </c>
      <c r="B61">
        <f>2*B60</f>
        <v>12.4</v>
      </c>
      <c r="C61" s="33" t="s">
        <v>0</v>
      </c>
    </row>
    <row r="62" spans="1:3" ht="12.75">
      <c r="A62" s="33" t="s">
        <v>267</v>
      </c>
      <c r="B62">
        <f>7*1.34</f>
        <v>9.38</v>
      </c>
      <c r="C62" s="33" t="s">
        <v>0</v>
      </c>
    </row>
    <row r="63" spans="1:3" ht="12.75">
      <c r="A63" s="33" t="s">
        <v>266</v>
      </c>
      <c r="B63">
        <f>B60</f>
        <v>6.2</v>
      </c>
      <c r="C63" s="33" t="s">
        <v>0</v>
      </c>
    </row>
    <row r="64" spans="1:3" ht="12.75">
      <c r="A64" s="33"/>
      <c r="C64" s="33"/>
    </row>
    <row r="65" spans="1:3" ht="12.75">
      <c r="A65" s="33" t="s">
        <v>78</v>
      </c>
      <c r="B65">
        <v>6.2</v>
      </c>
      <c r="C65" s="33" t="s">
        <v>0</v>
      </c>
    </row>
    <row r="66" spans="1:3" ht="12.75">
      <c r="A66" s="33" t="s">
        <v>265</v>
      </c>
      <c r="B66">
        <f>2*B65</f>
        <v>12.4</v>
      </c>
      <c r="C66" s="33" t="s">
        <v>0</v>
      </c>
    </row>
    <row r="67" spans="1:3" ht="12.75">
      <c r="A67" s="33" t="s">
        <v>267</v>
      </c>
      <c r="B67">
        <f>7*1.34</f>
        <v>9.38</v>
      </c>
      <c r="C67" s="33" t="s">
        <v>0</v>
      </c>
    </row>
    <row r="68" spans="1:3" ht="12.75">
      <c r="A68" s="33" t="s">
        <v>266</v>
      </c>
      <c r="B68">
        <f>B65</f>
        <v>6.2</v>
      </c>
      <c r="C68" s="33" t="s">
        <v>0</v>
      </c>
    </row>
    <row r="70" ht="12.75">
      <c r="A70" s="42" t="s">
        <v>156</v>
      </c>
    </row>
    <row r="71" spans="1:3" ht="12.75">
      <c r="A71" s="33" t="s">
        <v>242</v>
      </c>
      <c r="B71">
        <v>0.7</v>
      </c>
      <c r="C71" s="33" t="s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7">
      <selection activeCell="C49" sqref="C49"/>
    </sheetView>
  </sheetViews>
  <sheetFormatPr defaultColWidth="9.140625" defaultRowHeight="12.75"/>
  <cols>
    <col min="1" max="1" width="39.7109375" style="0" customWidth="1"/>
    <col min="2" max="2" width="6.57421875" style="0" bestFit="1" customWidth="1"/>
  </cols>
  <sheetData>
    <row r="1" ht="23.25" customHeight="1">
      <c r="A1" s="60" t="s">
        <v>116</v>
      </c>
    </row>
    <row r="2" ht="12.75">
      <c r="A2" s="42"/>
    </row>
    <row r="3" spans="1:3" ht="12.75">
      <c r="A3" s="42" t="s">
        <v>23</v>
      </c>
      <c r="B3">
        <v>95.75</v>
      </c>
      <c r="C3" t="s">
        <v>13</v>
      </c>
    </row>
    <row r="4" ht="12.75">
      <c r="A4" s="42"/>
    </row>
    <row r="5" ht="12.75">
      <c r="A5" s="42" t="s">
        <v>28</v>
      </c>
    </row>
    <row r="6" ht="12.75">
      <c r="A6" s="53" t="s">
        <v>29</v>
      </c>
    </row>
    <row r="7" spans="1:3" ht="12.75">
      <c r="A7" s="41" t="s">
        <v>44</v>
      </c>
      <c r="B7" s="41">
        <v>1.2</v>
      </c>
      <c r="C7" s="41" t="s">
        <v>0</v>
      </c>
    </row>
    <row r="8" spans="1:3" ht="12.75">
      <c r="A8" s="41" t="s">
        <v>45</v>
      </c>
      <c r="B8" s="41">
        <v>1.3</v>
      </c>
      <c r="C8" s="41" t="s">
        <v>0</v>
      </c>
    </row>
    <row r="9" spans="1:3" ht="12.75">
      <c r="A9" s="41" t="s">
        <v>46</v>
      </c>
      <c r="B9" s="41">
        <v>14</v>
      </c>
      <c r="C9" s="41"/>
    </row>
    <row r="10" spans="1:3" ht="12.75">
      <c r="A10" s="33" t="s">
        <v>30</v>
      </c>
      <c r="B10">
        <f>(B7+B8)*B9</f>
        <v>35</v>
      </c>
      <c r="C10" s="33" t="s">
        <v>0</v>
      </c>
    </row>
    <row r="11" spans="1:3" ht="12.75">
      <c r="A11" s="33"/>
      <c r="C11" s="33"/>
    </row>
    <row r="12" ht="12.75">
      <c r="A12" s="53" t="s">
        <v>59</v>
      </c>
    </row>
    <row r="13" spans="1:3" ht="12.75">
      <c r="A13" s="41" t="s">
        <v>18</v>
      </c>
      <c r="B13" s="41">
        <v>44</v>
      </c>
      <c r="C13" s="41" t="s">
        <v>0</v>
      </c>
    </row>
    <row r="14" spans="1:3" ht="12.75">
      <c r="A14" s="41" t="s">
        <v>31</v>
      </c>
      <c r="B14" s="41">
        <v>2</v>
      </c>
      <c r="C14" s="41"/>
    </row>
    <row r="15" spans="1:3" ht="12.75">
      <c r="A15" s="33" t="s">
        <v>33</v>
      </c>
      <c r="B15" s="33">
        <f>2*B13*B14</f>
        <v>176</v>
      </c>
      <c r="C15" s="33" t="s">
        <v>0</v>
      </c>
    </row>
    <row r="16" spans="1:3" ht="12.75">
      <c r="A16" s="33"/>
      <c r="B16" s="33"/>
      <c r="C16" s="33"/>
    </row>
    <row r="17" spans="1:3" ht="12.75">
      <c r="A17" s="53" t="s">
        <v>60</v>
      </c>
      <c r="B17" s="33"/>
      <c r="C17" s="33"/>
    </row>
    <row r="18" spans="1:3" ht="12.75">
      <c r="A18" s="41" t="s">
        <v>61</v>
      </c>
      <c r="B18" s="41">
        <v>9</v>
      </c>
      <c r="C18" s="41"/>
    </row>
    <row r="19" spans="1:3" ht="12.75">
      <c r="A19" s="41" t="s">
        <v>65</v>
      </c>
      <c r="B19" s="41">
        <v>5.7</v>
      </c>
      <c r="C19" s="41" t="s">
        <v>0</v>
      </c>
    </row>
    <row r="20" spans="1:3" ht="12.75">
      <c r="A20" s="41" t="s">
        <v>64</v>
      </c>
      <c r="B20" s="41">
        <v>4.47</v>
      </c>
      <c r="C20" s="41" t="s">
        <v>13</v>
      </c>
    </row>
    <row r="21" spans="1:3" ht="12.75">
      <c r="A21" s="33" t="s">
        <v>62</v>
      </c>
      <c r="B21" s="33">
        <f>B18*B19</f>
        <v>51.300000000000004</v>
      </c>
      <c r="C21" s="33" t="s">
        <v>0</v>
      </c>
    </row>
    <row r="22" spans="1:3" ht="12.75">
      <c r="A22" s="33" t="s">
        <v>63</v>
      </c>
      <c r="B22" s="33">
        <f>B18*B20</f>
        <v>40.23</v>
      </c>
      <c r="C22" s="33" t="s">
        <v>13</v>
      </c>
    </row>
    <row r="23" spans="1:3" ht="12.75">
      <c r="A23" s="33"/>
      <c r="B23" s="33"/>
      <c r="C23" s="33"/>
    </row>
    <row r="24" spans="1:3" ht="12.75">
      <c r="A24" s="53" t="s">
        <v>85</v>
      </c>
      <c r="B24" s="33"/>
      <c r="C24" s="33"/>
    </row>
    <row r="25" ht="12.75">
      <c r="A25" s="42"/>
    </row>
    <row r="26" spans="1:3" ht="12.75">
      <c r="A26" s="49" t="s">
        <v>130</v>
      </c>
      <c r="B26" s="3">
        <v>45.6</v>
      </c>
      <c r="C26" s="35" t="s">
        <v>13</v>
      </c>
    </row>
    <row r="27" spans="1:3" ht="12.75">
      <c r="A27" s="14" t="s">
        <v>132</v>
      </c>
      <c r="B27" s="35">
        <f>B26</f>
        <v>45.6</v>
      </c>
      <c r="C27" s="14" t="s">
        <v>13</v>
      </c>
    </row>
    <row r="28" spans="1:3" ht="12.75">
      <c r="A28" s="14" t="s">
        <v>133</v>
      </c>
      <c r="B28" s="35">
        <f>(0.23+0.49)/2*11.2+(0.49+0.4)/2*7.6</f>
        <v>7.414</v>
      </c>
      <c r="C28" s="14" t="s">
        <v>14</v>
      </c>
    </row>
    <row r="29" spans="1:3" ht="12.75">
      <c r="A29" s="14" t="s">
        <v>134</v>
      </c>
      <c r="B29" s="35">
        <f>B26</f>
        <v>45.6</v>
      </c>
      <c r="C29" s="14" t="s">
        <v>13</v>
      </c>
    </row>
    <row r="30" spans="1:3" ht="12.75">
      <c r="A30" s="14" t="s">
        <v>135</v>
      </c>
      <c r="B30" s="35">
        <f>B26</f>
        <v>45.6</v>
      </c>
      <c r="C30" s="14" t="s">
        <v>13</v>
      </c>
    </row>
    <row r="31" spans="1:3" ht="12.75">
      <c r="A31" s="49"/>
      <c r="B31" s="3"/>
      <c r="C31" s="35"/>
    </row>
    <row r="32" spans="1:3" ht="12.75">
      <c r="A32" s="49" t="s">
        <v>161</v>
      </c>
      <c r="B32" s="3"/>
      <c r="C32" s="35"/>
    </row>
    <row r="33" spans="1:3" ht="13.5">
      <c r="A33" s="14" t="s">
        <v>165</v>
      </c>
      <c r="B33" s="35">
        <f>4+2*6.8+4</f>
        <v>21.6</v>
      </c>
      <c r="C33" s="14" t="s">
        <v>0</v>
      </c>
    </row>
    <row r="34" spans="1:3" ht="12.75">
      <c r="A34" s="14" t="s">
        <v>164</v>
      </c>
      <c r="B34" s="35">
        <f>3.8+2*5+4</f>
        <v>17.8</v>
      </c>
      <c r="C34" s="14" t="s">
        <v>0</v>
      </c>
    </row>
    <row r="35" spans="1:5" ht="12.75">
      <c r="A35" s="14" t="s">
        <v>163</v>
      </c>
      <c r="B35" s="35">
        <f>4+2*7+4.5</f>
        <v>22.5</v>
      </c>
      <c r="C35" s="14" t="s">
        <v>0</v>
      </c>
      <c r="D35">
        <f>27.4*B35</f>
        <v>616.5</v>
      </c>
      <c r="E35" s="33" t="s">
        <v>76</v>
      </c>
    </row>
    <row r="36" spans="1:3" ht="12.75">
      <c r="A36" s="54" t="s">
        <v>169</v>
      </c>
      <c r="B36" s="46">
        <f>0.7+1.4+2*2.2</f>
        <v>6.5</v>
      </c>
      <c r="C36" s="46" t="s">
        <v>0</v>
      </c>
    </row>
    <row r="37" spans="1:5" ht="12.75">
      <c r="A37" s="14" t="s">
        <v>167</v>
      </c>
      <c r="B37" s="35">
        <f>2*B36</f>
        <v>13</v>
      </c>
      <c r="C37" s="14" t="s">
        <v>168</v>
      </c>
      <c r="D37">
        <f>13.43*B37</f>
        <v>174.59</v>
      </c>
      <c r="E37" s="33" t="s">
        <v>76</v>
      </c>
    </row>
    <row r="38" spans="1:5" ht="12.75">
      <c r="A38" s="14" t="s">
        <v>166</v>
      </c>
      <c r="B38" s="35">
        <f>2*0.35</f>
        <v>0.7</v>
      </c>
      <c r="C38" s="14" t="s">
        <v>0</v>
      </c>
      <c r="D38">
        <f>18.8*B38</f>
        <v>13.16</v>
      </c>
      <c r="E38" s="33" t="s">
        <v>76</v>
      </c>
    </row>
    <row r="39" spans="1:3" ht="12.75">
      <c r="A39" s="54" t="s">
        <v>170</v>
      </c>
      <c r="B39" s="46">
        <v>1.4</v>
      </c>
      <c r="C39" s="46" t="s">
        <v>0</v>
      </c>
    </row>
    <row r="40" spans="1:5" ht="12.75">
      <c r="A40" s="14" t="s">
        <v>171</v>
      </c>
      <c r="B40" s="35">
        <f>2*B39</f>
        <v>2.8</v>
      </c>
      <c r="C40" s="35" t="s">
        <v>0</v>
      </c>
      <c r="D40">
        <f>23*B40</f>
        <v>64.39999999999999</v>
      </c>
      <c r="E40" s="33" t="s">
        <v>76</v>
      </c>
    </row>
    <row r="41" spans="1:5" ht="12.75">
      <c r="A41" s="14" t="s">
        <v>172</v>
      </c>
      <c r="B41" s="35">
        <f>5+4</f>
        <v>9</v>
      </c>
      <c r="C41" s="35" t="s">
        <v>0</v>
      </c>
      <c r="D41">
        <f>36.3*B41</f>
        <v>326.7</v>
      </c>
      <c r="E41" s="33" t="s">
        <v>76</v>
      </c>
    </row>
    <row r="42" spans="1:3" ht="12.75">
      <c r="A42" s="14" t="s">
        <v>34</v>
      </c>
      <c r="B42" s="35">
        <f>3.35*1.4</f>
        <v>4.6899999999999995</v>
      </c>
      <c r="C42" s="35" t="s">
        <v>13</v>
      </c>
    </row>
    <row r="43" spans="1:3" ht="12.75">
      <c r="A43" s="14" t="s">
        <v>173</v>
      </c>
      <c r="B43" s="35">
        <f>1.65*1.2</f>
        <v>1.9799999999999998</v>
      </c>
      <c r="C43" s="35" t="s">
        <v>13</v>
      </c>
    </row>
    <row r="44" spans="1:3" ht="39" customHeight="1">
      <c r="A44" s="94" t="s">
        <v>174</v>
      </c>
      <c r="B44" s="35">
        <v>21.5</v>
      </c>
      <c r="C44" s="14" t="s">
        <v>0</v>
      </c>
    </row>
    <row r="45" spans="1:3" ht="12.75">
      <c r="A45" s="14" t="s">
        <v>175</v>
      </c>
      <c r="B45" s="35"/>
      <c r="C45" s="35"/>
    </row>
    <row r="46" spans="1:3" ht="12.75">
      <c r="A46" s="14" t="s">
        <v>176</v>
      </c>
      <c r="B46" s="35">
        <f>1+2+1</f>
        <v>4</v>
      </c>
      <c r="C46" s="14" t="s">
        <v>15</v>
      </c>
    </row>
    <row r="47" spans="1:3" ht="12.75">
      <c r="A47" s="94" t="s">
        <v>177</v>
      </c>
      <c r="B47" s="35">
        <f>0.2+2*0.45+0.6</f>
        <v>1.7000000000000002</v>
      </c>
      <c r="C47" s="35" t="s">
        <v>0</v>
      </c>
    </row>
    <row r="48" spans="1:3" ht="12.75">
      <c r="A48" s="94" t="s">
        <v>278</v>
      </c>
      <c r="B48" s="35">
        <v>8</v>
      </c>
      <c r="C48" s="14" t="s">
        <v>0</v>
      </c>
    </row>
    <row r="49" spans="1:3" ht="12.75">
      <c r="A49" s="94"/>
      <c r="B49" s="35"/>
      <c r="C49" s="35"/>
    </row>
    <row r="50" spans="1:3" ht="12.75">
      <c r="A50" s="95" t="s">
        <v>178</v>
      </c>
      <c r="B50" s="46"/>
      <c r="C50" s="46"/>
    </row>
    <row r="51" spans="1:3" ht="12.75">
      <c r="A51" s="93" t="s">
        <v>18</v>
      </c>
      <c r="B51" s="46">
        <v>9</v>
      </c>
      <c r="C51" s="46" t="s">
        <v>0</v>
      </c>
    </row>
    <row r="52" spans="1:3" ht="12.75">
      <c r="A52" s="41" t="s">
        <v>179</v>
      </c>
      <c r="B52" s="41">
        <v>0.7</v>
      </c>
      <c r="C52" s="54" t="s">
        <v>0</v>
      </c>
    </row>
    <row r="53" spans="1:3" ht="12.75">
      <c r="A53" s="41" t="s">
        <v>98</v>
      </c>
      <c r="B53" s="41">
        <v>0.5</v>
      </c>
      <c r="C53" s="54" t="s">
        <v>0</v>
      </c>
    </row>
    <row r="54" spans="1:3" ht="12.75">
      <c r="A54" s="100" t="s">
        <v>180</v>
      </c>
      <c r="B54" s="101">
        <f>0.5*B51*B52*B53</f>
        <v>1.575</v>
      </c>
      <c r="C54" s="101" t="s">
        <v>14</v>
      </c>
    </row>
    <row r="55" spans="1:3" ht="12.75">
      <c r="A55" s="100" t="s">
        <v>181</v>
      </c>
      <c r="B55" s="101">
        <f>0.5*B51*B52</f>
        <v>3.15</v>
      </c>
      <c r="C55" s="101" t="s">
        <v>13</v>
      </c>
    </row>
    <row r="56" spans="1:3" ht="12.75">
      <c r="A56" s="100" t="s">
        <v>243</v>
      </c>
      <c r="B56" s="101">
        <f>0.5*B51</f>
        <v>4.5</v>
      </c>
      <c r="C56" s="101" t="s">
        <v>0</v>
      </c>
    </row>
    <row r="57" spans="1:3" ht="12.75">
      <c r="A57" s="100" t="s">
        <v>244</v>
      </c>
      <c r="B57" s="101">
        <v>4</v>
      </c>
      <c r="C57" s="101" t="s">
        <v>15</v>
      </c>
    </row>
    <row r="58" spans="1:3" ht="12.75">
      <c r="A58" s="100" t="s">
        <v>245</v>
      </c>
      <c r="B58" s="101">
        <f>B56</f>
        <v>4.5</v>
      </c>
      <c r="C58" s="101" t="s">
        <v>0</v>
      </c>
    </row>
    <row r="59" spans="1:3" ht="12.75">
      <c r="A59" s="54"/>
      <c r="B59" s="46"/>
      <c r="C59" s="46"/>
    </row>
    <row r="60" spans="1:3" ht="12.75">
      <c r="A60" s="102" t="s">
        <v>182</v>
      </c>
      <c r="B60" s="46"/>
      <c r="C60" s="46"/>
    </row>
    <row r="61" spans="1:3" ht="12.75">
      <c r="A61" s="54" t="s">
        <v>183</v>
      </c>
      <c r="B61" s="46">
        <v>2</v>
      </c>
      <c r="C61" s="54" t="s">
        <v>0</v>
      </c>
    </row>
    <row r="62" spans="1:3" ht="12.75">
      <c r="A62" s="54" t="s">
        <v>26</v>
      </c>
      <c r="B62" s="46">
        <v>9.1</v>
      </c>
      <c r="C62" s="54" t="s">
        <v>0</v>
      </c>
    </row>
    <row r="63" spans="1:3" ht="12.75">
      <c r="A63" s="54" t="s">
        <v>26</v>
      </c>
      <c r="B63" s="46">
        <v>2.5</v>
      </c>
      <c r="C63" s="54" t="s">
        <v>0</v>
      </c>
    </row>
    <row r="64" spans="1:3" ht="12.75">
      <c r="A64" s="99" t="s">
        <v>184</v>
      </c>
      <c r="B64" s="46">
        <v>0.35</v>
      </c>
      <c r="C64" s="54" t="s">
        <v>0</v>
      </c>
    </row>
    <row r="65" spans="1:3" ht="12.75">
      <c r="A65" s="99" t="s">
        <v>184</v>
      </c>
      <c r="B65" s="46">
        <v>0.6</v>
      </c>
      <c r="C65" s="54" t="s">
        <v>0</v>
      </c>
    </row>
    <row r="66" spans="1:3" ht="12.75">
      <c r="A66" s="100" t="s">
        <v>185</v>
      </c>
      <c r="B66" s="101">
        <f>B61*(B62*B64+B63*B65)</f>
        <v>9.37</v>
      </c>
      <c r="C66" s="101" t="s">
        <v>14</v>
      </c>
    </row>
    <row r="67" spans="1:3" ht="12.75">
      <c r="A67" s="14" t="s">
        <v>186</v>
      </c>
      <c r="B67" s="35">
        <f>17.7*0.5</f>
        <v>8.85</v>
      </c>
      <c r="C67" s="35" t="s">
        <v>14</v>
      </c>
    </row>
    <row r="68" spans="1:3" ht="12.75">
      <c r="A68" s="14"/>
      <c r="B68" s="35"/>
      <c r="C68" s="35"/>
    </row>
    <row r="69" spans="1:3" ht="12.75">
      <c r="A69" s="49" t="s">
        <v>198</v>
      </c>
      <c r="B69" s="35">
        <f>0.95*1.4</f>
        <v>1.3299999999999998</v>
      </c>
      <c r="C69" s="35" t="s">
        <v>13</v>
      </c>
    </row>
    <row r="70" spans="1:3" ht="26.25">
      <c r="A70" s="95" t="s">
        <v>199</v>
      </c>
      <c r="B70" s="35">
        <f>1*0.3*0.5</f>
        <v>0.15</v>
      </c>
      <c r="C70" s="14" t="s">
        <v>14</v>
      </c>
    </row>
    <row r="71" spans="1:3" ht="12.75">
      <c r="A71" s="54"/>
      <c r="B71" s="46"/>
      <c r="C71" s="46"/>
    </row>
    <row r="72" ht="12.75">
      <c r="A72" s="42" t="s">
        <v>146</v>
      </c>
    </row>
    <row r="73" spans="1:3" ht="51" customHeight="1">
      <c r="A73" s="71" t="s">
        <v>139</v>
      </c>
      <c r="B73">
        <v>36.3</v>
      </c>
      <c r="C73" s="33" t="s">
        <v>0</v>
      </c>
    </row>
    <row r="74" spans="1:3" ht="34.5" customHeight="1">
      <c r="A74" s="71" t="s">
        <v>122</v>
      </c>
      <c r="B74">
        <f>6.1+30.8</f>
        <v>36.9</v>
      </c>
      <c r="C74" s="33" t="s">
        <v>0</v>
      </c>
    </row>
    <row r="75" spans="1:3" ht="12.75">
      <c r="A75" s="41" t="s">
        <v>119</v>
      </c>
      <c r="B75" s="41">
        <f>1.25*(0.3*0.3*0.6)</f>
        <v>0.0675</v>
      </c>
      <c r="C75" s="41" t="s">
        <v>14</v>
      </c>
    </row>
    <row r="76" spans="1:3" ht="12.75">
      <c r="A76" s="41" t="s">
        <v>120</v>
      </c>
      <c r="B76" s="41">
        <f>ROUND(B74/2,0)</f>
        <v>18</v>
      </c>
      <c r="C76" s="41" t="s">
        <v>15</v>
      </c>
    </row>
    <row r="77" spans="1:3" ht="12.75">
      <c r="A77" s="33" t="s">
        <v>121</v>
      </c>
      <c r="B77">
        <f>B75*B76</f>
        <v>1.215</v>
      </c>
      <c r="C77" s="33" t="s">
        <v>14</v>
      </c>
    </row>
    <row r="78" spans="1:3" ht="12.75">
      <c r="A78" s="33" t="s">
        <v>123</v>
      </c>
      <c r="C78" s="33"/>
    </row>
    <row r="79" spans="1:3" ht="12.75">
      <c r="A79" s="41" t="s">
        <v>124</v>
      </c>
      <c r="B79" s="41">
        <f>0.2*0.2</f>
        <v>0.04000000000000001</v>
      </c>
      <c r="C79" s="41" t="s">
        <v>13</v>
      </c>
    </row>
    <row r="80" spans="1:3" ht="12.75">
      <c r="A80" s="41" t="s">
        <v>129</v>
      </c>
      <c r="B80" s="41">
        <v>4</v>
      </c>
      <c r="C80" s="41" t="s">
        <v>125</v>
      </c>
    </row>
    <row r="81" spans="1:3" ht="12.75">
      <c r="A81" s="41" t="s">
        <v>126</v>
      </c>
      <c r="B81" s="41">
        <v>4</v>
      </c>
      <c r="C81" s="41" t="s">
        <v>125</v>
      </c>
    </row>
    <row r="82" spans="1:3" ht="12.75">
      <c r="A82" s="41" t="s">
        <v>127</v>
      </c>
      <c r="B82" s="41">
        <v>0.2</v>
      </c>
      <c r="C82" s="41" t="s">
        <v>0</v>
      </c>
    </row>
    <row r="83" spans="1:3" ht="12.75">
      <c r="A83" s="33" t="s">
        <v>124</v>
      </c>
      <c r="B83" s="33">
        <f>B79*B76</f>
        <v>0.7200000000000002</v>
      </c>
      <c r="C83" s="33" t="s">
        <v>13</v>
      </c>
    </row>
    <row r="84" spans="1:3" ht="12.75">
      <c r="A84" s="33" t="s">
        <v>128</v>
      </c>
      <c r="B84" s="33">
        <f>B80*B76</f>
        <v>72</v>
      </c>
      <c r="C84" s="33" t="s">
        <v>15</v>
      </c>
    </row>
    <row r="85" spans="1:3" ht="12.75">
      <c r="A85" s="33" t="s">
        <v>126</v>
      </c>
      <c r="B85" s="33">
        <f>B81*B76</f>
        <v>72</v>
      </c>
      <c r="C85" s="33" t="s">
        <v>15</v>
      </c>
    </row>
    <row r="86" spans="1:3" ht="12.75">
      <c r="A86" s="33" t="s">
        <v>127</v>
      </c>
      <c r="B86" s="33">
        <f>B82*B76</f>
        <v>3.6</v>
      </c>
      <c r="C86" s="33" t="s">
        <v>0</v>
      </c>
    </row>
    <row r="87" spans="1:3" ht="12.75">
      <c r="A87" s="33" t="s">
        <v>150</v>
      </c>
      <c r="B87" s="97">
        <f>0.2*0.2*0.01*B76</f>
        <v>0.0072000000000000015</v>
      </c>
      <c r="C87" s="33" t="s">
        <v>14</v>
      </c>
    </row>
    <row r="88" spans="1:3" ht="12.75">
      <c r="A88" s="33"/>
      <c r="B88" s="97"/>
      <c r="C88" s="33"/>
    </row>
    <row r="89" ht="12.75">
      <c r="A89" s="42" t="s">
        <v>145</v>
      </c>
    </row>
    <row r="90" ht="12.75">
      <c r="A90" s="53" t="s">
        <v>187</v>
      </c>
    </row>
    <row r="91" spans="1:3" ht="12.75">
      <c r="A91" s="33" t="s">
        <v>141</v>
      </c>
      <c r="B91">
        <v>14.8</v>
      </c>
      <c r="C91" s="33" t="s">
        <v>0</v>
      </c>
    </row>
    <row r="92" spans="1:3" ht="12.75">
      <c r="A92" s="33" t="s">
        <v>142</v>
      </c>
      <c r="B92">
        <v>14.5</v>
      </c>
      <c r="C92" s="33" t="s">
        <v>0</v>
      </c>
    </row>
    <row r="93" spans="1:3" ht="12.75">
      <c r="A93" s="33" t="s">
        <v>143</v>
      </c>
      <c r="B93">
        <v>4</v>
      </c>
      <c r="C93" s="33" t="s">
        <v>0</v>
      </c>
    </row>
    <row r="94" spans="1:3" ht="12.75">
      <c r="A94" s="41" t="s">
        <v>119</v>
      </c>
      <c r="B94" s="41">
        <f>1.25*(0.3*0.3*0.6)</f>
        <v>0.0675</v>
      </c>
      <c r="C94" s="41" t="s">
        <v>14</v>
      </c>
    </row>
    <row r="95" spans="1:3" ht="12.75">
      <c r="A95" s="41" t="s">
        <v>144</v>
      </c>
      <c r="B95" s="41">
        <f>ROUND(B92/2,0)+ROUND(B93/2,0)</f>
        <v>9</v>
      </c>
      <c r="C95" s="41" t="s">
        <v>15</v>
      </c>
    </row>
    <row r="96" spans="1:3" ht="12.75">
      <c r="A96" s="41"/>
      <c r="B96" s="41"/>
      <c r="C96" s="41"/>
    </row>
    <row r="97" spans="1:3" ht="12.75">
      <c r="A97" s="42" t="s">
        <v>192</v>
      </c>
      <c r="B97" s="41"/>
      <c r="C97" s="41"/>
    </row>
    <row r="98" spans="1:3" ht="12.75">
      <c r="A98" s="41" t="s">
        <v>188</v>
      </c>
      <c r="B98" s="41">
        <v>3.3</v>
      </c>
      <c r="C98" s="41" t="s">
        <v>0</v>
      </c>
    </row>
    <row r="99" spans="1:3" ht="12.75">
      <c r="A99" s="41" t="s">
        <v>190</v>
      </c>
      <c r="B99" s="41">
        <v>0.1</v>
      </c>
      <c r="C99" s="41" t="s">
        <v>0</v>
      </c>
    </row>
    <row r="100" spans="1:3" ht="12.75">
      <c r="A100" s="41" t="s">
        <v>191</v>
      </c>
      <c r="B100" s="41">
        <v>0.35</v>
      </c>
      <c r="C100" s="41" t="s">
        <v>0</v>
      </c>
    </row>
    <row r="101" spans="1:3" ht="12.75">
      <c r="A101" s="33" t="s">
        <v>193</v>
      </c>
      <c r="B101" s="33">
        <f>B98</f>
        <v>3.3</v>
      </c>
      <c r="C101" s="33" t="s">
        <v>0</v>
      </c>
    </row>
    <row r="102" spans="1:3" ht="12.75">
      <c r="A102" s="33" t="s">
        <v>194</v>
      </c>
      <c r="B102" s="33">
        <f>B98*B99*B100</f>
        <v>0.11549999999999999</v>
      </c>
      <c r="C102" s="33" t="s">
        <v>14</v>
      </c>
    </row>
    <row r="103" spans="1:3" ht="12.75">
      <c r="A103" s="33" t="s">
        <v>195</v>
      </c>
      <c r="B103" s="33">
        <f>0.3*0.3*0.6*3</f>
        <v>0.162</v>
      </c>
      <c r="C103" s="33" t="s">
        <v>14</v>
      </c>
    </row>
    <row r="104" spans="1:3" ht="12.75">
      <c r="A104" s="33" t="s">
        <v>196</v>
      </c>
      <c r="B104" s="33">
        <v>3</v>
      </c>
      <c r="C104" s="33" t="s">
        <v>15</v>
      </c>
    </row>
    <row r="105" spans="1:3" ht="12.75">
      <c r="A105" s="33" t="s">
        <v>197</v>
      </c>
      <c r="B105" s="33">
        <f>B98</f>
        <v>3.3</v>
      </c>
      <c r="C105" s="33" t="s">
        <v>0</v>
      </c>
    </row>
    <row r="106" spans="1:3" ht="12.75">
      <c r="A106" s="41"/>
      <c r="B106" s="41"/>
      <c r="C106" s="41"/>
    </row>
    <row r="107" spans="1:3" ht="12.75">
      <c r="A107" s="42" t="s">
        <v>118</v>
      </c>
      <c r="B107">
        <f>19.9+25+6.4+10</f>
        <v>61.3</v>
      </c>
      <c r="C107" s="33" t="s">
        <v>0</v>
      </c>
    </row>
    <row r="108" spans="1:3" ht="12.75">
      <c r="A108" s="41"/>
      <c r="B108" s="41"/>
      <c r="C108" s="41"/>
    </row>
    <row r="109" ht="12.75">
      <c r="A109" s="42" t="s">
        <v>159</v>
      </c>
    </row>
    <row r="110" spans="1:3" ht="12.75">
      <c r="A110" s="33" t="s">
        <v>157</v>
      </c>
      <c r="B110" s="33">
        <v>1</v>
      </c>
      <c r="C110" s="33" t="s">
        <v>0</v>
      </c>
    </row>
    <row r="111" spans="1:3" ht="12.75">
      <c r="A111" s="33" t="s">
        <v>155</v>
      </c>
      <c r="B111">
        <v>1.3</v>
      </c>
      <c r="C111" s="33" t="s">
        <v>0</v>
      </c>
    </row>
    <row r="112" spans="1:3" ht="12.75">
      <c r="A112" s="33"/>
      <c r="C112" s="33"/>
    </row>
    <row r="113" ht="12.75">
      <c r="A113" s="42" t="s">
        <v>239</v>
      </c>
    </row>
    <row r="114" spans="1:3" ht="12.75">
      <c r="A114" s="33" t="s">
        <v>157</v>
      </c>
      <c r="B114" s="33">
        <f>2*1.3</f>
        <v>2.6</v>
      </c>
      <c r="C114" s="33" t="s">
        <v>0</v>
      </c>
    </row>
    <row r="115" spans="1:3" ht="12.75">
      <c r="A115" s="33" t="s">
        <v>240</v>
      </c>
      <c r="B115">
        <f>2*1.5</f>
        <v>3</v>
      </c>
      <c r="C115" s="33" t="s">
        <v>0</v>
      </c>
    </row>
    <row r="116" spans="1:3" ht="12.75">
      <c r="A116" s="33"/>
      <c r="C116" s="33"/>
    </row>
    <row r="117" spans="1:5" ht="12.75">
      <c r="A117" s="98"/>
      <c r="B117" s="92"/>
      <c r="C117" s="92"/>
      <c r="D117" s="92"/>
      <c r="E117" s="9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5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35.7109375" style="0" customWidth="1"/>
  </cols>
  <sheetData>
    <row r="1" ht="28.5" customHeight="1">
      <c r="A1" s="43" t="s">
        <v>200</v>
      </c>
    </row>
    <row r="2" spans="1:3" ht="12.75" customHeight="1">
      <c r="A2" s="49"/>
      <c r="B2" s="36"/>
      <c r="C2" s="3"/>
    </row>
    <row r="3" spans="1:3" ht="12.75" customHeight="1">
      <c r="A3" s="143" t="s">
        <v>17</v>
      </c>
      <c r="B3" s="143"/>
      <c r="C3" s="143"/>
    </row>
    <row r="4" spans="1:3" ht="12.75" customHeight="1">
      <c r="A4" s="65" t="s">
        <v>201</v>
      </c>
      <c r="B4" s="66">
        <v>6</v>
      </c>
      <c r="C4" s="65" t="s">
        <v>13</v>
      </c>
    </row>
    <row r="5" spans="1:3" ht="12.75">
      <c r="A5" s="65" t="s">
        <v>202</v>
      </c>
      <c r="B5" s="66">
        <f>10*0.5</f>
        <v>5</v>
      </c>
      <c r="C5" s="65" t="s">
        <v>13</v>
      </c>
    </row>
    <row r="6" spans="1:3" ht="12.75">
      <c r="A6" s="65" t="s">
        <v>203</v>
      </c>
      <c r="B6" s="66">
        <v>20</v>
      </c>
      <c r="C6" s="65" t="s">
        <v>13</v>
      </c>
    </row>
    <row r="7" spans="1:3" ht="12.75">
      <c r="A7" s="65" t="s">
        <v>203</v>
      </c>
      <c r="B7" s="46">
        <v>12</v>
      </c>
      <c r="C7" s="46" t="s">
        <v>13</v>
      </c>
    </row>
    <row r="8" spans="1:3" ht="12.75">
      <c r="A8" s="65" t="s">
        <v>204</v>
      </c>
      <c r="B8" s="46">
        <v>60</v>
      </c>
      <c r="C8" s="46" t="s">
        <v>13</v>
      </c>
    </row>
    <row r="9" spans="1:3" ht="12.75">
      <c r="A9" s="94" t="s">
        <v>205</v>
      </c>
      <c r="B9" s="103">
        <f>SUM(B4:B8)</f>
        <v>103</v>
      </c>
      <c r="C9" s="94" t="s">
        <v>13</v>
      </c>
    </row>
    <row r="10" spans="1:3" ht="12.75">
      <c r="A10" s="35"/>
      <c r="B10" s="35"/>
      <c r="C10" s="35"/>
    </row>
    <row r="11" spans="1:3" ht="12.75">
      <c r="A11" s="48" t="s">
        <v>208</v>
      </c>
      <c r="B11" s="3"/>
      <c r="C11" s="3"/>
    </row>
    <row r="12" spans="1:3" ht="13.5">
      <c r="A12" s="64" t="s">
        <v>206</v>
      </c>
      <c r="B12" s="35">
        <v>1</v>
      </c>
      <c r="C12" s="35" t="s">
        <v>15</v>
      </c>
    </row>
    <row r="13" spans="1:3" ht="13.5">
      <c r="A13" s="64" t="s">
        <v>207</v>
      </c>
      <c r="B13" s="35">
        <v>1</v>
      </c>
      <c r="C13" s="35" t="s">
        <v>15</v>
      </c>
    </row>
    <row r="14" spans="1:3" ht="12.75">
      <c r="A14" s="35"/>
      <c r="B14" s="35"/>
      <c r="C14" s="35"/>
    </row>
    <row r="15" ht="12.75">
      <c r="A15" s="33" t="s">
        <v>241</v>
      </c>
    </row>
  </sheetData>
  <sheetProtection/>
  <mergeCells count="1"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Andrea Jandová</cp:lastModifiedBy>
  <cp:lastPrinted>2018-06-13T13:08:10Z</cp:lastPrinted>
  <dcterms:created xsi:type="dcterms:W3CDTF">2004-06-25T07:53:21Z</dcterms:created>
  <dcterms:modified xsi:type="dcterms:W3CDTF">2018-09-26T08:38:10Z</dcterms:modified>
  <cp:category/>
  <cp:version/>
  <cp:contentType/>
  <cp:contentStatus/>
</cp:coreProperties>
</file>